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17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8-Cermissões\"/>
    </mc:Choice>
  </mc:AlternateContent>
  <xr:revisionPtr revIDLastSave="0" documentId="8_{0A73AE4B-0E31-4300-8C9A-9D68943D80ED}" xr6:coauthVersionLast="47" xr6:coauthVersionMax="47" xr10:uidLastSave="{00000000-0000-0000-0000-000000000000}"/>
  <bookViews>
    <workbookView xWindow="-120" yWindow="-120" windowWidth="29040" windowHeight="15840" tabRatio="725" firstSheet="9" activeTab="11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Tabelas e Gráficos" sheetId="89" r:id="rId12"/>
    <sheet name="Rede Básica + Ajuste" sheetId="82" r:id="rId13"/>
    <sheet name="Conexão " sheetId="87" r:id="rId14"/>
    <sheet name="CUSD" sheetId="61" r:id="rId15"/>
    <sheet name="Encargos" sheetId="51" r:id="rId16"/>
    <sheet name="Financeiros" sheetId="50" r:id="rId17"/>
    <sheet name="ICMS" sheetId="137" r:id="rId18"/>
    <sheet name="PIS_Cofins" sheetId="140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1" hidden="1">[2]Mercado!#REF!</definedName>
    <definedName name="__123Graph_A" hidden="1">[2]Mercado!#REF!</definedName>
    <definedName name="__123Graph_ACOMPARA" localSheetId="11" hidden="1">[2]Mercado!#REF!</definedName>
    <definedName name="__123Graph_ACOMPARA" hidden="1">[2]Mercado!#REF!</definedName>
    <definedName name="__123Graph_ACONSMED" localSheetId="11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1" hidden="1">[5]MENSAL!#REF!</definedName>
    <definedName name="__123Graph_AGERAL" hidden="1">[5]MENSAL!#REF!</definedName>
    <definedName name="__123Graph_AIGPM" localSheetId="11" hidden="1">[5]MENSAL!#REF!</definedName>
    <definedName name="__123Graph_AIGPM" hidden="1">[5]MENSAL!#REF!</definedName>
    <definedName name="__123Graph_AIND" localSheetId="11" hidden="1">[5]MENSAL!#REF!</definedName>
    <definedName name="__123Graph_AIND" hidden="1">[5]MENSAL!#REF!</definedName>
    <definedName name="__123Graph_AINDICES" localSheetId="11" hidden="1">[5]MENSAL!#REF!</definedName>
    <definedName name="__123Graph_AINDICES" hidden="1">[5]MENSAL!#REF!</definedName>
    <definedName name="__123Graph_AINFLACAO" localSheetId="11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11" hidden="1">#REF!</definedName>
    <definedName name="__123Graph_APREVRCOM" hidden="1">#REF!</definedName>
    <definedName name="__123Graph_APREVREALI" localSheetId="20" hidden="1">#REF!</definedName>
    <definedName name="__123Graph_APREVREALI" localSheetId="11" hidden="1">#REF!</definedName>
    <definedName name="__123Graph_APREVREALI" hidden="1">#REF!</definedName>
    <definedName name="__123Graph_APREVRIND" localSheetId="20" hidden="1">#REF!</definedName>
    <definedName name="__123Graph_APREVRIND" localSheetId="11" hidden="1">#REF!</definedName>
    <definedName name="__123Graph_APREVRIND" hidden="1">#REF!</definedName>
    <definedName name="__123Graph_APREVROUT" localSheetId="20" hidden="1">[2]Mercado!#REF!</definedName>
    <definedName name="__123Graph_APREVROUT" localSheetId="11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11" hidden="1">#REF!</definedName>
    <definedName name="__123Graph_APREVRRES" hidden="1">#REF!</definedName>
    <definedName name="__123Graph_APREVRTOT" localSheetId="20" hidden="1">#REF!</definedName>
    <definedName name="__123Graph_APREVRTOT" localSheetId="11" hidden="1">#REF!</definedName>
    <definedName name="__123Graph_APREVRTOT" hidden="1">#REF!</definedName>
    <definedName name="__123Graph_B" localSheetId="20" hidden="1">#REF!</definedName>
    <definedName name="__123Graph_B" localSheetId="11" hidden="1">#REF!</definedName>
    <definedName name="__123Graph_B" hidden="1">#REF!</definedName>
    <definedName name="__123Graph_BCOMPARA" localSheetId="20" hidden="1">#REF!</definedName>
    <definedName name="__123Graph_BCOMPARA" localSheetId="11" hidden="1">#REF!</definedName>
    <definedName name="__123Graph_BCOMPARA" hidden="1">#REF!</definedName>
    <definedName name="__123Graph_BGAS" hidden="1">[6]Detail!#REF!</definedName>
    <definedName name="__123Graph_BGERAL" localSheetId="20" hidden="1">[5]MENSAL!#REF!</definedName>
    <definedName name="__123Graph_BGERAL" localSheetId="11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11" hidden="1">[5]MENSAL!#REF!</definedName>
    <definedName name="__123Graph_BIGPDI" hidden="1">[5]MENSAL!#REF!</definedName>
    <definedName name="__123Graph_BIND" localSheetId="11" hidden="1">[5]MENSAL!#REF!</definedName>
    <definedName name="__123Graph_BIND" hidden="1">[5]MENSAL!#REF!</definedName>
    <definedName name="__123Graph_BINDICES" localSheetId="11" hidden="1">[5]MENSAL!#REF!</definedName>
    <definedName name="__123Graph_BINDICES" hidden="1">[5]MENSAL!#REF!</definedName>
    <definedName name="__123Graph_BINFLACAO" localSheetId="11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11" hidden="1">#REF!</definedName>
    <definedName name="__123Graph_BPREVREALI" hidden="1">#REF!</definedName>
    <definedName name="__123Graph_C" localSheetId="20" hidden="1">[5]MENSAL!#REF!</definedName>
    <definedName name="__123Graph_C" localSheetId="11" hidden="1">[5]MENSAL!#REF!</definedName>
    <definedName name="__123Graph_C" hidden="1">[5]MENSAL!#REF!</definedName>
    <definedName name="__123Graph_CGERAL" localSheetId="11" hidden="1">[5]MENSAL!#REF!</definedName>
    <definedName name="__123Graph_CGERAL" hidden="1">[5]MENSAL!#REF!</definedName>
    <definedName name="__123Graph_CIND" localSheetId="11" hidden="1">[5]MENSAL!#REF!</definedName>
    <definedName name="__123Graph_CIND" hidden="1">[5]MENSAL!#REF!</definedName>
    <definedName name="__123Graph_CINDICES" localSheetId="11" hidden="1">[5]MENSAL!#REF!</definedName>
    <definedName name="__123Graph_CINDICES" hidden="1">[5]MENSAL!#REF!</definedName>
    <definedName name="__123Graph_CINFLACAO" localSheetId="11" hidden="1">[5]MENSAL!#REF!</definedName>
    <definedName name="__123Graph_CINFLACAO" hidden="1">[5]MENSAL!#REF!</definedName>
    <definedName name="__123Graph_CINPC" localSheetId="11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11" hidden="1">#REF!</definedName>
    <definedName name="__123Graph_CPREVREALI" hidden="1">#REF!</definedName>
    <definedName name="__123Graph_D" localSheetId="20" hidden="1">#REF!</definedName>
    <definedName name="__123Graph_D" localSheetId="11" hidden="1">#REF!</definedName>
    <definedName name="__123Graph_D" hidden="1">#REF!</definedName>
    <definedName name="__123Graph_DCDI" localSheetId="20" hidden="1">[5]MENSAL!#REF!</definedName>
    <definedName name="__123Graph_DCDI" localSheetId="11" hidden="1">[5]MENSAL!#REF!</definedName>
    <definedName name="__123Graph_DCDI" hidden="1">[5]MENSAL!#REF!</definedName>
    <definedName name="__123Graph_DCOMPARA" localSheetId="20" hidden="1">#REF!</definedName>
    <definedName name="__123Graph_DCOMPARA" localSheetId="11" hidden="1">#REF!</definedName>
    <definedName name="__123Graph_DCOMPARA" hidden="1">#REF!</definedName>
    <definedName name="__123Graph_DGERAL" localSheetId="20" hidden="1">[5]MENSAL!#REF!</definedName>
    <definedName name="__123Graph_DGERAL" localSheetId="11" hidden="1">[5]MENSAL!#REF!</definedName>
    <definedName name="__123Graph_DGERAL" hidden="1">[5]MENSAL!#REF!</definedName>
    <definedName name="__123Graph_DIND" localSheetId="20" hidden="1">[5]MENSAL!#REF!</definedName>
    <definedName name="__123Graph_DIND" localSheetId="11" hidden="1">[5]MENSAL!#REF!</definedName>
    <definedName name="__123Graph_DIND" hidden="1">[5]MENSAL!#REF!</definedName>
    <definedName name="__123Graph_DINDICES" localSheetId="11" hidden="1">[5]MENSAL!#REF!</definedName>
    <definedName name="__123Graph_DINDICES" hidden="1">[5]MENSAL!#REF!</definedName>
    <definedName name="__123Graph_DINFLACAO" localSheetId="11" hidden="1">[5]MENSAL!#REF!</definedName>
    <definedName name="__123Graph_DINFLACAO" hidden="1">[5]MENSAL!#REF!</definedName>
    <definedName name="__123Graph_DIPA" localSheetId="11" hidden="1">[5]MENSAL!#REF!</definedName>
    <definedName name="__123Graph_DIPA" hidden="1">[5]MENSAL!#REF!</definedName>
    <definedName name="__123Graph_DPREVREALI" localSheetId="11" hidden="1">[2]Mercado!#REF!</definedName>
    <definedName name="__123Graph_DPREVREALI" hidden="1">[2]Mercado!#REF!</definedName>
    <definedName name="__123Graph_E" localSheetId="11" hidden="1">[5]MENSAL!#REF!</definedName>
    <definedName name="__123Graph_E" hidden="1">[5]MENSAL!#REF!</definedName>
    <definedName name="__123Graph_EGERAL" localSheetId="11" hidden="1">[5]MENSAL!#REF!</definedName>
    <definedName name="__123Graph_EGERAL" hidden="1">[5]MENSAL!#REF!</definedName>
    <definedName name="__123Graph_EIND" localSheetId="11" hidden="1">[5]MENSAL!#REF!</definedName>
    <definedName name="__123Graph_EIND" hidden="1">[5]MENSAL!#REF!</definedName>
    <definedName name="__123Graph_EINDICES" localSheetId="11" hidden="1">[5]MENSAL!#REF!</definedName>
    <definedName name="__123Graph_EINDICES" hidden="1">[5]MENSAL!#REF!</definedName>
    <definedName name="__123Graph_EINFLACAO" localSheetId="11" hidden="1">[5]MENSAL!#REF!</definedName>
    <definedName name="__123Graph_EINFLACAO" hidden="1">[5]MENSAL!#REF!</definedName>
    <definedName name="__123Graph_ELFT" localSheetId="11" hidden="1">[5]MENSAL!#REF!</definedName>
    <definedName name="__123Graph_ELFT" hidden="1">[5]MENSAL!#REF!</definedName>
    <definedName name="__123Graph_EPREVREALI" localSheetId="20" hidden="1">#REF!</definedName>
    <definedName name="__123Graph_EPREVREALI" localSheetId="11" hidden="1">#REF!</definedName>
    <definedName name="__123Graph_EPREVREALI" hidden="1">#REF!</definedName>
    <definedName name="__123Graph_F" localSheetId="20" hidden="1">#REF!</definedName>
    <definedName name="__123Graph_F" localSheetId="11" hidden="1">#REF!</definedName>
    <definedName name="__123Graph_F" hidden="1">#REF!</definedName>
    <definedName name="__123Graph_FCDI" localSheetId="20" hidden="1">[5]MENSAL!#REF!</definedName>
    <definedName name="__123Graph_FCDI" localSheetId="11" hidden="1">[5]MENSAL!#REF!</definedName>
    <definedName name="__123Graph_FCDI" hidden="1">[5]MENSAL!#REF!</definedName>
    <definedName name="__123Graph_FCOMPARA" localSheetId="20" hidden="1">#REF!</definedName>
    <definedName name="__123Graph_FCOMPARA" localSheetId="11" hidden="1">#REF!</definedName>
    <definedName name="__123Graph_FCOMPARA" hidden="1">#REF!</definedName>
    <definedName name="__123Graph_FGERAL" localSheetId="20" hidden="1">[5]MENSAL!#REF!</definedName>
    <definedName name="__123Graph_FGERAL" localSheetId="11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11" hidden="1">[5]MENSAL!#REF!</definedName>
    <definedName name="__123Graph_FIGPDI" hidden="1">[5]MENSAL!#REF!</definedName>
    <definedName name="__123Graph_FIGPM" localSheetId="11" hidden="1">[5]MENSAL!#REF!</definedName>
    <definedName name="__123Graph_FIGPM" hidden="1">[5]MENSAL!#REF!</definedName>
    <definedName name="__123Graph_FIND" localSheetId="11" hidden="1">[5]MENSAL!#REF!</definedName>
    <definedName name="__123Graph_FIND" hidden="1">[5]MENSAL!#REF!</definedName>
    <definedName name="__123Graph_FINFLACAO" localSheetId="11" hidden="1">[5]MENSAL!#REF!</definedName>
    <definedName name="__123Graph_FINFLACAO" hidden="1">[5]MENSAL!#REF!</definedName>
    <definedName name="__123Graph_FINPC" localSheetId="11" hidden="1">[5]MENSAL!#REF!</definedName>
    <definedName name="__123Graph_FINPC" hidden="1">[5]MENSAL!#REF!</definedName>
    <definedName name="__123Graph_FIPA" localSheetId="11" hidden="1">[5]MENSAL!#REF!</definedName>
    <definedName name="__123Graph_FIPA" hidden="1">[5]MENSAL!#REF!</definedName>
    <definedName name="__123Graph_FLFT" localSheetId="11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1" hidden="1">[5]MENSAL!#REF!</definedName>
    <definedName name="__123Graph_X" hidden="1">[5]MENSAL!#REF!</definedName>
    <definedName name="__123Graph_XCDI" localSheetId="11" hidden="1">[5]MENSAL!#REF!</definedName>
    <definedName name="__123Graph_XCDI" hidden="1">[5]MENSAL!#REF!</definedName>
    <definedName name="__123Graph_XCONSMED" localSheetId="11" hidden="1">[2]Mercado!#REF!</definedName>
    <definedName name="__123Graph_XCONSMED" hidden="1">[2]Mercado!#REF!</definedName>
    <definedName name="__123Graph_XELASTIC" localSheetId="11" hidden="1">[2]Mercado!#REF!</definedName>
    <definedName name="__123Graph_XELASTIC" hidden="1">[2]Mercado!#REF!</definedName>
    <definedName name="__123Graph_XESTRUT" hidden="1">[4]Q2_4!#REF!</definedName>
    <definedName name="__123Graph_XGERAL" localSheetId="11" hidden="1">[5]MENSAL!#REF!</definedName>
    <definedName name="__123Graph_XGERAL" hidden="1">[5]MENSAL!#REF!</definedName>
    <definedName name="__123Graph_XIGPDI" localSheetId="11" hidden="1">[5]MENSAL!#REF!</definedName>
    <definedName name="__123Graph_XIGPDI" hidden="1">[5]MENSAL!#REF!</definedName>
    <definedName name="__123Graph_XIGPM" localSheetId="11" hidden="1">[5]MENSAL!#REF!</definedName>
    <definedName name="__123Graph_XIGPM" hidden="1">[5]MENSAL!#REF!</definedName>
    <definedName name="__123Graph_XIND" localSheetId="11" hidden="1">[5]MENSAL!#REF!</definedName>
    <definedName name="__123Graph_XIND" hidden="1">[5]MENSAL!#REF!</definedName>
    <definedName name="__123Graph_XINDICES" localSheetId="11" hidden="1">[5]MENSAL!#REF!</definedName>
    <definedName name="__123Graph_XINDICES" hidden="1">[5]MENSAL!#REF!</definedName>
    <definedName name="__123Graph_XINFLACAO" localSheetId="11" hidden="1">[5]MENSAL!#REF!</definedName>
    <definedName name="__123Graph_XINFLACAO" hidden="1">[5]MENSAL!#REF!</definedName>
    <definedName name="__123Graph_XINPC" localSheetId="11" hidden="1">[5]MENSAL!#REF!</definedName>
    <definedName name="__123Graph_XINPC" hidden="1">[5]MENSAL!#REF!</definedName>
    <definedName name="__123Graph_XIPA" localSheetId="11" hidden="1">[5]MENSAL!#REF!</definedName>
    <definedName name="__123Graph_XIPA" hidden="1">[5]MENSAL!#REF!</definedName>
    <definedName name="__123Graph_XLFT" localSheetId="11" hidden="1">[5]MENSAL!#REF!</definedName>
    <definedName name="__123Graph_XLFT" hidden="1">[5]MENSAL!#REF!</definedName>
    <definedName name="__123Graph_XPREVRCOM" localSheetId="11" hidden="1">[2]Mercado!#REF!</definedName>
    <definedName name="__123Graph_XPREVRCOM" hidden="1">[2]Mercado!#REF!</definedName>
    <definedName name="__123Graph_XPREVREALI" localSheetId="11" hidden="1">[2]Mercado!#REF!</definedName>
    <definedName name="__123Graph_XPREVREALI" hidden="1">[2]Mercado!#REF!</definedName>
    <definedName name="__123Graph_XPREVRIND" localSheetId="11" hidden="1">[2]Mercado!#REF!</definedName>
    <definedName name="__123Graph_XPREVRIND" hidden="1">[2]Mercado!#REF!</definedName>
    <definedName name="__123Graph_XPREVROUT" localSheetId="11" hidden="1">[2]Mercado!#REF!</definedName>
    <definedName name="__123Graph_XPREVROUT" hidden="1">[2]Mercado!#REF!</definedName>
    <definedName name="__123Graph_XPREVRRES" localSheetId="11" hidden="1">[2]Mercado!#REF!</definedName>
    <definedName name="__123Graph_XPREVRRES" hidden="1">[2]Mercado!#REF!</definedName>
    <definedName name="__123Graph_XPREVRTOT" localSheetId="11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11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BDCOVID!$A$1:$AH$497</definedName>
    <definedName name="_xlnm._FilterDatabase" localSheetId="28" hidden="1">'BD-NET'!$A$1:$P$179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4" hidden="1">CUSD!$A$5:$J$30</definedName>
    <definedName name="_xlnm._FilterDatabase" localSheetId="20" hidden="1">#REF!</definedName>
    <definedName name="_xlnm._FilterDatabase" localSheetId="10" hidden="1">Energia!$A:$H</definedName>
    <definedName name="_xlnm._FilterDatabase" localSheetId="4" hidden="1">Faturas!$AB$1:$AE$281</definedName>
    <definedName name="_xlnm._FilterDatabase" localSheetId="27" hidden="1">Índices!$B$6:$F$500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1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11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11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11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11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11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11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11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1" hidden="1">[2]Mercado!#REF!</definedName>
    <definedName name="F" localSheetId="20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11">Calc_Mercado!$C$8</definedName>
    <definedName name="FornecimentoE">Calc_Mercado!$C$8</definedName>
    <definedName name="FornecimentoE_A1" localSheetId="11">Calc_Mercado!$C$9</definedName>
    <definedName name="FornecimentoE_A1">Calc_Mercado!$C$9</definedName>
    <definedName name="FornecimentoE_BT" localSheetId="11">Calc_Mercado!$C$15</definedName>
    <definedName name="FornecimentoE_BT">Calc_Mercado!$C$15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11">Calc_Mercado!$C$18</definedName>
    <definedName name="LivreE">Calc_Mercado!$C$18</definedName>
    <definedName name="LivreE_A1" localSheetId="11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DEEletper">'Tabelas e Gráficos'!$AW$214</definedName>
    <definedName name="lnktxtCDEUSOper">'Tabelas e Gráficos'!$AW$212</definedName>
    <definedName name="lnktxtCEscHdrper">Financeiros!$E$70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CtaEscHid">Financeiros!$D$70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11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11">Energia!$C$5</definedName>
    <definedName name="LnkTXTER">Energia!$C$5</definedName>
    <definedName name="LnkTXTERFIN">'Tabelas e Gráficos'!$AW$263</definedName>
    <definedName name="lnktxtESSper">'Tabelas e Gráficos'!$AW$215</definedName>
    <definedName name="LnkTXTEV" localSheetId="11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11">Energia!$M$32</definedName>
    <definedName name="LnkTXTGPCU">Energia!$M$32</definedName>
    <definedName name="LnkTXTGPM" localSheetId="11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11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11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11">Energia!$C$9</definedName>
    <definedName name="LnkTXTPerdas">Energia!$C$9</definedName>
    <definedName name="LnkTXTPerdasDist">CAPA!$C$99</definedName>
    <definedName name="LnkTXTPerdasDist.">CAPA!$C$99</definedName>
    <definedName name="LnkTXTPIS_COFINS">'Tabelas e Gráficos'!$AN$165</definedName>
    <definedName name="LnkTXTPISCOFINS">Financeiros!$D$9</definedName>
    <definedName name="LnkTXTPISCOFINSPer" localSheetId="11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11">CAPA!$C$91</definedName>
    <definedName name="LnkTXTSigla">CAPA!$C$91</definedName>
    <definedName name="LnkTxtSobrecontratacao">[10]Financeiros!#REF!</definedName>
    <definedName name="LnkTXTSubdesc">Aj.Subsídio!$N$11</definedName>
    <definedName name="LnkTxTSubvencaoCDE" localSheetId="11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11">CAPA!$C$108</definedName>
    <definedName name="LnkTXTSuprid1">CAPA!$C$108</definedName>
    <definedName name="LnkTXTSuprid2" localSheetId="11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1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11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11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11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11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11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11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11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11">Calc_Mercado!$C$25</definedName>
    <definedName name="Mercado_RA0_MWh">Calc_Mercado!$C$25</definedName>
    <definedName name="Mercado_RA0_Reais" localSheetId="11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20" hidden="1">[2]Mercado!#REF!</definedName>
    <definedName name="old" localSheetId="11" hidden="1">[2]Mercado!#REF!</definedName>
    <definedName name="old" hidden="1">[2]Mercado!#REF!</definedName>
    <definedName name="OLE_LINK3" localSheetId="11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11">CAPA!$C$17</definedName>
    <definedName name="SAS_RA0_DataFim">CAPA!$C$17</definedName>
    <definedName name="SAS_RA0_DataInicio" localSheetId="11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11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20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11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4" r:id="rId51"/>
    <pivotCache cacheId="15" r:id="rId5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M175" i="89" l="1"/>
  <c r="AM177" i="89"/>
  <c r="AM178" i="89"/>
  <c r="AM179" i="89"/>
  <c r="AM181" i="89"/>
  <c r="AS244" i="89" l="1"/>
  <c r="AS245" i="89"/>
  <c r="AS246" i="89"/>
  <c r="AS247" i="89"/>
  <c r="AS254" i="89"/>
  <c r="AS255" i="89"/>
  <c r="AS256" i="89"/>
  <c r="AS257" i="89"/>
  <c r="AU257" i="89"/>
  <c r="AS258" i="89"/>
  <c r="AU258" i="89"/>
  <c r="AS259" i="89"/>
  <c r="AS260" i="89"/>
  <c r="AU260" i="89"/>
  <c r="AO191" i="89"/>
  <c r="AO192" i="89"/>
  <c r="AO194" i="89"/>
  <c r="AO195" i="89"/>
  <c r="AO196" i="89"/>
  <c r="F243" i="49"/>
  <c r="G243" i="49"/>
  <c r="H243" i="49"/>
  <c r="I243" i="49"/>
  <c r="J243" i="49"/>
  <c r="F244" i="49"/>
  <c r="G244" i="49"/>
  <c r="H244" i="49"/>
  <c r="I244" i="49"/>
  <c r="J244" i="49"/>
  <c r="F245" i="49"/>
  <c r="G245" i="49"/>
  <c r="H245" i="49"/>
  <c r="I245" i="49"/>
  <c r="J245" i="49"/>
  <c r="F246" i="49"/>
  <c r="G246" i="49"/>
  <c r="H246" i="49"/>
  <c r="I246" i="49"/>
  <c r="J246" i="49"/>
  <c r="F247" i="49"/>
  <c r="G247" i="49"/>
  <c r="H247" i="49"/>
  <c r="I247" i="49"/>
  <c r="J247" i="49"/>
  <c r="L21" i="140"/>
  <c r="K21" i="140"/>
  <c r="M20" i="140"/>
  <c r="M19" i="140"/>
  <c r="M18" i="140"/>
  <c r="M17" i="140"/>
  <c r="M15" i="140"/>
  <c r="M14" i="140"/>
  <c r="M13" i="140"/>
  <c r="M12" i="140"/>
  <c r="M11" i="140"/>
  <c r="M10" i="140"/>
  <c r="M9" i="140"/>
  <c r="E27" i="140"/>
  <c r="D27" i="140"/>
  <c r="C27" i="140"/>
  <c r="H4" i="140"/>
  <c r="M21" i="140" l="1"/>
  <c r="M37" i="25" l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D64" i="50" l="1"/>
  <c r="J63" i="58" l="1"/>
  <c r="I63" i="58"/>
  <c r="F94" i="58"/>
  <c r="G87" i="58"/>
  <c r="C18" i="50"/>
  <c r="J53" i="58"/>
  <c r="K54" i="58"/>
  <c r="K53" i="58"/>
  <c r="B41" i="58"/>
  <c r="C82" i="39"/>
  <c r="G94" i="58" l="1"/>
  <c r="J41" i="58" s="1"/>
  <c r="C6" i="139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J39" i="58" l="1"/>
  <c r="C147" i="49"/>
  <c r="C148" i="49"/>
  <c r="C149" i="49"/>
  <c r="AM182" i="89"/>
  <c r="AS248" i="89" s="1"/>
  <c r="AN182" i="89"/>
  <c r="AM183" i="89"/>
  <c r="AS249" i="89" s="1"/>
  <c r="AN183" i="89"/>
  <c r="AM184" i="89"/>
  <c r="AS250" i="89" s="1"/>
  <c r="AN184" i="89"/>
  <c r="AM185" i="89"/>
  <c r="AS251" i="89" s="1"/>
  <c r="AN185" i="89"/>
  <c r="AM186" i="89"/>
  <c r="AS252" i="89" s="1"/>
  <c r="AN186" i="89"/>
  <c r="AM187" i="89"/>
  <c r="AS253" i="89" s="1"/>
  <c r="AN187" i="89"/>
  <c r="E43" i="50"/>
  <c r="Q149" i="49" s="1"/>
  <c r="P149" i="49" s="1"/>
  <c r="E42" i="50"/>
  <c r="Q148" i="49" s="1"/>
  <c r="P148" i="49" s="1"/>
  <c r="E44" i="50"/>
  <c r="AO187" i="89" l="1"/>
  <c r="AU253" i="89"/>
  <c r="AO183" i="89"/>
  <c r="AU249" i="89"/>
  <c r="AO184" i="89"/>
  <c r="AU250" i="89"/>
  <c r="AO186" i="89"/>
  <c r="AU252" i="89"/>
  <c r="AO182" i="89"/>
  <c r="AU248" i="89"/>
  <c r="AO185" i="89"/>
  <c r="AU251" i="89"/>
  <c r="D38" i="50"/>
  <c r="M22" i="58" l="1"/>
  <c r="M23" i="58"/>
  <c r="N6" i="139" l="1"/>
  <c r="N7" i="139" s="1"/>
  <c r="N8" i="139" s="1"/>
  <c r="N9" i="139" s="1"/>
  <c r="N10" i="139" s="1"/>
  <c r="F126" i="49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C8" i="139"/>
  <c r="O5" i="139" s="1"/>
  <c r="O6" i="139" s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L42" i="51" l="1"/>
  <c r="C20" i="50" s="1"/>
  <c r="L41" i="51"/>
  <c r="C19" i="50" s="1"/>
  <c r="B48" i="64" l="1"/>
  <c r="AM168" i="89"/>
  <c r="C126" i="49"/>
  <c r="C92" i="49"/>
  <c r="C93" i="49"/>
  <c r="C127" i="49"/>
  <c r="Q186" i="49" l="1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Q273" i="49" l="1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3" i="58" s="1"/>
  <c r="K42" i="58"/>
  <c r="M6" i="58"/>
  <c r="L6" i="58" l="1"/>
  <c r="K47" i="58"/>
  <c r="L47" i="58" s="1"/>
  <c r="K45" i="58"/>
  <c r="L45" i="58" s="1"/>
  <c r="L44" i="58"/>
  <c r="J48" i="58"/>
  <c r="L43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AW265" i="89"/>
  <c r="Q193" i="49" l="1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4" i="49"/>
  <c r="Q115" i="49"/>
  <c r="Q116" i="49"/>
  <c r="Q113" i="49"/>
  <c r="C114" i="49"/>
  <c r="F114" i="49"/>
  <c r="G114" i="49"/>
  <c r="H114" i="49"/>
  <c r="I114" i="49"/>
  <c r="J114" i="49"/>
  <c r="K114" i="49"/>
  <c r="C115" i="49"/>
  <c r="F115" i="49"/>
  <c r="G115" i="49"/>
  <c r="H115" i="49"/>
  <c r="I115" i="49"/>
  <c r="J115" i="49"/>
  <c r="K115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2" i="64"/>
  <c r="C62" i="64"/>
  <c r="B63" i="64"/>
  <c r="C63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O181" i="89" l="1"/>
  <c r="AU247" i="89"/>
  <c r="AS240" i="89"/>
  <c r="AS242" i="89"/>
  <c r="AN176" i="89"/>
  <c r="AN180" i="89"/>
  <c r="AU246" i="89" s="1"/>
  <c r="AU242" i="89" l="1"/>
  <c r="AO176" i="89"/>
  <c r="AO180" i="89"/>
  <c r="E63" i="58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6" i="49"/>
  <c r="P275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3" i="50"/>
  <c r="D56" i="50"/>
  <c r="D50" i="50"/>
  <c r="D48" i="50"/>
  <c r="D49" i="50"/>
  <c r="Q216" i="49" l="1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I64" i="58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E65" i="135" a="1"/>
  <c r="X65" i="135" a="1"/>
  <c r="Y65" i="135" a="1"/>
  <c r="T65" i="135" a="1"/>
  <c r="G65" i="135" a="1"/>
  <c r="Z65" i="135" a="1"/>
  <c r="J65" i="135" a="1"/>
  <c r="V65" i="135" a="1"/>
  <c r="Q65" i="135" a="1"/>
  <c r="N65" i="135" a="1"/>
  <c r="S65" i="135" a="1"/>
  <c r="AA65" i="135" a="1"/>
  <c r="P65" i="135" a="1"/>
  <c r="O65" i="135" a="1"/>
  <c r="M65" i="135" a="1"/>
  <c r="W65" i="135" a="1"/>
  <c r="AB65" i="135" a="1"/>
  <c r="K65" i="135" a="1"/>
  <c r="H65" i="135" a="1"/>
  <c r="I65" i="135" a="1"/>
  <c r="F65" i="135" a="1"/>
  <c r="D65" i="135" a="1"/>
  <c r="U65" i="135" a="1"/>
  <c r="L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X64" i="135" a="1"/>
  <c r="E64" i="135" a="1"/>
  <c r="Y64" i="135" a="1"/>
  <c r="Z64" i="135" a="1"/>
  <c r="W64" i="135" a="1"/>
  <c r="AA64" i="135" a="1"/>
  <c r="H64" i="135" a="1"/>
  <c r="S64" i="135" a="1"/>
  <c r="F64" i="135" a="1"/>
  <c r="U64" i="135" a="1"/>
  <c r="T64" i="135" a="1"/>
  <c r="L64" i="135" a="1"/>
  <c r="M64" i="135" a="1"/>
  <c r="I64" i="135" a="1"/>
  <c r="K64" i="135" a="1"/>
  <c r="Q64" i="135" a="1"/>
  <c r="G64" i="135" a="1"/>
  <c r="J64" i="135" a="1"/>
  <c r="P64" i="135" a="1"/>
  <c r="D64" i="135" a="1"/>
  <c r="N64" i="135" a="1"/>
  <c r="AB64" i="135" a="1"/>
  <c r="V64" i="135" a="1"/>
  <c r="O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K63" i="135" a="1"/>
  <c r="Q63" i="135" a="1"/>
  <c r="H63" i="135" a="1"/>
  <c r="G63" i="135" a="1"/>
  <c r="J63" i="135" a="1"/>
  <c r="S63" i="135" a="1"/>
  <c r="L63" i="135" a="1"/>
  <c r="P63" i="135" a="1"/>
  <c r="X63" i="135" a="1"/>
  <c r="AB63" i="135" a="1"/>
  <c r="W63" i="135" a="1"/>
  <c r="E63" i="135" a="1"/>
  <c r="O63" i="135" a="1"/>
  <c r="AA63" i="135" a="1"/>
  <c r="D63" i="135" a="1"/>
  <c r="F63" i="135" a="1"/>
  <c r="Y63" i="135" a="1"/>
  <c r="I63" i="135" a="1"/>
  <c r="V63" i="135" a="1"/>
  <c r="T63" i="135" a="1"/>
  <c r="N63" i="135" a="1"/>
  <c r="Z63" i="135" a="1"/>
  <c r="M63" i="135" a="1"/>
  <c r="U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I62" i="135" a="1"/>
  <c r="P62" i="135" a="1"/>
  <c r="Z62" i="135" a="1"/>
  <c r="G62" i="135" a="1"/>
  <c r="D62" i="135" a="1"/>
  <c r="W62" i="135" a="1"/>
  <c r="H62" i="135" a="1"/>
  <c r="T62" i="135" a="1"/>
  <c r="Y62" i="135" a="1"/>
  <c r="O62" i="135" a="1"/>
  <c r="M62" i="135" a="1"/>
  <c r="V62" i="135" a="1"/>
  <c r="N62" i="135" a="1"/>
  <c r="L62" i="135" a="1"/>
  <c r="X62" i="135" a="1"/>
  <c r="Q62" i="135" a="1"/>
  <c r="S62" i="135" a="1"/>
  <c r="AA62" i="135" a="1"/>
  <c r="J62" i="135" a="1"/>
  <c r="E62" i="135" a="1"/>
  <c r="U62" i="135" a="1"/>
  <c r="K62" i="135" a="1"/>
  <c r="F62" i="135" a="1"/>
  <c r="AB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N61" i="135" a="1"/>
  <c r="J61" i="135" a="1"/>
  <c r="S61" i="135" a="1"/>
  <c r="Z61" i="135" a="1"/>
  <c r="F61" i="135" a="1"/>
  <c r="G61" i="135" a="1"/>
  <c r="W61" i="135" a="1"/>
  <c r="AA61" i="135" a="1"/>
  <c r="X61" i="135" a="1"/>
  <c r="K61" i="135" a="1"/>
  <c r="H61" i="135" a="1"/>
  <c r="L61" i="135" a="1"/>
  <c r="P61" i="135" a="1"/>
  <c r="E61" i="135" a="1"/>
  <c r="V61" i="135" a="1"/>
  <c r="I61" i="135" a="1"/>
  <c r="U61" i="135" a="1"/>
  <c r="Y61" i="135" a="1"/>
  <c r="AB61" i="135" a="1"/>
  <c r="Q61" i="135" a="1"/>
  <c r="T61" i="135" a="1"/>
  <c r="O61" i="135" a="1"/>
  <c r="M61" i="135" a="1"/>
  <c r="D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U60" i="135" a="1"/>
  <c r="I60" i="135" a="1"/>
  <c r="S60" i="135" a="1"/>
  <c r="O60" i="135" a="1"/>
  <c r="E60" i="135" a="1"/>
  <c r="T60" i="135" a="1"/>
  <c r="K60" i="135" a="1"/>
  <c r="AB60" i="135" a="1"/>
  <c r="J60" i="135" a="1"/>
  <c r="G60" i="135" a="1"/>
  <c r="V60" i="135" a="1"/>
  <c r="P60" i="135" a="1"/>
  <c r="AA60" i="135" a="1"/>
  <c r="Q60" i="135" a="1"/>
  <c r="Y60" i="135" a="1"/>
  <c r="Z60" i="135" a="1"/>
  <c r="X60" i="135" a="1"/>
  <c r="M60" i="135" a="1"/>
  <c r="F60" i="135" a="1"/>
  <c r="L60" i="135" a="1"/>
  <c r="D60" i="135" a="1"/>
  <c r="N60" i="135" a="1"/>
  <c r="H60" i="135" a="1"/>
  <c r="W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U59" i="135" a="1"/>
  <c r="W59" i="135" a="1"/>
  <c r="V59" i="135" a="1"/>
  <c r="AB59" i="135" a="1"/>
  <c r="H59" i="135" a="1"/>
  <c r="F59" i="135" a="1"/>
  <c r="P59" i="135" a="1"/>
  <c r="E59" i="135" a="1"/>
  <c r="S59" i="135" a="1"/>
  <c r="T59" i="135" a="1"/>
  <c r="AA59" i="135" a="1"/>
  <c r="D59" i="135" a="1"/>
  <c r="Q59" i="135" a="1"/>
  <c r="Y59" i="135" a="1"/>
  <c r="X59" i="135" a="1"/>
  <c r="K59" i="135" a="1"/>
  <c r="N59" i="135" a="1"/>
  <c r="G59" i="135" a="1"/>
  <c r="L59" i="135" a="1"/>
  <c r="J59" i="135" a="1"/>
  <c r="I59" i="135" a="1"/>
  <c r="Z59" i="135" a="1"/>
  <c r="M59" i="135" a="1"/>
  <c r="O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Q58" i="135" a="1"/>
  <c r="Y58" i="135" a="1"/>
  <c r="P58" i="135" a="1"/>
  <c r="W58" i="135" a="1"/>
  <c r="I58" i="135" a="1"/>
  <c r="N58" i="135" a="1"/>
  <c r="S58" i="135" a="1"/>
  <c r="E58" i="135" a="1"/>
  <c r="T58" i="135" a="1"/>
  <c r="D58" i="135" a="1"/>
  <c r="U58" i="135" a="1"/>
  <c r="K58" i="135" a="1"/>
  <c r="L58" i="135" a="1"/>
  <c r="AA58" i="135" a="1"/>
  <c r="V58" i="135" a="1"/>
  <c r="Z58" i="135" a="1"/>
  <c r="AB58" i="135" a="1"/>
  <c r="X58" i="135" a="1"/>
  <c r="G58" i="135" a="1"/>
  <c r="M58" i="135" a="1"/>
  <c r="F58" i="135" a="1"/>
  <c r="H58" i="135" a="1"/>
  <c r="J58" i="135" a="1"/>
  <c r="O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U57" i="135" a="1"/>
  <c r="X57" i="135" a="1"/>
  <c r="Q57" i="135" a="1"/>
  <c r="N57" i="135" a="1"/>
  <c r="T57" i="135" a="1"/>
  <c r="G57" i="135" a="1"/>
  <c r="F57" i="135" a="1"/>
  <c r="V57" i="135" a="1"/>
  <c r="H57" i="135" a="1"/>
  <c r="P57" i="135" a="1"/>
  <c r="E57" i="135" a="1"/>
  <c r="J57" i="135" a="1"/>
  <c r="L57" i="135" a="1"/>
  <c r="Z57" i="135" a="1"/>
  <c r="M57" i="135" a="1"/>
  <c r="AB57" i="135" a="1"/>
  <c r="O57" i="135" a="1"/>
  <c r="S57" i="135" a="1"/>
  <c r="D57" i="135" a="1"/>
  <c r="W57" i="135" a="1"/>
  <c r="I57" i="135" a="1"/>
  <c r="AA57" i="135" a="1"/>
  <c r="Y57" i="135" a="1"/>
  <c r="K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G56" i="135" a="1"/>
  <c r="H56" i="135" a="1"/>
  <c r="Q56" i="135" a="1"/>
  <c r="M56" i="135" a="1"/>
  <c r="E56" i="135" a="1"/>
  <c r="O56" i="135" a="1"/>
  <c r="AA56" i="135" a="1"/>
  <c r="X56" i="135" a="1"/>
  <c r="N56" i="135" a="1"/>
  <c r="U56" i="135" a="1"/>
  <c r="P56" i="135" a="1"/>
  <c r="Y56" i="135" a="1"/>
  <c r="Z56" i="135" a="1"/>
  <c r="S56" i="135" a="1"/>
  <c r="L56" i="135" a="1"/>
  <c r="K56" i="135" a="1"/>
  <c r="F56" i="135" a="1"/>
  <c r="I56" i="135" a="1"/>
  <c r="J56" i="135" a="1"/>
  <c r="D56" i="135" a="1"/>
  <c r="T56" i="135" a="1"/>
  <c r="V56" i="135" a="1"/>
  <c r="AB56" i="135" a="1"/>
  <c r="W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N55" i="135" a="1"/>
  <c r="G55" i="135" a="1"/>
  <c r="I55" i="135" a="1"/>
  <c r="H55" i="135" a="1"/>
  <c r="L55" i="135" a="1"/>
  <c r="AA55" i="135" a="1"/>
  <c r="J55" i="135" a="1"/>
  <c r="W55" i="135" a="1"/>
  <c r="Z55" i="135" a="1"/>
  <c r="Y55" i="135" a="1"/>
  <c r="T55" i="135" a="1"/>
  <c r="Q55" i="135" a="1"/>
  <c r="E55" i="135" a="1"/>
  <c r="P55" i="135" a="1"/>
  <c r="AB55" i="135" a="1"/>
  <c r="M55" i="135" a="1"/>
  <c r="V55" i="135" a="1"/>
  <c r="D55" i="135" a="1"/>
  <c r="O55" i="135" a="1"/>
  <c r="X55" i="135" a="1"/>
  <c r="F55" i="135" a="1"/>
  <c r="U55" i="135" a="1"/>
  <c r="K55" i="135" a="1"/>
  <c r="S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AB54" i="135" a="1"/>
  <c r="T54" i="135" a="1"/>
  <c r="AA54" i="135" a="1"/>
  <c r="V54" i="135" a="1"/>
  <c r="K54" i="135" a="1"/>
  <c r="I54" i="135" a="1"/>
  <c r="G54" i="135" a="1"/>
  <c r="P54" i="135" a="1"/>
  <c r="M54" i="135" a="1"/>
  <c r="N54" i="135" a="1"/>
  <c r="U54" i="135" a="1"/>
  <c r="L54" i="135" a="1"/>
  <c r="Q54" i="135" a="1"/>
  <c r="W54" i="135" a="1"/>
  <c r="S54" i="135" a="1"/>
  <c r="O54" i="135" a="1"/>
  <c r="F54" i="135" a="1"/>
  <c r="D54" i="135" a="1"/>
  <c r="X54" i="135" a="1"/>
  <c r="E54" i="135" a="1"/>
  <c r="Y54" i="135" a="1"/>
  <c r="J54" i="135" a="1"/>
  <c r="H54" i="135" a="1"/>
  <c r="Z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0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AV213" i="89" s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G25" i="140" l="1"/>
  <c r="H22" i="140"/>
  <c r="F20" i="140"/>
  <c r="G17" i="140"/>
  <c r="H14" i="140"/>
  <c r="F12" i="140"/>
  <c r="G9" i="140"/>
  <c r="H24" i="140"/>
  <c r="G19" i="140"/>
  <c r="F14" i="140"/>
  <c r="G11" i="140"/>
  <c r="F16" i="140"/>
  <c r="H10" i="140"/>
  <c r="F23" i="140"/>
  <c r="F15" i="140"/>
  <c r="F25" i="140"/>
  <c r="G22" i="140"/>
  <c r="H19" i="140"/>
  <c r="F17" i="140"/>
  <c r="G14" i="140"/>
  <c r="H11" i="140"/>
  <c r="F9" i="140"/>
  <c r="F22" i="140"/>
  <c r="H16" i="140"/>
  <c r="N4" i="140"/>
  <c r="H25" i="140"/>
  <c r="G12" i="140"/>
  <c r="G20" i="140"/>
  <c r="G24" i="140"/>
  <c r="H21" i="140"/>
  <c r="F19" i="140"/>
  <c r="G16" i="140"/>
  <c r="H13" i="140"/>
  <c r="F11" i="140"/>
  <c r="L4" i="140"/>
  <c r="H26" i="140"/>
  <c r="F24" i="140"/>
  <c r="G21" i="140"/>
  <c r="H18" i="140"/>
  <c r="G13" i="140"/>
  <c r="F10" i="140"/>
  <c r="G26" i="140"/>
  <c r="H23" i="140"/>
  <c r="F21" i="140"/>
  <c r="G18" i="140"/>
  <c r="H15" i="140"/>
  <c r="F13" i="140"/>
  <c r="G10" i="140"/>
  <c r="F26" i="140"/>
  <c r="G23" i="140"/>
  <c r="H20" i="140"/>
  <c r="F18" i="140"/>
  <c r="G15" i="140"/>
  <c r="H12" i="140"/>
  <c r="H17" i="140"/>
  <c r="H9" i="140"/>
  <c r="G10" i="13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H10" i="131" s="1"/>
  <c r="F12" i="131"/>
  <c r="F13" i="131"/>
  <c r="F11" i="131"/>
  <c r="F15" i="131"/>
  <c r="H27" i="140" l="1"/>
  <c r="G27" i="140"/>
  <c r="O4" i="140" s="1"/>
  <c r="F27" i="140"/>
  <c r="J4" i="140" s="1"/>
  <c r="D5" i="139"/>
  <c r="D7" i="139"/>
  <c r="D6" i="139"/>
  <c r="D70" i="50" s="1"/>
  <c r="AN190" i="89" s="1"/>
  <c r="AU256" i="89" s="1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P4" i="140" l="1"/>
  <c r="Q4" i="140" s="1"/>
  <c r="R4" i="140" s="1"/>
  <c r="D8" i="139"/>
  <c r="J9" i="131"/>
  <c r="J17" i="131" s="1"/>
  <c r="D35" i="50" s="1"/>
  <c r="AN174" i="89" s="1"/>
  <c r="H17" i="131"/>
  <c r="M7" i="123"/>
  <c r="AU240" i="89" l="1"/>
  <c r="AO174" i="89"/>
  <c r="O38" i="89"/>
  <c r="N38" i="89"/>
  <c r="M38" i="89"/>
  <c r="C114" i="39" l="1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F19" i="82" l="1"/>
  <c r="H19" i="82"/>
  <c r="E20" i="82"/>
  <c r="F20" i="82"/>
  <c r="G20" i="82"/>
  <c r="H20" i="82"/>
  <c r="F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E20" i="58" l="1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H7" i="61" l="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S241" i="89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AO169" i="89" s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D118" i="78"/>
  <c r="C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S243" i="89"/>
  <c r="AN177" i="89"/>
  <c r="AO177" i="89" s="1"/>
  <c r="D119" i="78"/>
  <c r="D117" i="78"/>
  <c r="D116" i="78"/>
  <c r="C115" i="78"/>
  <c r="C114" i="78"/>
  <c r="C117" i="78"/>
  <c r="C119" i="78"/>
  <c r="D115" i="78"/>
  <c r="D114" i="78"/>
  <c r="C116" i="78"/>
  <c r="AU243" i="89" l="1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10" i="78"/>
  <c r="C9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N179" i="89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9" i="89" l="1"/>
  <c r="AU245" i="89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1" i="49"/>
  <c r="Q180" i="49"/>
  <c r="Q188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Y230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79" i="78"/>
  <c r="C84" i="78"/>
  <c r="G10" i="78"/>
  <c r="D9" i="78"/>
  <c r="C19" i="78"/>
  <c r="D16" i="78"/>
  <c r="C16" i="78"/>
  <c r="D13" i="78"/>
  <c r="C20" i="78"/>
  <c r="D14" i="78"/>
  <c r="C83" i="78"/>
  <c r="C15" i="78"/>
  <c r="C14" i="78"/>
  <c r="D17" i="78"/>
  <c r="C12" i="78"/>
  <c r="C91" i="78"/>
  <c r="D19" i="78"/>
  <c r="C97" i="78"/>
  <c r="D21" i="78"/>
  <c r="C95" i="78"/>
  <c r="G13" i="78"/>
  <c r="G8" i="78"/>
  <c r="D20" i="78"/>
  <c r="C90" i="78"/>
  <c r="D18" i="78"/>
  <c r="D10" i="78"/>
  <c r="C89" i="78"/>
  <c r="G11" i="78"/>
  <c r="G9" i="78"/>
  <c r="C82" i="78"/>
  <c r="C17" i="78"/>
  <c r="C81" i="78"/>
  <c r="C92" i="78"/>
  <c r="C11" i="78"/>
  <c r="C87" i="78"/>
  <c r="C94" i="78"/>
  <c r="C93" i="78"/>
  <c r="C13" i="78"/>
  <c r="D12" i="78"/>
  <c r="D15" i="78"/>
  <c r="C18" i="78"/>
  <c r="C80" i="78"/>
  <c r="G12" i="78"/>
  <c r="D11" i="78"/>
  <c r="G14" i="78"/>
  <c r="C88" i="78"/>
  <c r="J21" i="61" l="1"/>
  <c r="J20" i="61"/>
  <c r="AJ160" i="89" s="1"/>
  <c r="AK160" i="89" s="1"/>
  <c r="J6" i="61"/>
  <c r="J16" i="61"/>
  <c r="AJ156" i="89" s="1"/>
  <c r="AK156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AU212" i="89" s="1"/>
  <c r="C3" i="61"/>
  <c r="C25" i="78"/>
  <c r="I6" i="51"/>
  <c r="BB274" i="89"/>
  <c r="X9" i="89"/>
  <c r="X10" i="89" s="1"/>
  <c r="G60" i="89"/>
  <c r="J85" i="89"/>
  <c r="L84" i="89"/>
  <c r="F60" i="89"/>
  <c r="G17" i="78"/>
  <c r="I22" i="51" l="1"/>
  <c r="C7" i="51" s="1"/>
  <c r="D18" i="64" s="1"/>
  <c r="N103" i="89" s="1"/>
  <c r="Q14" i="49"/>
  <c r="P214" i="49"/>
  <c r="N15" i="78"/>
  <c r="F70" i="89"/>
  <c r="G70" i="89"/>
  <c r="AT226" i="89"/>
  <c r="J97" i="89"/>
  <c r="AT220" i="89"/>
  <c r="AT219" i="89" s="1"/>
  <c r="L85" i="89"/>
  <c r="AW214" i="89" l="1"/>
  <c r="AY214" i="89" s="1"/>
  <c r="K76" i="89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90" i="85"/>
  <c r="C155" i="85"/>
  <c r="C8" i="85"/>
  <c r="C137" i="85"/>
  <c r="C160" i="85"/>
  <c r="C161" i="85"/>
  <c r="C19" i="85"/>
  <c r="C107" i="85"/>
  <c r="C12" i="85"/>
  <c r="C6" i="85"/>
  <c r="C97" i="85"/>
  <c r="C37" i="85"/>
  <c r="C46" i="85"/>
  <c r="C156" i="85"/>
  <c r="C101" i="85"/>
  <c r="C57" i="85"/>
  <c r="C139" i="85"/>
  <c r="C166" i="85"/>
  <c r="C142" i="85"/>
  <c r="C133" i="85"/>
  <c r="C165" i="85"/>
  <c r="C146" i="85"/>
  <c r="C104" i="85"/>
  <c r="C149" i="85"/>
  <c r="C115" i="85"/>
  <c r="C20" i="85"/>
  <c r="C130" i="85"/>
  <c r="C45" i="85"/>
  <c r="C151" i="85"/>
  <c r="C154" i="85"/>
  <c r="C162" i="85"/>
  <c r="C77" i="85"/>
  <c r="C95" i="85"/>
  <c r="C141" i="85"/>
  <c r="C140" i="85"/>
  <c r="C105" i="85"/>
  <c r="C164" i="85"/>
  <c r="C152" i="85"/>
  <c r="C38" i="85"/>
  <c r="C26" i="85"/>
  <c r="C102" i="85"/>
  <c r="C150" i="85"/>
  <c r="C125" i="85"/>
  <c r="C163" i="85"/>
  <c r="C3" i="85"/>
  <c r="C71" i="85"/>
  <c r="C4" i="85"/>
  <c r="C96" i="85"/>
  <c r="C110" i="85"/>
  <c r="C11" i="85"/>
  <c r="C123" i="85"/>
  <c r="C24" i="85"/>
  <c r="C144" i="85"/>
  <c r="C143" i="85"/>
  <c r="C44" i="85"/>
  <c r="C106" i="85"/>
  <c r="C132" i="85"/>
  <c r="C18" i="85"/>
  <c r="C36" i="85"/>
  <c r="C117" i="85"/>
  <c r="C14" i="85"/>
  <c r="C10" i="85"/>
  <c r="C157" i="85"/>
  <c r="C103" i="85"/>
  <c r="C134" i="85"/>
  <c r="C9" i="85"/>
  <c r="C167" i="85"/>
  <c r="C32" i="85"/>
  <c r="C148" i="85"/>
  <c r="C127" i="85"/>
  <c r="C147" i="85"/>
  <c r="C16" i="85"/>
  <c r="C13" i="85"/>
  <c r="C39" i="85"/>
  <c r="C112" i="85"/>
  <c r="C100" i="85"/>
  <c r="C113" i="85"/>
  <c r="C87" i="85"/>
  <c r="C25" i="85"/>
  <c r="C15" i="85"/>
  <c r="C129" i="85"/>
  <c r="C5" i="85"/>
  <c r="C145" i="85"/>
  <c r="C159" i="85"/>
  <c r="C23" i="85"/>
  <c r="C109" i="85"/>
  <c r="C108" i="85"/>
  <c r="C111" i="85"/>
  <c r="C158" i="85"/>
  <c r="C131" i="85"/>
  <c r="C60" i="85"/>
  <c r="C98" i="85"/>
  <c r="C17" i="85"/>
  <c r="C114" i="85"/>
  <c r="C121" i="85"/>
  <c r="C73" i="85"/>
  <c r="C99" i="85"/>
  <c r="C153" i="85"/>
  <c r="C119" i="85"/>
  <c r="C7" i="85"/>
  <c r="C21" i="85"/>
  <c r="C138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22" i="85"/>
  <c r="C82" i="85"/>
  <c r="C31" i="85"/>
  <c r="C136" i="85"/>
  <c r="C88" i="85"/>
  <c r="C135" i="85"/>
  <c r="I31" i="58" l="1"/>
  <c r="F31" i="58" s="1"/>
  <c r="I30" i="58"/>
  <c r="F30" i="58" s="1"/>
  <c r="I32" i="58"/>
  <c r="F32" i="58" s="1"/>
  <c r="I29" i="58"/>
  <c r="F29" i="58" s="1"/>
  <c r="I28" i="58"/>
  <c r="F28" i="58" s="1"/>
  <c r="H28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8" i="49"/>
  <c r="P1728" i="49" s="1"/>
  <c r="Q1729" i="49"/>
  <c r="P1729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J74" i="78"/>
  <c r="C30" i="85"/>
  <c r="E74" i="78"/>
  <c r="P74" i="78"/>
  <c r="G74" i="78"/>
  <c r="L74" i="78"/>
  <c r="N74" i="78"/>
  <c r="M74" i="78"/>
  <c r="K74" i="78"/>
  <c r="F74" i="78"/>
  <c r="H74" i="78"/>
  <c r="U74" i="78"/>
  <c r="D74" i="78"/>
  <c r="Q74" i="78"/>
  <c r="R74" i="78"/>
  <c r="S74" i="78"/>
  <c r="I74" i="78"/>
  <c r="O74" i="78"/>
  <c r="C72" i="85"/>
  <c r="T74" i="78"/>
  <c r="L53" i="58" l="1"/>
  <c r="K41" i="58"/>
  <c r="L41" i="58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Q68" i="49"/>
  <c r="P68" i="49" s="1"/>
  <c r="Q64" i="49"/>
  <c r="P64" i="49" s="1"/>
  <c r="M9" i="58"/>
  <c r="K17" i="39"/>
  <c r="E16" i="87"/>
  <c r="E21" i="87" s="1"/>
  <c r="D31" i="64" s="1"/>
  <c r="C21" i="87"/>
  <c r="I13" i="25"/>
  <c r="H15" i="25"/>
  <c r="H17" i="25" s="1"/>
  <c r="B46" i="25"/>
  <c r="L73" i="78"/>
  <c r="Q73" i="78"/>
  <c r="O73" i="78"/>
  <c r="N73" i="78"/>
  <c r="E73" i="78"/>
  <c r="I73" i="78"/>
  <c r="R73" i="78"/>
  <c r="G73" i="78"/>
  <c r="S73" i="78"/>
  <c r="J73" i="78"/>
  <c r="H73" i="78"/>
  <c r="K73" i="78"/>
  <c r="U73" i="78"/>
  <c r="T73" i="78"/>
  <c r="F73" i="78"/>
  <c r="P73" i="78"/>
  <c r="M73" i="78"/>
  <c r="D73" i="78"/>
  <c r="M16" i="58" l="1"/>
  <c r="L9" i="58"/>
  <c r="L16" i="58" s="1"/>
  <c r="M24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R72" i="78"/>
  <c r="E72" i="78"/>
  <c r="T72" i="78"/>
  <c r="L72" i="78"/>
  <c r="G72" i="78"/>
  <c r="H72" i="78"/>
  <c r="P72" i="78"/>
  <c r="N72" i="78"/>
  <c r="O72" i="78"/>
  <c r="I72" i="78"/>
  <c r="Q72" i="78"/>
  <c r="M72" i="78"/>
  <c r="F72" i="78"/>
  <c r="S72" i="78"/>
  <c r="D72" i="78"/>
  <c r="K72" i="78"/>
  <c r="U72" i="78"/>
  <c r="J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C7" i="58"/>
  <c r="N25" i="58"/>
  <c r="D79" i="25"/>
  <c r="E79" i="25"/>
  <c r="E75" i="39"/>
  <c r="G46" i="25" s="1"/>
  <c r="H46" i="25" s="1"/>
  <c r="D75" i="39"/>
  <c r="Q46" i="25" s="1"/>
  <c r="R46" i="25" s="1"/>
  <c r="C75" i="39"/>
  <c r="C46" i="25" s="1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L71" i="78"/>
  <c r="G71" i="78"/>
  <c r="H71" i="78"/>
  <c r="I71" i="78"/>
  <c r="N71" i="78"/>
  <c r="O71" i="78"/>
  <c r="C55" i="85"/>
  <c r="M71" i="78"/>
  <c r="S71" i="78"/>
  <c r="E71" i="78"/>
  <c r="U71" i="78"/>
  <c r="J71" i="78"/>
  <c r="T71" i="78"/>
  <c r="P71" i="78"/>
  <c r="D71" i="78"/>
  <c r="Q71" i="78"/>
  <c r="F71" i="78"/>
  <c r="R71" i="78"/>
  <c r="K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Q45" i="25" s="1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E58" i="39" s="1"/>
  <c r="P176" i="49"/>
  <c r="P14" i="49"/>
  <c r="Q168" i="49"/>
  <c r="P168" i="49" s="1"/>
  <c r="C6" i="64"/>
  <c r="B43" i="25"/>
  <c r="N44" i="25"/>
  <c r="L70" i="78"/>
  <c r="T70" i="78"/>
  <c r="H70" i="78"/>
  <c r="G70" i="78"/>
  <c r="M70" i="78"/>
  <c r="F70" i="78"/>
  <c r="D70" i="78"/>
  <c r="J70" i="78"/>
  <c r="P70" i="78"/>
  <c r="U70" i="78"/>
  <c r="Q70" i="78"/>
  <c r="E70" i="78"/>
  <c r="O70" i="78"/>
  <c r="K70" i="78"/>
  <c r="R70" i="78"/>
  <c r="I70" i="78"/>
  <c r="S70" i="78"/>
  <c r="N70" i="78"/>
  <c r="E70" i="58" l="1"/>
  <c r="E18" i="58"/>
  <c r="AB139" i="89" s="1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E77" i="50" s="1"/>
  <c r="AY264" i="89"/>
  <c r="H79" i="25"/>
  <c r="E77" i="25"/>
  <c r="M79" i="25"/>
  <c r="N79" i="25" s="1"/>
  <c r="G78" i="25"/>
  <c r="D73" i="39"/>
  <c r="Q44" i="25" s="1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G69" i="78"/>
  <c r="U69" i="78"/>
  <c r="I69" i="78"/>
  <c r="E69" i="78"/>
  <c r="N69" i="78"/>
  <c r="J69" i="78"/>
  <c r="Q69" i="78"/>
  <c r="K69" i="78"/>
  <c r="R69" i="78"/>
  <c r="F69" i="78"/>
  <c r="O69" i="78"/>
  <c r="L69" i="78"/>
  <c r="H69" i="78"/>
  <c r="T69" i="78"/>
  <c r="S69" i="78"/>
  <c r="M69" i="78"/>
  <c r="P69" i="78"/>
  <c r="D69" i="78"/>
  <c r="F70" i="58" l="1"/>
  <c r="F72" i="58" s="1"/>
  <c r="D70" i="58"/>
  <c r="H68" i="51"/>
  <c r="H37" i="51" s="1"/>
  <c r="O74" i="25" s="1"/>
  <c r="P74" i="25" s="1"/>
  <c r="AW248" i="89"/>
  <c r="AY248" i="89" s="1"/>
  <c r="AW249" i="89"/>
  <c r="AY249" i="89" s="1"/>
  <c r="AW247" i="89"/>
  <c r="AY247" i="89" s="1"/>
  <c r="AW260" i="89"/>
  <c r="AY260" i="89" s="1"/>
  <c r="I68" i="51"/>
  <c r="I37" i="51" s="1"/>
  <c r="Q74" i="25" s="1"/>
  <c r="R74" i="25" s="1"/>
  <c r="C68" i="51"/>
  <c r="C37" i="51" s="1"/>
  <c r="AW252" i="89"/>
  <c r="AY252" i="89" s="1"/>
  <c r="AW251" i="89"/>
  <c r="AY251" i="89" s="1"/>
  <c r="AW250" i="89"/>
  <c r="E41" i="50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AW240" i="89"/>
  <c r="AW245" i="89"/>
  <c r="AW242" i="89"/>
  <c r="AW246" i="89"/>
  <c r="AW243" i="89"/>
  <c r="E36" i="50"/>
  <c r="Q142" i="49" s="1"/>
  <c r="P142" i="49" s="1"/>
  <c r="E40" i="50"/>
  <c r="Q146" i="49" s="1"/>
  <c r="P146" i="49" s="1"/>
  <c r="E47" i="50"/>
  <c r="E45" i="50"/>
  <c r="Q151" i="49" s="1"/>
  <c r="P151" i="49" s="1"/>
  <c r="E39" i="50"/>
  <c r="Q145" i="49" s="1"/>
  <c r="P145" i="49" s="1"/>
  <c r="E37" i="50"/>
  <c r="Q143" i="49" s="1"/>
  <c r="P143" i="49" s="1"/>
  <c r="E48" i="50"/>
  <c r="E49" i="50"/>
  <c r="E46" i="50"/>
  <c r="Q152" i="49" s="1"/>
  <c r="P152" i="49" s="1"/>
  <c r="E38" i="50"/>
  <c r="Q144" i="49" s="1"/>
  <c r="P144" i="49" s="1"/>
  <c r="G72" i="39"/>
  <c r="O43" i="25" s="1"/>
  <c r="P43" i="25" s="1"/>
  <c r="E56" i="50"/>
  <c r="E64" i="50"/>
  <c r="E50" i="50"/>
  <c r="E63" i="50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Q43" i="25" s="1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H72" i="39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J68" i="78"/>
  <c r="U68" i="78"/>
  <c r="Q68" i="78"/>
  <c r="N68" i="78"/>
  <c r="F68" i="78"/>
  <c r="I68" i="78"/>
  <c r="G68" i="78"/>
  <c r="P68" i="78"/>
  <c r="R68" i="78"/>
  <c r="L68" i="78"/>
  <c r="H68" i="78"/>
  <c r="D68" i="78"/>
  <c r="E68" i="78"/>
  <c r="S68" i="78"/>
  <c r="O68" i="78"/>
  <c r="K68" i="78"/>
  <c r="T68" i="78"/>
  <c r="M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AY246" i="89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J67" i="78"/>
  <c r="H67" i="78"/>
  <c r="L67" i="78"/>
  <c r="Q67" i="78"/>
  <c r="S67" i="78"/>
  <c r="N67" i="78"/>
  <c r="E67" i="78"/>
  <c r="D67" i="78"/>
  <c r="R67" i="78"/>
  <c r="I67" i="78"/>
  <c r="O67" i="78"/>
  <c r="G67" i="78"/>
  <c r="M67" i="78"/>
  <c r="U67" i="78"/>
  <c r="K67" i="78"/>
  <c r="F67" i="78"/>
  <c r="P67" i="78"/>
  <c r="T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P66" i="78"/>
  <c r="S66" i="78"/>
  <c r="G66" i="78"/>
  <c r="E66" i="78"/>
  <c r="M66" i="78"/>
  <c r="I66" i="78"/>
  <c r="U66" i="78"/>
  <c r="F66" i="78"/>
  <c r="N66" i="78"/>
  <c r="J66" i="78"/>
  <c r="T66" i="78"/>
  <c r="L66" i="78"/>
  <c r="H66" i="78"/>
  <c r="Q66" i="78"/>
  <c r="D66" i="78"/>
  <c r="K66" i="78"/>
  <c r="O66" i="78"/>
  <c r="R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E65" i="78"/>
  <c r="M65" i="78"/>
  <c r="Q65" i="78"/>
  <c r="N65" i="78"/>
  <c r="G65" i="78"/>
  <c r="K65" i="78"/>
  <c r="S65" i="78"/>
  <c r="P65" i="78"/>
  <c r="I65" i="78"/>
  <c r="J65" i="78"/>
  <c r="L65" i="78"/>
  <c r="U65" i="78"/>
  <c r="T65" i="78"/>
  <c r="H65" i="78"/>
  <c r="R65" i="78"/>
  <c r="D65" i="78"/>
  <c r="O65" i="78"/>
  <c r="F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Q64" i="78"/>
  <c r="N64" i="78"/>
  <c r="L64" i="78"/>
  <c r="F64" i="78"/>
  <c r="K64" i="78"/>
  <c r="D64" i="78"/>
  <c r="O64" i="78"/>
  <c r="I64" i="78"/>
  <c r="R64" i="78"/>
  <c r="G64" i="78"/>
  <c r="J64" i="78"/>
  <c r="M64" i="78"/>
  <c r="T64" i="78"/>
  <c r="E64" i="78"/>
  <c r="H64" i="78"/>
  <c r="P64" i="78"/>
  <c r="U64" i="78"/>
  <c r="S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E63" i="78"/>
  <c r="N63" i="78"/>
  <c r="U63" i="78"/>
  <c r="O63" i="78"/>
  <c r="J63" i="78"/>
  <c r="R63" i="78"/>
  <c r="D63" i="78"/>
  <c r="M63" i="78"/>
  <c r="G63" i="78"/>
  <c r="F63" i="78"/>
  <c r="K63" i="78"/>
  <c r="L63" i="78"/>
  <c r="P63" i="78"/>
  <c r="I63" i="78"/>
  <c r="H63" i="78"/>
  <c r="Q63" i="78"/>
  <c r="S63" i="78"/>
  <c r="T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J78" i="89" s="1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C19" i="64" l="1"/>
  <c r="AT213" i="89"/>
  <c r="R68" i="25"/>
  <c r="X67" i="25"/>
  <c r="R67" i="25"/>
  <c r="P67" i="25"/>
  <c r="P68" i="25"/>
  <c r="O80" i="25"/>
  <c r="C65" i="39"/>
  <c r="C36" i="25" s="1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3" i="89"/>
  <c r="C23" i="64"/>
  <c r="J82" i="89"/>
  <c r="AT217" i="89" s="1"/>
  <c r="C22" i="64"/>
  <c r="AY235" i="89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2" i="89"/>
  <c r="AW212" i="89" s="1"/>
  <c r="L78" i="89"/>
  <c r="K78" i="89"/>
  <c r="AT216" i="89"/>
  <c r="AW216" i="89" s="1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X66" i="25" l="1"/>
  <c r="R66" i="25"/>
  <c r="P66" i="25"/>
  <c r="C35" i="25"/>
  <c r="D35" i="25" s="1"/>
  <c r="G35" i="25"/>
  <c r="H35" i="25" s="1"/>
  <c r="AW215" i="89"/>
  <c r="AY215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K82" i="89"/>
  <c r="K83" i="89"/>
  <c r="AV216" i="89"/>
  <c r="AV212" i="89"/>
  <c r="AY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E19" i="64"/>
  <c r="F19" i="64"/>
  <c r="H68" i="25"/>
  <c r="L68" i="25"/>
  <c r="K39" i="25"/>
  <c r="L39" i="25" s="1"/>
  <c r="E46" i="71" s="1"/>
  <c r="L66" i="25"/>
  <c r="AY216" i="89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C18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L93" i="89"/>
  <c r="K93" i="89"/>
  <c r="K92" i="89"/>
  <c r="L92" i="89"/>
  <c r="AT222" i="89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AV222" i="89"/>
  <c r="X59" i="25"/>
  <c r="R59" i="25"/>
  <c r="P59" i="25"/>
  <c r="V59" i="25"/>
  <c r="T59" i="25"/>
  <c r="T27" i="25"/>
  <c r="V27" i="25"/>
  <c r="L59" i="25"/>
  <c r="D59" i="25"/>
  <c r="P27" i="25"/>
  <c r="R27" i="25"/>
  <c r="AY224" i="89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AY222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2" i="137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D25" i="25"/>
  <c r="D49" i="25" s="1"/>
  <c r="D9" i="50" s="1"/>
  <c r="H25" i="25"/>
  <c r="H49" i="25" s="1"/>
  <c r="D27" i="50" s="1"/>
  <c r="AN171" i="89" s="1"/>
  <c r="AO171" i="89" s="1"/>
  <c r="D10" i="50" l="1"/>
  <c r="D11" i="50"/>
  <c r="AN165" i="89"/>
  <c r="AN172" i="89"/>
  <c r="AO172" i="89" s="1"/>
  <c r="I15" i="135"/>
  <c r="D82" i="50" s="1"/>
  <c r="AN178" i="89" s="1"/>
  <c r="X56" i="25"/>
  <c r="P56" i="25"/>
  <c r="R56" i="25"/>
  <c r="D12" i="137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U237" i="89"/>
  <c r="AW237" i="89" s="1"/>
  <c r="C51" i="64"/>
  <c r="D51" i="64" s="1"/>
  <c r="E51" i="64" s="1"/>
  <c r="AY240" i="89"/>
  <c r="C52" i="64"/>
  <c r="D52" i="64" s="1"/>
  <c r="E52" i="64" s="1"/>
  <c r="C50" i="64"/>
  <c r="D50" i="64" s="1"/>
  <c r="E50" i="64" s="1"/>
  <c r="Q101" i="49"/>
  <c r="P101" i="49" s="1"/>
  <c r="J56" i="25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AO178" i="89" l="1"/>
  <c r="AU244" i="89"/>
  <c r="AW244" i="89" s="1"/>
  <c r="E82" i="50"/>
  <c r="AU238" i="89"/>
  <c r="AW238" i="89" s="1"/>
  <c r="Q249" i="49"/>
  <c r="P249" i="49" s="1"/>
  <c r="C99" i="64"/>
  <c r="D99" i="64" s="1"/>
  <c r="E99" i="64" s="1"/>
  <c r="X55" i="25"/>
  <c r="X80" i="25" s="1"/>
  <c r="G31" i="135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P106" i="49"/>
  <c r="AU232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M36" i="51"/>
  <c r="D18" i="50" s="1"/>
  <c r="AY244" i="89" l="1"/>
  <c r="AW257" i="89"/>
  <c r="AY257" i="89" s="1"/>
  <c r="AN168" i="89"/>
  <c r="AO168" i="89" s="1"/>
  <c r="C48" i="64"/>
  <c r="D48" i="64" s="1"/>
  <c r="E48" i="64" s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Q93" i="49"/>
  <c r="P93" i="49" s="1"/>
  <c r="E20" i="50"/>
  <c r="Q127" i="49" s="1"/>
  <c r="P127" i="49" s="1"/>
  <c r="P114" i="49"/>
  <c r="Q117" i="49"/>
  <c r="Q91" i="49"/>
  <c r="P91" i="49" s="1"/>
  <c r="AY250" i="89"/>
  <c r="Q248" i="49"/>
  <c r="P248" i="49" s="1"/>
  <c r="Q110" i="49"/>
  <c r="P110" i="49" s="1"/>
  <c r="C58" i="64"/>
  <c r="D58" i="64" s="1"/>
  <c r="E58" i="64" s="1"/>
  <c r="Q111" i="49"/>
  <c r="P111" i="49" s="1"/>
  <c r="C59" i="64"/>
  <c r="D59" i="64" s="1"/>
  <c r="E59" i="64" s="1"/>
  <c r="AY238" i="89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U234" i="89" l="1"/>
  <c r="AW234" i="89" s="1"/>
  <c r="AO167" i="89"/>
  <c r="C47" i="64"/>
  <c r="D47" i="64" s="1"/>
  <c r="E47" i="64" s="1"/>
  <c r="Q92" i="49"/>
  <c r="P92" i="49" s="1"/>
  <c r="E19" i="50"/>
  <c r="Q126" i="49" s="1"/>
  <c r="P126" i="49" s="1"/>
  <c r="D13" i="50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N166" i="89" l="1"/>
  <c r="AY239" i="89"/>
  <c r="E13" i="50"/>
  <c r="AY245" i="89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AO166" i="89" l="1"/>
  <c r="AU233" i="89"/>
  <c r="N13" i="50"/>
  <c r="P13" i="50"/>
  <c r="Q120" i="49"/>
  <c r="P120" i="49" s="1"/>
  <c r="BC271" i="89"/>
  <c r="BC270" i="89"/>
  <c r="BC272" i="89"/>
  <c r="AW233" i="89" l="1"/>
  <c r="AY233" i="89" s="1"/>
  <c r="BC274" i="89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AY237" i="8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AO170" i="89" s="1"/>
  <c r="C49" i="64"/>
  <c r="D49" i="64" s="1"/>
  <c r="E49" i="64" s="1"/>
  <c r="E9" i="50"/>
  <c r="AW232" i="89" s="1"/>
  <c r="P87" i="49"/>
  <c r="P82" i="49"/>
  <c r="P88" i="49"/>
  <c r="E45" i="64"/>
  <c r="C39" i="64"/>
  <c r="D39" i="64" s="1"/>
  <c r="J95" i="89"/>
  <c r="L86" i="89"/>
  <c r="K86" i="89"/>
  <c r="P118" i="49" l="1"/>
  <c r="P115" i="49"/>
  <c r="AU236" i="89"/>
  <c r="P113" i="49"/>
  <c r="N27" i="50"/>
  <c r="P133" i="49"/>
  <c r="P27" i="50"/>
  <c r="N26" i="50"/>
  <c r="P26" i="50"/>
  <c r="P117" i="49"/>
  <c r="C46" i="64"/>
  <c r="AD15" i="89"/>
  <c r="K95" i="89"/>
  <c r="J96" i="89"/>
  <c r="K96" i="89" s="1"/>
  <c r="AW236" i="89" l="1"/>
  <c r="AY232" i="89"/>
  <c r="D46" i="64"/>
  <c r="E46" i="64" s="1"/>
  <c r="K97" i="89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V228" i="89" l="1"/>
  <c r="U8" i="89"/>
  <c r="AY228" i="89" l="1"/>
  <c r="C100" i="39" l="1"/>
  <c r="C101" i="39" l="1"/>
  <c r="Q1732" i="49" l="1"/>
  <c r="P1732" i="49" s="1"/>
  <c r="E9" i="82"/>
  <c r="C10" i="82"/>
  <c r="Q1733" i="49" s="1"/>
  <c r="P1733" i="49" s="1"/>
  <c r="E10" i="82"/>
  <c r="Q1731" i="49" s="1"/>
  <c r="P1731" i="49" s="1"/>
  <c r="Q1730" i="49" l="1"/>
  <c r="P1730" i="49" s="1"/>
  <c r="D26" i="64"/>
  <c r="C27" i="95"/>
  <c r="D52" i="50" l="1"/>
  <c r="D54" i="50"/>
  <c r="D55" i="50"/>
  <c r="D53" i="50"/>
  <c r="D51" i="50"/>
  <c r="D22" i="50"/>
  <c r="D21" i="50"/>
  <c r="F26" i="64"/>
  <c r="C104" i="39"/>
  <c r="BM278" i="89"/>
  <c r="BN278" i="89" s="1"/>
  <c r="AU223" i="89"/>
  <c r="Q24" i="49"/>
  <c r="P24" i="49" s="1"/>
  <c r="E26" i="64"/>
  <c r="C30" i="95"/>
  <c r="C21" i="95"/>
  <c r="AW223" i="89" l="1"/>
  <c r="AY223" i="89" s="1"/>
  <c r="AV223" i="89"/>
  <c r="Q218" i="49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AW221" i="89" s="1"/>
  <c r="E32" i="64"/>
  <c r="D24" i="64"/>
  <c r="F32" i="64"/>
  <c r="K52" i="39" s="1"/>
  <c r="AV225" i="89" l="1"/>
  <c r="AU221" i="89"/>
  <c r="Q163" i="49"/>
  <c r="P163" i="49" s="1"/>
  <c r="O8" i="51"/>
  <c r="E24" i="64"/>
  <c r="L9" i="89" s="1"/>
  <c r="F24" i="64"/>
  <c r="AF16" i="89"/>
  <c r="AY225" i="89" l="1"/>
  <c r="AY221" i="89"/>
  <c r="U10" i="89"/>
  <c r="AV221" i="89"/>
  <c r="AB141" i="89" l="1"/>
  <c r="M14" i="58" l="1"/>
  <c r="R14" i="58" s="1"/>
  <c r="M17" i="58" l="1"/>
  <c r="Q14" i="58" l="1"/>
  <c r="M21" i="58"/>
  <c r="AD138" i="89" l="1"/>
  <c r="AC138" i="89" l="1"/>
  <c r="AY226" i="89" l="1"/>
  <c r="Q18" i="49"/>
  <c r="P18" i="49" s="1"/>
  <c r="N107" i="89" l="1"/>
  <c r="O107" i="89" s="1"/>
  <c r="F22" i="64"/>
  <c r="K47" i="39" s="1"/>
  <c r="AU217" i="89"/>
  <c r="E22" i="64"/>
  <c r="AW217" i="89" l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AY243" i="89"/>
  <c r="E51" i="50"/>
  <c r="E52" i="50"/>
  <c r="E53" i="50"/>
  <c r="E54" i="50"/>
  <c r="E55" i="50"/>
  <c r="AY242" i="89" l="1"/>
  <c r="AY234" i="89"/>
  <c r="AY236" i="89"/>
  <c r="E31" i="50" l="1"/>
  <c r="C55" i="64" l="1"/>
  <c r="AN175" i="89"/>
  <c r="AO175" i="89" s="1"/>
  <c r="D55" i="64" l="1"/>
  <c r="E55" i="64" s="1"/>
  <c r="AU241" i="89"/>
  <c r="AW241" i="89" l="1"/>
  <c r="AY241" i="89" l="1"/>
  <c r="Q244" i="49"/>
  <c r="P244" i="49" s="1"/>
  <c r="C94" i="64"/>
  <c r="D94" i="64" s="1"/>
  <c r="E94" i="64" s="1"/>
  <c r="Q237" i="49"/>
  <c r="P237" i="49" s="1"/>
  <c r="E70" i="50"/>
  <c r="C87" i="64"/>
  <c r="D87" i="64" s="1"/>
  <c r="E87" i="64" s="1"/>
  <c r="V32" i="58" l="1"/>
  <c r="V34" i="58" s="1"/>
  <c r="V52" i="58" s="1"/>
  <c r="V56" i="58" s="1"/>
  <c r="Q11" i="58" l="1"/>
  <c r="Q13" i="58" s="1"/>
  <c r="Q15" i="58" s="1"/>
  <c r="N13" i="58"/>
  <c r="Q37" i="49" s="1"/>
  <c r="P37" i="49" s="1"/>
  <c r="N16" i="58"/>
  <c r="N17" i="58"/>
  <c r="Q32" i="49" l="1"/>
  <c r="P32" i="49" s="1"/>
  <c r="Q33" i="49"/>
  <c r="P33" i="49" s="1"/>
  <c r="N15" i="58"/>
  <c r="Q38" i="49" s="1"/>
  <c r="P38" i="49" s="1"/>
  <c r="Q16" i="58"/>
  <c r="Q17" i="58" s="1"/>
  <c r="R13" i="58"/>
  <c r="R15" i="58" s="1"/>
  <c r="C10" i="58"/>
  <c r="T124" i="89" s="1"/>
  <c r="U124" i="89" s="1"/>
  <c r="K35" i="39"/>
  <c r="N14" i="58"/>
  <c r="Q113" i="89" s="1"/>
  <c r="Q165" i="49" l="1"/>
  <c r="P165" i="49" s="1"/>
  <c r="Q112" i="89"/>
  <c r="Q114" i="89" s="1"/>
  <c r="N18" i="58"/>
  <c r="L18" i="58" s="1"/>
  <c r="N19" i="58"/>
  <c r="L19" i="58" s="1"/>
  <c r="R16" i="58"/>
  <c r="R17" i="58" s="1"/>
  <c r="Q18" i="58" s="1"/>
  <c r="S15" i="58"/>
  <c r="Q36" i="49"/>
  <c r="P36" i="49" s="1"/>
  <c r="K36" i="39"/>
  <c r="C99" i="39" s="1"/>
  <c r="L35" i="58" l="1"/>
  <c r="Q274" i="49" s="1"/>
  <c r="P274" i="49" s="1"/>
  <c r="C11" i="58"/>
  <c r="Q34" i="49"/>
  <c r="P34" i="49" s="1"/>
  <c r="Q166" i="49"/>
  <c r="P166" i="49" s="1"/>
  <c r="C12" i="58"/>
  <c r="Q35" i="49"/>
  <c r="P35" i="49" s="1"/>
  <c r="T123" i="89" l="1"/>
  <c r="T122" i="89" s="1"/>
  <c r="T125" i="89" s="1"/>
  <c r="C9" i="58"/>
  <c r="L8" i="51" s="1"/>
  <c r="U123" i="89" l="1"/>
  <c r="C5" i="58"/>
  <c r="D76" i="50" s="1"/>
  <c r="Q179" i="49"/>
  <c r="P179" i="49" s="1"/>
  <c r="E76" i="50" l="1"/>
  <c r="C93" i="64"/>
  <c r="D93" i="64" s="1"/>
  <c r="E93" i="64" s="1"/>
  <c r="Q243" i="49"/>
  <c r="P243" i="49" s="1"/>
  <c r="D60" i="50"/>
  <c r="D61" i="50"/>
  <c r="E61" i="50" s="1"/>
  <c r="D58" i="50"/>
  <c r="E58" i="50" s="1"/>
  <c r="D59" i="50"/>
  <c r="C76" i="64" s="1"/>
  <c r="D76" i="64" s="1"/>
  <c r="E76" i="64" s="1"/>
  <c r="Q31" i="49"/>
  <c r="P31" i="49" s="1"/>
  <c r="D57" i="50"/>
  <c r="D62" i="50"/>
  <c r="AN189" i="89" s="1"/>
  <c r="AU255" i="89" s="1"/>
  <c r="D69" i="50"/>
  <c r="C86" i="64" s="1"/>
  <c r="D86" i="64" s="1"/>
  <c r="E86" i="64" s="1"/>
  <c r="D72" i="50"/>
  <c r="Q239" i="49" s="1"/>
  <c r="P239" i="49" s="1"/>
  <c r="D71" i="50"/>
  <c r="Q238" i="49" s="1"/>
  <c r="P238" i="49" s="1"/>
  <c r="D66" i="50"/>
  <c r="Q233" i="49" s="1"/>
  <c r="P233" i="49" s="1"/>
  <c r="D74" i="50"/>
  <c r="Q241" i="49" s="1"/>
  <c r="P241" i="49" s="1"/>
  <c r="N30" i="58"/>
  <c r="T29" i="58" s="1"/>
  <c r="D75" i="50"/>
  <c r="Q242" i="49" s="1"/>
  <c r="P242" i="49" s="1"/>
  <c r="D73" i="50"/>
  <c r="Q240" i="49" s="1"/>
  <c r="P240" i="49" s="1"/>
  <c r="L6" i="51"/>
  <c r="L10" i="51" s="1"/>
  <c r="D68" i="50"/>
  <c r="Q235" i="49" s="1"/>
  <c r="P235" i="49" s="1"/>
  <c r="D67" i="50"/>
  <c r="C84" i="64" s="1"/>
  <c r="D84" i="64" s="1"/>
  <c r="E84" i="64" s="1"/>
  <c r="Q177" i="49"/>
  <c r="P177" i="49" s="1"/>
  <c r="D65" i="50"/>
  <c r="Q158" i="49"/>
  <c r="P158" i="49" s="1"/>
  <c r="Q229" i="49" l="1"/>
  <c r="P229" i="49" s="1"/>
  <c r="AN188" i="89"/>
  <c r="AU254" i="89" s="1"/>
  <c r="C74" i="64"/>
  <c r="L9" i="51"/>
  <c r="C88" i="64"/>
  <c r="D88" i="64" s="1"/>
  <c r="E88" i="64" s="1"/>
  <c r="E71" i="50"/>
  <c r="Q225" i="49"/>
  <c r="P225" i="49" s="1"/>
  <c r="Q224" i="49"/>
  <c r="P224" i="49" s="1"/>
  <c r="C75" i="64"/>
  <c r="D75" i="64" s="1"/>
  <c r="E75" i="64" s="1"/>
  <c r="C79" i="64"/>
  <c r="D79" i="64" s="1"/>
  <c r="E79" i="64" s="1"/>
  <c r="E57" i="50"/>
  <c r="Q226" i="49"/>
  <c r="P226" i="49" s="1"/>
  <c r="E62" i="50"/>
  <c r="C89" i="64"/>
  <c r="D89" i="64" s="1"/>
  <c r="E89" i="64" s="1"/>
  <c r="E72" i="50"/>
  <c r="E69" i="50"/>
  <c r="Q236" i="49"/>
  <c r="P236" i="49" s="1"/>
  <c r="C83" i="64"/>
  <c r="D83" i="64" s="1"/>
  <c r="E83" i="64" s="1"/>
  <c r="C92" i="64"/>
  <c r="D92" i="64" s="1"/>
  <c r="E92" i="64" s="1"/>
  <c r="E75" i="50"/>
  <c r="E67" i="50"/>
  <c r="E66" i="50"/>
  <c r="Q234" i="49"/>
  <c r="P234" i="49" s="1"/>
  <c r="E59" i="50"/>
  <c r="Q228" i="49"/>
  <c r="P228" i="49" s="1"/>
  <c r="C91" i="64"/>
  <c r="D91" i="64" s="1"/>
  <c r="E91" i="64" s="1"/>
  <c r="O30" i="58"/>
  <c r="C18" i="58" s="1"/>
  <c r="E65" i="50"/>
  <c r="C85" i="64"/>
  <c r="D85" i="64" s="1"/>
  <c r="E85" i="64" s="1"/>
  <c r="E74" i="50"/>
  <c r="AA141" i="89"/>
  <c r="AC141" i="89" s="1"/>
  <c r="E73" i="50"/>
  <c r="C90" i="64"/>
  <c r="D90" i="64" s="1"/>
  <c r="E90" i="64" s="1"/>
  <c r="Q232" i="49"/>
  <c r="P232" i="49" s="1"/>
  <c r="C78" i="64"/>
  <c r="D78" i="64" s="1"/>
  <c r="E78" i="64" s="1"/>
  <c r="E68" i="50"/>
  <c r="C82" i="64"/>
  <c r="D82" i="64" s="1"/>
  <c r="E82" i="64" s="1"/>
  <c r="Q227" i="49"/>
  <c r="P227" i="49" s="1"/>
  <c r="E60" i="50"/>
  <c r="C77" i="64"/>
  <c r="D77" i="64" s="1"/>
  <c r="E77" i="64" s="1"/>
  <c r="U29" i="58"/>
  <c r="W29" i="58" s="1"/>
  <c r="T32" i="58"/>
  <c r="D74" i="64" l="1"/>
  <c r="E74" i="64" s="1"/>
  <c r="AO189" i="89"/>
  <c r="AW254" i="89"/>
  <c r="AY254" i="89" s="1"/>
  <c r="AW255" i="89"/>
  <c r="AY255" i="89" s="1"/>
  <c r="AO190" i="89"/>
  <c r="AO188" i="89"/>
  <c r="M43" i="58"/>
  <c r="N43" i="58" s="1"/>
  <c r="M58" i="58"/>
  <c r="N58" i="58" s="1"/>
  <c r="M46" i="58"/>
  <c r="N46" i="58" s="1"/>
  <c r="M57" i="58"/>
  <c r="N57" i="58" s="1"/>
  <c r="C68" i="58"/>
  <c r="M42" i="58"/>
  <c r="N42" i="58" s="1"/>
  <c r="M53" i="58"/>
  <c r="M41" i="58"/>
  <c r="M56" i="58"/>
  <c r="N56" i="58" s="1"/>
  <c r="AD141" i="89"/>
  <c r="M59" i="58"/>
  <c r="N59" i="58" s="1"/>
  <c r="C21" i="58"/>
  <c r="F21" i="58" s="1"/>
  <c r="Q271" i="49" s="1"/>
  <c r="P271" i="49" s="1"/>
  <c r="M47" i="58"/>
  <c r="N47" i="58" s="1"/>
  <c r="C22" i="58"/>
  <c r="Q42" i="49" s="1"/>
  <c r="P42" i="49" s="1"/>
  <c r="M54" i="58"/>
  <c r="N54" i="58" s="1"/>
  <c r="M55" i="58"/>
  <c r="N55" i="58" s="1"/>
  <c r="M44" i="58"/>
  <c r="N44" i="58" s="1"/>
  <c r="M45" i="58"/>
  <c r="N45" i="58" s="1"/>
  <c r="C20" i="58"/>
  <c r="Q44" i="49"/>
  <c r="P44" i="49" s="1"/>
  <c r="F18" i="58"/>
  <c r="R11" i="58"/>
  <c r="AA139" i="89"/>
  <c r="AW253" i="89" l="1"/>
  <c r="AY253" i="89" s="1"/>
  <c r="Q270" i="49"/>
  <c r="P270" i="49" s="1"/>
  <c r="M48" i="58"/>
  <c r="C23" i="58"/>
  <c r="E6" i="58" s="1"/>
  <c r="K60" i="58"/>
  <c r="N41" i="58"/>
  <c r="N48" i="58" s="1"/>
  <c r="N53" i="58"/>
  <c r="N60" i="58" s="1"/>
  <c r="F20" i="58"/>
  <c r="Q269" i="49" s="1"/>
  <c r="P269" i="49" s="1"/>
  <c r="K48" i="58"/>
  <c r="M60" i="58"/>
  <c r="Q268" i="49"/>
  <c r="P268" i="49" s="1"/>
  <c r="Q45" i="49"/>
  <c r="P45" i="49" s="1"/>
  <c r="L13" i="51"/>
  <c r="L14" i="51" s="1"/>
  <c r="C6" i="51" s="1"/>
  <c r="AD139" i="89"/>
  <c r="AA142" i="89"/>
  <c r="AC139" i="89"/>
  <c r="AC142" i="89" s="1"/>
  <c r="E22" i="58" l="1"/>
  <c r="F22" i="58" s="1"/>
  <c r="Q43" i="49" s="1"/>
  <c r="P43" i="49" s="1"/>
  <c r="AB142" i="89"/>
  <c r="O7" i="51"/>
  <c r="C13" i="51"/>
  <c r="D17" i="64"/>
  <c r="E23" i="58" l="1"/>
  <c r="C13" i="58" s="1"/>
  <c r="C14" i="58" s="1"/>
  <c r="Q159" i="49" s="1"/>
  <c r="P159" i="49" s="1"/>
  <c r="F23" i="58"/>
  <c r="M73" i="39" s="1"/>
  <c r="Q13" i="49"/>
  <c r="P13" i="49" s="1"/>
  <c r="D14" i="64"/>
  <c r="E17" i="64"/>
  <c r="N102" i="89"/>
  <c r="AU211" i="89"/>
  <c r="F17" i="64"/>
  <c r="K42" i="39" s="1"/>
  <c r="Q39" i="49" l="1"/>
  <c r="P39" i="49" s="1"/>
  <c r="Q40" i="49"/>
  <c r="P40" i="49" s="1"/>
  <c r="Q178" i="49"/>
  <c r="P178" i="49" s="1"/>
  <c r="L73" i="39"/>
  <c r="D49" i="71" s="1"/>
  <c r="D33" i="64"/>
  <c r="C102" i="39" s="1"/>
  <c r="Q162" i="49"/>
  <c r="P162" i="49" s="1"/>
  <c r="F14" i="64"/>
  <c r="AG16" i="89"/>
  <c r="E14" i="64"/>
  <c r="L8" i="89" s="1"/>
  <c r="AU208" i="89"/>
  <c r="AW211" i="89"/>
  <c r="AV211" i="89"/>
  <c r="N109" i="89"/>
  <c r="O102" i="89"/>
  <c r="D54" i="71" l="1"/>
  <c r="D52" i="71"/>
  <c r="D47" i="71"/>
  <c r="D42" i="71"/>
  <c r="C14" i="137"/>
  <c r="D14" i="137" s="1"/>
  <c r="E14" i="137" s="1"/>
  <c r="D33" i="50" s="1"/>
  <c r="E33" i="50" s="1"/>
  <c r="Q139" i="49" s="1"/>
  <c r="P139" i="49" s="1"/>
  <c r="D41" i="71"/>
  <c r="D44" i="71"/>
  <c r="D48" i="71"/>
  <c r="D46" i="71"/>
  <c r="AE16" i="89"/>
  <c r="D55" i="71"/>
  <c r="D45" i="71"/>
  <c r="D51" i="71"/>
  <c r="D50" i="71"/>
  <c r="D53" i="71"/>
  <c r="D43" i="71"/>
  <c r="C13" i="137"/>
  <c r="D13" i="137" s="1"/>
  <c r="E13" i="137" s="1"/>
  <c r="D32" i="50" s="1"/>
  <c r="E32" i="50" s="1"/>
  <c r="D34" i="64"/>
  <c r="E34" i="64" s="1"/>
  <c r="O9" i="51"/>
  <c r="O11" i="51" s="1"/>
  <c r="AU220" i="89"/>
  <c r="AV220" i="89" s="1"/>
  <c r="E33" i="64"/>
  <c r="L10" i="89" s="1"/>
  <c r="F33" i="64"/>
  <c r="AW208" i="89"/>
  <c r="AY211" i="89"/>
  <c r="U11" i="89"/>
  <c r="AV208" i="89"/>
  <c r="Q104" i="49" l="1"/>
  <c r="P104" i="49" s="1"/>
  <c r="C5" i="64"/>
  <c r="C7" i="64" s="1"/>
  <c r="H1" i="25" s="1"/>
  <c r="Q105" i="49"/>
  <c r="P105" i="49" s="1"/>
  <c r="Q160" i="49"/>
  <c r="P160" i="49" s="1"/>
  <c r="J73" i="39"/>
  <c r="AW220" i="89"/>
  <c r="AY220" i="89" s="1"/>
  <c r="F34" i="64"/>
  <c r="AU219" i="89"/>
  <c r="AU226" i="89" s="1"/>
  <c r="AX208" i="89" s="1"/>
  <c r="Q137" i="49"/>
  <c r="P137" i="49" s="1"/>
  <c r="Q138" i="49"/>
  <c r="P138" i="49" s="1"/>
  <c r="G1" i="58" l="1"/>
  <c r="I1" i="51"/>
  <c r="H1" i="50"/>
  <c r="H1" i="78"/>
  <c r="C52" i="89"/>
  <c r="C54" i="89" s="1"/>
  <c r="Q6" i="49"/>
  <c r="P6" i="49" s="1"/>
  <c r="H1" i="87"/>
  <c r="H1" i="61"/>
  <c r="H1" i="82"/>
  <c r="F1" i="71"/>
  <c r="Q164" i="49"/>
  <c r="P164" i="49" s="1"/>
  <c r="AX226" i="89"/>
  <c r="AX210" i="89"/>
  <c r="T25" i="89" s="1"/>
  <c r="AX220" i="89"/>
  <c r="AX213" i="89"/>
  <c r="AW219" i="89"/>
  <c r="AX211" i="89"/>
  <c r="AX228" i="89"/>
  <c r="T21" i="89" s="1"/>
  <c r="AX219" i="89"/>
  <c r="T22" i="89" s="1"/>
  <c r="AX225" i="89"/>
  <c r="AX212" i="89"/>
  <c r="T27" i="89" s="1"/>
  <c r="AX217" i="89"/>
  <c r="T30" i="89" s="1"/>
  <c r="AV219" i="89"/>
  <c r="AX215" i="89"/>
  <c r="T29" i="89" s="1"/>
  <c r="AX209" i="89"/>
  <c r="T24" i="89" s="1"/>
  <c r="AX222" i="89"/>
  <c r="AX218" i="89"/>
  <c r="AX216" i="89"/>
  <c r="T26" i="89" s="1"/>
  <c r="AU227" i="89"/>
  <c r="AX227" i="89" s="1"/>
  <c r="AX223" i="89"/>
  <c r="AX221" i="89"/>
  <c r="T23" i="89" s="1"/>
  <c r="U9" i="89"/>
  <c r="U15" i="89" s="1"/>
  <c r="T9" i="89" s="1"/>
  <c r="AX224" i="89"/>
  <c r="AX214" i="89"/>
  <c r="T28" i="89" l="1"/>
  <c r="T31" i="89" s="1"/>
  <c r="AY219" i="89"/>
  <c r="T8" i="89"/>
  <c r="AV227" i="89"/>
  <c r="AW229" i="89"/>
  <c r="AW227" i="89"/>
  <c r="AY227" i="89" s="1"/>
  <c r="U13" i="89"/>
  <c r="T11" i="89"/>
  <c r="U12" i="89"/>
  <c r="T10" i="89"/>
  <c r="T15" i="89" l="1"/>
  <c r="U14" i="89"/>
  <c r="D78" i="50" l="1"/>
  <c r="E78" i="50" l="1"/>
  <c r="C95" i="64"/>
  <c r="Q245" i="49"/>
  <c r="P245" i="49" s="1"/>
  <c r="D95" i="64" l="1"/>
  <c r="E95" i="64" s="1"/>
  <c r="D80" i="50"/>
  <c r="D79" i="50"/>
  <c r="D7" i="50" l="1"/>
  <c r="AN199" i="89" s="1"/>
  <c r="AN193" i="89"/>
  <c r="AU259" i="89" s="1"/>
  <c r="AW259" i="89" s="1"/>
  <c r="AW258" i="89"/>
  <c r="AY258" i="89" s="1"/>
  <c r="E80" i="50"/>
  <c r="E79" i="50"/>
  <c r="C96" i="64"/>
  <c r="Q246" i="49"/>
  <c r="P246" i="49" s="1"/>
  <c r="Q247" i="49"/>
  <c r="P247" i="49" s="1"/>
  <c r="C97" i="64"/>
  <c r="AY259" i="89" l="1"/>
  <c r="D97" i="64"/>
  <c r="E97" i="64" s="1"/>
  <c r="C44" i="64"/>
  <c r="D44" i="64" s="1"/>
  <c r="E44" i="64" s="1"/>
  <c r="AN197" i="89"/>
  <c r="AU261" i="89"/>
  <c r="E7" i="50"/>
  <c r="C8" i="64" s="1"/>
  <c r="Q7" i="49" s="1"/>
  <c r="P7" i="49" s="1"/>
  <c r="AO193" i="89"/>
  <c r="AW256" i="89"/>
  <c r="Q169" i="49"/>
  <c r="P169" i="49" s="1"/>
  <c r="Q171" i="49"/>
  <c r="P171" i="49" s="1"/>
  <c r="D5" i="50"/>
  <c r="D10" i="64" s="1"/>
  <c r="O12" i="51"/>
  <c r="O13" i="51" s="1"/>
  <c r="D96" i="64"/>
  <c r="E96" i="64" s="1"/>
  <c r="AW261" i="89" l="1"/>
  <c r="AW262" i="89" s="1"/>
  <c r="AC5" i="89" s="1"/>
  <c r="AY256" i="89"/>
  <c r="L12" i="89"/>
  <c r="C55" i="89"/>
  <c r="C56" i="89" s="1"/>
  <c r="C9" i="64"/>
  <c r="G2" i="58" s="1"/>
  <c r="Q170" i="49"/>
  <c r="P170" i="49" s="1"/>
  <c r="AN200" i="89"/>
  <c r="AW263" i="89" l="1"/>
  <c r="L13" i="89" s="1"/>
  <c r="F2" i="71"/>
  <c r="I2" i="51"/>
  <c r="H2" i="50"/>
  <c r="H2" i="61"/>
  <c r="Q8" i="49"/>
  <c r="P8" i="49" s="1"/>
  <c r="H2" i="82"/>
  <c r="H2" i="78"/>
  <c r="C10" i="64"/>
  <c r="H2" i="87"/>
  <c r="H2" i="25"/>
  <c r="C335" i="85" l="1"/>
  <c r="C1203" i="85"/>
  <c r="C434" i="85"/>
  <c r="C513" i="85"/>
  <c r="C1981" i="85"/>
  <c r="C739" i="85"/>
  <c r="C306" i="85"/>
  <c r="C648" i="85"/>
  <c r="C1750" i="85"/>
  <c r="C799" i="85"/>
  <c r="C211" i="85"/>
  <c r="C634" i="85"/>
  <c r="C1580" i="85"/>
  <c r="C964" i="85"/>
  <c r="C64" i="85"/>
  <c r="C1966" i="85"/>
  <c r="C1810" i="85"/>
  <c r="C1213" i="85"/>
  <c r="C1216" i="85"/>
  <c r="C855" i="85"/>
  <c r="C564" i="85"/>
  <c r="C767" i="85"/>
  <c r="C1185" i="85"/>
  <c r="C1260" i="85"/>
  <c r="C937" i="85"/>
  <c r="C360" i="85"/>
  <c r="C1853" i="85"/>
  <c r="C1709" i="85"/>
  <c r="C1254" i="85"/>
  <c r="C948" i="85"/>
  <c r="C776" i="85"/>
  <c r="C270" i="85"/>
  <c r="C1596" i="85"/>
  <c r="C352" i="85"/>
  <c r="C1126" i="85"/>
  <c r="C1621" i="85"/>
  <c r="C1343" i="85"/>
  <c r="C723" i="85"/>
  <c r="C541" i="85"/>
  <c r="C1176" i="85"/>
  <c r="C1049" i="85"/>
  <c r="C354" i="85"/>
  <c r="C1178" i="85"/>
  <c r="C382" i="85"/>
  <c r="C1663" i="85"/>
  <c r="C1332" i="85"/>
  <c r="C786" i="85"/>
  <c r="C954" i="85"/>
  <c r="C531" i="85"/>
  <c r="C233" i="85"/>
  <c r="C1909" i="85"/>
  <c r="C1993" i="85"/>
  <c r="C202" i="85"/>
  <c r="C649" i="85"/>
  <c r="C1486" i="85"/>
  <c r="C971" i="85"/>
  <c r="C769" i="85"/>
  <c r="C1394" i="85"/>
  <c r="C1128" i="85"/>
  <c r="C1699" i="85"/>
  <c r="C1809" i="85"/>
  <c r="C1660" i="85"/>
  <c r="C1085" i="85"/>
  <c r="C169" i="85"/>
  <c r="C470" i="85"/>
  <c r="C1943" i="85"/>
  <c r="C1404" i="85"/>
  <c r="C938" i="85"/>
  <c r="C819" i="85"/>
  <c r="C934" i="85"/>
  <c r="C717" i="85"/>
  <c r="C1906" i="85"/>
  <c r="C1148" i="85"/>
  <c r="C838" i="85"/>
  <c r="C827" i="85"/>
  <c r="C1635" i="85"/>
  <c r="C1455" i="85"/>
  <c r="C788" i="85"/>
  <c r="C1301" i="85"/>
  <c r="C1895" i="85"/>
  <c r="C1563" i="85"/>
  <c r="C1689" i="85"/>
  <c r="C1757" i="85"/>
  <c r="C1472" i="85"/>
  <c r="C1329" i="85"/>
  <c r="C1764" i="85"/>
  <c r="C1116" i="85"/>
  <c r="C1885" i="85"/>
  <c r="C475" i="85"/>
  <c r="C206" i="85"/>
  <c r="C1444" i="85"/>
  <c r="C1890" i="85"/>
  <c r="C1053" i="85"/>
  <c r="C1041" i="85"/>
  <c r="C959" i="85"/>
  <c r="C1384" i="85"/>
  <c r="C1846" i="85"/>
  <c r="C67" i="85"/>
  <c r="C308" i="85"/>
  <c r="C181" i="85"/>
  <c r="C76" i="85"/>
  <c r="C1705" i="85"/>
  <c r="C338" i="85"/>
  <c r="C1545" i="85"/>
  <c r="C1781" i="85"/>
  <c r="C1445" i="85"/>
  <c r="C1244" i="85"/>
  <c r="C1262" i="85"/>
  <c r="C722" i="85"/>
  <c r="C772" i="85"/>
  <c r="C514" i="85"/>
  <c r="C849" i="85"/>
  <c r="C450" i="85"/>
  <c r="C733" i="85"/>
  <c r="C1051" i="85"/>
  <c r="C962" i="85"/>
  <c r="C1002" i="85"/>
  <c r="C210" i="85"/>
  <c r="C624" i="85"/>
  <c r="C1798" i="85"/>
  <c r="C370" i="85"/>
  <c r="C571" i="85"/>
  <c r="C1352" i="85"/>
  <c r="C1011" i="85"/>
  <c r="C285" i="85"/>
  <c r="C1666" i="85"/>
  <c r="C1153" i="85"/>
  <c r="C1991" i="85"/>
  <c r="C1826" i="85"/>
  <c r="C509" i="85"/>
  <c r="C1847" i="85"/>
  <c r="C1962" i="85"/>
  <c r="C719" i="85"/>
  <c r="C443" i="85"/>
  <c r="C249" i="85"/>
  <c r="C417" i="85"/>
  <c r="C1410" i="85"/>
  <c r="C424" i="85"/>
  <c r="C1255" i="85"/>
  <c r="C619" i="85"/>
  <c r="C1521" i="85"/>
  <c r="C1601" i="85"/>
  <c r="C1362" i="85"/>
  <c r="C1937" i="85"/>
  <c r="C1818" i="85"/>
  <c r="C1493" i="85"/>
  <c r="C1653" i="85"/>
  <c r="C546" i="85"/>
  <c r="C631" i="85"/>
  <c r="C1808" i="85"/>
  <c r="C214" i="85"/>
  <c r="C1327" i="85"/>
  <c r="C1150" i="85"/>
  <c r="C232" i="85"/>
  <c r="C1062" i="85"/>
  <c r="C1657" i="85"/>
  <c r="C93" i="85"/>
  <c r="C681" i="85"/>
  <c r="C1636" i="85"/>
  <c r="C1485" i="85"/>
  <c r="C1068" i="85"/>
  <c r="C512" i="85"/>
  <c r="C1177" i="85"/>
  <c r="C490" i="85"/>
  <c r="C1247" i="85"/>
  <c r="C721" i="85"/>
  <c r="C1278" i="85"/>
  <c r="C877" i="85"/>
  <c r="C29" i="85"/>
  <c r="C58" i="85"/>
  <c r="C1396" i="85"/>
  <c r="C1427" i="85"/>
  <c r="C1477" i="85"/>
  <c r="C1840" i="85"/>
  <c r="C1047" i="85"/>
  <c r="C1454" i="85"/>
  <c r="C1730" i="85"/>
  <c r="C1646" i="85"/>
  <c r="C198" i="85"/>
  <c r="C708" i="85"/>
  <c r="C529" i="85"/>
  <c r="C1283" i="85"/>
  <c r="C444" i="85"/>
  <c r="C994" i="85"/>
  <c r="C1841" i="85"/>
  <c r="C736" i="85"/>
  <c r="C464" i="85"/>
  <c r="C1951" i="85"/>
  <c r="C1633" i="85"/>
  <c r="C1297" i="85"/>
  <c r="C1101" i="85"/>
  <c r="C1821" i="85"/>
  <c r="C1876" i="85"/>
  <c r="C473" i="85"/>
  <c r="C1193" i="85"/>
  <c r="C724" i="85"/>
  <c r="C792" i="85"/>
  <c r="C1366" i="85"/>
  <c r="C566" i="85"/>
  <c r="C1654" i="85"/>
  <c r="C1961" i="85"/>
  <c r="C1858" i="85"/>
  <c r="C171" i="85"/>
  <c r="C775" i="85"/>
  <c r="C993" i="85"/>
  <c r="C1487" i="85"/>
  <c r="C298" i="85"/>
  <c r="C1884" i="85"/>
  <c r="C1155" i="85"/>
  <c r="C538" i="85"/>
  <c r="C1160" i="85"/>
  <c r="C439" i="85"/>
  <c r="C118" i="85"/>
  <c r="C706" i="85"/>
  <c r="C579" i="85"/>
  <c r="C273" i="85"/>
  <c r="C1232" i="85"/>
  <c r="C978" i="85"/>
  <c r="C969" i="85"/>
  <c r="C699" i="85"/>
  <c r="C1227" i="85"/>
  <c r="C1120" i="85"/>
  <c r="C1759" i="85"/>
  <c r="C1156" i="85"/>
  <c r="C773" i="85"/>
  <c r="C246" i="85"/>
  <c r="C1591" i="85"/>
  <c r="C386" i="85"/>
  <c r="C661" i="85"/>
  <c r="C1217" i="85"/>
  <c r="C1779" i="85"/>
  <c r="C1337" i="85"/>
  <c r="C250" i="85"/>
  <c r="C1650" i="85"/>
  <c r="C1866" i="85"/>
  <c r="C612" i="85"/>
  <c r="C297" i="85"/>
  <c r="C1100" i="85"/>
  <c r="C1118" i="85"/>
  <c r="C1471" i="85"/>
  <c r="C856" i="85"/>
  <c r="C1236" i="85"/>
  <c r="C1143" i="85"/>
  <c r="C707" i="85"/>
  <c r="C834" i="85"/>
  <c r="C1079" i="85"/>
  <c r="C83" i="85"/>
  <c r="C1725" i="85"/>
  <c r="C1838" i="85"/>
  <c r="C906" i="85"/>
  <c r="C1121" i="85"/>
  <c r="C743" i="85"/>
  <c r="C1302" i="85"/>
  <c r="C1731" i="85"/>
  <c r="C703" i="85"/>
  <c r="C333" i="85"/>
  <c r="C1300" i="85"/>
  <c r="C949" i="85"/>
  <c r="C1207" i="85"/>
  <c r="C1212" i="85"/>
  <c r="C1031" i="85"/>
  <c r="C1208" i="85"/>
  <c r="C1569" i="85"/>
  <c r="C751" i="85"/>
  <c r="C1010" i="85"/>
  <c r="C1239" i="85"/>
  <c r="C830" i="85"/>
  <c r="C1936" i="85"/>
  <c r="C1024" i="85"/>
  <c r="C1226" i="85"/>
  <c r="C305" i="85"/>
  <c r="C1998" i="85"/>
  <c r="C1174" i="85"/>
  <c r="C1279" i="85"/>
  <c r="C381" i="85"/>
  <c r="C362" i="85"/>
  <c r="C1900" i="85"/>
  <c r="C1520" i="85"/>
  <c r="C939" i="85"/>
  <c r="C870" i="85"/>
  <c r="C1152" i="85"/>
  <c r="C1896" i="85"/>
  <c r="C897" i="85"/>
  <c r="C1250" i="85"/>
  <c r="C1137" i="85"/>
  <c r="C922" i="85"/>
  <c r="C835" i="85"/>
  <c r="C1910" i="85"/>
  <c r="C990" i="85"/>
  <c r="C174" i="85"/>
  <c r="C442" i="85"/>
  <c r="C1667" i="85"/>
  <c r="C1751" i="85"/>
  <c r="C1157" i="85"/>
  <c r="C975" i="85"/>
  <c r="C1946" i="85"/>
  <c r="C1659" i="85"/>
  <c r="C1377" i="85"/>
  <c r="C1180" i="85"/>
  <c r="C1431" i="85"/>
  <c r="C1564" i="85"/>
  <c r="C178" i="85"/>
  <c r="C931" i="85"/>
  <c r="C1899" i="85"/>
  <c r="C282" i="85"/>
  <c r="C1618" i="85"/>
  <c r="C1820" i="85"/>
  <c r="C1355" i="85"/>
  <c r="C291" i="85"/>
  <c r="C1655" i="85"/>
  <c r="C1275" i="85"/>
  <c r="C1743" i="85"/>
  <c r="C1190" i="85"/>
  <c r="C1703" i="85"/>
  <c r="C1530" i="85"/>
  <c r="C841" i="85"/>
  <c r="C902" i="85"/>
  <c r="C1104" i="85"/>
  <c r="C623" i="85"/>
  <c r="C1505" i="85"/>
  <c r="C533" i="85"/>
  <c r="C898" i="85"/>
  <c r="C689" i="85"/>
  <c r="C1342" i="85"/>
  <c r="C606" i="85"/>
  <c r="C1371" i="85"/>
  <c r="C489" i="85"/>
  <c r="C865" i="85"/>
  <c r="C1159" i="85"/>
  <c r="C997" i="85"/>
  <c r="C1540" i="85"/>
  <c r="C376" i="85"/>
  <c r="C240" i="85"/>
  <c r="C1347" i="85"/>
  <c r="C629" i="85"/>
  <c r="C639" i="85"/>
  <c r="C393" i="85"/>
  <c r="C1273" i="85"/>
  <c r="C1769" i="85"/>
  <c r="C188" i="85"/>
  <c r="C610" i="85"/>
  <c r="C568" i="85"/>
  <c r="C510" i="85"/>
  <c r="C697" i="85"/>
  <c r="C1528" i="85"/>
  <c r="C1215" i="85"/>
  <c r="C1795" i="85"/>
  <c r="C1072" i="85"/>
  <c r="C1146" i="85"/>
  <c r="C1523" i="85"/>
  <c r="C1179" i="85"/>
  <c r="C1000" i="85"/>
  <c r="C1582" i="85"/>
  <c r="C1912" i="85"/>
  <c r="C1948" i="85"/>
  <c r="C1865" i="85"/>
  <c r="C1012" i="85"/>
  <c r="C598" i="85"/>
  <c r="C1175" i="85"/>
  <c r="C86" i="85"/>
  <c r="C502" i="85"/>
  <c r="C1571" i="85"/>
  <c r="C1584" i="85"/>
  <c r="C1893" i="85"/>
  <c r="C1922" i="85"/>
  <c r="C658" i="85"/>
  <c r="C613" i="85"/>
  <c r="C1805" i="85"/>
  <c r="C404" i="85"/>
  <c r="C1315" i="85"/>
  <c r="C1151" i="85"/>
  <c r="C1787" i="85"/>
  <c r="C418" i="85"/>
  <c r="C469" i="85"/>
  <c r="C1432" i="85"/>
  <c r="C1441" i="85"/>
  <c r="C1938" i="85"/>
  <c r="C1014" i="85"/>
  <c r="C1722" i="85"/>
  <c r="C304" i="85"/>
  <c r="C1370" i="85"/>
  <c r="C180" i="85"/>
  <c r="C259" i="85"/>
  <c r="C915" i="85"/>
  <c r="C755" i="85"/>
  <c r="C316" i="85"/>
  <c r="C860" i="85"/>
  <c r="C1955" i="85"/>
  <c r="C1066" i="85"/>
  <c r="C970" i="85"/>
  <c r="C1833" i="85"/>
  <c r="C1230" i="85"/>
  <c r="C1032" i="85"/>
  <c r="C1532" i="85"/>
  <c r="C1046" i="85"/>
  <c r="C1117" i="85"/>
  <c r="C94" i="85"/>
  <c r="C1723" i="85"/>
  <c r="C1678" i="85"/>
  <c r="C1802" i="85"/>
  <c r="C553" i="85"/>
  <c r="C1930" i="85"/>
  <c r="C1299" i="85"/>
  <c r="C811" i="85"/>
  <c r="C896" i="85"/>
  <c r="C611" i="85"/>
  <c r="C1135" i="85"/>
  <c r="C930" i="85"/>
  <c r="C1941" i="85"/>
  <c r="C1498" i="85"/>
  <c r="C556" i="85"/>
  <c r="C1382" i="85"/>
  <c r="C651" i="85"/>
  <c r="C951" i="85"/>
  <c r="C837" i="85"/>
  <c r="C1536" i="85"/>
  <c r="C1411" i="85"/>
  <c r="C425" i="85"/>
  <c r="C1724" i="85"/>
  <c r="C1782" i="85"/>
  <c r="C735" i="85"/>
  <c r="C326" i="85"/>
  <c r="C759" i="85"/>
  <c r="C642" i="85"/>
  <c r="C521" i="85"/>
  <c r="C1776" i="85"/>
  <c r="C633" i="85"/>
  <c r="C966" i="85"/>
  <c r="C1557" i="85"/>
  <c r="C1901" i="85"/>
  <c r="C1983" i="85"/>
  <c r="C451" i="85"/>
  <c r="C307" i="85"/>
  <c r="C1509" i="85"/>
  <c r="C907" i="85"/>
  <c r="C1976" i="85"/>
  <c r="C1457" i="85"/>
  <c r="C1969" i="85"/>
  <c r="C818" i="85"/>
  <c r="C607" i="85"/>
  <c r="C1837" i="85"/>
  <c r="C1947" i="85"/>
  <c r="C1720" i="85"/>
  <c r="C910" i="85"/>
  <c r="C452" i="85"/>
  <c r="C712" i="85"/>
  <c r="C1839" i="85"/>
  <c r="C1670" i="85"/>
  <c r="C1321" i="85"/>
  <c r="C1638" i="85"/>
  <c r="C1403" i="85"/>
  <c r="C1220" i="85"/>
  <c r="C324" i="85"/>
  <c r="C1630" i="85"/>
  <c r="C1001" i="85"/>
  <c r="C527" i="85"/>
  <c r="C1856" i="85"/>
  <c r="C1925" i="85"/>
  <c r="C1949" i="85"/>
  <c r="C1617" i="85"/>
  <c r="C1502" i="85"/>
  <c r="C1429" i="85"/>
  <c r="C866" i="85"/>
  <c r="C51" i="85"/>
  <c r="C1028" i="85"/>
  <c r="C517" i="85"/>
  <c r="C1835" i="85"/>
  <c r="C929" i="85"/>
  <c r="C726" i="85"/>
  <c r="C185" i="85"/>
  <c r="C924" i="85"/>
  <c r="C888" i="85"/>
  <c r="C1552" i="85"/>
  <c r="C1608" i="85"/>
  <c r="C822" i="85"/>
  <c r="C1576" i="85"/>
  <c r="C1700" i="85"/>
  <c r="C1977" i="85"/>
  <c r="C1242" i="85"/>
  <c r="C828" i="85"/>
  <c r="C1470" i="85"/>
  <c r="C1586" i="85"/>
  <c r="C1438" i="85"/>
  <c r="C407" i="85"/>
  <c r="C585" i="85"/>
  <c r="C1749" i="85"/>
  <c r="C1918" i="85"/>
  <c r="C438" i="85"/>
  <c r="C741" i="85"/>
  <c r="C1311" i="85"/>
  <c r="C1440" i="85"/>
  <c r="C399" i="85"/>
  <c r="C1199" i="85"/>
  <c r="C543" i="85"/>
  <c r="C388" i="85"/>
  <c r="C780" i="85"/>
  <c r="C1916" i="85"/>
  <c r="C1964" i="85"/>
  <c r="C534" i="85"/>
  <c r="C1950" i="85"/>
  <c r="C247" i="85"/>
  <c r="C1920" i="85"/>
  <c r="C1287" i="85"/>
  <c r="C1923" i="85"/>
  <c r="C1289" i="85"/>
  <c r="C122" i="85"/>
  <c r="C1816" i="85"/>
  <c r="C688" i="85"/>
  <c r="C710" i="85"/>
  <c r="C1752" i="85"/>
  <c r="C797" i="85"/>
  <c r="C1626" i="85"/>
  <c r="C1097" i="85"/>
  <c r="C1756" i="85"/>
  <c r="C1099" i="85"/>
  <c r="C647" i="85"/>
  <c r="C1604" i="85"/>
  <c r="C1322" i="85"/>
  <c r="C998" i="85"/>
  <c r="C599" i="85"/>
  <c r="C1228" i="85"/>
  <c r="C794" i="85"/>
  <c r="C1761" i="85"/>
  <c r="C1830" i="85"/>
  <c r="C1504" i="85"/>
  <c r="C330" i="85"/>
  <c r="C254" i="85"/>
  <c r="C1453" i="85"/>
  <c r="C1605" i="85"/>
  <c r="C592" i="85"/>
  <c r="C628" i="85"/>
  <c r="C575" i="85"/>
  <c r="C1087" i="85"/>
  <c r="C804" i="85"/>
  <c r="C1648" i="85"/>
  <c r="C567" i="85"/>
  <c r="C1380" i="85"/>
  <c r="C549" i="85"/>
  <c r="C1098" i="85"/>
  <c r="C621" i="85"/>
  <c r="C1281" i="85"/>
  <c r="C615" i="85"/>
  <c r="C1368" i="85"/>
  <c r="C766" i="85"/>
  <c r="C320" i="85"/>
  <c r="C1056" i="85"/>
  <c r="C1182" i="85"/>
  <c r="C168" i="85"/>
  <c r="C1815" i="85"/>
  <c r="C1225" i="85"/>
  <c r="C177" i="85"/>
  <c r="C729" i="85"/>
  <c r="C1529" i="85"/>
  <c r="C1978" i="85"/>
  <c r="C1746" i="85"/>
  <c r="C1614" i="85"/>
  <c r="C825" i="85"/>
  <c r="C588" i="85"/>
  <c r="C192" i="85"/>
  <c r="C1385" i="85"/>
  <c r="C1789" i="85"/>
  <c r="C1813" i="85"/>
  <c r="C555" i="85"/>
  <c r="C1290" i="85"/>
  <c r="C806" i="85"/>
  <c r="C955" i="85"/>
  <c r="C1468" i="85"/>
  <c r="C1661" i="85"/>
  <c r="C1965" i="85"/>
  <c r="C693" i="85"/>
  <c r="C991" i="85"/>
  <c r="C1489" i="85"/>
  <c r="C754" i="85"/>
  <c r="C431" i="85"/>
  <c r="C1988" i="85"/>
  <c r="C1163" i="85"/>
  <c r="C640" i="85"/>
  <c r="C274" i="85"/>
  <c r="C1568" i="85"/>
  <c r="C1567" i="85"/>
  <c r="C874" i="85"/>
  <c r="C671" i="85"/>
  <c r="C516" i="85"/>
  <c r="C584" i="85"/>
  <c r="C1229" i="85"/>
  <c r="C1726" i="85"/>
  <c r="C1136" i="85"/>
  <c r="C544" i="85"/>
  <c r="C1307" i="85"/>
  <c r="C1694" i="85"/>
  <c r="C1356" i="85"/>
  <c r="C988" i="85"/>
  <c r="C1391" i="85"/>
  <c r="C882" i="85"/>
  <c r="C680" i="85"/>
  <c r="C406" i="85"/>
  <c r="C1882" i="85"/>
  <c r="C1628" i="85"/>
  <c r="C1738" i="85"/>
  <c r="C655" i="85"/>
  <c r="C1527" i="85"/>
  <c r="C867" i="85"/>
  <c r="C1933" i="85"/>
  <c r="C1005" i="85"/>
  <c r="C1714" i="85"/>
  <c r="C1488" i="85"/>
  <c r="C223" i="85"/>
  <c r="C668" i="85"/>
  <c r="C1806" i="85"/>
  <c r="C1658" i="85"/>
  <c r="C664" i="85"/>
  <c r="C1233" i="85"/>
  <c r="C1959" i="85"/>
  <c r="C1270" i="85"/>
  <c r="C227" i="85"/>
  <c r="C1707" i="85"/>
  <c r="C286" i="85"/>
  <c r="C296" i="85"/>
  <c r="C947" i="85"/>
  <c r="C1771" i="85"/>
  <c r="C1886" i="85"/>
  <c r="C189" i="85"/>
  <c r="C54" i="85"/>
  <c r="C197" i="85"/>
  <c r="C770" i="85"/>
  <c r="C1387" i="85"/>
  <c r="C1958" i="85"/>
  <c r="C917" i="85"/>
  <c r="C1637" i="85"/>
  <c r="C1494" i="85"/>
  <c r="C757" i="85"/>
  <c r="C779" i="85"/>
  <c r="C798" i="85"/>
  <c r="C1048" i="85"/>
  <c r="C1206" i="85"/>
  <c r="C1972" i="85"/>
  <c r="C665" i="85"/>
  <c r="C578" i="85"/>
  <c r="C1879" i="85"/>
  <c r="C550" i="85"/>
  <c r="C1697" i="85"/>
  <c r="C1547" i="85"/>
  <c r="C414" i="85"/>
  <c r="C552" i="85"/>
  <c r="C1093" i="85"/>
  <c r="C1428" i="85"/>
  <c r="C496" i="85"/>
  <c r="C314" i="85"/>
  <c r="C872" i="85"/>
  <c r="C1902" i="85"/>
  <c r="C1690" i="85"/>
  <c r="C1393" i="85"/>
  <c r="C1927" i="85"/>
  <c r="C1647" i="85"/>
  <c r="C258" i="85"/>
  <c r="C1987" i="85"/>
  <c r="C1593" i="85"/>
  <c r="C1303" i="85"/>
  <c r="C809" i="85"/>
  <c r="C1259" i="85"/>
  <c r="C1732" i="85"/>
  <c r="C760" i="85"/>
  <c r="C673" i="85"/>
  <c r="C349" i="85"/>
  <c r="C1040" i="85"/>
  <c r="C787" i="85"/>
  <c r="C1172" i="85"/>
  <c r="C402" i="85"/>
  <c r="C236" i="85"/>
  <c r="C353" i="85"/>
  <c r="C504" i="85"/>
  <c r="C172" i="85"/>
  <c r="C426" i="85"/>
  <c r="C821" i="85"/>
  <c r="C1091" i="85"/>
  <c r="C80" i="85"/>
  <c r="C1851" i="85"/>
  <c r="C1677" i="85"/>
  <c r="C1932" i="85"/>
  <c r="C1021" i="85"/>
  <c r="C423" i="85"/>
  <c r="C920" i="85"/>
  <c r="C871" i="85"/>
  <c r="C1067" i="85"/>
  <c r="C590" i="85"/>
  <c r="C1026" i="85"/>
  <c r="C535" i="85"/>
  <c r="C1171" i="85"/>
  <c r="C75" i="85"/>
  <c r="C605" i="85"/>
  <c r="C458" i="85"/>
  <c r="C1968" i="85"/>
  <c r="C1534" i="85"/>
  <c r="C1963" i="85"/>
  <c r="C778" i="85"/>
  <c r="C379" i="85"/>
  <c r="C47" i="85"/>
  <c r="C52" i="85"/>
  <c r="C1693" i="85"/>
  <c r="C1023" i="85"/>
  <c r="C243" i="85"/>
  <c r="C1908" i="85"/>
  <c r="C1131" i="85"/>
  <c r="C225" i="85"/>
  <c r="C436" i="85"/>
  <c r="C343" i="85"/>
  <c r="C1758" i="85"/>
  <c r="C572" i="85"/>
  <c r="C1903" i="85"/>
  <c r="C331" i="85"/>
  <c r="C1762" i="85"/>
  <c r="C1606" i="85"/>
  <c r="C1581" i="85"/>
  <c r="C576" i="85"/>
  <c r="C1246" i="85"/>
  <c r="C248" i="85"/>
  <c r="C985" i="85"/>
  <c r="C935" i="85"/>
  <c r="C520" i="85"/>
  <c r="C310" i="85"/>
  <c r="C1878" i="85"/>
  <c r="C209" i="85"/>
  <c r="C1863" i="85"/>
  <c r="C1587" i="85"/>
  <c r="C933" i="85"/>
  <c r="C1518" i="85"/>
  <c r="C986" i="85"/>
  <c r="C1999" i="85"/>
  <c r="C1462" i="85"/>
  <c r="C1615" i="85"/>
  <c r="C501" i="85"/>
  <c r="C1819" i="85"/>
  <c r="C311" i="85"/>
  <c r="C81" i="85"/>
  <c r="C1168" i="85"/>
  <c r="C852" i="85"/>
  <c r="C1017" i="85"/>
  <c r="C927" i="85"/>
  <c r="C1277" i="85"/>
  <c r="C462" i="85"/>
  <c r="C1561" i="85"/>
  <c r="C369" i="85"/>
  <c r="C457" i="85"/>
  <c r="C1533" i="85"/>
  <c r="C1310" i="85"/>
  <c r="C1644" i="85"/>
  <c r="C616" i="85"/>
  <c r="C884" i="85"/>
  <c r="C652" i="85"/>
  <c r="C466" i="85"/>
  <c r="C632" i="85"/>
  <c r="C709" i="85"/>
  <c r="C1508" i="85"/>
  <c r="C1430" i="85"/>
  <c r="C1475" i="85"/>
  <c r="C220" i="85"/>
  <c r="C880" i="85"/>
  <c r="C1609" i="85"/>
  <c r="C1496" i="85"/>
  <c r="C271" i="85"/>
  <c r="C1691" i="85"/>
  <c r="C609" i="85"/>
  <c r="C1294" i="85"/>
  <c r="C1594" i="85"/>
  <c r="C1045" i="85"/>
  <c r="C1889" i="85"/>
  <c r="C1956" i="85"/>
  <c r="C1778" i="85"/>
  <c r="C358" i="85"/>
  <c r="C519" i="85"/>
  <c r="C1130" i="85"/>
  <c r="C1934" i="85"/>
  <c r="C413" i="85"/>
  <c r="C687" i="85"/>
  <c r="C720" i="85"/>
  <c r="C879" i="85"/>
  <c r="C1006" i="85"/>
  <c r="C1340" i="85"/>
  <c r="C356" i="85"/>
  <c r="C1243" i="85"/>
  <c r="C1944" i="85"/>
  <c r="C1007" i="85"/>
  <c r="C1718" i="85"/>
  <c r="C1794" i="85"/>
  <c r="C614" i="85"/>
  <c r="C692" i="85"/>
  <c r="C1869" i="85"/>
  <c r="C696" i="85"/>
  <c r="C551" i="85"/>
  <c r="C545" i="85"/>
  <c r="C1784" i="85"/>
  <c r="C684" i="85"/>
  <c r="C411" i="85"/>
  <c r="C275" i="85"/>
  <c r="C1386" i="85"/>
  <c r="C981" i="85"/>
  <c r="C594" i="85"/>
  <c r="C487" i="85"/>
  <c r="C1248" i="85"/>
  <c r="C505" i="85"/>
  <c r="C455" i="85"/>
  <c r="C1073" i="85"/>
  <c r="C1861" i="85"/>
  <c r="C1375" i="85"/>
  <c r="C1524" i="85"/>
  <c r="C1149" i="85"/>
  <c r="C663" i="85"/>
  <c r="C660" i="85"/>
  <c r="C899" i="85"/>
  <c r="C1931" i="85"/>
  <c r="C1077" i="85"/>
  <c r="C801" i="85"/>
  <c r="C1312" i="85"/>
  <c r="C1753" i="85"/>
  <c r="C1134" i="85"/>
  <c r="C805" i="85"/>
  <c r="C205" i="85"/>
  <c r="C1828" i="85"/>
  <c r="C446" i="85"/>
  <c r="C515" i="85"/>
  <c r="C1358" i="85"/>
  <c r="C1399" i="85"/>
  <c r="C1768" i="85"/>
  <c r="C574" i="85"/>
  <c r="C345" i="85"/>
  <c r="C79" i="85"/>
  <c r="C1479" i="85"/>
  <c r="C1704" i="85"/>
  <c r="C968" i="85"/>
  <c r="C771" i="85"/>
  <c r="C1980" i="85"/>
  <c r="C1360" i="85"/>
  <c r="C1597" i="85"/>
  <c r="C1138" i="85"/>
  <c r="C1887" i="85"/>
  <c r="C1616" i="85"/>
  <c r="C295" i="85"/>
  <c r="C216" i="85"/>
  <c r="C803" i="85"/>
  <c r="C395" i="85"/>
  <c r="C1237" i="85"/>
  <c r="C756" i="85"/>
  <c r="C532" i="85"/>
  <c r="C1458" i="85"/>
  <c r="C371" i="85"/>
  <c r="C1967" i="85"/>
  <c r="C965" i="85"/>
  <c r="C1409" i="85"/>
  <c r="C1063" i="85"/>
  <c r="C280" i="85"/>
  <c r="C222" i="85"/>
  <c r="C1484" i="85"/>
  <c r="C1915" i="85"/>
  <c r="C1451" i="85"/>
  <c r="C960" i="85"/>
  <c r="C1389" i="85"/>
  <c r="C1090" i="85"/>
  <c r="C1258" i="85"/>
  <c r="C1435" i="85"/>
  <c r="C1940" i="85"/>
  <c r="C1662" i="85"/>
  <c r="C1607" i="85"/>
  <c r="C1519" i="85"/>
  <c r="C1935" i="85"/>
  <c r="C1313" i="85"/>
  <c r="C526" i="85"/>
  <c r="C1793" i="85"/>
  <c r="C1075" i="85"/>
  <c r="C184" i="85"/>
  <c r="C662" i="85"/>
  <c r="C630" i="85"/>
  <c r="C463" i="85"/>
  <c r="C299" i="85"/>
  <c r="C1105" i="85"/>
  <c r="C589" i="85"/>
  <c r="C530" i="85"/>
  <c r="C1862" i="85"/>
  <c r="C1827" i="85"/>
  <c r="C1497" i="85"/>
  <c r="C430" i="85"/>
  <c r="C1169" i="85"/>
  <c r="C1417" i="85"/>
  <c r="C1971" i="85"/>
  <c r="C499" i="85"/>
  <c r="C1985" i="85"/>
  <c r="C1201" i="85"/>
  <c r="C1181" i="85"/>
  <c r="C1706" i="85"/>
  <c r="C218" i="85"/>
  <c r="C604" i="85"/>
  <c r="C1405" i="85"/>
  <c r="C1282" i="85"/>
  <c r="C1318" i="85"/>
  <c r="C893" i="85"/>
  <c r="C361" i="85"/>
  <c r="C823" i="85"/>
  <c r="C355" i="85"/>
  <c r="C397" i="85"/>
  <c r="C1713" i="85"/>
  <c r="C901" i="85"/>
  <c r="C300" i="85"/>
  <c r="C1572" i="85"/>
  <c r="C1461" i="85"/>
  <c r="C1183" i="85"/>
  <c r="C952" i="85"/>
  <c r="C1974" i="85"/>
  <c r="C301" i="85"/>
  <c r="C1196" i="85"/>
  <c r="C1474" i="85"/>
  <c r="C1843" i="85"/>
  <c r="C1265" i="85"/>
  <c r="C913" i="85"/>
  <c r="C1406" i="85"/>
  <c r="C1811" i="85"/>
  <c r="C1685" i="85"/>
  <c r="C925" i="85"/>
  <c r="C1145" i="85"/>
  <c r="C1025" i="85"/>
  <c r="C344" i="85"/>
  <c r="C1372" i="85"/>
  <c r="C506" i="85"/>
  <c r="C1579" i="85"/>
  <c r="C1817" i="85"/>
  <c r="C481" i="85"/>
  <c r="C230" i="85"/>
  <c r="C1113" i="85"/>
  <c r="C1513" i="85"/>
  <c r="C416" i="85"/>
  <c r="C1298" i="85"/>
  <c r="C84" i="85"/>
  <c r="C808" i="85"/>
  <c r="C1623" i="85"/>
  <c r="C675" i="85"/>
  <c r="C1027" i="85"/>
  <c r="C1473" i="85"/>
  <c r="C279" i="85"/>
  <c r="C1973" i="85"/>
  <c r="C1825" i="85"/>
  <c r="C597" i="85"/>
  <c r="C1543" i="85"/>
  <c r="C829" i="85"/>
  <c r="C1268" i="85"/>
  <c r="C862" i="85"/>
  <c r="C561" i="85"/>
  <c r="C1365" i="85"/>
  <c r="C1424" i="85"/>
  <c r="C380" i="85"/>
  <c r="C1589" i="85"/>
  <c r="C1123" i="85"/>
  <c r="C946" i="85"/>
  <c r="C982" i="85"/>
  <c r="C1437" i="85"/>
  <c r="C1363" i="85"/>
  <c r="C1554" i="85"/>
  <c r="C1483" i="85"/>
  <c r="C1449" i="85"/>
  <c r="C1676" i="85"/>
  <c r="C1420" i="85"/>
  <c r="C1814" i="85"/>
  <c r="C1970" i="85"/>
  <c r="C846" i="85"/>
  <c r="C1994" i="85"/>
  <c r="C523" i="85"/>
  <c r="C1894" i="85"/>
  <c r="C791" i="85"/>
  <c r="C1309" i="85"/>
  <c r="C1535" i="85"/>
  <c r="C536" i="85"/>
  <c r="C27" i="85"/>
  <c r="C467" i="85"/>
  <c r="C200" i="85"/>
  <c r="C1845" i="85"/>
  <c r="C1975" i="85"/>
  <c r="C1058" i="85"/>
  <c r="C730" i="85"/>
  <c r="C261" i="85"/>
  <c r="C1812" i="85"/>
  <c r="C40" i="85"/>
  <c r="C1546" i="85"/>
  <c r="C394" i="85"/>
  <c r="C995" i="85"/>
  <c r="C1249" i="85"/>
  <c r="C124" i="85"/>
  <c r="C1080" i="85"/>
  <c r="C1515" i="85"/>
  <c r="C891" i="85"/>
  <c r="C600" i="85"/>
  <c r="C1786" i="85"/>
  <c r="C244" i="85"/>
  <c r="C287" i="85"/>
  <c r="C1992" i="85"/>
  <c r="C1803" i="85"/>
  <c r="C1044" i="85"/>
  <c r="C1770" i="85"/>
  <c r="C1166" i="85"/>
  <c r="C738" i="85"/>
  <c r="C869" i="85"/>
  <c r="C1555" i="85"/>
  <c r="C1590" i="85"/>
  <c r="C1095" i="85"/>
  <c r="C1456" i="85"/>
  <c r="C1774" i="85"/>
  <c r="C419" i="85"/>
  <c r="C1668" i="85"/>
  <c r="C283" i="85"/>
  <c r="C1008" i="85"/>
  <c r="C328" i="85"/>
  <c r="C627" i="85"/>
  <c r="C1929" i="85"/>
  <c r="C781" i="85"/>
  <c r="C921" i="85"/>
  <c r="C983" i="85"/>
  <c r="C511" i="85"/>
  <c r="C1256" i="85"/>
  <c r="C1672" i="85"/>
  <c r="C1210" i="85"/>
  <c r="C1084" i="85"/>
  <c r="C1871" i="85"/>
  <c r="C1111" i="85"/>
  <c r="C477" i="85"/>
  <c r="C1701" i="85"/>
  <c r="C303" i="85"/>
  <c r="C1102" i="85"/>
  <c r="C704" i="85"/>
  <c r="C1222" i="85"/>
  <c r="C327" i="85"/>
  <c r="C690" i="85"/>
  <c r="C1560" i="85"/>
  <c r="C448" i="85"/>
  <c r="C267" i="85"/>
  <c r="C1824" i="85"/>
  <c r="C1110" i="85"/>
  <c r="C701" i="85"/>
  <c r="C1737" i="85"/>
  <c r="C1333" i="85"/>
  <c r="C1669" i="85"/>
  <c r="C1632" i="85"/>
  <c r="C191" i="85"/>
  <c r="C1285" i="85"/>
  <c r="C789" i="85"/>
  <c r="C1836" i="85"/>
  <c r="C1397" i="85"/>
  <c r="C212" i="85"/>
  <c r="C670" i="85"/>
  <c r="C987" i="85"/>
  <c r="C260" i="85"/>
  <c r="C478" i="85"/>
  <c r="C1349" i="85"/>
  <c r="C989" i="85"/>
  <c r="C974" i="85"/>
  <c r="C378" i="85"/>
  <c r="C193" i="85"/>
  <c r="C762" i="85"/>
  <c r="C1990" i="85"/>
  <c r="C646" i="85"/>
  <c r="C1144" i="85"/>
  <c r="C1436" i="85"/>
  <c r="C1292" i="85"/>
  <c r="C889" i="85"/>
  <c r="C672" i="85"/>
  <c r="C1679" i="85"/>
  <c r="C1253" i="85"/>
  <c r="C56" i="85"/>
  <c r="C1443" i="85"/>
  <c r="C339" i="85"/>
  <c r="C815" i="85"/>
  <c r="C903" i="85"/>
  <c r="C580" i="85"/>
  <c r="C659" i="85"/>
  <c r="C1945" i="85"/>
  <c r="C1288" i="85"/>
  <c r="C1286" i="85"/>
  <c r="C1954" i="85"/>
  <c r="C1009" i="85"/>
  <c r="C294" i="85"/>
  <c r="C1016" i="85"/>
  <c r="C347" i="85"/>
  <c r="C892" i="85"/>
  <c r="C1412" i="85"/>
  <c r="C460" i="85"/>
  <c r="C761" i="85"/>
  <c r="C976" i="85"/>
  <c r="C1721" i="85"/>
  <c r="C368" i="85"/>
  <c r="C1054" i="85"/>
  <c r="C217" i="85"/>
  <c r="C1184" i="85"/>
  <c r="C289" i="85"/>
  <c r="C390" i="85"/>
  <c r="C429" i="85"/>
  <c r="C234" i="85"/>
  <c r="C1219" i="85"/>
  <c r="C421" i="85"/>
  <c r="C1423" i="85"/>
  <c r="C1874" i="85"/>
  <c r="C91" i="85"/>
  <c r="C1553" i="85"/>
  <c r="C853" i="85"/>
  <c r="C235" i="85"/>
  <c r="C1092" i="85"/>
  <c r="C231" i="85"/>
  <c r="C239" i="85"/>
  <c r="C737" i="85"/>
  <c r="C1565" i="85"/>
  <c r="C1736" i="85"/>
  <c r="C1686" i="85"/>
  <c r="C1790" i="85"/>
  <c r="C859" i="85"/>
  <c r="C1522" i="85"/>
  <c r="C886" i="85"/>
  <c r="C1122" i="85"/>
  <c r="C219" i="85"/>
  <c r="C1291" i="85"/>
  <c r="C1952" i="85"/>
  <c r="C1481" i="85"/>
  <c r="C2000" i="85"/>
  <c r="C1599" i="85"/>
  <c r="C904" i="85"/>
  <c r="C468" i="85"/>
  <c r="C1319" i="85"/>
  <c r="C1727" i="85"/>
  <c r="C1611" i="85"/>
  <c r="C1989" i="85"/>
  <c r="C1325" i="85"/>
  <c r="C758" i="85"/>
  <c r="C1191" i="85"/>
  <c r="C293" i="85"/>
  <c r="C1763" i="85"/>
  <c r="C999" i="85"/>
  <c r="C1651" i="85"/>
  <c r="C814" i="85"/>
  <c r="C936" i="85"/>
  <c r="C1221" i="85"/>
  <c r="C1695" i="85"/>
  <c r="C49" i="85"/>
  <c r="C237" i="85"/>
  <c r="C1773" i="85"/>
  <c r="C617" i="85"/>
  <c r="C1551" i="85"/>
  <c r="C1760" i="85"/>
  <c r="C1109" i="85"/>
  <c r="C290" i="85"/>
  <c r="C1539" i="85"/>
  <c r="C650" i="85"/>
  <c r="C1610" i="85"/>
  <c r="C1867" i="85"/>
  <c r="C1859" i="85"/>
  <c r="C1919" i="85"/>
  <c r="C1107" i="85"/>
  <c r="C1316" i="85"/>
  <c r="C313" i="85"/>
  <c r="C1263" i="85"/>
  <c r="C1269" i="85"/>
  <c r="C657" i="85"/>
  <c r="C319" i="85"/>
  <c r="C272" i="85"/>
  <c r="C900" i="85"/>
  <c r="C1744" i="85"/>
  <c r="C593" i="85"/>
  <c r="C1777" i="85"/>
  <c r="C173" i="85"/>
  <c r="C1414" i="85"/>
  <c r="C858" i="85"/>
  <c r="C507" i="85"/>
  <c r="C1127" i="85"/>
  <c r="C1641" i="85"/>
  <c r="C894" i="85"/>
  <c r="C1198" i="85"/>
  <c r="C591" i="85"/>
  <c r="C528" i="85"/>
  <c r="C66" i="85"/>
  <c r="C542" i="85"/>
  <c r="C746" i="85"/>
  <c r="C848" i="85"/>
  <c r="C596" i="85"/>
  <c r="C1115" i="85"/>
  <c r="C926" i="85"/>
  <c r="C1728" i="85"/>
  <c r="C714" i="85"/>
  <c r="C500" i="85"/>
  <c r="C317" i="85"/>
  <c r="C1848" i="85"/>
  <c r="C836" i="85"/>
  <c r="C918" i="85"/>
  <c r="C637" i="85"/>
  <c r="C1850" i="85"/>
  <c r="C1030" i="85"/>
  <c r="C1788" i="85"/>
  <c r="C1526" i="85"/>
  <c r="C777" i="85"/>
  <c r="C813" i="85"/>
  <c r="C1880" i="85"/>
  <c r="C636" i="85"/>
  <c r="C1984" i="85"/>
  <c r="C1500" i="85"/>
  <c r="C1982" i="85"/>
  <c r="C1612" i="85"/>
  <c r="C1656" i="85"/>
  <c r="C1252" i="85"/>
  <c r="C323" i="85"/>
  <c r="C1154" i="85"/>
  <c r="C85" i="85"/>
  <c r="C1035" i="85"/>
  <c r="C1649" i="85"/>
  <c r="C557" i="85"/>
  <c r="C868" i="85"/>
  <c r="C1088" i="85"/>
  <c r="C1376" i="85"/>
  <c r="C800" i="85"/>
  <c r="C1627" i="85"/>
  <c r="C562" i="85"/>
  <c r="C1330" i="85"/>
  <c r="C1531" i="85"/>
  <c r="C1463" i="85"/>
  <c r="C1800" i="85"/>
  <c r="C1081" i="85"/>
  <c r="C967" i="85"/>
  <c r="C1241" i="85"/>
  <c r="C1842" i="85"/>
  <c r="C1681" i="85"/>
  <c r="C1147" i="85"/>
  <c r="C1881" i="85"/>
  <c r="C802" i="85"/>
  <c r="C373" i="85"/>
  <c r="C1957" i="85"/>
  <c r="C573" i="85"/>
  <c r="C1264" i="85"/>
  <c r="C1559" i="85"/>
  <c r="C1165" i="85"/>
  <c r="C408" i="85"/>
  <c r="C919" i="85"/>
  <c r="C483" i="85"/>
  <c r="C269" i="85"/>
  <c r="C957" i="85"/>
  <c r="C266" i="85"/>
  <c r="C1082" i="85"/>
  <c r="C1402" i="85"/>
  <c r="C554" i="85"/>
  <c r="C383" i="85"/>
  <c r="C1433" i="85"/>
  <c r="C559" i="85"/>
  <c r="C1434" i="85"/>
  <c r="C194" i="85"/>
  <c r="C1326" i="85"/>
  <c r="C1257" i="85"/>
  <c r="C1266" i="85"/>
  <c r="C713" i="85"/>
  <c r="C1631" i="85"/>
  <c r="C1832" i="85"/>
  <c r="C972" i="85"/>
  <c r="C1426" i="85"/>
  <c r="C582" i="85"/>
  <c r="C1381" i="85"/>
  <c r="C790" i="85"/>
  <c r="C1995" i="85"/>
  <c r="C1209" i="85"/>
  <c r="C547" i="85"/>
  <c r="C887" i="85"/>
  <c r="C482" i="85"/>
  <c r="C850" i="85"/>
  <c r="C577" i="85"/>
  <c r="C1741" i="85"/>
  <c r="C1357" i="85"/>
  <c r="C676" i="85"/>
  <c r="C1018" i="85"/>
  <c r="C1469" i="85"/>
  <c r="C1904" i="85"/>
  <c r="C716" i="85"/>
  <c r="C1620" i="85"/>
  <c r="C203" i="85"/>
  <c r="C1055" i="85"/>
  <c r="C816" i="85"/>
  <c r="C1512" i="85"/>
  <c r="C53" i="85"/>
  <c r="C1766" i="85"/>
  <c r="C1392" i="85"/>
  <c r="C488" i="85"/>
  <c r="C540" i="85"/>
  <c r="C1640" i="85"/>
  <c r="C385" i="85"/>
  <c r="C1708" i="85"/>
  <c r="C908" i="85"/>
  <c r="C873" i="85"/>
  <c r="C810" i="85"/>
  <c r="C1780" i="85"/>
  <c r="C1015" i="85"/>
  <c r="C1548" i="85"/>
  <c r="C1928" i="85"/>
  <c r="C1680" i="85"/>
  <c r="C1400" i="85"/>
  <c r="C1558" i="85"/>
  <c r="C120" i="85"/>
  <c r="C325" i="85"/>
  <c r="C740" i="85"/>
  <c r="C340" i="85"/>
  <c r="C1096" i="85"/>
  <c r="C569" i="85"/>
  <c r="C1664" i="85"/>
  <c r="C179" i="85"/>
  <c r="C1748" i="85"/>
  <c r="C367" i="85"/>
  <c r="C1588" i="85"/>
  <c r="C1917" i="85"/>
  <c r="C1418" i="85"/>
  <c r="C1059" i="85"/>
  <c r="C1491" i="85"/>
  <c r="C1478" i="85"/>
  <c r="C667" i="85"/>
  <c r="C1719" i="85"/>
  <c r="C782" i="85"/>
  <c r="C1883" i="85"/>
  <c r="C1619" i="85"/>
  <c r="C187" i="85"/>
  <c r="C503" i="85"/>
  <c r="C784" i="85"/>
  <c r="C644" i="85"/>
  <c r="C683" i="85"/>
  <c r="C208" i="85"/>
  <c r="C1296" i="85"/>
  <c r="C1698" i="85"/>
  <c r="C1004" i="85"/>
  <c r="C1238" i="85"/>
  <c r="C48" i="85"/>
  <c r="C318" i="85"/>
  <c r="C1852" i="85"/>
  <c r="C182" i="85"/>
  <c r="C1570" i="85"/>
  <c r="C508" i="85"/>
  <c r="C1447" i="85"/>
  <c r="C1197" i="85"/>
  <c r="C1218" i="85"/>
  <c r="C342" i="85"/>
  <c r="C583" i="85"/>
  <c r="C953" i="85"/>
  <c r="C1872" i="85"/>
  <c r="C524" i="85"/>
  <c r="C768" i="85"/>
  <c r="C400" i="85"/>
  <c r="C695" i="85"/>
  <c r="C1622" i="85"/>
  <c r="C1022" i="85"/>
  <c r="C539" i="85"/>
  <c r="C1439" i="85"/>
  <c r="C1231" i="85"/>
  <c r="C1907" i="85"/>
  <c r="C374" i="85"/>
  <c r="C1542" i="85"/>
  <c r="C34" i="85"/>
  <c r="C1629" i="85"/>
  <c r="C1517" i="85"/>
  <c r="C1422" i="85"/>
  <c r="C341" i="85"/>
  <c r="C678" i="85"/>
  <c r="C1350" i="85"/>
  <c r="C336" i="85"/>
  <c r="C1419" i="85"/>
  <c r="C65" i="85"/>
  <c r="C1796" i="85"/>
  <c r="C1791" i="85"/>
  <c r="C1960" i="85"/>
  <c r="C253" i="85"/>
  <c r="C973" i="85"/>
  <c r="C558" i="85"/>
  <c r="C1140" i="85"/>
  <c r="C1378" i="85"/>
  <c r="C525" i="85"/>
  <c r="C747" i="85"/>
  <c r="C608" i="85"/>
  <c r="C1103" i="85"/>
  <c r="C1996" i="85"/>
  <c r="C1506" i="85"/>
  <c r="C1132" i="85"/>
  <c r="C750" i="85"/>
  <c r="C199" i="85"/>
  <c r="C1729" i="85"/>
  <c r="C1767" i="85"/>
  <c r="C1734" i="85"/>
  <c r="C1043" i="85"/>
  <c r="C364" i="85"/>
  <c r="C440" i="85"/>
  <c r="C1807" i="85"/>
  <c r="C1578" i="85"/>
  <c r="C277" i="85"/>
  <c r="C1864" i="85"/>
  <c r="C1742" i="85"/>
  <c r="C337" i="85"/>
  <c r="C603" i="85"/>
  <c r="C691" i="85"/>
  <c r="C643" i="85"/>
  <c r="C1205" i="85"/>
  <c r="C1274" i="85"/>
  <c r="C377" i="85"/>
  <c r="C372" i="85"/>
  <c r="C885" i="85"/>
  <c r="C1235" i="85"/>
  <c r="C1284" i="85"/>
  <c r="C1566" i="85"/>
  <c r="C1061" i="85"/>
  <c r="C35" i="85"/>
  <c r="C912" i="85"/>
  <c r="C1510" i="85"/>
  <c r="C1338" i="85"/>
  <c r="C1875" i="85"/>
  <c r="C1692" i="85"/>
  <c r="C1442" i="85"/>
  <c r="C857" i="85"/>
  <c r="C437" i="85"/>
  <c r="C432" i="85"/>
  <c r="C1804" i="85"/>
  <c r="C831" i="85"/>
  <c r="C1188" i="85"/>
  <c r="C1108" i="85"/>
  <c r="C1465" i="85"/>
  <c r="C656" i="85"/>
  <c r="C1078" i="85"/>
  <c r="C461" i="85"/>
  <c r="C1323" i="85"/>
  <c r="C196" i="85"/>
  <c r="C1331" i="85"/>
  <c r="C284" i="85"/>
  <c r="C78" i="85"/>
  <c r="C312" i="85"/>
  <c r="C749" i="85"/>
  <c r="C1020" i="85"/>
  <c r="C128" i="85"/>
  <c r="C1364" i="85"/>
  <c r="C1261" i="85"/>
  <c r="C1550" i="85"/>
  <c r="C183" i="85"/>
  <c r="C638" i="85"/>
  <c r="C213" i="85"/>
  <c r="C1537" i="85"/>
  <c r="C309" i="85"/>
  <c r="C832" i="85"/>
  <c r="C1652" i="85"/>
  <c r="C1888" i="85"/>
  <c r="C1065" i="85"/>
  <c r="C1575" i="85"/>
  <c r="C1739" i="85"/>
  <c r="C264" i="85"/>
  <c r="C1029" i="85"/>
  <c r="C1822" i="85"/>
  <c r="C1877" i="85"/>
  <c r="C486" i="85"/>
  <c r="C1374" i="85"/>
  <c r="C1675" i="85"/>
  <c r="C1071" i="85"/>
  <c r="C126" i="85"/>
  <c r="C753" i="85"/>
  <c r="C359" i="85"/>
  <c r="C826" i="85"/>
  <c r="C1200" i="85"/>
  <c r="C428" i="85"/>
  <c r="C996" i="85"/>
  <c r="C494" i="85"/>
  <c r="C453" i="85"/>
  <c r="C1911" i="85"/>
  <c r="C398" i="85"/>
  <c r="C1684" i="85"/>
  <c r="C1345" i="85"/>
  <c r="C1671" i="85"/>
  <c r="C666" i="85"/>
  <c r="C845" i="85"/>
  <c r="C1083" i="85"/>
  <c r="C33" i="85"/>
  <c r="C943" i="85"/>
  <c r="C1167" i="85"/>
  <c r="C774" i="85"/>
  <c r="C1251" i="85"/>
  <c r="C1696" i="85"/>
  <c r="C474" i="85"/>
  <c r="C302" i="85"/>
  <c r="C350" i="85"/>
  <c r="C1052" i="85"/>
  <c r="C686" i="85"/>
  <c r="C1036" i="85"/>
  <c r="C170" i="85"/>
  <c r="C1480" i="85"/>
  <c r="C410" i="85"/>
  <c r="C586" i="85"/>
  <c r="C226" i="85"/>
  <c r="C1829" i="85"/>
  <c r="C1304" i="85"/>
  <c r="C932" i="85"/>
  <c r="C365" i="85"/>
  <c r="C292" i="85"/>
  <c r="C1598" i="85"/>
  <c r="C1114" i="85"/>
  <c r="C351" i="85"/>
  <c r="C41" i="85"/>
  <c r="C1603" i="85"/>
  <c r="C795" i="85"/>
  <c r="C195" i="85"/>
  <c r="C1293" i="85"/>
  <c r="C278" i="85"/>
  <c r="C1772" i="85"/>
  <c r="C415" i="85"/>
  <c r="C1595" i="85"/>
  <c r="C1346" i="85"/>
  <c r="C626" i="85"/>
  <c r="C602" i="85"/>
  <c r="C980" i="85"/>
  <c r="C1119" i="85"/>
  <c r="C537" i="85"/>
  <c r="C705" i="85"/>
  <c r="C1799" i="85"/>
  <c r="C1459" i="85"/>
  <c r="C116" i="85"/>
  <c r="C1361" i="85"/>
  <c r="C1069" i="85"/>
  <c r="C1317" i="85"/>
  <c r="C1823" i="85"/>
  <c r="C1490" i="85"/>
  <c r="C1492" i="85"/>
  <c r="C1320" i="85"/>
  <c r="C883" i="85"/>
  <c r="C1717" i="85"/>
  <c r="C1687" i="85"/>
  <c r="C727" i="85"/>
  <c r="C348" i="85"/>
  <c r="C890" i="85"/>
  <c r="C1986" i="85"/>
  <c r="C1625" i="85"/>
  <c r="C1997" i="85"/>
  <c r="C1388" i="85"/>
  <c r="C1038" i="85"/>
  <c r="C1574" i="85"/>
  <c r="C945" i="85"/>
  <c r="C68" i="85"/>
  <c r="C1702" i="85"/>
  <c r="C1415" i="85"/>
  <c r="C694" i="85"/>
  <c r="C641" i="85"/>
  <c r="C956" i="85"/>
  <c r="C1308" i="85"/>
  <c r="C911" i="85"/>
  <c r="C1516" i="85"/>
  <c r="C420" i="85"/>
  <c r="C783" i="85"/>
  <c r="C977" i="85"/>
  <c r="C1467" i="85"/>
  <c r="C61" i="85"/>
  <c r="C1577" i="85"/>
  <c r="C1234" i="85"/>
  <c r="C1271" i="85"/>
  <c r="C1913" i="85"/>
  <c r="C1173" i="85"/>
  <c r="C1407" i="85"/>
  <c r="C839" i="85"/>
  <c r="C207" i="85"/>
  <c r="C1674" i="85"/>
  <c r="C1125" i="85"/>
  <c r="C878" i="85"/>
  <c r="C1401" i="85"/>
  <c r="C1873" i="85"/>
  <c r="C1507" i="85"/>
  <c r="C905" i="85"/>
  <c r="C1600" i="85"/>
  <c r="C685" i="85"/>
  <c r="C1425" i="85"/>
  <c r="C1892" i="85"/>
  <c r="C1050" i="85"/>
  <c r="C1344" i="85"/>
  <c r="C1042" i="85"/>
  <c r="C346" i="85"/>
  <c r="C1585" i="85"/>
  <c r="C276" i="85"/>
  <c r="C587" i="85"/>
  <c r="C847" i="85"/>
  <c r="C958" i="85"/>
  <c r="C1351" i="85"/>
  <c r="C366" i="85"/>
  <c r="C62" i="85"/>
  <c r="C1979" i="85"/>
  <c r="C472" i="85"/>
  <c r="C1211" i="85"/>
  <c r="C1683" i="85"/>
  <c r="C412" i="85"/>
  <c r="C1755" i="85"/>
  <c r="C1335" i="85"/>
  <c r="C863" i="85"/>
  <c r="C215" i="85"/>
  <c r="C485" i="85"/>
  <c r="C201" i="85"/>
  <c r="C961" i="85"/>
  <c r="C1106" i="85"/>
  <c r="C861" i="85"/>
  <c r="C560" i="85"/>
  <c r="C405" i="85"/>
  <c r="C1541" i="85"/>
  <c r="C1141" i="85"/>
  <c r="C42" i="85"/>
  <c r="C916" i="85"/>
  <c r="C595" i="85"/>
  <c r="C1089" i="85"/>
  <c r="C1715" i="85"/>
  <c r="C1716" i="85"/>
  <c r="C1124" i="85"/>
  <c r="C403" i="85"/>
  <c r="C1039" i="85"/>
  <c r="C1914" i="85"/>
  <c r="C1446" i="85"/>
  <c r="C1785" i="85"/>
  <c r="C1353" i="85"/>
  <c r="C1503" i="85"/>
  <c r="C807" i="85"/>
  <c r="C1164" i="85"/>
  <c r="C1634" i="85"/>
  <c r="C1624" i="85"/>
  <c r="C465" i="85"/>
  <c r="C241" i="85"/>
  <c r="C251" i="85"/>
  <c r="C950" i="85"/>
  <c r="C1745" i="85"/>
  <c r="C842" i="85"/>
  <c r="C479" i="85"/>
  <c r="C1924" i="85"/>
  <c r="C175" i="85"/>
  <c r="C1076" i="85"/>
  <c r="C914" i="85"/>
  <c r="C392" i="85"/>
  <c r="C881" i="85"/>
  <c r="C498" i="85"/>
  <c r="C820" i="85"/>
  <c r="C28" i="85"/>
  <c r="C1224" i="85"/>
  <c r="C1013" i="85"/>
  <c r="C1747" i="85"/>
  <c r="C1460" i="85"/>
  <c r="C1272" i="85"/>
  <c r="C548" i="85"/>
  <c r="C851" i="85"/>
  <c r="C1665" i="85"/>
  <c r="C495" i="85"/>
  <c r="C654" i="85"/>
  <c r="C433" i="85"/>
  <c r="C1870" i="85"/>
  <c r="C1643" i="85"/>
  <c r="C459" i="85"/>
  <c r="C1395" i="85"/>
  <c r="C427" i="85"/>
  <c r="C332" i="85"/>
  <c r="C725" i="85"/>
  <c r="C1187" i="85"/>
  <c r="C1003" i="85"/>
  <c r="C50" i="85"/>
  <c r="C711" i="85"/>
  <c r="C854" i="85"/>
  <c r="C1324" i="85"/>
  <c r="C1413" i="85"/>
  <c r="C1712" i="85"/>
  <c r="C732" i="85"/>
  <c r="C1765" i="85"/>
  <c r="C1341" i="85"/>
  <c r="C702" i="85"/>
  <c r="C255" i="85"/>
  <c r="C1583" i="85"/>
  <c r="C1194" i="85"/>
  <c r="C1525" i="85"/>
  <c r="C565" i="85"/>
  <c r="C1573" i="85"/>
  <c r="C1348" i="85"/>
  <c r="C833" i="85"/>
  <c r="C1792" i="85"/>
  <c r="C700" i="85"/>
  <c r="C391" i="85"/>
  <c r="C1775" i="85"/>
  <c r="C497" i="85"/>
  <c r="C679" i="85"/>
  <c r="C1359" i="85"/>
  <c r="C456" i="85"/>
  <c r="C796" i="85"/>
  <c r="C1129" i="85"/>
  <c r="C941" i="85"/>
  <c r="C817" i="85"/>
  <c r="C728" i="85"/>
  <c r="C1033" i="85"/>
  <c r="C1844" i="85"/>
  <c r="C1939" i="85"/>
  <c r="C1189" i="85"/>
  <c r="C1034" i="85"/>
  <c r="C1214" i="85"/>
  <c r="C1452" i="85"/>
  <c r="C718" i="85"/>
  <c r="C1602" i="85"/>
  <c r="C1482" i="85"/>
  <c r="C1495" i="85"/>
  <c r="C1369" i="85"/>
  <c r="C238" i="85"/>
  <c r="C1064" i="85"/>
  <c r="C734" i="85"/>
  <c r="C265" i="85"/>
  <c r="C422" i="85"/>
  <c r="C731" i="85"/>
  <c r="C1953" i="85"/>
  <c r="C875" i="85"/>
  <c r="C1186" i="85"/>
  <c r="C69" i="85"/>
  <c r="C763" i="85"/>
  <c r="C186" i="85"/>
  <c r="C263" i="85"/>
  <c r="C1334" i="85"/>
  <c r="C1314" i="85"/>
  <c r="C1305" i="85"/>
  <c r="C963" i="85"/>
  <c r="C1538" i="85"/>
  <c r="C1639" i="85"/>
  <c r="C1544" i="85"/>
  <c r="C476" i="85"/>
  <c r="C268" i="85"/>
  <c r="C357" i="85"/>
  <c r="C1466" i="85"/>
  <c r="C435" i="85"/>
  <c r="C262" i="85"/>
  <c r="C1142" i="85"/>
  <c r="C669" i="85"/>
  <c r="C1562" i="85"/>
  <c r="C895" i="85"/>
  <c r="C315" i="85"/>
  <c r="C1710" i="85"/>
  <c r="C1860" i="85"/>
  <c r="C74" i="85"/>
  <c r="C1094" i="85"/>
  <c r="C1306" i="85"/>
  <c r="C1499" i="85"/>
  <c r="C224" i="85"/>
  <c r="C942" i="85"/>
  <c r="C979" i="85"/>
  <c r="C1421" i="85"/>
  <c r="C1855" i="85"/>
  <c r="C59" i="85"/>
  <c r="C190" i="85"/>
  <c r="C1891" i="85"/>
  <c r="C570" i="85"/>
  <c r="C1448" i="85"/>
  <c r="C256" i="85"/>
  <c r="C1019" i="85"/>
  <c r="C1086" i="85"/>
  <c r="C1339" i="85"/>
  <c r="C1202" i="85"/>
  <c r="C1161" i="85"/>
  <c r="C1112" i="85"/>
  <c r="C409" i="85"/>
  <c r="C715" i="85"/>
  <c r="C812" i="85"/>
  <c r="C1613" i="85"/>
  <c r="C492" i="85"/>
  <c r="C1801" i="85"/>
  <c r="C923" i="85"/>
  <c r="C928" i="85"/>
  <c r="C876" i="85"/>
  <c r="C447" i="85"/>
  <c r="C1074" i="85"/>
  <c r="C1383" i="85"/>
  <c r="C1645" i="85"/>
  <c r="C984" i="85"/>
  <c r="C1849" i="85"/>
  <c r="C1733" i="85"/>
  <c r="C1688" i="85"/>
  <c r="C1204" i="85"/>
  <c r="C909" i="85"/>
  <c r="C1373" i="85"/>
  <c r="C765" i="85"/>
  <c r="C1037" i="85"/>
  <c r="C1921" i="85"/>
  <c r="C252" i="85"/>
  <c r="C1408" i="85"/>
  <c r="C1514" i="85"/>
  <c r="C745" i="85"/>
  <c r="C677" i="85"/>
  <c r="C622" i="85"/>
  <c r="C1162" i="85"/>
  <c r="C1379" i="85"/>
  <c r="C484" i="85"/>
  <c r="C563" i="85"/>
  <c r="C793" i="85"/>
  <c r="C1060" i="85"/>
  <c r="C1854" i="85"/>
  <c r="C944" i="85"/>
  <c r="C844" i="85"/>
  <c r="C396" i="85"/>
  <c r="C1223" i="85"/>
  <c r="C645" i="85"/>
  <c r="C698" i="85"/>
  <c r="C1367" i="85"/>
  <c r="C1170" i="85"/>
  <c r="C1240" i="85"/>
  <c r="C449" i="85"/>
  <c r="C1797" i="85"/>
  <c r="C242" i="85"/>
  <c r="C445" i="85"/>
  <c r="C625" i="85"/>
  <c r="C245" i="85"/>
  <c r="C363" i="85"/>
  <c r="C1834" i="85"/>
  <c r="C480" i="85"/>
  <c r="C1783" i="85"/>
  <c r="C1711" i="85"/>
  <c r="C1450" i="85"/>
  <c r="C1740" i="85"/>
  <c r="C1673" i="85"/>
  <c r="C752" i="85"/>
  <c r="C1195" i="85"/>
  <c r="C1398" i="85"/>
  <c r="C682" i="85"/>
  <c r="C1139" i="85"/>
  <c r="C1280" i="85"/>
  <c r="C940" i="85"/>
  <c r="C1276" i="85"/>
  <c r="C744" i="85"/>
  <c r="C387" i="85"/>
  <c r="C1942" i="85"/>
  <c r="C864" i="85"/>
  <c r="C229" i="85"/>
  <c r="C581" i="85"/>
  <c r="C43" i="85"/>
  <c r="C1476" i="85"/>
  <c r="C1549" i="85"/>
  <c r="C1857" i="85"/>
  <c r="C257" i="85"/>
  <c r="C1464" i="85"/>
  <c r="C1354" i="85"/>
  <c r="C1897" i="85"/>
  <c r="C1754" i="85"/>
  <c r="C1926" i="85"/>
  <c r="C384" i="85"/>
  <c r="C635" i="85"/>
  <c r="C176" i="85"/>
  <c r="C401" i="85"/>
  <c r="C281" i="85"/>
  <c r="C1245" i="85"/>
  <c r="C1390" i="85"/>
  <c r="C1416" i="85"/>
  <c r="C1556" i="85"/>
  <c r="C1158" i="85"/>
  <c r="C742" i="85"/>
  <c r="C1868" i="85"/>
  <c r="C843" i="85"/>
  <c r="C329" i="85"/>
  <c r="C1905" i="85"/>
  <c r="C992" i="85"/>
  <c r="C471" i="85"/>
  <c r="C491" i="85"/>
  <c r="C764" i="85"/>
  <c r="C228" i="85"/>
  <c r="C204" i="85"/>
  <c r="C1267" i="85"/>
  <c r="C63" i="85"/>
  <c r="C748" i="85"/>
  <c r="C653" i="85"/>
  <c r="C288" i="85"/>
  <c r="C522" i="85"/>
  <c r="C454" i="85"/>
  <c r="C674" i="85"/>
  <c r="C493" i="85"/>
  <c r="C1831" i="85"/>
  <c r="C92" i="85"/>
  <c r="C1682" i="85"/>
  <c r="C375" i="85"/>
  <c r="C1295" i="85"/>
  <c r="C1328" i="85"/>
  <c r="C1133" i="85"/>
  <c r="C1192" i="85"/>
  <c r="C321" i="85"/>
  <c r="C785" i="85"/>
  <c r="C1511" i="85"/>
  <c r="C518" i="85"/>
  <c r="C1336" i="85"/>
  <c r="C1501" i="85"/>
  <c r="C601" i="85"/>
  <c r="C840" i="85"/>
  <c r="C221" i="85"/>
  <c r="C1642" i="85"/>
  <c r="C824" i="85"/>
  <c r="C334" i="85"/>
  <c r="C1592" i="85"/>
  <c r="C1898" i="85"/>
  <c r="C1070" i="85"/>
  <c r="C389" i="85"/>
  <c r="C618" i="85"/>
  <c r="C322" i="85"/>
  <c r="C620" i="85"/>
  <c r="C1735" i="85"/>
  <c r="C1057" i="85"/>
  <c r="C441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<sst xmlns="http://schemas.openxmlformats.org/spreadsheetml/2006/main" count="24778" uniqueCount="2382">
  <si>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</si>
  <si>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</si>
  <si>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</si>
  <si>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</si>
  <si>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</si>
  <si>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</si>
  <si>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</si>
  <si>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</si>
  <si>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</si>
  <si>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</si>
  <si>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</si>
  <si>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</si>
  <si>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</si>
  <si>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</si>
  <si>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</si>
  <si>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</si>
  <si>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</si>
  <si>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</si>
  <si>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</si>
  <si>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</si>
  <si>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</si>
  <si>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</si>
  <si>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</si>
  <si>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</si>
  <si>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</si>
  <si>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</si>
  <si>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</si>
  <si>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</si>
  <si>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</si>
  <si>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</si>
  <si>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</si>
  <si>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</si>
  <si>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</si>
  <si>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</si>
  <si>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</si>
  <si>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</si>
  <si>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</si>
  <si>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</si>
  <si>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</si>
  <si>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</si>
  <si>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</si>
  <si>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</si>
  <si>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</si>
  <si>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</si>
  <si>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</si>
  <si>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</si>
  <si>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</si>
  <si>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</si>
  <si>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</si>
  <si>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</si>
  <si>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</si>
  <si>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</si>
  <si>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</si>
  <si>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</si>
  <si>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</si>
  <si>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</si>
  <si>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</si>
  <si>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</si>
  <si>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</si>
  <si>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</si>
  <si>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</si>
  <si>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</si>
  <si>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</si>
  <si>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</si>
  <si>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</si>
  <si>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</si>
  <si>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</si>
  <si>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</si>
  <si>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</si>
  <si>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</si>
  <si>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</si>
  <si>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</si>
  <si>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</si>
  <si>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</si>
  <si>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</si>
  <si>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</si>
  <si>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</si>
  <si>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</si>
  <si>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</si>
  <si>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</si>
  <si>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</si>
  <si>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</si>
  <si>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</si>
  <si>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</si>
  <si>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</si>
  <si>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</si>
  <si>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</si>
  <si>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</si>
  <si>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</si>
  <si>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</si>
  <si>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</si>
  <si>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</si>
  <si>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</si>
  <si>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</si>
  <si>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</si>
  <si>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</si>
  <si>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</si>
  <si>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</si>
  <si>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</si>
  <si>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</si>
  <si>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</si>
  <si>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</si>
  <si>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</si>
  <si>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</si>
  <si>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</si>
  <si>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</si>
  <si>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</si>
  <si>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</si>
  <si>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</si>
  <si>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</si>
  <si>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</si>
  <si>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</si>
  <si>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</si>
  <si>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</si>
  <si>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</si>
  <si>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</si>
  <si>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</si>
  <si>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</si>
  <si>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</si>
  <si>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</si>
  <si>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</si>
  <si>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</si>
  <si>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</si>
  <si>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</si>
  <si>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</si>
  <si>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</si>
  <si>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</si>
  <si>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</si>
  <si>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</si>
  <si>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</si>
  <si>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</si>
  <si>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</si>
  <si>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</si>
  <si>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</si>
  <si>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</si>
  <si>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</si>
  <si>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</si>
  <si>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</si>
  <si>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</si>
  <si>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</si>
  <si>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</si>
  <si>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</si>
  <si>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</si>
  <si>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</si>
  <si>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</si>
  <si>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</si>
  <si>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</si>
  <si>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</si>
  <si>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</si>
  <si>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</si>
  <si>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</si>
  <si>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</si>
  <si>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</si>
  <si>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</si>
  <si>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</si>
  <si>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</si>
  <si>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</si>
  <si>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</si>
  <si>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</si>
  <si>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</si>
  <si>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</si>
  <si>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</si>
  <si>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</si>
  <si>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</si>
  <si>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</si>
  <si>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</si>
  <si>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</si>
  <si>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</si>
  <si>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</si>
  <si>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</si>
  <si>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</si>
  <si>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</si>
  <si>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</si>
  <si>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</si>
  <si>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</si>
  <si>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</si>
  <si>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</si>
  <si>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</si>
  <si>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</si>
  <si>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</si>
  <si>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</si>
  <si>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</si>
  <si>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</si>
  <si>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</si>
  <si>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</si>
  <si>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</si>
  <si>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</si>
  <si>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</si>
  <si>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</si>
  <si>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</si>
  <si>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</si>
  <si>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</si>
  <si>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</si>
  <si>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</si>
  <si>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</si>
  <si>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</si>
  <si>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</si>
  <si>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</si>
  <si>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</si>
  <si>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</si>
  <si>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</si>
  <si>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</si>
  <si>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</si>
  <si>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</si>
  <si>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</si>
  <si>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</si>
  <si>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</si>
  <si>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</si>
  <si>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</si>
  <si>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</si>
  <si>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</si>
  <si>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</si>
  <si>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</si>
  <si>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</si>
  <si>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</si>
  <si>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</si>
  <si>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</si>
  <si>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</si>
  <si>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</si>
  <si>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</si>
  <si>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</si>
  <si>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</si>
  <si>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</si>
  <si>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</si>
  <si>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</si>
  <si>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</si>
  <si>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</si>
  <si>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</si>
  <si>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</si>
  <si>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</si>
  <si>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</si>
  <si>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</si>
  <si>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</si>
  <si>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</si>
  <si>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</si>
  <si>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</si>
  <si>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</si>
  <si>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</si>
  <si>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</si>
  <si>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</si>
  <si>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</si>
  <si>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</si>
  <si>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</si>
  <si>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</si>
  <si>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</si>
  <si>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</si>
  <si>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</si>
  <si>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</si>
  <si>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</si>
  <si>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</si>
  <si>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</si>
  <si>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</si>
  <si>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</si>
  <si>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</si>
  <si>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</si>
  <si>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</si>
  <si>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</si>
  <si>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</si>
  <si>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</si>
  <si>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</si>
  <si>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</si>
  <si>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</si>
  <si>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</si>
  <si>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</si>
  <si>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</si>
  <si>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</si>
  <si>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</si>
  <si>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</si>
  <si>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</si>
  <si>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</si>
  <si>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</si>
  <si>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</si>
  <si>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</si>
  <si>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</si>
  <si>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</si>
  <si>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</si>
  <si>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</si>
  <si>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</si>
  <si>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</si>
  <si>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</si>
  <si>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</si>
  <si>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</si>
  <si>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</si>
  <si>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</si>
  <si>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</si>
  <si>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</si>
  <si>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</si>
  <si>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</si>
  <si>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</si>
  <si>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</si>
  <si>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</si>
  <si>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</si>
  <si>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</si>
  <si>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</si>
  <si>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</si>
  <si>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</si>
  <si>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</si>
  <si>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</si>
  <si>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</si>
  <si>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</si>
  <si>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</si>
  <si>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</si>
  <si>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</si>
  <si>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</si>
  <si>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</si>
  <si>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</si>
  <si>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</si>
  <si>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</si>
  <si>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</si>
  <si>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</si>
  <si>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</si>
  <si>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</si>
  <si>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</si>
  <si>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</si>
  <si>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</si>
  <si>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</si>
  <si>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</si>
  <si>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</si>
  <si>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</si>
  <si>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</si>
  <si>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</si>
  <si>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</si>
  <si>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</si>
  <si>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</si>
  <si>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</si>
  <si>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</si>
  <si>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</si>
  <si>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</si>
  <si>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</si>
  <si>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</si>
  <si>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</si>
  <si>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</si>
  <si>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</si>
  <si>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</si>
  <si>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</si>
  <si>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</si>
  <si>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</si>
  <si>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</si>
  <si>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</si>
  <si>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</si>
  <si>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</si>
  <si>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</si>
  <si>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</si>
  <si>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</si>
  <si>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</si>
  <si>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</si>
  <si>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</si>
  <si>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</si>
  <si>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</si>
  <si>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</si>
  <si>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</si>
  <si>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</si>
  <si>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</si>
  <si>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</si>
  <si>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</si>
  <si>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</si>
  <si>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</si>
  <si>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</si>
  <si>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</si>
  <si>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</si>
  <si>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</si>
  <si>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</si>
  <si>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</si>
  <si>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</si>
  <si>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</si>
  <si>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</si>
  <si>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</si>
  <si>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</si>
  <si>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</si>
  <si>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</si>
  <si>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</si>
  <si>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</si>
  <si>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</si>
  <si>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</si>
  <si>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</si>
  <si>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</si>
  <si>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</si>
  <si>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</si>
  <si>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</si>
  <si>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</si>
  <si>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</si>
  <si>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</si>
  <si>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</si>
  <si>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</si>
  <si>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</si>
  <si>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</si>
  <si>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</si>
  <si>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</si>
  <si>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</si>
  <si>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</si>
  <si>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</si>
  <si>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</si>
  <si>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</si>
  <si>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</si>
  <si>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</si>
  <si>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</si>
  <si>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</si>
  <si>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</si>
  <si>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</si>
  <si>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</si>
  <si>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</si>
  <si>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</si>
  <si>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</si>
  <si>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</si>
  <si>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</si>
  <si>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</si>
  <si>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</si>
  <si>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</si>
  <si>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</si>
  <si>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</si>
  <si>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</si>
  <si>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</si>
  <si>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</si>
  <si>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</si>
  <si>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</si>
  <si>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</si>
  <si>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</si>
  <si>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</si>
  <si>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</si>
  <si>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</si>
  <si>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</si>
  <si>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</si>
  <si>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</si>
  <si>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</si>
  <si>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</si>
  <si>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</si>
  <si>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</si>
  <si>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</si>
  <si>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</si>
  <si>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</si>
  <si>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</si>
  <si>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</si>
  <si>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</si>
  <si>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</si>
  <si>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</si>
  <si>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</si>
  <si>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</si>
  <si>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</si>
  <si>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</si>
  <si>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</si>
  <si>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</si>
  <si>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</si>
  <si>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</si>
  <si>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</si>
  <si>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</si>
  <si>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</si>
  <si>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</si>
  <si>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</si>
  <si>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</si>
  <si>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</si>
  <si>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</si>
  <si>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</si>
  <si>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</si>
  <si>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</si>
  <si>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</si>
  <si>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</si>
  <si>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</si>
  <si>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</si>
  <si>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</si>
  <si>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</si>
  <si>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</si>
  <si>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</si>
  <si>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</si>
  <si>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</si>
  <si>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</si>
  <si>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</si>
  <si>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</si>
  <si>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</si>
  <si>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</si>
  <si>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</si>
  <si>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</si>
  <si>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</si>
  <si>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</si>
  <si>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</si>
  <si>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</si>
  <si>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</si>
  <si>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</si>
  <si>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</si>
  <si>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</si>
  <si>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</si>
  <si>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</si>
  <si>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</si>
  <si>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</si>
  <si>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</si>
  <si>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</si>
  <si>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</si>
  <si>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</si>
  <si>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</si>
  <si>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</si>
  <si>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</si>
  <si>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</si>
  <si>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</si>
  <si>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</si>
  <si>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</si>
  <si>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</si>
  <si>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</si>
  <si>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</si>
  <si>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</si>
  <si>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</si>
  <si>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</si>
  <si>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</si>
  <si>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</si>
  <si>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</si>
  <si>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</si>
  <si>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</si>
  <si>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</si>
  <si>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</si>
  <si>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</si>
  <si>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</si>
  <si>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</si>
  <si>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</si>
  <si>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</si>
  <si>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</si>
  <si>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</si>
  <si>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</si>
  <si>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</si>
  <si>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</si>
  <si>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</si>
  <si>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</si>
  <si>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</si>
  <si>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</si>
  <si>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</si>
  <si>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</si>
  <si>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</si>
  <si>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</si>
  <si>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</si>
  <si>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</si>
  <si>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</si>
  <si>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</si>
  <si>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</si>
  <si>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</si>
  <si>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</si>
  <si>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</si>
  <si>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</si>
  <si>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</si>
  <si>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</si>
  <si>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</si>
  <si>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</si>
  <si>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</si>
  <si>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</si>
  <si>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</si>
  <si>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</si>
  <si>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</si>
  <si>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</si>
  <si>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</si>
  <si>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</si>
  <si>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</si>
  <si>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</si>
  <si>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</si>
  <si>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</si>
  <si>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</si>
  <si>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</si>
  <si>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</si>
  <si>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</si>
  <si>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</si>
  <si>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</si>
  <si>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</si>
  <si>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</si>
  <si>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</si>
  <si>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</si>
  <si>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</si>
  <si>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</si>
  <si>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</si>
  <si>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</si>
  <si>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</si>
  <si>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</si>
  <si>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</si>
  <si>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</si>
  <si>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</si>
  <si>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</si>
  <si>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</si>
  <si>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</si>
  <si>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</si>
  <si>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</si>
  <si>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</si>
  <si>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</si>
  <si>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</si>
  <si>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</si>
  <si>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</si>
  <si>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</si>
  <si>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</si>
  <si>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</si>
  <si>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</si>
  <si>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</si>
  <si>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</si>
  <si>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</si>
  <si>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</si>
  <si>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</si>
  <si>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</si>
  <si>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</si>
  <si>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</si>
  <si>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</si>
  <si>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</si>
  <si>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</si>
  <si>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</si>
  <si>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</si>
  <si>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</si>
  <si>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</si>
  <si>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</si>
  <si>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</si>
  <si>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</si>
  <si>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</si>
  <si>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</si>
  <si>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</si>
  <si>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</si>
  <si>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</si>
  <si>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</si>
  <si>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</si>
  <si>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</si>
  <si>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</si>
  <si>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</si>
  <si>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</si>
  <si>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</si>
  <si>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</si>
  <si>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</si>
  <si>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</si>
  <si>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</si>
  <si>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</si>
  <si>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</si>
  <si>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</si>
  <si>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</si>
  <si>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</si>
  <si>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</si>
  <si>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</si>
  <si>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</si>
  <si>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</si>
  <si>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</si>
  <si>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</si>
  <si>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</si>
  <si>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</si>
  <si>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</si>
  <si>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</si>
  <si>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</si>
  <si>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</si>
  <si>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</si>
  <si>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</si>
  <si>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</si>
  <si>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</si>
  <si>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</si>
  <si>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</si>
  <si>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</si>
  <si>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</si>
  <si>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</si>
  <si>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</si>
  <si>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</si>
  <si>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</si>
  <si>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</si>
  <si>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</si>
  <si>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</si>
  <si>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</si>
  <si>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</si>
  <si>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</si>
  <si>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</si>
  <si>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</si>
  <si>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</si>
  <si>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</si>
  <si>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</si>
  <si>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</si>
  <si>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</si>
  <si>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</si>
  <si>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</si>
  <si>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</si>
  <si>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</si>
  <si>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</si>
  <si>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</si>
  <si>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</si>
  <si>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</si>
  <si>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</si>
  <si>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</si>
  <si>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</si>
  <si>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</si>
  <si>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</si>
  <si>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</si>
  <si>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</si>
  <si>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</si>
  <si>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</si>
  <si>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</si>
  <si>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</si>
  <si>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</si>
  <si>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</si>
  <si>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</si>
  <si>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</si>
  <si>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</si>
  <si>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</si>
  <si>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</si>
  <si>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</si>
  <si>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</si>
  <si>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</si>
  <si>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</si>
  <si>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</si>
  <si>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</si>
  <si>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</si>
  <si>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</si>
  <si>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</si>
  <si>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</si>
  <si>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</si>
  <si>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</si>
  <si>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</si>
  <si>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</si>
  <si>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</si>
  <si>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</si>
  <si>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</si>
  <si>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</si>
  <si>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</si>
  <si>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</si>
  <si>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</si>
  <si>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</si>
  <si>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</si>
  <si>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</si>
  <si>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</si>
  <si>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</si>
  <si>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</si>
  <si>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</si>
  <si>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</si>
  <si>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</si>
  <si>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</si>
  <si>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</si>
  <si>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</si>
  <si>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</si>
  <si>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</si>
  <si>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</si>
  <si>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</si>
  <si>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</si>
  <si>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</si>
  <si>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</si>
  <si>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</si>
  <si>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</si>
  <si>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</si>
  <si>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</si>
  <si>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</si>
  <si>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</si>
  <si>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</si>
  <si>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</si>
  <si>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</si>
  <si>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</si>
  <si>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</si>
  <si>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</si>
  <si>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</si>
  <si>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</si>
  <si>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</si>
  <si>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</si>
  <si>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</si>
  <si>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</si>
  <si>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</si>
  <si>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</si>
  <si>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</si>
  <si>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</si>
  <si>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</si>
  <si>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</si>
  <si>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</si>
  <si>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</si>
  <si>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</si>
  <si>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</si>
  <si>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</si>
  <si>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</si>
  <si>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</si>
  <si>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</si>
  <si>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</si>
  <si>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</si>
  <si>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</si>
  <si>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</si>
  <si>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</si>
  <si>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</si>
  <si>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</si>
  <si>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</si>
  <si>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</si>
  <si>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</si>
  <si>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</si>
  <si>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</si>
  <si>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</si>
  <si>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</si>
  <si>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</si>
  <si>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</si>
  <si>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</si>
  <si>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</si>
  <si>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</si>
  <si>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</si>
  <si>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</si>
  <si>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</si>
  <si>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</si>
  <si>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</si>
  <si>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</si>
  <si>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</si>
  <si>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</si>
  <si>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</si>
  <si>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</si>
  <si>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</si>
  <si>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</si>
  <si>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</si>
  <si>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</si>
  <si>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</si>
  <si>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</si>
  <si>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</si>
  <si>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</si>
  <si>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</si>
  <si>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</si>
  <si>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</si>
  <si>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</si>
  <si>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</si>
  <si>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</si>
  <si>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</si>
  <si>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</si>
  <si>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</si>
  <si>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</si>
  <si>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</si>
  <si>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</si>
  <si>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</si>
  <si>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</si>
  <si>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</si>
  <si>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</si>
  <si>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</si>
  <si>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</si>
  <si>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</si>
  <si>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</si>
  <si>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</si>
  <si>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</si>
  <si>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</si>
  <si>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</si>
  <si>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</si>
  <si>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</si>
  <si>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</si>
  <si>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</si>
  <si>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</si>
  <si>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</si>
  <si>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</si>
  <si>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</si>
  <si>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</si>
  <si>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</si>
  <si>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</si>
  <si>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</si>
  <si>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</si>
  <si>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</si>
  <si>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</si>
  <si>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</si>
  <si>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</si>
  <si>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</si>
  <si>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</si>
  <si>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</si>
  <si>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</si>
  <si>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</si>
  <si>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</si>
  <si>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</si>
  <si>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</si>
  <si>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</si>
  <si>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</si>
  <si>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</si>
  <si>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</si>
  <si>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</si>
  <si>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</si>
  <si>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</si>
  <si>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</si>
  <si>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</si>
  <si>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</si>
  <si>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</si>
  <si>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</si>
  <si>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</si>
  <si>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</si>
  <si>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</si>
  <si>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</si>
  <si>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</si>
  <si>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</si>
  <si>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</si>
  <si>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</si>
  <si>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</si>
  <si>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</si>
  <si>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</si>
  <si>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</si>
  <si>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</si>
  <si>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</si>
  <si>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</si>
  <si>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</si>
  <si>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</si>
  <si>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</si>
  <si>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</si>
  <si>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</si>
  <si>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</si>
  <si>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</si>
  <si>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</si>
  <si>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</si>
  <si>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</si>
  <si>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</si>
  <si>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</si>
  <si>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</si>
  <si>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</si>
  <si>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</si>
  <si>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</si>
  <si>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</si>
  <si>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</si>
  <si>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</si>
  <si>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</si>
  <si>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</si>
  <si>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</si>
  <si>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</si>
  <si>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</si>
  <si>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</si>
  <si>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</si>
  <si>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</si>
  <si>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</si>
  <si>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</si>
  <si>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</si>
  <si>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</si>
  <si>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</si>
  <si>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</si>
  <si>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</si>
  <si>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</si>
  <si>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</si>
  <si>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</si>
  <si>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</si>
  <si>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</si>
  <si>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</si>
  <si>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</si>
  <si>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</si>
  <si>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</si>
  <si>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</si>
  <si>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</si>
  <si>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</si>
  <si>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</si>
  <si>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</si>
  <si>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</si>
  <si>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</si>
  <si>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</si>
  <si>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</si>
  <si>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</si>
  <si>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</si>
  <si>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</si>
  <si>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</si>
  <si>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</si>
  <si>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</si>
  <si>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</si>
  <si>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</si>
  <si>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</si>
  <si>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</si>
  <si>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</si>
  <si>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</si>
  <si>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</si>
  <si>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</si>
  <si>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</si>
  <si>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</si>
  <si>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</si>
  <si>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</si>
  <si>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</si>
  <si>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</si>
  <si>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</si>
  <si>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</si>
  <si>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</si>
  <si>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</si>
  <si>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</si>
  <si>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</si>
  <si>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</si>
  <si>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</si>
  <si>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</si>
  <si>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</si>
  <si>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</si>
  <si>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</si>
  <si>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</si>
  <si>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</si>
  <si>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</si>
  <si>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</si>
  <si>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</si>
  <si>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</si>
  <si>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</si>
  <si>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</si>
  <si>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</si>
  <si>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</si>
  <si>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</si>
  <si>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</si>
  <si>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</si>
  <si>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</si>
  <si>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</si>
  <si>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</si>
  <si>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</si>
  <si>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</si>
  <si>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</si>
  <si>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</si>
  <si>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</si>
  <si>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</si>
  <si>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</si>
  <si>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</si>
  <si>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</si>
  <si>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</si>
  <si>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</si>
  <si>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</si>
  <si>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</si>
  <si>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</si>
  <si>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</si>
  <si>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</si>
  <si>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</si>
  <si>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</si>
  <si>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</si>
  <si>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</si>
  <si>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</si>
  <si>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</si>
  <si>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</si>
  <si>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</si>
  <si>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</si>
  <si>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</si>
  <si>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</si>
  <si>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</si>
  <si>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</si>
  <si>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</si>
  <si>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</si>
  <si>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</si>
  <si>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</si>
  <si>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</si>
  <si>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</si>
  <si>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</si>
  <si>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</si>
  <si>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</si>
  <si>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</si>
  <si>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</si>
  <si>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</si>
  <si>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</si>
  <si>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</si>
  <si>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</si>
  <si>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</si>
  <si>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</si>
  <si>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</si>
  <si>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</si>
  <si>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</si>
  <si>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</si>
  <si>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</si>
  <si>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</si>
  <si>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</si>
  <si>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</si>
  <si>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</si>
  <si>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</si>
  <si>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</si>
  <si>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</si>
  <si>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</si>
  <si>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</si>
  <si>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</si>
  <si>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</si>
  <si>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</si>
  <si>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</si>
  <si>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</si>
  <si>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</si>
  <si>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</si>
  <si>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</si>
  <si>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</si>
  <si>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</si>
  <si>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</si>
  <si>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</si>
  <si>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</si>
  <si>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</si>
  <si>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</si>
  <si>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</si>
  <si>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</si>
  <si>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</si>
  <si>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</si>
  <si>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</si>
  <si>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</si>
  <si>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</si>
  <si>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</si>
  <si>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</si>
  <si>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</si>
  <si>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</si>
  <si>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</si>
  <si>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</si>
  <si>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</si>
  <si>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</si>
  <si>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</si>
  <si>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</si>
  <si>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</si>
  <si>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</si>
  <si>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</si>
  <si>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</si>
  <si>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</si>
  <si>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</si>
  <si>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</si>
  <si>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</si>
  <si>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</si>
  <si>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</si>
  <si>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</si>
  <si>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</si>
  <si>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</si>
  <si>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</si>
  <si>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</si>
  <si>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</si>
  <si>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</si>
  <si>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</si>
  <si>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</si>
  <si>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</si>
  <si>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</si>
  <si>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</si>
  <si>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</si>
  <si>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</si>
  <si>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</si>
  <si>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</si>
  <si>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</si>
  <si>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</si>
  <si>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</si>
  <si>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</si>
  <si>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</si>
  <si>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</si>
  <si>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</si>
  <si>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</si>
  <si>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</si>
  <si>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</si>
  <si>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</si>
  <si>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</si>
  <si>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</si>
  <si>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</si>
  <si>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</si>
  <si>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</si>
  <si>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</si>
  <si>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</si>
  <si>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</si>
  <si>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</si>
  <si>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</si>
  <si>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</si>
  <si>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</si>
  <si>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</si>
  <si>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</si>
  <si>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</si>
  <si>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</si>
  <si>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</si>
  <si>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</si>
  <si>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</si>
  <si>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</si>
  <si>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</si>
  <si>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</si>
  <si>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</si>
  <si>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</si>
  <si>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</si>
  <si>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</si>
  <si>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</si>
  <si>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</si>
  <si>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</si>
  <si>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</si>
  <si>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</si>
  <si>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</si>
  <si>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</si>
  <si>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</si>
  <si>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</si>
  <si>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</si>
  <si>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</si>
  <si>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</si>
  <si>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</si>
  <si>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</si>
  <si>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</si>
  <si>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</si>
  <si>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</si>
  <si>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</si>
  <si>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</si>
  <si>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</si>
  <si>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</si>
  <si>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</si>
  <si>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</si>
  <si>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</si>
  <si>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</si>
  <si>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</si>
  <si>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</si>
  <si>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</si>
  <si>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</si>
  <si>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</si>
  <si>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</si>
  <si>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</si>
  <si>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</si>
  <si>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</si>
  <si>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</si>
  <si>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</si>
  <si>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</si>
  <si>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</si>
  <si>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</si>
  <si>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</si>
  <si>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</si>
  <si>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</si>
  <si>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</si>
  <si>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</si>
  <si>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</si>
  <si>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</si>
  <si>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</si>
  <si>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</si>
  <si>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</si>
  <si>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</si>
  <si>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</si>
  <si>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</si>
  <si>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</si>
  <si>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</si>
  <si>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</si>
  <si>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</si>
  <si>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</si>
  <si>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</si>
  <si>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</si>
  <si>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</si>
  <si>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</si>
  <si>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</si>
  <si>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</si>
  <si>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</si>
  <si>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</si>
  <si>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</si>
  <si>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</si>
  <si>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</si>
  <si>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</si>
  <si>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</si>
  <si>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</si>
  <si>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</si>
  <si>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</si>
  <si>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</si>
  <si>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</si>
  <si>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</si>
  <si>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</si>
  <si>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</si>
  <si>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</si>
  <si>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</si>
  <si>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</si>
  <si>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</si>
  <si>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</si>
  <si>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</si>
  <si>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</si>
  <si>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</si>
  <si>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</si>
  <si>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</si>
  <si>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</si>
  <si>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</si>
  <si>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</si>
  <si>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</si>
  <si>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</si>
  <si>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</si>
  <si>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</si>
  <si>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</si>
  <si>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</si>
  <si>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</si>
  <si>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</si>
  <si>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</si>
  <si>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</si>
  <si>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</si>
  <si>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</si>
  <si>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</si>
  <si>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</si>
  <si>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</si>
  <si>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</si>
  <si>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</si>
  <si>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</si>
  <si>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</si>
  <si>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</si>
  <si>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</si>
  <si>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</si>
  <si>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</si>
  <si>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</si>
  <si>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</si>
  <si>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</si>
  <si>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</si>
  <si>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</si>
  <si>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</si>
  <si>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</si>
  <si>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</si>
  <si>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</si>
  <si>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</si>
  <si>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</si>
  <si>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</si>
  <si>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</si>
  <si>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</si>
  <si>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</si>
  <si>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</si>
  <si>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</si>
  <si>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</si>
  <si>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</si>
  <si>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</si>
  <si>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</si>
  <si>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</si>
  <si>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</si>
  <si>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</si>
  <si>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</si>
  <si>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</si>
  <si>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</si>
  <si>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</si>
  <si>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</si>
  <si>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</si>
  <si>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</si>
  <si>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</si>
  <si>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</si>
  <si>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</si>
  <si>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</si>
  <si>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</si>
  <si>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</si>
  <si>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</si>
  <si>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</si>
  <si>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</si>
  <si>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</si>
  <si>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</si>
  <si>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</si>
  <si>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</si>
  <si>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</si>
  <si>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</si>
  <si>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</si>
  <si>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</si>
  <si>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</si>
  <si>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</si>
  <si>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</si>
  <si>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</si>
  <si>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</si>
  <si>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</si>
  <si>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</si>
  <si>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</si>
  <si>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</si>
  <si>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</si>
  <si>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</si>
  <si>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</si>
  <si>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</si>
  <si>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</si>
  <si>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</si>
  <si>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</si>
  <si>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</si>
  <si>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</si>
  <si>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</si>
  <si>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</si>
  <si>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</si>
  <si>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</si>
  <si>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</si>
  <si>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</si>
  <si>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</si>
  <si>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</si>
  <si>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</si>
  <si>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</si>
  <si>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</si>
  <si>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</si>
  <si>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</si>
  <si>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</si>
  <si>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</si>
  <si>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</si>
  <si>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</si>
  <si>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</si>
  <si>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</si>
  <si>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</si>
  <si>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</si>
  <si>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</si>
  <si>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</si>
  <si>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</si>
  <si>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</si>
  <si>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</si>
  <si>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</si>
  <si>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</si>
  <si>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</si>
  <si>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</si>
  <si>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</si>
  <si>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</si>
  <si>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</si>
  <si>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</si>
  <si>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</si>
  <si>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</si>
  <si>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</si>
  <si>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</si>
  <si>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</si>
  <si>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</si>
  <si>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</si>
  <si>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</si>
  <si>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</si>
  <si>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</si>
  <si>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</si>
  <si>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</si>
  <si>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</si>
  <si>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</si>
  <si>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</si>
  <si>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</si>
  <si>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</si>
  <si>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</si>
  <si>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</si>
  <si>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</si>
  <si>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</si>
  <si>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</si>
  <si>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</si>
  <si>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</si>
  <si>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</si>
  <si>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</si>
  <si>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</si>
  <si>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</si>
  <si>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</si>
  <si>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</si>
  <si>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</si>
  <si>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</si>
  <si>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</si>
  <si>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</si>
  <si>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</si>
  <si>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</si>
  <si>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</si>
  <si>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</si>
  <si>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</si>
  <si>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</si>
  <si>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</si>
  <si>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</si>
  <si>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</si>
  <si>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</si>
  <si>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</si>
  <si>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</si>
  <si>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</si>
  <si>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</si>
  <si>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</si>
  <si>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</si>
  <si>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</si>
  <si>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</si>
  <si>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</si>
  <si>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</si>
  <si>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</si>
  <si>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</si>
  <si>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</si>
  <si>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</si>
  <si>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</si>
  <si>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</si>
  <si>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</si>
  <si>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</si>
  <si>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</si>
  <si>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</si>
  <si>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</si>
  <si>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</si>
  <si>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</si>
  <si>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</si>
  <si>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</si>
  <si>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</si>
  <si>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</si>
  <si>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</si>
  <si>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</si>
  <si>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</si>
  <si>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</si>
  <si>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</si>
  <si>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</si>
  <si>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</si>
  <si>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</si>
  <si>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</si>
  <si>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</si>
  <si>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</si>
  <si>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</si>
  <si>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</si>
  <si>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</si>
  <si>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</si>
  <si>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</si>
  <si>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</si>
  <si>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</si>
  <si>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</si>
  <si>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</si>
  <si>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</si>
  <si>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</si>
  <si>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</si>
  <si>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</si>
  <si>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</si>
  <si>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</si>
  <si>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</si>
  <si>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</si>
  <si>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</si>
  <si>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</si>
  <si>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</si>
  <si>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</si>
  <si>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</si>
  <si>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</si>
  <si>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</si>
  <si>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</si>
  <si>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</si>
  <si>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</si>
  <si>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</si>
  <si>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</si>
  <si>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</si>
  <si>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</si>
  <si>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</si>
  <si>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</si>
  <si>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</si>
  <si>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</si>
  <si>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</si>
  <si>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</si>
  <si>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</si>
  <si>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</si>
  <si>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</si>
  <si>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</si>
  <si>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</si>
  <si>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</si>
  <si>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</si>
  <si>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</si>
  <si>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</si>
  <si>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</si>
  <si>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</si>
  <si>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</si>
  <si>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</si>
  <si>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</si>
  <si>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</si>
  <si>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</si>
  <si>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</si>
  <si>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</si>
  <si>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</si>
  <si>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</si>
  <si>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</si>
  <si>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</si>
  <si>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</si>
  <si>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</si>
  <si>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</si>
  <si>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</si>
  <si>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</si>
  <si>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</si>
  <si>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</si>
  <si>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</si>
  <si>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</si>
  <si>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</si>
  <si>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</si>
  <si>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</si>
  <si>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</si>
  <si>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</si>
  <si>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</si>
  <si>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</si>
  <si>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</si>
  <si>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</si>
  <si>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</si>
  <si>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</si>
  <si>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</si>
  <si>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</si>
  <si>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</si>
  <si>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</si>
  <si>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</si>
  <si>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</si>
  <si>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</si>
  <si>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</si>
  <si>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</si>
  <si>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</si>
  <si>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</si>
  <si>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</si>
  <si>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</si>
  <si>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</si>
  <si>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</si>
  <si>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</si>
  <si>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</si>
  <si>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</si>
  <si>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</si>
  <si>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</si>
  <si>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</si>
  <si>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</si>
  <si>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</si>
  <si>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</si>
  <si>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</si>
  <si>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</si>
  <si>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</si>
  <si>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</si>
  <si>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</si>
  <si>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</si>
  <si>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</si>
  <si>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</si>
  <si>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</si>
  <si>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</si>
  <si>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</si>
  <si>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</si>
  <si>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</si>
  <si>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</si>
  <si>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</si>
  <si>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</si>
  <si>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</si>
  <si>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</si>
  <si>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</si>
  <si>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</si>
  <si>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</si>
  <si>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</si>
  <si>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</si>
  <si>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</si>
  <si>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</si>
  <si>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</si>
  <si>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</si>
  <si>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</si>
  <si>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</si>
  <si>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</si>
  <si>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</si>
  <si>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</si>
  <si>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</si>
  <si>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</si>
  <si>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</si>
  <si>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</si>
  <si>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</si>
  <si>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</si>
  <si>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</si>
  <si>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</si>
  <si>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</si>
  <si>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</si>
  <si>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</si>
  <si>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</si>
  <si>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</si>
  <si>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</si>
  <si>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</si>
  <si>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</si>
  <si>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</si>
  <si>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</si>
  <si>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</si>
  <si>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</si>
  <si>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</si>
  <si>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</si>
  <si>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</si>
  <si>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</si>
  <si>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</si>
  <si>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</si>
  <si>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</si>
  <si>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</si>
  <si>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</si>
  <si>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</si>
  <si>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</si>
  <si>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</si>
  <si>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</si>
  <si>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</si>
  <si>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</si>
  <si>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</si>
  <si>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</si>
  <si>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</si>
  <si>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</si>
  <si>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</si>
  <si>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</si>
  <si>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</si>
  <si>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</si>
  <si>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</si>
  <si>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</si>
  <si>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</si>
  <si>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</si>
  <si>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</si>
  <si>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</si>
  <si>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</si>
  <si>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</si>
  <si>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</si>
  <si>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</si>
  <si>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</si>
  <si>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</si>
  <si>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</si>
  <si>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</si>
  <si>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</si>
  <si>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</si>
  <si>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</si>
  <si>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</si>
  <si>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</si>
  <si>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</si>
  <si>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</si>
  <si>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</si>
  <si>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</si>
  <si>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</si>
  <si>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</si>
  <si>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</si>
  <si>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</si>
  <si>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</si>
  <si>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</si>
  <si>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</si>
  <si>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</si>
  <si>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</si>
  <si>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</si>
  <si>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</si>
  <si>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</si>
  <si>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</si>
  <si>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</si>
  <si>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</si>
  <si>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</si>
  <si>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</si>
  <si>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</si>
  <si>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</si>
  <si>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</si>
  <si>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</si>
  <si>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</si>
  <si>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</si>
  <si>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</si>
  <si>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</si>
  <si>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</si>
  <si>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</si>
  <si>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</si>
  <si>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</si>
  <si>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</si>
  <si>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</si>
  <si>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</si>
  <si>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</si>
  <si>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</si>
  <si>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</si>
  <si>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</si>
  <si>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</si>
  <si>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</si>
  <si>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</si>
  <si>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</si>
  <si>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</si>
  <si>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</si>
  <si>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</si>
  <si>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</si>
  <si>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</si>
  <si>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</si>
  <si>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</si>
  <si>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</si>
  <si>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</si>
  <si>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</si>
  <si>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</si>
  <si>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</si>
  <si>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</si>
  <si>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</si>
  <si>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</si>
  <si>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</si>
  <si>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</si>
  <si>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</si>
  <si>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</si>
  <si>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</si>
  <si>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</si>
  <si>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</si>
  <si>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</si>
  <si>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</si>
  <si>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</si>
  <si>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</si>
  <si>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</si>
  <si>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</si>
  <si>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</si>
  <si>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</si>
  <si>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</si>
  <si>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</si>
  <si>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</si>
  <si>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</si>
  <si>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</si>
  <si>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</si>
  <si>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</si>
  <si>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</si>
  <si>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</si>
  <si>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</si>
  <si>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</si>
  <si>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</si>
  <si>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</si>
  <si>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</si>
  <si>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</si>
  <si>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</si>
  <si>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</si>
  <si>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</si>
  <si>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</si>
  <si>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</si>
  <si>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</si>
  <si>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</si>
  <si>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</si>
  <si>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</si>
  <si>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</si>
  <si>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</si>
  <si>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</si>
  <si>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</si>
  <si>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</si>
  <si>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</si>
  <si>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</si>
  <si>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</si>
  <si>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</si>
  <si>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</si>
  <si>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</si>
  <si>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</si>
  <si>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</si>
  <si>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</si>
  <si>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</si>
  <si>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</si>
  <si>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</si>
  <si>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</si>
  <si>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</si>
  <si>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</si>
  <si>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</si>
  <si>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</si>
  <si>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</si>
  <si>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</si>
  <si>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</si>
  <si>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</si>
  <si>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</si>
  <si>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</si>
  <si>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</si>
  <si>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</si>
  <si>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</si>
  <si>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</si>
  <si>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</si>
  <si>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</si>
  <si>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</si>
  <si>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</si>
  <si>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</si>
  <si>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</si>
  <si>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</si>
  <si>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</si>
  <si>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</si>
  <si>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</si>
  <si>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</si>
  <si>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</si>
  <si>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</si>
  <si>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</si>
  <si>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</si>
  <si>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</si>
  <si>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</si>
  <si>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</si>
  <si>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</si>
  <si>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</si>
  <si>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</si>
  <si>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</si>
  <si>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</si>
  <si>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</si>
  <si>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</si>
  <si>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</si>
  <si>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</si>
  <si>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</si>
  <si>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</si>
  <si>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</si>
  <si>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</si>
  <si>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</si>
  <si>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</si>
  <si>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</si>
  <si>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</si>
  <si>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</si>
  <si>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</si>
  <si>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</si>
  <si>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</si>
  <si>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</si>
  <si>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</si>
  <si>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</si>
  <si>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</si>
  <si>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</si>
  <si>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</si>
  <si>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</si>
  <si>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</si>
  <si>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</si>
  <si>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</si>
  <si>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</si>
  <si>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</si>
  <si>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</si>
  <si>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</si>
  <si>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</si>
  <si>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</si>
  <si>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</si>
  <si>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</si>
  <si>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</si>
  <si>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</si>
  <si>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</si>
  <si>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</si>
  <si>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</si>
  <si>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</si>
  <si>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</si>
  <si>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</si>
  <si>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</si>
  <si>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</si>
  <si>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</si>
  <si>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</si>
  <si>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</si>
  <si>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</si>
  <si>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</si>
  <si>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</si>
  <si>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</si>
  <si>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</si>
  <si>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</si>
  <si>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</si>
  <si>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</si>
  <si>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</si>
  <si>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</si>
  <si>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</si>
  <si>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</si>
  <si>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</si>
  <si>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</si>
  <si>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</si>
  <si>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</si>
  <si>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</si>
  <si>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</si>
  <si>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</si>
  <si>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</si>
  <si>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</si>
  <si>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</si>
  <si>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</si>
  <si>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</si>
  <si>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</si>
  <si>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</si>
  <si>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</si>
  <si>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</si>
  <si>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</si>
  <si>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</si>
  <si>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</si>
  <si>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</si>
  <si>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</si>
  <si>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</si>
  <si>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</si>
  <si>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</si>
  <si>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</si>
  <si>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</si>
  <si>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</si>
  <si>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</si>
  <si>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</si>
  <si>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</si>
  <si>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</si>
  <si>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</si>
  <si>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</si>
  <si>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</si>
  <si>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</si>
  <si>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</si>
  <si>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</si>
  <si>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</si>
  <si>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</si>
  <si>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</si>
  <si>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</si>
  <si>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</si>
  <si>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</si>
  <si>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</si>
  <si>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</si>
  <si>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</si>
  <si>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</si>
  <si>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</si>
  <si>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</si>
  <si>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</si>
  <si>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</si>
  <si>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</si>
  <si>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</si>
  <si>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</si>
  <si>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</si>
  <si>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</si>
  <si>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</si>
  <si>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</si>
  <si>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</si>
  <si>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</si>
  <si>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</si>
  <si>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</si>
  <si>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</si>
  <si>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</si>
  <si>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</si>
  <si>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</si>
  <si>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</si>
  <si>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</si>
  <si>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</si>
  <si>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</si>
  <si>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</si>
  <si>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</si>
  <si>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</si>
  <si>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</si>
  <si>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</si>
  <si>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</si>
  <si>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</si>
  <si>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</si>
  <si>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</si>
  <si>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</si>
  <si>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</si>
  <si>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</si>
  <si>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</si>
  <si>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</si>
  <si>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</si>
  <si>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</si>
  <si>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</si>
  <si>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</si>
  <si>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</si>
  <si>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</si>
  <si>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</si>
  <si>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</si>
  <si>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</si>
  <si>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</si>
  <si>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</si>
  <si>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</si>
  <si>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</si>
  <si>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</si>
  <si>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</si>
  <si>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</si>
  <si>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</si>
  <si>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</si>
  <si>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</si>
  <si>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</si>
  <si>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</si>
  <si>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</si>
  <si>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</si>
  <si>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</si>
  <si>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</si>
  <si>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</si>
  <si>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</si>
  <si>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</si>
  <si>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</si>
  <si>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</si>
  <si>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</si>
  <si>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</si>
  <si>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</si>
  <si>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</si>
  <si>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</si>
  <si>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</si>
  <si>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</si>
  <si>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</si>
  <si>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</si>
  <si>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</si>
  <si>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</si>
  <si>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</si>
  <si>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</si>
  <si>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</si>
  <si>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</si>
  <si>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</si>
  <si>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</si>
  <si>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</si>
  <si>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</si>
  <si>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</si>
  <si>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</si>
  <si>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</si>
  <si>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</si>
  <si>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</si>
  <si>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</si>
  <si>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</si>
  <si>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</si>
  <si>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</si>
  <si>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</si>
  <si>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</si>
  <si>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</si>
  <si>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</si>
  <si>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</si>
  <si>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</si>
  <si>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</si>
  <si>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</si>
  <si>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</si>
  <si>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</si>
  <si>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</si>
  <si>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</si>
  <si>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</si>
  <si>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</si>
  <si>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</si>
  <si>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</si>
  <si>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</si>
  <si>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</si>
  <si>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</si>
  <si>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</si>
  <si>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</si>
  <si>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</si>
  <si>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</si>
  <si>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</si>
  <si>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</si>
  <si>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</si>
  <si>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</si>
  <si>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</si>
  <si>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</si>
  <si>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</si>
  <si>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</si>
  <si>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</si>
  <si>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</si>
  <si>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</si>
  <si>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</si>
  <si>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</si>
  <si>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</si>
  <si>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</si>
  <si>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</si>
  <si>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</si>
  <si>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</si>
  <si>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</si>
  <si>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</si>
  <si>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</si>
  <si>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</si>
  <si>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</si>
  <si>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</si>
  <si>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</si>
  <si>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</si>
  <si>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</si>
  <si>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</si>
  <si>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</si>
  <si>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</si>
  <si>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</si>
  <si>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</si>
  <si>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</si>
  <si>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</si>
  <si>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</si>
  <si>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</si>
  <si>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</si>
  <si>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</si>
  <si>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</si>
  <si>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</si>
  <si>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</si>
  <si>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</si>
  <si>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</si>
  <si>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</si>
  <si>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</si>
  <si>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</si>
  <si>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</si>
  <si>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</si>
  <si>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</si>
  <si>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</si>
  <si>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</si>
  <si>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</si>
  <si>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</si>
  <si>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</si>
  <si>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</si>
  <si>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</si>
  <si>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</si>
  <si>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</si>
  <si>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</si>
  <si>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</si>
  <si>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</si>
  <si>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</si>
  <si>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</si>
  <si>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</si>
  <si>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</si>
  <si>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</si>
  <si>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</si>
  <si>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</si>
  <si>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</si>
  <si>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</si>
  <si>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</si>
  <si>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</si>
  <si>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</si>
  <si>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</si>
  <si>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</si>
  <si>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</si>
  <si>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</si>
  <si>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</si>
  <si>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</si>
  <si>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</si>
  <si>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</si>
  <si>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</si>
  <si>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</si>
  <si>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</si>
  <si>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</si>
  <si>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</si>
  <si>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</si>
  <si>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</si>
  <si>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</si>
  <si>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</si>
  <si>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</si>
  <si>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</si>
  <si>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</si>
  <si>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</si>
  <si>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</si>
  <si>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</si>
  <si>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</si>
  <si>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</si>
  <si>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</si>
  <si>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</si>
  <si>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</si>
  <si>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</si>
  <si>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</si>
  <si>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</si>
  <si>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</si>
  <si>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</si>
  <si>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</si>
  <si>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</si>
  <si>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</si>
  <si>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</si>
  <si>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</si>
  <si>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</si>
  <si>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</si>
  <si>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</si>
  <si>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</si>
  <si>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</si>
  <si>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</si>
  <si>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</si>
  <si>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</si>
  <si>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</si>
  <si>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</si>
  <si>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</si>
  <si>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</si>
  <si>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</si>
  <si>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</si>
  <si>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</si>
  <si>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</si>
  <si>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</si>
  <si>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</si>
  <si>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</si>
  <si>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</si>
  <si>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</si>
  <si>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</si>
  <si>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</si>
  <si>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</si>
  <si>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</si>
  <si>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</si>
  <si>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</si>
  <si>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</si>
  <si>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</si>
  <si>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</si>
  <si>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</si>
  <si>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</si>
  <si>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</si>
  <si>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</si>
  <si>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</si>
  <si>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</si>
  <si>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</si>
  <si>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</si>
  <si>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</si>
  <si>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</si>
  <si>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</si>
  <si>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</si>
  <si>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</si>
  <si>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</si>
  <si>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</si>
  <si>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</si>
  <si>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</si>
  <si>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</si>
  <si>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</si>
  <si>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</si>
  <si>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</si>
  <si>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</si>
  <si>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</si>
  <si>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</si>
  <si>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</si>
  <si>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</si>
  <si>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</si>
  <si>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</si>
  <si>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</si>
  <si>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</si>
  <si>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</si>
  <si>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</si>
  <si>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</si>
  <si>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</si>
  <si>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</si>
  <si>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</si>
  <si>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</si>
  <si>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</si>
  <si>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</si>
  <si>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</si>
  <si>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</si>
  <si>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</si>
  <si>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</si>
  <si>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</si>
  <si>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</si>
  <si>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</si>
  <si>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</si>
  <si>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</si>
  <si>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</si>
  <si>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</si>
  <si>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</si>
  <si>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</si>
  <si>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</si>
  <si>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</si>
  <si>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</si>
  <si>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</si>
  <si>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</si>
  <si>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</si>
  <si>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</si>
  <si>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</si>
  <si>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</si>
  <si>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</si>
  <si>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 xml:space="preserve"> CDE Conta Covid</t>
  </si>
  <si>
    <t>Parcela EER</t>
  </si>
  <si>
    <t>CDE Eletrobrás</t>
  </si>
  <si>
    <t>DSP 1.708/2022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</si>
  <si>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</si>
  <si>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</si>
  <si>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</si>
  <si>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</si>
  <si>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</si>
  <si>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</si>
  <si>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</si>
  <si>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</si>
  <si>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</si>
  <si>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</si>
  <si>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</si>
  <si>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</si>
  <si>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</si>
  <si>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</si>
  <si>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</si>
  <si>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</si>
  <si>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</si>
  <si>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Previsão-SGT-2022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</si>
  <si>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</si>
  <si>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</si>
  <si>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</si>
  <si>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</si>
  <si>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</si>
  <si>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</si>
  <si>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</si>
  <si>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</si>
  <si>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</si>
  <si>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</si>
  <si>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</si>
  <si>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</si>
  <si>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</si>
  <si>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</si>
  <si>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</si>
  <si>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</si>
  <si>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</si>
  <si>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</si>
  <si>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</si>
  <si>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</si>
  <si>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</si>
  <si>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</si>
  <si>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</si>
  <si>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</si>
  <si>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</si>
  <si>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</si>
  <si>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</si>
  <si>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</si>
  <si>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</si>
  <si>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</si>
  <si>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</si>
  <si>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</si>
  <si>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</si>
  <si>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</si>
  <si>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</si>
  <si>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</si>
  <si>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</si>
  <si>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</si>
  <si>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</si>
  <si>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</si>
  <si>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</si>
  <si>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</si>
  <si>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</si>
  <si>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</si>
  <si>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</si>
  <si>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</si>
  <si>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</si>
  <si>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</si>
  <si>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</si>
  <si>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</si>
  <si>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</si>
  <si>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</si>
  <si>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</si>
  <si>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</si>
  <si>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</si>
  <si>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</si>
  <si>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</si>
  <si>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</si>
  <si>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</si>
  <si>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</si>
  <si>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</si>
  <si>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</si>
  <si>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</si>
  <si>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</si>
  <si>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</si>
  <si>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</si>
  <si>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</si>
  <si>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</si>
  <si>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</si>
  <si>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</si>
  <si>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</si>
  <si>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</si>
  <si>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</si>
  <si>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CVE Energia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</si>
  <si>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</si>
  <si>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</si>
  <si>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</si>
  <si>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</si>
  <si>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</si>
  <si>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</si>
  <si>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</si>
  <si>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</si>
  <si>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</si>
  <si>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CVE Encargos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</si>
  <si>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</si>
  <si>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</si>
  <si>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</si>
  <si>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</si>
  <si>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</si>
  <si>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</si>
  <si>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</si>
  <si>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48500.004968/2021-33</t>
  </si>
  <si>
    <t>EUST - FR</t>
  </si>
  <si>
    <t>EUST - RB</t>
  </si>
  <si>
    <t>RGE Uni</t>
  </si>
  <si>
    <t>RESOLUÇÃO HOMOLOGATÓRIA Nº 3.045, DE 21 DE JUNHO DE 2022</t>
  </si>
  <si>
    <t>Energia suprimento permissionária</t>
  </si>
  <si>
    <t>5939</t>
  </si>
  <si>
    <t>Cooperativa de Distribuição e Geração de Energia das Missões - CERMISSÕES</t>
  </si>
  <si>
    <t>396</t>
  </si>
  <si>
    <t>RGE SUL DISTRIBUIDORA DE ENERGIA S.A.</t>
  </si>
  <si>
    <t>Branca</t>
  </si>
  <si>
    <t>Intermediário</t>
  </si>
  <si>
    <t>Fonte incentivada</t>
  </si>
  <si>
    <t>LIVRE</t>
  </si>
  <si>
    <t>SANTO ANGELO2 - 23 kV (A)</t>
  </si>
  <si>
    <t>23</t>
  </si>
  <si>
    <t>MISSOES - 69 kV (C)</t>
  </si>
  <si>
    <t>69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</si>
  <si>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</si>
  <si>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</si>
  <si>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</si>
  <si>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</si>
  <si>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</si>
  <si>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</si>
  <si>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</si>
  <si>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</si>
  <si>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</si>
  <si>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Electra Comercializadora de Energia Ltda.</t>
  </si>
  <si>
    <t>48500.005617/2020-69</t>
  </si>
  <si>
    <t>Ofício nº26, de 28/06/2022</t>
  </si>
  <si>
    <t>(Neutralidade)Financeiro e Encargo Conta Covid</t>
  </si>
  <si>
    <t>Informações para o cálculo da Sobrecontratação</t>
  </si>
  <si>
    <t>Perdas DRA realizadas</t>
  </si>
  <si>
    <t>Soma de TE_E</t>
  </si>
  <si>
    <t>Reversão Risco Hidrológico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</si>
  <si>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</si>
  <si>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</si>
  <si>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</si>
  <si>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</si>
  <si>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</si>
  <si>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</si>
  <si>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</si>
  <si>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</si>
  <si>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</si>
  <si>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</si>
  <si>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</si>
  <si>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</si>
  <si>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</si>
  <si>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</si>
  <si>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</si>
  <si>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</si>
  <si>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</si>
  <si>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</si>
  <si>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</si>
  <si>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</si>
  <si>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</si>
  <si>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</si>
  <si>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</si>
  <si>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 xml:space="preserve">DATA </t>
  </si>
  <si>
    <t>PIS</t>
  </si>
  <si>
    <t>ESTIMATIVA MENSAL DE TRIBUTOS RECOLHIDOS PIS/COFINS</t>
  </si>
  <si>
    <t>Dados SFF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</si>
  <si>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</si>
  <si>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</si>
  <si>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</si>
  <si>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</si>
  <si>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</si>
  <si>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Sobrecontratação/Reversão de Energia</t>
  </si>
  <si>
    <t>Conta Escassez Hídrica - Importação</t>
  </si>
  <si>
    <t>Conta Escassez Hídrica - Bônus de Redução Voluntária</t>
  </si>
  <si>
    <t>Conta Escassez Hidrica - Diferimento de Energia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</si>
</sst>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mmm/yyyy"/>
  </numFmts>
  <fonts count="326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147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2F2F2"/>
        <bgColor rgb="FF000000"/>
      </patternFill>
    </fill>
    <fill>
      <patternFill patternType="darkGray"/>
    </fill>
    <fill>
      <patternFill patternType="mediumGray">
        <bgColor indexed="9"/>
      </patternFill>
    </fill>
    <fill>
      <patternFill patternType="darkGray">
        <bgColor indexed="9"/>
      </patternFill>
    </fill>
    <fill>
      <patternFill patternType="darkGray">
        <bgColor rgb="FFE9F7FF"/>
      </patternFill>
    </fill>
    <fill>
      <patternFill patternType="darkGray">
        <bgColor theme="4" tint="-0.499984740745262"/>
      </patternFill>
    </fill>
    <fill>
      <patternFill patternType="darkGray">
        <bgColor theme="8" tint="0.59999389629810485"/>
      </patternFill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  <fill>
      <patternFill patternType="darkGray">
        <bgColor theme="3" tint="-0.249977111117893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</fills>
  <borders count="2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</borders>
  <cellStyleXfs count="43442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7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8" fontId="60" fillId="0" borderId="0">
      <alignment vertical="top"/>
    </xf>
    <xf numFmtId="179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80" fontId="42" fillId="0" borderId="0" applyFill="0" applyBorder="0" applyAlignment="0"/>
    <xf numFmtId="178" fontId="65" fillId="0" borderId="0" applyFill="0" applyBorder="0" applyAlignment="0"/>
    <xf numFmtId="174" fontId="65" fillId="0" borderId="0" applyFill="0" applyBorder="0" applyAlignment="0"/>
    <xf numFmtId="175" fontId="47" fillId="0" borderId="0" applyFill="0" applyBorder="0" applyAlignment="0"/>
    <xf numFmtId="181" fontId="32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80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8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8" fontId="114" fillId="0" borderId="0" applyFont="0" applyFill="0" applyBorder="0" applyAlignment="0" applyProtection="0"/>
    <xf numFmtId="178" fontId="65" fillId="0" borderId="0" applyFont="0" applyFill="0" applyBorder="0" applyAlignment="0" applyProtection="0"/>
    <xf numFmtId="199" fontId="114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63" fillId="0" borderId="0">
      <protection locked="0"/>
    </xf>
    <xf numFmtId="169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3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4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5" fontId="32" fillId="0" borderId="0">
      <protection locked="0"/>
    </xf>
    <xf numFmtId="186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8" fillId="0" borderId="8" applyNumberFormat="0" applyFill="0" applyAlignment="0" applyProtection="0"/>
    <xf numFmtId="167" fontId="30" fillId="0" borderId="0" applyFont="0" applyFill="0" applyBorder="0" applyAlignment="0" applyProtection="0"/>
    <xf numFmtId="188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9" fontId="90" fillId="0" borderId="0"/>
    <xf numFmtId="190" fontId="91" fillId="0" borderId="0"/>
    <xf numFmtId="191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7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3" fontId="63" fillId="0" borderId="0">
      <protection locked="0"/>
    </xf>
    <xf numFmtId="194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7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80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3" fontId="32" fillId="0" borderId="0"/>
    <xf numFmtId="203" fontId="32" fillId="0" borderId="0"/>
    <xf numFmtId="203" fontId="32" fillId="0" borderId="0"/>
    <xf numFmtId="203" fontId="32" fillId="0" borderId="0"/>
    <xf numFmtId="190" fontId="118" fillId="0" borderId="0"/>
    <xf numFmtId="191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4" fontId="72" fillId="0" borderId="0"/>
    <xf numFmtId="184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32" fillId="0" borderId="0"/>
    <xf numFmtId="0" fontId="120" fillId="0" borderId="0"/>
    <xf numFmtId="0" fontId="32" fillId="0" borderId="0"/>
    <xf numFmtId="0" fontId="29" fillId="0" borderId="0"/>
    <xf numFmtId="17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8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8" fontId="126" fillId="0" borderId="0" applyFill="0" applyBorder="0" applyProtection="0">
      <alignment horizontal="right"/>
      <protection locked="0"/>
    </xf>
    <xf numFmtId="207" fontId="126" fillId="0" borderId="0" applyFont="0" applyFill="0" applyBorder="0" applyAlignment="0"/>
    <xf numFmtId="208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9" fontId="118" fillId="0" borderId="0" applyFill="0" applyBorder="0" applyProtection="0">
      <alignment horizontal="right"/>
      <protection locked="0"/>
    </xf>
    <xf numFmtId="210" fontId="126" fillId="0" borderId="41" applyFont="0" applyFill="0" applyBorder="0" applyAlignment="0"/>
    <xf numFmtId="211" fontId="126" fillId="0" borderId="0" applyFill="0" applyBorder="0" applyProtection="0">
      <alignment horizontal="right"/>
      <protection locked="0"/>
    </xf>
    <xf numFmtId="212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8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9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7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3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213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8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7" fontId="26" fillId="0" borderId="0" applyFont="0" applyFill="0" applyBorder="0" applyAlignment="0" applyProtection="0"/>
    <xf numFmtId="0" fontId="88" fillId="31" borderId="0" applyNumberFormat="0" applyBorder="0" applyAlignment="0" applyProtection="0"/>
    <xf numFmtId="190" fontId="118" fillId="0" borderId="0"/>
    <xf numFmtId="190" fontId="118" fillId="0" borderId="0"/>
    <xf numFmtId="191" fontId="118" fillId="0" borderId="0"/>
    <xf numFmtId="191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8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7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10" fontId="126" fillId="0" borderId="56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7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10" fontId="126" fillId="0" borderId="62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7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10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7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10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7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10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10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10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7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7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10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9" fontId="91" fillId="0" borderId="0" applyFill="0" applyBorder="0" applyProtection="0">
      <alignment horizontal="right"/>
      <protection locked="0"/>
    </xf>
    <xf numFmtId="212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7" fontId="3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87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10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10" fontId="126" fillId="0" borderId="85" applyFont="0" applyFill="0" applyBorder="0" applyAlignment="0"/>
    <xf numFmtId="210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7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2" fontId="63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4" borderId="0" applyNumberFormat="0" applyBorder="0" applyAlignment="0" applyProtection="0"/>
    <xf numFmtId="221" fontId="52" fillId="11" borderId="0" applyNumberFormat="0" applyBorder="0" applyAlignment="0" applyProtection="0"/>
    <xf numFmtId="221" fontId="52" fillId="12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4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4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7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4" fontId="32" fillId="0" borderId="0"/>
    <xf numFmtId="181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8" fontId="157" fillId="0" borderId="0">
      <alignment horizontal="right"/>
    </xf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2" fontId="121" fillId="0" borderId="63" applyAlignment="0" applyProtection="0"/>
    <xf numFmtId="221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220" fontId="66" fillId="26" borderId="93" applyNumberFormat="0" applyAlignment="0" applyProtection="0"/>
    <xf numFmtId="221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3" fontId="32" fillId="0" borderId="0" applyFont="0" applyFill="0" applyBorder="0" applyAlignment="0" applyProtection="0"/>
    <xf numFmtId="224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5" fontId="160" fillId="0" borderId="0"/>
    <xf numFmtId="225" fontId="160" fillId="0" borderId="0"/>
    <xf numFmtId="213" fontId="126" fillId="0" borderId="0" applyFill="0" applyBorder="0" applyAlignment="0" applyProtection="0"/>
    <xf numFmtId="40" fontId="126" fillId="0" borderId="0" applyFill="0" applyBorder="0" applyAlignment="0" applyProtection="0"/>
    <xf numFmtId="226" fontId="126" fillId="82" borderId="0" applyFill="0" applyBorder="0" applyAlignment="0">
      <alignment vertical="top"/>
    </xf>
    <xf numFmtId="227" fontId="126" fillId="0" borderId="0" applyFill="0" applyBorder="0" applyAlignment="0" applyProtection="0"/>
    <xf numFmtId="18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6" fontId="37" fillId="0" borderId="0" applyProtection="0"/>
    <xf numFmtId="223" fontId="37" fillId="0" borderId="0" applyProtection="0"/>
    <xf numFmtId="168" fontId="37" fillId="0" borderId="0" applyProtection="0"/>
    <xf numFmtId="166" fontId="85" fillId="0" borderId="0" applyProtection="0"/>
    <xf numFmtId="223" fontId="85" fillId="0" borderId="0" applyProtection="0"/>
    <xf numFmtId="168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8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2" fontId="71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3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18" borderId="0" applyNumberFormat="0" applyBorder="0" applyAlignment="0" applyProtection="0"/>
    <xf numFmtId="221" fontId="52" fillId="19" borderId="0" applyNumberFormat="0" applyBorder="0" applyAlignment="0" applyProtection="0"/>
    <xf numFmtId="221" fontId="52" fillId="20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4" fontId="32" fillId="0" borderId="0" applyFont="0" applyFill="0" applyBorder="0" applyAlignment="0" applyProtection="0"/>
    <xf numFmtId="220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229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6" fontId="63" fillId="0" borderId="0">
      <protection locked="0"/>
    </xf>
    <xf numFmtId="186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4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230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1" fontId="32" fillId="0" borderId="0" applyNumberFormat="0" applyFill="0" applyBorder="0" applyAlignment="0" applyProtection="0"/>
    <xf numFmtId="231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234" fontId="140" fillId="0" borderId="0"/>
    <xf numFmtId="234" fontId="140" fillId="0" borderId="0"/>
    <xf numFmtId="234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5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6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7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88" fontId="63" fillId="0" borderId="0">
      <protection locked="0"/>
    </xf>
    <xf numFmtId="188" fontId="63" fillId="0" borderId="0">
      <protection locked="0"/>
    </xf>
    <xf numFmtId="239" fontId="32" fillId="0" borderId="0" applyFont="0" applyFill="0" applyBorder="0" applyAlignment="0" applyProtection="0"/>
    <xf numFmtId="24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9" fontId="146" fillId="0" borderId="0" applyProtection="0"/>
    <xf numFmtId="241" fontId="146" fillId="0" borderId="0" applyProtection="0"/>
    <xf numFmtId="242" fontId="146" fillId="0" borderId="0" applyProtection="0"/>
    <xf numFmtId="169" fontId="146" fillId="0" borderId="0" applyProtection="0"/>
    <xf numFmtId="241" fontId="146" fillId="0" borderId="0" applyProtection="0"/>
    <xf numFmtId="242" fontId="146" fillId="0" borderId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33" fontId="140" fillId="0" borderId="0"/>
    <xf numFmtId="233" fontId="140" fillId="0" borderId="0"/>
    <xf numFmtId="233" fontId="140" fillId="0" borderId="0"/>
    <xf numFmtId="244" fontId="140" fillId="0" borderId="0">
      <alignment horizontal="right"/>
    </xf>
    <xf numFmtId="244" fontId="140" fillId="0" borderId="0">
      <alignment horizontal="right"/>
    </xf>
    <xf numFmtId="244" fontId="140" fillId="0" borderId="0">
      <alignment horizontal="right"/>
    </xf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0" fontId="30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32" fillId="0" borderId="0"/>
    <xf numFmtId="221" fontId="32" fillId="0" borderId="0"/>
    <xf numFmtId="221" fontId="32" fillId="0" borderId="0"/>
    <xf numFmtId="221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0" fontId="32" fillId="0" borderId="0"/>
    <xf numFmtId="221" fontId="32" fillId="0" borderId="0"/>
    <xf numFmtId="0" fontId="32" fillId="0" borderId="0"/>
    <xf numFmtId="0" fontId="32" fillId="0" borderId="0"/>
    <xf numFmtId="220" fontId="32" fillId="0" borderId="0"/>
    <xf numFmtId="221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72" fillId="0" borderId="0"/>
    <xf numFmtId="221" fontId="72" fillId="0" borderId="0"/>
    <xf numFmtId="220" fontId="32" fillId="0" borderId="0"/>
    <xf numFmtId="0" fontId="32" fillId="0" borderId="0"/>
    <xf numFmtId="221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184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1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8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5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6" fontId="126" fillId="82" borderId="0" applyFill="0" applyBorder="0" applyAlignment="0" applyProtection="0">
      <alignment vertical="top"/>
    </xf>
    <xf numFmtId="247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10" fontId="71" fillId="0" borderId="0" applyFont="0" applyFill="0" applyBorder="0" applyAlignment="0" applyProtection="0"/>
    <xf numFmtId="250" fontId="63" fillId="0" borderId="0">
      <protection locked="0"/>
    </xf>
    <xf numFmtId="193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1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20" fontId="92" fillId="26" borderId="98" applyNumberFormat="0" applyAlignment="0" applyProtection="0"/>
    <xf numFmtId="221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92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19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0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6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4" fontId="101" fillId="0" borderId="0" applyNumberFormat="0" applyFill="0" applyBorder="0" applyAlignment="0" applyProtection="0"/>
    <xf numFmtId="220" fontId="103" fillId="0" borderId="25" applyNumberFormat="0" applyFill="0" applyAlignment="0" applyProtection="0"/>
    <xf numFmtId="221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5" applyNumberFormat="0" applyFill="0" applyAlignment="0" applyProtection="0"/>
    <xf numFmtId="221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4" fillId="0" borderId="26" applyNumberFormat="0" applyFill="0" applyAlignment="0" applyProtection="0"/>
    <xf numFmtId="221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6" applyNumberFormat="0" applyFill="0" applyAlignment="0" applyProtection="0"/>
    <xf numFmtId="221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192" fontId="164" fillId="0" borderId="0">
      <protection locked="0"/>
    </xf>
    <xf numFmtId="192" fontId="164" fillId="0" borderId="0">
      <protection locked="0"/>
    </xf>
    <xf numFmtId="0" fontId="32" fillId="91" borderId="0"/>
    <xf numFmtId="0" fontId="183" fillId="26" borderId="10"/>
    <xf numFmtId="178" fontId="196" fillId="0" borderId="0">
      <alignment horizontal="left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3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94" fontId="63" fillId="0" borderId="0">
      <protection locked="0"/>
    </xf>
    <xf numFmtId="194" fontId="63" fillId="0" borderId="0">
      <protection locked="0"/>
    </xf>
    <xf numFmtId="189" fontId="146" fillId="0" borderId="0" applyFont="0" applyFill="0" applyBorder="0" applyAlignment="0" applyProtection="0"/>
    <xf numFmtId="189" fontId="146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5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10" fontId="126" fillId="0" borderId="110" applyFont="0" applyFill="0" applyBorder="0" applyAlignment="0"/>
    <xf numFmtId="210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2" borderId="158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8" fontId="3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868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8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7" fontId="43" fillId="41" borderId="0" xfId="907" applyNumberFormat="1" applyFont="1" applyFill="1"/>
    <xf numFmtId="167" fontId="137" fillId="41" borderId="0" xfId="1033" applyFont="1" applyFill="1" applyBorder="1"/>
    <xf numFmtId="167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7" fontId="43" fillId="41" borderId="0" xfId="815" applyFont="1" applyFill="1" applyBorder="1" applyAlignment="1" applyProtection="1"/>
    <xf numFmtId="167" fontId="38" fillId="41" borderId="0" xfId="907" applyNumberFormat="1" applyFont="1" applyFill="1" applyProtection="1">
      <protection hidden="1"/>
    </xf>
    <xf numFmtId="167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7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7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7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7" fontId="110" fillId="41" borderId="0" xfId="815" applyFont="1" applyFill="1" applyBorder="1"/>
    <xf numFmtId="217" fontId="43" fillId="33" borderId="0" xfId="1095" applyNumberFormat="1" applyFont="1" applyFill="1" applyBorder="1" applyAlignment="1">
      <alignment horizontal="center"/>
    </xf>
    <xf numFmtId="167" fontId="43" fillId="33" borderId="0" xfId="815" applyFont="1" applyFill="1" applyBorder="1"/>
    <xf numFmtId="217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7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7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2" fontId="32" fillId="0" borderId="0" xfId="863" applyNumberFormat="1" applyFont="1"/>
    <xf numFmtId="255" fontId="32" fillId="0" borderId="0" xfId="863" applyNumberFormat="1" applyFont="1"/>
    <xf numFmtId="0" fontId="205" fillId="0" borderId="0" xfId="0" applyFont="1"/>
    <xf numFmtId="168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7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7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4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8" fontId="205" fillId="45" borderId="0" xfId="863" applyFont="1" applyFill="1" applyBorder="1"/>
    <xf numFmtId="168" fontId="205" fillId="41" borderId="0" xfId="863" applyFont="1" applyFill="1" applyBorder="1"/>
    <xf numFmtId="168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8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8" fontId="205" fillId="41" borderId="0" xfId="43185" applyNumberFormat="1" applyFont="1" applyFill="1" applyBorder="1" applyAlignment="1" applyProtection="1">
      <alignment horizontal="right"/>
      <protection locked="0"/>
    </xf>
    <xf numFmtId="167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5" fontId="205" fillId="0" borderId="0" xfId="43184" applyFont="1" applyBorder="1"/>
    <xf numFmtId="43" fontId="205" fillId="0" borderId="0" xfId="2697" applyNumberFormat="1" applyFont="1"/>
    <xf numFmtId="165" fontId="205" fillId="0" borderId="0" xfId="2697" applyNumberFormat="1" applyFont="1"/>
    <xf numFmtId="165" fontId="209" fillId="0" borderId="0" xfId="2697" applyNumberFormat="1" applyFont="1"/>
    <xf numFmtId="167" fontId="205" fillId="0" borderId="0" xfId="815" applyFont="1"/>
    <xf numFmtId="167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7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5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7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5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70" fontId="205" fillId="0" borderId="0" xfId="863" applyNumberFormat="1" applyFont="1" applyBorder="1"/>
    <xf numFmtId="43" fontId="205" fillId="57" borderId="0" xfId="863" applyNumberFormat="1" applyFont="1" applyFill="1" applyBorder="1"/>
    <xf numFmtId="167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6" fontId="208" fillId="0" borderId="0" xfId="907" applyNumberFormat="1" applyFont="1"/>
    <xf numFmtId="168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0" fontId="211" fillId="41" borderId="0" xfId="0" applyFont="1" applyFill="1" applyAlignment="1">
      <alignment horizontal="right" vertical="center"/>
    </xf>
    <xf numFmtId="168" fontId="205" fillId="0" borderId="0" xfId="863" applyFont="1" applyBorder="1"/>
    <xf numFmtId="43" fontId="205" fillId="0" borderId="0" xfId="0" applyNumberFormat="1" applyFont="1"/>
    <xf numFmtId="165" fontId="205" fillId="0" borderId="0" xfId="0" applyNumberFormat="1" applyFont="1"/>
    <xf numFmtId="167" fontId="205" fillId="0" borderId="0" xfId="0" applyNumberFormat="1" applyFont="1"/>
    <xf numFmtId="0" fontId="205" fillId="0" borderId="0" xfId="907" applyFont="1" applyAlignment="1">
      <alignment horizontal="left" indent="2"/>
    </xf>
    <xf numFmtId="219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8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70" fontId="205" fillId="33" borderId="0" xfId="863" applyNumberFormat="1" applyFont="1" applyFill="1" applyAlignment="1">
      <alignment vertical="center"/>
    </xf>
    <xf numFmtId="170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6" fontId="205" fillId="0" borderId="0" xfId="863" applyNumberFormat="1" applyFont="1" applyFill="1" applyBorder="1" applyAlignment="1">
      <alignment vertical="center"/>
    </xf>
    <xf numFmtId="168" fontId="208" fillId="33" borderId="0" xfId="831" applyNumberFormat="1" applyFont="1" applyFill="1" applyAlignment="1">
      <alignment vertical="center"/>
    </xf>
    <xf numFmtId="170" fontId="208" fillId="33" borderId="0" xfId="863" applyNumberFormat="1" applyFont="1" applyFill="1" applyBorder="1" applyAlignment="1">
      <alignment vertical="center"/>
    </xf>
    <xf numFmtId="168" fontId="208" fillId="33" borderId="0" xfId="863" applyFont="1" applyFill="1" applyBorder="1" applyAlignment="1">
      <alignment vertical="center"/>
    </xf>
    <xf numFmtId="176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70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70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8" fontId="208" fillId="41" borderId="0" xfId="863" applyFont="1" applyFill="1" applyBorder="1"/>
    <xf numFmtId="168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70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8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8" fontId="208" fillId="54" borderId="0" xfId="903" applyFont="1" applyFill="1" applyBorder="1" applyAlignment="1">
      <alignment horizontal="right"/>
    </xf>
    <xf numFmtId="168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7" fontId="205" fillId="0" borderId="0" xfId="815" applyFont="1" applyFill="1"/>
    <xf numFmtId="168" fontId="205" fillId="54" borderId="0" xfId="903" applyFont="1" applyFill="1" applyBorder="1" applyAlignment="1">
      <alignment horizontal="left" vertical="top"/>
    </xf>
    <xf numFmtId="215" fontId="205" fillId="54" borderId="0" xfId="903" applyNumberFormat="1" applyFont="1" applyFill="1" applyBorder="1" applyAlignment="1">
      <alignment horizontal="right"/>
    </xf>
    <xf numFmtId="168" fontId="205" fillId="41" borderId="0" xfId="903" applyFont="1" applyFill="1" applyBorder="1" applyAlignment="1">
      <alignment horizontal="left" vertical="top" wrapText="1"/>
    </xf>
    <xf numFmtId="167" fontId="205" fillId="0" borderId="0" xfId="815" applyFont="1" applyFill="1" applyBorder="1" applyAlignment="1">
      <alignment horizontal="right"/>
    </xf>
    <xf numFmtId="167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7" fontId="205" fillId="0" borderId="0" xfId="815" applyFont="1" applyAlignment="1">
      <alignment vertical="center"/>
    </xf>
    <xf numFmtId="167" fontId="205" fillId="41" borderId="20" xfId="815" applyFont="1" applyFill="1" applyBorder="1"/>
    <xf numFmtId="197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8" fontId="205" fillId="41" borderId="0" xfId="863" applyFont="1" applyFill="1"/>
    <xf numFmtId="168" fontId="205" fillId="41" borderId="0" xfId="863" applyFont="1" applyFill="1" applyAlignment="1">
      <alignment vertical="center"/>
    </xf>
    <xf numFmtId="167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7" fontId="205" fillId="0" borderId="20" xfId="815" applyFont="1" applyBorder="1"/>
    <xf numFmtId="167" fontId="205" fillId="0" borderId="20" xfId="815" applyFont="1" applyFill="1" applyBorder="1"/>
    <xf numFmtId="167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5" fontId="205" fillId="46" borderId="0" xfId="2697" applyNumberFormat="1" applyFont="1" applyFill="1"/>
    <xf numFmtId="168" fontId="0" fillId="0" borderId="0" xfId="863" applyFont="1"/>
    <xf numFmtId="168" fontId="30" fillId="0" borderId="0" xfId="863" applyFont="1"/>
    <xf numFmtId="168" fontId="231" fillId="0" borderId="0" xfId="863" applyFont="1"/>
    <xf numFmtId="0" fontId="232" fillId="0" borderId="122" xfId="0" applyFont="1" applyBorder="1"/>
    <xf numFmtId="168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8" fontId="232" fillId="62" borderId="122" xfId="863" applyFont="1" applyFill="1" applyBorder="1"/>
    <xf numFmtId="14" fontId="232" fillId="62" borderId="122" xfId="0" applyNumberFormat="1" applyFont="1" applyFill="1" applyBorder="1"/>
    <xf numFmtId="168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8" fontId="233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5" fillId="0" borderId="0" xfId="847" applyNumberFormat="1" applyFont="1" applyAlignment="1">
      <alignment horizontal="left"/>
    </xf>
    <xf numFmtId="257" fontId="205" fillId="0" borderId="0" xfId="847" applyNumberFormat="1" applyFont="1" applyAlignment="1">
      <alignment horizontal="left"/>
    </xf>
    <xf numFmtId="170" fontId="205" fillId="0" borderId="0" xfId="863" applyNumberFormat="1" applyFont="1" applyAlignment="1">
      <alignment horizontal="left" vertical="top"/>
    </xf>
    <xf numFmtId="167" fontId="208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5" fillId="41" borderId="0" xfId="863" applyNumberFormat="1" applyFont="1" applyFill="1" applyBorder="1" applyAlignment="1">
      <alignment horizontal="right"/>
    </xf>
    <xf numFmtId="262" fontId="205" fillId="0" borderId="0" xfId="847" applyNumberFormat="1" applyFont="1" applyBorder="1"/>
    <xf numFmtId="262" fontId="205" fillId="0" borderId="0" xfId="847" applyNumberFormat="1" applyFont="1" applyFill="1" applyBorder="1" applyAlignment="1">
      <alignment horizontal="right"/>
    </xf>
    <xf numFmtId="262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3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7" fontId="205" fillId="0" borderId="0" xfId="801" applyNumberFormat="1" applyFont="1" applyBorder="1" applyAlignment="1" applyProtection="1"/>
    <xf numFmtId="167" fontId="205" fillId="0" borderId="0" xfId="815" applyFont="1" applyFill="1" applyBorder="1" applyAlignment="1">
      <alignment horizontal="right" indent="2"/>
    </xf>
    <xf numFmtId="167" fontId="205" fillId="0" borderId="0" xfId="815" applyFont="1" applyFill="1" applyBorder="1" applyAlignment="1">
      <alignment horizontal="right" indent="5"/>
    </xf>
    <xf numFmtId="167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1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7" fontId="208" fillId="0" borderId="0" xfId="0" applyNumberFormat="1" applyFont="1"/>
    <xf numFmtId="0" fontId="30" fillId="0" borderId="0" xfId="907"/>
    <xf numFmtId="171" fontId="30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7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8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7" fontId="33" fillId="0" borderId="0" xfId="815" applyFont="1" applyFill="1" applyBorder="1"/>
    <xf numFmtId="171" fontId="33" fillId="0" borderId="0" xfId="907" applyNumberFormat="1" applyFont="1"/>
    <xf numFmtId="0" fontId="146" fillId="41" borderId="0" xfId="907" applyFont="1" applyFill="1"/>
    <xf numFmtId="168" fontId="116" fillId="0" borderId="0" xfId="863" applyFont="1"/>
    <xf numFmtId="168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7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7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7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7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70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43" fontId="110" fillId="41" borderId="0" xfId="43199" quotePrefix="1" applyFont="1" applyFill="1" applyBorder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7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7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8" fontId="205" fillId="0" borderId="0" xfId="863" applyFont="1" applyFill="1" applyBorder="1" applyAlignment="1"/>
    <xf numFmtId="168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4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70" fontId="38" fillId="55" borderId="137" xfId="863" applyNumberFormat="1" applyFont="1" applyFill="1" applyBorder="1" applyAlignment="1">
      <alignment horizontal="center" vertical="center"/>
    </xf>
    <xf numFmtId="170" fontId="38" fillId="55" borderId="138" xfId="863" applyNumberFormat="1" applyFont="1" applyFill="1" applyBorder="1" applyAlignment="1">
      <alignment horizontal="center" vertical="center"/>
    </xf>
    <xf numFmtId="170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8" fontId="208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8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7" fontId="205" fillId="100" borderId="29" xfId="815" applyFont="1" applyFill="1" applyBorder="1"/>
    <xf numFmtId="170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7" fontId="205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8" fontId="43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0" fillId="0" borderId="0" xfId="0" applyFont="1"/>
    <xf numFmtId="168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8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1" fontId="250" fillId="0" borderId="0" xfId="1095" applyNumberFormat="1" applyFont="1" applyBorder="1" applyAlignment="1">
      <alignment horizontal="right" vertical="center"/>
    </xf>
    <xf numFmtId="167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8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8" fontId="250" fillId="0" borderId="0" xfId="43165" applyFont="1" applyAlignment="1"/>
    <xf numFmtId="168" fontId="250" fillId="0" borderId="0" xfId="43165" applyFont="1" applyAlignment="1">
      <alignment horizontal="left" vertical="center"/>
    </xf>
    <xf numFmtId="168" fontId="251" fillId="0" borderId="0" xfId="43165" applyFont="1" applyAlignment="1"/>
    <xf numFmtId="168" fontId="251" fillId="0" borderId="0" xfId="43165" applyFont="1" applyAlignment="1">
      <alignment horizontal="center"/>
    </xf>
    <xf numFmtId="165" fontId="205" fillId="0" borderId="0" xfId="815" applyNumberFormat="1" applyFont="1" applyBorder="1"/>
    <xf numFmtId="165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1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8" fontId="250" fillId="0" borderId="0" xfId="43165" applyFont="1" applyFill="1" applyBorder="1" applyAlignment="1">
      <alignment horizontal="center"/>
    </xf>
    <xf numFmtId="168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8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7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8" fontId="205" fillId="108" borderId="0" xfId="863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0" fontId="211" fillId="0" borderId="0" xfId="847" applyNumberFormat="1" applyFont="1" applyBorder="1" applyAlignment="1">
      <alignment horizontal="right" vertical="center"/>
    </xf>
    <xf numFmtId="168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60" fontId="30" fillId="0" borderId="0" xfId="0" applyNumberFormat="1" applyFont="1"/>
    <xf numFmtId="168" fontId="30" fillId="0" borderId="0" xfId="863" applyFont="1" applyFill="1"/>
    <xf numFmtId="171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4" fontId="211" fillId="0" borderId="0" xfId="0" applyNumberFormat="1" applyFont="1" applyAlignment="1">
      <alignment horizontal="right" vertical="center"/>
    </xf>
    <xf numFmtId="168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54" xfId="0" applyFont="1" applyFill="1" applyBorder="1" applyAlignment="1">
      <alignment horizontal="center" vertical="distributed"/>
    </xf>
    <xf numFmtId="14" fontId="267" fillId="103" borderId="154" xfId="0" applyNumberFormat="1" applyFont="1" applyFill="1" applyBorder="1" applyAlignment="1">
      <alignment horizontal="center" vertical="distributed"/>
    </xf>
    <xf numFmtId="0" fontId="267" fillId="103" borderId="10" xfId="0" applyFont="1" applyFill="1" applyBorder="1" applyAlignment="1">
      <alignment horizontal="center"/>
    </xf>
    <xf numFmtId="168" fontId="30" fillId="61" borderId="0" xfId="863" applyFont="1" applyFill="1"/>
    <xf numFmtId="168" fontId="43" fillId="41" borderId="0" xfId="903" applyFont="1" applyFill="1" applyBorder="1" applyAlignment="1">
      <alignment horizontal="left" vertical="top" wrapText="1"/>
    </xf>
    <xf numFmtId="0" fontId="30" fillId="111" borderId="0" xfId="0" applyFont="1" applyFill="1" applyAlignment="1">
      <alignment horizontal="center"/>
    </xf>
    <xf numFmtId="0" fontId="30" fillId="111" borderId="0" xfId="0" applyFont="1" applyFill="1"/>
    <xf numFmtId="14" fontId="30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5" fillId="111" borderId="0" xfId="847" applyNumberFormat="1" applyFont="1" applyFill="1" applyBorder="1"/>
    <xf numFmtId="168" fontId="205" fillId="111" borderId="0" xfId="863" applyFont="1" applyFill="1" applyBorder="1"/>
    <xf numFmtId="168" fontId="205" fillId="111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8" fontId="237" fillId="0" borderId="0" xfId="863" applyFont="1" applyFill="1" applyBorder="1" applyAlignment="1">
      <alignment horizontal="right" vertical="center" wrapText="1"/>
    </xf>
    <xf numFmtId="168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4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7" fontId="43" fillId="0" borderId="0" xfId="815" applyFont="1" applyFill="1" applyBorder="1" applyAlignment="1">
      <alignment horizontal="left"/>
    </xf>
    <xf numFmtId="167" fontId="43" fillId="113" borderId="16" xfId="815" applyFont="1" applyFill="1" applyBorder="1" applyAlignment="1">
      <alignment horizontal="left"/>
    </xf>
    <xf numFmtId="3" fontId="30" fillId="113" borderId="16" xfId="0" applyNumberFormat="1" applyFont="1" applyFill="1" applyBorder="1"/>
    <xf numFmtId="167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30" fontId="30" fillId="111" borderId="0" xfId="863" applyNumberFormat="1" applyFont="1" applyFill="1" applyBorder="1" applyAlignment="1">
      <alignment horizontal="left"/>
    </xf>
    <xf numFmtId="230" fontId="30" fillId="111" borderId="0" xfId="0" applyNumberFormat="1" applyFont="1" applyFill="1"/>
    <xf numFmtId="230" fontId="30" fillId="111" borderId="0" xfId="0" applyNumberFormat="1" applyFont="1" applyFill="1" applyAlignment="1">
      <alignment horizontal="left"/>
    </xf>
    <xf numFmtId="230" fontId="116" fillId="111" borderId="0" xfId="0" applyNumberFormat="1" applyFont="1" applyFill="1" applyAlignment="1">
      <alignment horizontal="left"/>
    </xf>
    <xf numFmtId="0" fontId="271" fillId="113" borderId="16" xfId="0" applyFont="1" applyFill="1" applyBorder="1"/>
    <xf numFmtId="165" fontId="30" fillId="0" borderId="0" xfId="863" applyNumberFormat="1" applyFont="1" applyFill="1" applyBorder="1"/>
    <xf numFmtId="168" fontId="30" fillId="111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3" borderId="159" xfId="0" applyFont="1" applyFill="1" applyBorder="1"/>
    <xf numFmtId="0" fontId="43" fillId="113" borderId="16" xfId="0" applyFont="1" applyFill="1" applyBorder="1"/>
    <xf numFmtId="0" fontId="43" fillId="113" borderId="16" xfId="907" applyFont="1" applyFill="1" applyBorder="1"/>
    <xf numFmtId="10" fontId="43" fillId="113" borderId="16" xfId="847" applyNumberFormat="1" applyFont="1" applyFill="1" applyBorder="1" applyAlignment="1"/>
    <xf numFmtId="14" fontId="43" fillId="113" borderId="16" xfId="0" applyNumberFormat="1" applyFont="1" applyFill="1" applyBorder="1"/>
    <xf numFmtId="0" fontId="275" fillId="113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8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8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8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3" borderId="159" xfId="0" applyFont="1" applyFill="1" applyBorder="1"/>
    <xf numFmtId="0" fontId="271" fillId="113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1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5" fontId="30" fillId="0" borderId="0" xfId="0" applyNumberFormat="1" applyFont="1"/>
    <xf numFmtId="167" fontId="30" fillId="111" borderId="0" xfId="815" applyFont="1" applyFill="1" applyBorder="1" applyAlignment="1"/>
    <xf numFmtId="10" fontId="30" fillId="111" borderId="0" xfId="847" applyNumberFormat="1" applyFont="1" applyFill="1" applyBorder="1" applyAlignment="1">
      <alignment horizontal="right"/>
    </xf>
    <xf numFmtId="168" fontId="30" fillId="0" borderId="0" xfId="863" applyFont="1" applyFill="1" applyBorder="1" applyAlignment="1"/>
    <xf numFmtId="170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3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1" borderId="0" xfId="863" applyNumberFormat="1" applyFont="1" applyFill="1" applyBorder="1" applyAlignment="1">
      <alignment horizontal="left"/>
    </xf>
    <xf numFmtId="10" fontId="30" fillId="111" borderId="0" xfId="847" applyNumberFormat="1" applyFont="1" applyFill="1" applyBorder="1" applyAlignment="1">
      <alignment horizontal="left"/>
    </xf>
    <xf numFmtId="260" fontId="30" fillId="111" borderId="0" xfId="0" applyNumberFormat="1" applyFont="1" applyFill="1" applyAlignment="1">
      <alignment horizontal="left"/>
    </xf>
    <xf numFmtId="260" fontId="30" fillId="111" borderId="0" xfId="0" applyNumberFormat="1" applyFont="1" applyFill="1"/>
    <xf numFmtId="257" fontId="30" fillId="111" borderId="0" xfId="863" applyNumberFormat="1" applyFont="1" applyFill="1" applyBorder="1" applyAlignment="1">
      <alignment horizontal="left"/>
    </xf>
    <xf numFmtId="258" fontId="30" fillId="111" borderId="0" xfId="847" applyNumberFormat="1" applyFont="1" applyFill="1" applyBorder="1" applyAlignment="1">
      <alignment horizontal="left"/>
    </xf>
    <xf numFmtId="259" fontId="30" fillId="111" borderId="0" xfId="0" applyNumberFormat="1" applyFont="1" applyFill="1" applyAlignment="1">
      <alignment horizontal="left"/>
    </xf>
    <xf numFmtId="230" fontId="30" fillId="111" borderId="0" xfId="2697" applyNumberFormat="1" applyFill="1"/>
    <xf numFmtId="257" fontId="30" fillId="111" borderId="0" xfId="847" applyNumberFormat="1" applyFont="1" applyFill="1" applyBorder="1" applyAlignment="1">
      <alignment horizontal="left"/>
    </xf>
    <xf numFmtId="4" fontId="30" fillId="111" borderId="0" xfId="863" applyNumberFormat="1" applyFont="1" applyFill="1" applyBorder="1" applyAlignment="1">
      <alignment horizontal="left"/>
    </xf>
    <xf numFmtId="0" fontId="30" fillId="111" borderId="0" xfId="0" applyFont="1" applyFill="1" applyAlignment="1">
      <alignment horizontal="left"/>
    </xf>
    <xf numFmtId="0" fontId="275" fillId="0" borderId="160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8" fontId="205" fillId="0" borderId="0" xfId="43185" applyNumberFormat="1" applyFont="1" applyFill="1" applyBorder="1" applyAlignment="1" applyProtection="1">
      <alignment horizontal="right"/>
      <protection locked="0"/>
    </xf>
    <xf numFmtId="168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8" fontId="283" fillId="0" borderId="0" xfId="863" applyFont="1"/>
    <xf numFmtId="168" fontId="283" fillId="0" borderId="0" xfId="0" applyNumberFormat="1" applyFont="1"/>
    <xf numFmtId="0" fontId="288" fillId="0" borderId="0" xfId="0" applyFont="1"/>
    <xf numFmtId="0" fontId="283" fillId="117" borderId="0" xfId="0" applyFont="1" applyFill="1"/>
    <xf numFmtId="165" fontId="283" fillId="117" borderId="0" xfId="815" applyNumberFormat="1" applyFont="1" applyFill="1" applyBorder="1"/>
    <xf numFmtId="167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7" fontId="283" fillId="42" borderId="0" xfId="815" applyFont="1" applyFill="1" applyBorder="1"/>
    <xf numFmtId="167" fontId="282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5" borderId="161" xfId="0" applyFont="1" applyFill="1" applyBorder="1" applyAlignment="1">
      <alignment horizontal="center" vertical="distributed"/>
    </xf>
    <xf numFmtId="0" fontId="30" fillId="116" borderId="161" xfId="0" applyFont="1" applyFill="1" applyBorder="1" applyAlignment="1">
      <alignment horizontal="center" vertical="distributed"/>
    </xf>
    <xf numFmtId="0" fontId="30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30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7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7" fontId="38" fillId="0" borderId="0" xfId="815" applyFont="1" applyFill="1" applyBorder="1" applyAlignment="1">
      <alignment horizontal="center" vertical="center" wrapText="1"/>
    </xf>
    <xf numFmtId="167" fontId="43" fillId="0" borderId="0" xfId="815" applyFont="1" applyFill="1" applyBorder="1" applyAlignment="1">
      <alignment wrapText="1"/>
    </xf>
    <xf numFmtId="167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7" fontId="110" fillId="0" borderId="0" xfId="1823" applyNumberFormat="1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2" fontId="205" fillId="0" borderId="152" xfId="847" applyNumberFormat="1" applyFont="1" applyFill="1" applyBorder="1"/>
    <xf numFmtId="0" fontId="213" fillId="0" borderId="0" xfId="907" applyFont="1" applyAlignment="1">
      <alignment horizontal="left"/>
    </xf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6" xfId="834" applyFont="1" applyFill="1" applyBorder="1" applyAlignment="1" applyProtection="1">
      <alignment horizontal="left" vertical="center"/>
    </xf>
    <xf numFmtId="0" fontId="208" fillId="56" borderId="155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3" xfId="2697" applyFont="1" applyFill="1" applyBorder="1" applyAlignment="1">
      <alignment horizontal="center" vertical="center" wrapText="1"/>
    </xf>
    <xf numFmtId="0" fontId="117" fillId="55" borderId="164" xfId="2697" applyFont="1" applyFill="1" applyBorder="1" applyAlignment="1">
      <alignment horizontal="center" vertical="center" wrapText="1"/>
    </xf>
    <xf numFmtId="269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9" fontId="43" fillId="0" borderId="20" xfId="2697" applyNumberFormat="1" applyFont="1" applyBorder="1" applyAlignment="1">
      <alignment vertical="center"/>
    </xf>
    <xf numFmtId="269" fontId="43" fillId="0" borderId="10" xfId="2697" applyNumberFormat="1" applyFont="1" applyBorder="1" applyAlignment="1">
      <alignment vertical="center"/>
    </xf>
    <xf numFmtId="0" fontId="43" fillId="0" borderId="155" xfId="2697" applyFont="1" applyBorder="1" applyAlignment="1">
      <alignment vertical="center"/>
    </xf>
    <xf numFmtId="269" fontId="43" fillId="0" borderId="156" xfId="2697" applyNumberFormat="1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1" fontId="117" fillId="43" borderId="0" xfId="2697" applyNumberFormat="1" applyFont="1" applyFill="1" applyAlignment="1">
      <alignment horizontal="center" vertical="center" wrapText="1"/>
    </xf>
    <xf numFmtId="171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70" fontId="43" fillId="0" borderId="0" xfId="2697" applyNumberFormat="1" applyFont="1" applyAlignment="1">
      <alignment vertical="center"/>
    </xf>
    <xf numFmtId="0" fontId="43" fillId="0" borderId="155" xfId="2697" applyFont="1" applyBorder="1"/>
    <xf numFmtId="0" fontId="43" fillId="0" borderId="20" xfId="2697" applyFont="1" applyBorder="1" applyAlignment="1">
      <alignment vertical="center"/>
    </xf>
    <xf numFmtId="270" fontId="43" fillId="118" borderId="20" xfId="2697" applyNumberFormat="1" applyFont="1" applyFill="1" applyBorder="1" applyAlignment="1">
      <alignment vertical="center"/>
    </xf>
    <xf numFmtId="270" fontId="43" fillId="118" borderId="0" xfId="2697" applyNumberFormat="1" applyFont="1" applyFill="1" applyAlignment="1">
      <alignment vertical="center"/>
    </xf>
    <xf numFmtId="270" fontId="43" fillId="118" borderId="156" xfId="2697" applyNumberFormat="1" applyFont="1" applyFill="1" applyBorder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1" borderId="0" xfId="0" applyNumberFormat="1" applyFont="1" applyFill="1" applyAlignment="1">
      <alignment horizontal="right"/>
    </xf>
    <xf numFmtId="168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8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6" xfId="0" applyFont="1" applyBorder="1"/>
    <xf numFmtId="0" fontId="212" fillId="0" borderId="166" xfId="0" applyFont="1" applyBorder="1" applyAlignment="1">
      <alignment horizontal="center"/>
    </xf>
    <xf numFmtId="167" fontId="208" fillId="0" borderId="166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1" fontId="30" fillId="110" borderId="167" xfId="907" applyNumberFormat="1" applyFill="1" applyBorder="1"/>
    <xf numFmtId="171" fontId="30" fillId="110" borderId="170" xfId="907" applyNumberFormat="1" applyFill="1" applyBorder="1"/>
    <xf numFmtId="171" fontId="30" fillId="59" borderId="170" xfId="907" applyNumberFormat="1" applyFill="1" applyBorder="1"/>
    <xf numFmtId="171" fontId="30" fillId="59" borderId="172" xfId="907" applyNumberFormat="1" applyFill="1" applyBorder="1"/>
    <xf numFmtId="0" fontId="272" fillId="43" borderId="167" xfId="0" applyFont="1" applyFill="1" applyBorder="1" applyAlignment="1">
      <alignment horizontal="center" vertical="center" wrapText="1"/>
    </xf>
    <xf numFmtId="0" fontId="272" fillId="43" borderId="174" xfId="0" applyFont="1" applyFill="1" applyBorder="1" applyAlignment="1">
      <alignment horizontal="center" vertical="center" wrapText="1"/>
    </xf>
    <xf numFmtId="0" fontId="272" fillId="43" borderId="169" xfId="0" applyFont="1" applyFill="1" applyBorder="1" applyAlignment="1">
      <alignment vertical="center" wrapText="1"/>
    </xf>
    <xf numFmtId="171" fontId="30" fillId="110" borderId="172" xfId="907" applyNumberFormat="1" applyFill="1" applyBorder="1"/>
    <xf numFmtId="167" fontId="30" fillId="111" borderId="171" xfId="815" applyFont="1" applyFill="1" applyBorder="1" applyAlignment="1">
      <alignment horizontal="center" vertical="center"/>
    </xf>
    <xf numFmtId="168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8" fillId="41" borderId="178" xfId="863" applyFont="1" applyFill="1" applyBorder="1"/>
    <xf numFmtId="272" fontId="208" fillId="41" borderId="178" xfId="863" applyNumberFormat="1" applyFont="1" applyFill="1" applyBorder="1"/>
    <xf numFmtId="167" fontId="30" fillId="44" borderId="176" xfId="815" applyFont="1" applyFill="1" applyBorder="1" applyAlignment="1">
      <alignment horizontal="center" vertical="center"/>
    </xf>
    <xf numFmtId="0" fontId="208" fillId="41" borderId="178" xfId="0" applyFont="1" applyFill="1" applyBorder="1" applyAlignment="1">
      <alignment horizontal="right"/>
    </xf>
    <xf numFmtId="0" fontId="208" fillId="41" borderId="178" xfId="0" applyFont="1" applyFill="1" applyBorder="1" applyAlignment="1">
      <alignment horizontal="left"/>
    </xf>
    <xf numFmtId="0" fontId="205" fillId="41" borderId="178" xfId="0" applyFont="1" applyFill="1" applyBorder="1" applyAlignment="1">
      <alignment horizontal="right"/>
    </xf>
    <xf numFmtId="168" fontId="208" fillId="41" borderId="178" xfId="0" applyNumberFormat="1" applyFont="1" applyFill="1" applyBorder="1"/>
    <xf numFmtId="167" fontId="30" fillId="44" borderId="180" xfId="815" applyFont="1" applyFill="1" applyBorder="1" applyAlignment="1">
      <alignment horizontal="center" vertical="center"/>
    </xf>
    <xf numFmtId="167" fontId="30" fillId="59" borderId="179" xfId="815" applyFont="1" applyFill="1" applyBorder="1" applyAlignment="1">
      <alignment horizontal="center" vertical="center"/>
    </xf>
    <xf numFmtId="167" fontId="30" fillId="59" borderId="173" xfId="815" applyFont="1" applyFill="1" applyBorder="1" applyAlignment="1">
      <alignment horizontal="center" vertical="center"/>
    </xf>
    <xf numFmtId="167" fontId="30" fillId="59" borderId="180" xfId="815" applyFont="1" applyFill="1" applyBorder="1" applyAlignment="1">
      <alignment horizontal="center" vertical="center"/>
    </xf>
    <xf numFmtId="0" fontId="205" fillId="0" borderId="0" xfId="847" applyNumberFormat="1" applyFont="1" applyFill="1" applyBorder="1" applyAlignment="1">
      <alignment horizontal="right"/>
    </xf>
    <xf numFmtId="0" fontId="43" fillId="0" borderId="160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7" fontId="30" fillId="111" borderId="180" xfId="815" applyFont="1" applyFill="1" applyBorder="1" applyAlignment="1">
      <alignment horizontal="center" vertical="center"/>
    </xf>
    <xf numFmtId="0" fontId="30" fillId="59" borderId="166" xfId="907" applyFill="1" applyBorder="1"/>
    <xf numFmtId="0" fontId="30" fillId="59" borderId="178" xfId="907" applyFill="1" applyBorder="1"/>
    <xf numFmtId="217" fontId="43" fillId="41" borderId="0" xfId="847" applyNumberFormat="1" applyFont="1" applyFill="1" applyBorder="1" applyAlignment="1">
      <alignment horizontal="center"/>
    </xf>
    <xf numFmtId="0" fontId="30" fillId="111" borderId="166" xfId="0" applyFont="1" applyFill="1" applyBorder="1" applyAlignment="1">
      <alignment horizontal="left" wrapText="1"/>
    </xf>
    <xf numFmtId="14" fontId="30" fillId="111" borderId="178" xfId="0" applyNumberFormat="1" applyFont="1" applyFill="1" applyBorder="1" applyAlignment="1">
      <alignment horizontal="left" wrapText="1"/>
    </xf>
    <xf numFmtId="0" fontId="30" fillId="111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3" fontId="205" fillId="119" borderId="0" xfId="847" applyNumberFormat="1" applyFont="1" applyFill="1"/>
    <xf numFmtId="168" fontId="0" fillId="0" borderId="0" xfId="0" applyNumberFormat="1"/>
    <xf numFmtId="0" fontId="195" fillId="0" borderId="0" xfId="0" applyFont="1" applyAlignment="1">
      <alignment vertical="center"/>
    </xf>
    <xf numFmtId="0" fontId="30" fillId="0" borderId="178" xfId="0" applyFont="1" applyBorder="1"/>
    <xf numFmtId="168" fontId="43" fillId="0" borderId="0" xfId="0" applyNumberFormat="1" applyFont="1"/>
    <xf numFmtId="0" fontId="30" fillId="0" borderId="0" xfId="0" applyFont="1" applyAlignment="1">
      <alignment horizontal="right"/>
    </xf>
    <xf numFmtId="168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3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4" fontId="205" fillId="41" borderId="0" xfId="863" applyNumberFormat="1" applyFont="1" applyFill="1" applyBorder="1" applyAlignment="1">
      <alignment horizontal="right"/>
    </xf>
    <xf numFmtId="168" fontId="216" fillId="0" borderId="0" xfId="863" applyFont="1"/>
    <xf numFmtId="168" fontId="219" fillId="0" borderId="0" xfId="863" applyFont="1"/>
    <xf numFmtId="10" fontId="208" fillId="0" borderId="0" xfId="847" applyNumberFormat="1" applyFont="1"/>
    <xf numFmtId="0" fontId="0" fillId="0" borderId="181" xfId="0" applyBorder="1"/>
    <xf numFmtId="0" fontId="0" fillId="0" borderId="182" xfId="0" applyBorder="1"/>
    <xf numFmtId="14" fontId="30" fillId="42" borderId="178" xfId="815" applyNumberFormat="1" applyFont="1" applyFill="1" applyBorder="1" applyAlignment="1">
      <alignment horizontal="left"/>
    </xf>
    <xf numFmtId="268" fontId="43" fillId="41" borderId="0" xfId="847" applyNumberFormat="1" applyFont="1" applyFill="1" applyBorder="1"/>
    <xf numFmtId="168" fontId="210" fillId="0" borderId="0" xfId="831" applyNumberFormat="1" applyFont="1" applyAlignment="1">
      <alignment vertical="center"/>
    </xf>
    <xf numFmtId="10" fontId="43" fillId="103" borderId="0" xfId="907" applyNumberFormat="1" applyFont="1" applyFill="1"/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8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0" fontId="30" fillId="0" borderId="152" xfId="0" applyFont="1" applyBorder="1" applyAlignment="1">
      <alignment horizontal="center" vertical="distributed"/>
    </xf>
    <xf numFmtId="0" fontId="30" fillId="0" borderId="0" xfId="0" quotePrefix="1" applyFont="1"/>
    <xf numFmtId="168" fontId="30" fillId="61" borderId="144" xfId="863" applyFont="1" applyFill="1" applyBorder="1" applyAlignment="1">
      <alignment horizontal="right"/>
    </xf>
    <xf numFmtId="168" fontId="30" fillId="61" borderId="0" xfId="863" applyFont="1" applyFill="1" applyBorder="1" applyAlignment="1">
      <alignment horizontal="right"/>
    </xf>
    <xf numFmtId="168" fontId="30" fillId="0" borderId="0" xfId="0" applyNumberFormat="1" applyFont="1"/>
    <xf numFmtId="0" fontId="36" fillId="0" borderId="178" xfId="0" applyFont="1" applyBorder="1"/>
    <xf numFmtId="0" fontId="205" fillId="0" borderId="178" xfId="0" applyFont="1" applyBorder="1"/>
    <xf numFmtId="0" fontId="295" fillId="121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8" borderId="0" xfId="43408" applyFont="1" applyFill="1"/>
    <xf numFmtId="205" fontId="0" fillId="0" borderId="0" xfId="0" applyNumberFormat="1"/>
    <xf numFmtId="168" fontId="205" fillId="42" borderId="0" xfId="863" applyFont="1" applyFill="1"/>
    <xf numFmtId="167" fontId="205" fillId="111" borderId="0" xfId="815" applyFont="1" applyFill="1"/>
    <xf numFmtId="168" fontId="208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5" fillId="111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5" fillId="0" borderId="0" xfId="907" applyNumberFormat="1" applyFont="1"/>
    <xf numFmtId="170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08" fillId="0" borderId="0" xfId="863" applyFont="1"/>
    <xf numFmtId="14" fontId="30" fillId="0" borderId="29" xfId="0" applyNumberFormat="1" applyFont="1" applyBorder="1"/>
    <xf numFmtId="167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right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3" borderId="152" xfId="43431" applyFont="1" applyFill="1" applyBorder="1"/>
    <xf numFmtId="4" fontId="43" fillId="42" borderId="152" xfId="815" applyNumberFormat="1" applyFont="1" applyFill="1" applyBorder="1"/>
    <xf numFmtId="167" fontId="205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2" fillId="0" borderId="0" xfId="0" applyFont="1"/>
    <xf numFmtId="168" fontId="30" fillId="111" borderId="178" xfId="863" applyFont="1" applyFill="1" applyBorder="1"/>
    <xf numFmtId="168" fontId="30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7" fontId="30" fillId="111" borderId="183" xfId="815" applyFont="1" applyFill="1" applyBorder="1" applyAlignment="1">
      <alignment horizontal="center" vertical="center"/>
    </xf>
    <xf numFmtId="168" fontId="283" fillId="0" borderId="0" xfId="863" applyFont="1" applyFill="1" applyBorder="1"/>
    <xf numFmtId="168" fontId="283" fillId="117" borderId="0" xfId="863" applyFont="1" applyFill="1" applyBorder="1"/>
    <xf numFmtId="168" fontId="283" fillId="44" borderId="0" xfId="863" applyFont="1" applyFill="1" applyBorder="1"/>
    <xf numFmtId="197" fontId="205" fillId="61" borderId="0" xfId="0" applyNumberFormat="1" applyFont="1" applyFill="1"/>
    <xf numFmtId="171" fontId="205" fillId="61" borderId="0" xfId="0" applyNumberFormat="1" applyFont="1" applyFill="1"/>
    <xf numFmtId="167" fontId="205" fillId="61" borderId="10" xfId="815" applyFont="1" applyFill="1" applyBorder="1"/>
    <xf numFmtId="167" fontId="205" fillId="61" borderId="29" xfId="815" applyFont="1" applyFill="1" applyBorder="1"/>
    <xf numFmtId="167" fontId="205" fillId="61" borderId="20" xfId="815" applyFont="1" applyFill="1" applyBorder="1"/>
    <xf numFmtId="167" fontId="205" fillId="61" borderId="0" xfId="815" applyFont="1" applyFill="1" applyBorder="1"/>
    <xf numFmtId="0" fontId="205" fillId="61" borderId="0" xfId="0" applyFont="1" applyFill="1"/>
    <xf numFmtId="167" fontId="30" fillId="59" borderId="183" xfId="815" applyFont="1" applyFill="1" applyBorder="1" applyAlignment="1">
      <alignment horizontal="center" vertical="center"/>
    </xf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8" fontId="30" fillId="0" borderId="0" xfId="2697" applyNumberFormat="1"/>
    <xf numFmtId="0" fontId="2" fillId="0" borderId="0" xfId="43435"/>
    <xf numFmtId="43" fontId="0" fillId="0" borderId="0" xfId="43436" applyFont="1"/>
    <xf numFmtId="277" fontId="2" fillId="0" borderId="0" xfId="43435" applyNumberFormat="1"/>
    <xf numFmtId="167" fontId="283" fillId="0" borderId="0" xfId="815" applyFont="1" applyFill="1" applyBorder="1"/>
    <xf numFmtId="168" fontId="43" fillId="41" borderId="0" xfId="863" applyFont="1" applyFill="1" applyBorder="1" applyAlignment="1">
      <alignment horizontal="right" vertical="center" wrapText="1"/>
    </xf>
    <xf numFmtId="168" fontId="43" fillId="0" borderId="0" xfId="863" applyFont="1" applyFill="1" applyBorder="1" applyAlignment="1">
      <alignment horizontal="right" vertical="center" wrapText="1"/>
    </xf>
    <xf numFmtId="0" fontId="30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3" fillId="41" borderId="0" xfId="863" applyNumberFormat="1" applyFont="1" applyFill="1" applyBorder="1"/>
    <xf numFmtId="4" fontId="205" fillId="0" borderId="0" xfId="0" applyNumberFormat="1" applyFont="1"/>
    <xf numFmtId="171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3" fillId="118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3" fillId="0" borderId="0" xfId="863" applyFont="1" applyFill="1" applyBorder="1"/>
    <xf numFmtId="269" fontId="43" fillId="0" borderId="0" xfId="2697" applyNumberFormat="1" applyFont="1" applyAlignment="1">
      <alignment vertical="center"/>
    </xf>
    <xf numFmtId="271" fontId="43" fillId="0" borderId="0" xfId="2697" applyNumberFormat="1" applyFont="1" applyAlignment="1">
      <alignment vertical="center"/>
    </xf>
    <xf numFmtId="270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8" borderId="0" xfId="0" applyFont="1" applyFill="1" applyAlignment="1">
      <alignment vertical="center"/>
    </xf>
    <xf numFmtId="174" fontId="250" fillId="118" borderId="0" xfId="0" applyNumberFormat="1" applyFont="1" applyFill="1" applyAlignment="1">
      <alignment vertical="center"/>
    </xf>
    <xf numFmtId="0" fontId="250" fillId="0" borderId="0" xfId="907" applyFont="1"/>
    <xf numFmtId="168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8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0" fillId="33" borderId="178" xfId="43437" applyFont="1" applyFill="1" applyBorder="1" applyAlignment="1">
      <alignment vertical="center" wrapText="1"/>
    </xf>
    <xf numFmtId="0" fontId="43" fillId="33" borderId="178" xfId="43437" applyFont="1" applyFill="1" applyBorder="1" applyAlignment="1">
      <alignment vertical="center"/>
    </xf>
    <xf numFmtId="0" fontId="250" fillId="33" borderId="178" xfId="43437" applyFont="1" applyFill="1" applyBorder="1" applyAlignment="1">
      <alignment horizontal="right" vertical="center"/>
    </xf>
    <xf numFmtId="10" fontId="250" fillId="33" borderId="178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8" xfId="43438" applyFont="1" applyFill="1" applyBorder="1" applyAlignment="1">
      <alignment horizontal="center" vertical="center" wrapText="1"/>
    </xf>
    <xf numFmtId="170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8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70" fontId="250" fillId="41" borderId="10" xfId="863" applyNumberFormat="1" applyFont="1" applyFill="1" applyBorder="1" applyAlignment="1">
      <alignment vertical="center"/>
    </xf>
    <xf numFmtId="170" fontId="250" fillId="42" borderId="10" xfId="863" applyNumberFormat="1" applyFont="1" applyFill="1" applyBorder="1" applyAlignment="1">
      <alignment vertical="center"/>
    </xf>
    <xf numFmtId="0" fontId="251" fillId="60" borderId="178" xfId="43437" quotePrefix="1" applyFont="1" applyFill="1" applyBorder="1" applyAlignment="1">
      <alignment horizontal="left" vertical="center"/>
    </xf>
    <xf numFmtId="278" fontId="251" fillId="60" borderId="178" xfId="43439" applyNumberFormat="1" applyFont="1" applyFill="1" applyBorder="1" applyAlignment="1">
      <alignment vertical="center" wrapText="1"/>
    </xf>
    <xf numFmtId="0" fontId="313" fillId="0" borderId="0" xfId="0" applyFont="1"/>
    <xf numFmtId="14" fontId="251" fillId="56" borderId="156" xfId="834" applyNumberFormat="1" applyFont="1" applyFill="1" applyBorder="1" applyAlignment="1" applyProtection="1">
      <alignment horizontal="left" vertical="center"/>
    </xf>
    <xf numFmtId="272" fontId="250" fillId="0" borderId="0" xfId="863" applyNumberFormat="1" applyFont="1" applyBorder="1" applyAlignment="1">
      <alignment vertical="center"/>
    </xf>
    <xf numFmtId="14" fontId="313" fillId="118" borderId="0" xfId="0" applyNumberFormat="1" applyFont="1" applyFill="1" applyAlignment="1">
      <alignment vertical="center"/>
    </xf>
    <xf numFmtId="174" fontId="313" fillId="118" borderId="0" xfId="0" applyNumberFormat="1" applyFont="1" applyFill="1" applyAlignment="1">
      <alignment vertical="center"/>
    </xf>
    <xf numFmtId="0" fontId="249" fillId="0" borderId="0" xfId="0" applyFont="1"/>
    <xf numFmtId="14" fontId="249" fillId="118" borderId="0" xfId="0" applyNumberFormat="1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2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70" fontId="250" fillId="0" borderId="0" xfId="863" applyNumberFormat="1" applyFont="1" applyAlignment="1">
      <alignment vertical="center"/>
    </xf>
    <xf numFmtId="170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8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7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7" fontId="282" fillId="123" borderId="0" xfId="5583" applyNumberFormat="1" applyFont="1" applyFill="1" applyBorder="1" applyAlignment="1">
      <alignment vertical="center"/>
    </xf>
    <xf numFmtId="167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4" fontId="250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281" fontId="315" fillId="0" borderId="187" xfId="863" applyNumberFormat="1" applyFont="1" applyFill="1" applyBorder="1" applyAlignment="1">
      <alignment vertical="center"/>
    </xf>
    <xf numFmtId="0" fontId="43" fillId="41" borderId="0" xfId="36379" applyFont="1" applyFill="1" applyAlignment="1">
      <alignment horizontal="center"/>
    </xf>
    <xf numFmtId="9" fontId="43" fillId="0" borderId="0" xfId="847" applyFont="1" applyFill="1"/>
    <xf numFmtId="165" fontId="205" fillId="0" borderId="178" xfId="815" applyNumberFormat="1" applyFont="1" applyBorder="1" applyAlignment="1">
      <alignment horizontal="left"/>
    </xf>
    <xf numFmtId="10" fontId="205" fillId="0" borderId="178" xfId="847" applyNumberFormat="1" applyFont="1" applyFill="1" applyBorder="1" applyAlignment="1">
      <alignment horizontal="right"/>
    </xf>
    <xf numFmtId="165" fontId="205" fillId="0" borderId="166" xfId="815" applyNumberFormat="1" applyFont="1" applyBorder="1" applyAlignment="1">
      <alignment horizontal="left"/>
    </xf>
    <xf numFmtId="10" fontId="205" fillId="0" borderId="166" xfId="847" applyNumberFormat="1" applyFont="1" applyFill="1" applyBorder="1" applyAlignment="1">
      <alignment horizontal="right"/>
    </xf>
    <xf numFmtId="0" fontId="316" fillId="41" borderId="0" xfId="36379" applyFont="1" applyFill="1"/>
    <xf numFmtId="0" fontId="316" fillId="41" borderId="0" xfId="36379" applyFont="1" applyFill="1" applyAlignment="1">
      <alignment horizontal="center"/>
    </xf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2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2" fontId="250" fillId="41" borderId="0" xfId="907" applyNumberFormat="1" applyFont="1" applyFill="1"/>
    <xf numFmtId="262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8" fontId="250" fillId="41" borderId="0" xfId="863" applyFont="1" applyFill="1" applyBorder="1" applyAlignment="1">
      <alignment horizontal="center" vertical="center" wrapText="1"/>
    </xf>
    <xf numFmtId="262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8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168" fontId="250" fillId="0" borderId="0" xfId="863" applyFont="1" applyAlignment="1">
      <alignment vertical="center"/>
    </xf>
    <xf numFmtId="270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2" fillId="0" borderId="178" xfId="907" applyFont="1" applyBorder="1" applyAlignment="1">
      <alignment horizontal="left"/>
    </xf>
    <xf numFmtId="0" fontId="205" fillId="33" borderId="178" xfId="829" applyFont="1" applyFill="1" applyBorder="1"/>
    <xf numFmtId="174" fontId="211" fillId="0" borderId="178" xfId="0" applyNumberFormat="1" applyFont="1" applyBorder="1" applyAlignment="1">
      <alignment horizontal="left"/>
    </xf>
    <xf numFmtId="10" fontId="211" fillId="0" borderId="178" xfId="0" applyNumberFormat="1" applyFont="1" applyBorder="1" applyAlignment="1">
      <alignment horizontal="right"/>
    </xf>
    <xf numFmtId="0" fontId="208" fillId="0" borderId="178" xfId="0" applyFont="1" applyBorder="1"/>
    <xf numFmtId="0" fontId="212" fillId="43" borderId="144" xfId="0" applyFont="1" applyFill="1" applyBorder="1" applyAlignment="1">
      <alignment horizontal="left"/>
    </xf>
    <xf numFmtId="168" fontId="208" fillId="45" borderId="144" xfId="863" applyFont="1" applyFill="1" applyBorder="1"/>
    <xf numFmtId="0" fontId="30" fillId="111" borderId="166" xfId="0" applyFont="1" applyFill="1" applyBorder="1" applyAlignment="1">
      <alignment horizontal="center"/>
    </xf>
    <xf numFmtId="0" fontId="30" fillId="111" borderId="166" xfId="0" applyFont="1" applyFill="1" applyBorder="1"/>
    <xf numFmtId="14" fontId="30" fillId="111" borderId="166" xfId="0" applyNumberFormat="1" applyFont="1" applyFill="1" applyBorder="1"/>
    <xf numFmtId="0" fontId="205" fillId="41" borderId="166" xfId="0" applyFont="1" applyFill="1" applyBorder="1" applyAlignment="1" applyProtection="1">
      <alignment horizontal="left"/>
      <protection hidden="1"/>
    </xf>
    <xf numFmtId="165" fontId="205" fillId="45" borderId="166" xfId="863" applyNumberFormat="1" applyFont="1" applyFill="1" applyBorder="1"/>
    <xf numFmtId="0" fontId="205" fillId="41" borderId="178" xfId="0" applyFont="1" applyFill="1" applyBorder="1" applyAlignment="1" applyProtection="1">
      <alignment horizontal="left"/>
      <protection hidden="1"/>
    </xf>
    <xf numFmtId="165" fontId="205" fillId="45" borderId="178" xfId="863" applyNumberFormat="1" applyFont="1" applyFill="1" applyBorder="1"/>
    <xf numFmtId="165" fontId="212" fillId="43" borderId="144" xfId="863" applyNumberFormat="1" applyFont="1" applyFill="1" applyBorder="1"/>
    <xf numFmtId="165" fontId="208" fillId="45" borderId="144" xfId="863" applyNumberFormat="1" applyFont="1" applyFill="1" applyBorder="1"/>
    <xf numFmtId="168" fontId="208" fillId="0" borderId="178" xfId="863" applyFont="1" applyBorder="1"/>
    <xf numFmtId="0" fontId="212" fillId="43" borderId="166" xfId="0" applyFont="1" applyFill="1" applyBorder="1" applyAlignment="1">
      <alignment horizontal="left"/>
    </xf>
    <xf numFmtId="10" fontId="205" fillId="45" borderId="166" xfId="847" applyNumberFormat="1" applyFont="1" applyFill="1" applyBorder="1"/>
    <xf numFmtId="0" fontId="212" fillId="43" borderId="178" xfId="0" applyFont="1" applyFill="1" applyBorder="1" applyAlignment="1">
      <alignment horizontal="left"/>
    </xf>
    <xf numFmtId="10" fontId="205" fillId="61" borderId="178" xfId="847" applyNumberFormat="1" applyFont="1" applyFill="1" applyBorder="1"/>
    <xf numFmtId="168" fontId="205" fillId="45" borderId="166" xfId="863" applyFont="1" applyFill="1" applyBorder="1"/>
    <xf numFmtId="168" fontId="205" fillId="45" borderId="178" xfId="863" applyFont="1" applyFill="1" applyBorder="1"/>
    <xf numFmtId="14" fontId="30" fillId="0" borderId="166" xfId="0" applyNumberFormat="1" applyFont="1" applyBorder="1"/>
    <xf numFmtId="14" fontId="30" fillId="111" borderId="178" xfId="0" applyNumberFormat="1" applyFont="1" applyFill="1" applyBorder="1"/>
    <xf numFmtId="0" fontId="30" fillId="111" borderId="178" xfId="0" applyFont="1" applyFill="1" applyBorder="1" applyAlignment="1">
      <alignment horizontal="center"/>
    </xf>
    <xf numFmtId="0" fontId="30" fillId="111" borderId="178" xfId="0" applyFont="1" applyFill="1" applyBorder="1"/>
    <xf numFmtId="14" fontId="30" fillId="111" borderId="166" xfId="0" applyNumberFormat="1" applyFont="1" applyFill="1" applyBorder="1" applyAlignment="1">
      <alignment horizontal="right"/>
    </xf>
    <xf numFmtId="14" fontId="30" fillId="111" borderId="178" xfId="0" applyNumberFormat="1" applyFont="1" applyFill="1" applyBorder="1" applyAlignment="1">
      <alignment horizontal="right"/>
    </xf>
    <xf numFmtId="0" fontId="273" fillId="0" borderId="178" xfId="907" applyFont="1" applyBorder="1" applyAlignment="1">
      <alignment horizontal="left"/>
    </xf>
    <xf numFmtId="0" fontId="43" fillId="33" borderId="178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1" fontId="30" fillId="0" borderId="152" xfId="863" applyNumberFormat="1" applyFont="1" applyFill="1" applyBorder="1" applyAlignment="1">
      <alignment horizontal="center"/>
    </xf>
    <xf numFmtId="171" fontId="30" fillId="0" borderId="152" xfId="863" applyNumberFormat="1" applyFont="1" applyBorder="1" applyAlignment="1">
      <alignment horizontal="center"/>
    </xf>
    <xf numFmtId="171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6" xfId="0" applyFont="1" applyFill="1" applyBorder="1" applyAlignment="1">
      <alignment horizontal="right"/>
    </xf>
    <xf numFmtId="0" fontId="279" fillId="96" borderId="155" xfId="0" applyFont="1" applyFill="1" applyBorder="1" applyAlignment="1">
      <alignment vertical="center"/>
    </xf>
    <xf numFmtId="14" fontId="30" fillId="0" borderId="178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6" xfId="815" applyNumberFormat="1" applyFont="1" applyFill="1" applyBorder="1" applyAlignment="1"/>
    <xf numFmtId="170" fontId="30" fillId="0" borderId="166" xfId="863" applyNumberFormat="1" applyFont="1" applyFill="1" applyBorder="1" applyAlignment="1">
      <alignment horizontal="left"/>
    </xf>
    <xf numFmtId="0" fontId="30" fillId="0" borderId="154" xfId="0" applyFont="1" applyBorder="1"/>
    <xf numFmtId="10" fontId="30" fillId="0" borderId="178" xfId="847" applyNumberFormat="1" applyFont="1" applyFill="1" applyBorder="1" applyAlignment="1"/>
    <xf numFmtId="0" fontId="276" fillId="0" borderId="178" xfId="0" applyFont="1" applyBorder="1"/>
    <xf numFmtId="0" fontId="43" fillId="0" borderId="178" xfId="0" applyFont="1" applyBorder="1"/>
    <xf numFmtId="43" fontId="43" fillId="0" borderId="178" xfId="0" applyNumberFormat="1" applyFont="1" applyBorder="1"/>
    <xf numFmtId="43" fontId="277" fillId="0" borderId="178" xfId="0" applyNumberFormat="1" applyFont="1" applyBorder="1"/>
    <xf numFmtId="2" fontId="276" fillId="0" borderId="178" xfId="0" applyNumberFormat="1" applyFont="1" applyBorder="1"/>
    <xf numFmtId="14" fontId="276" fillId="0" borderId="178" xfId="0" applyNumberFormat="1" applyFont="1" applyBorder="1"/>
    <xf numFmtId="10" fontId="30" fillId="61" borderId="166" xfId="847" applyNumberFormat="1" applyFont="1" applyFill="1" applyBorder="1" applyAlignment="1">
      <alignment horizontal="right"/>
    </xf>
    <xf numFmtId="167" fontId="30" fillId="111" borderId="166" xfId="815" applyFont="1" applyFill="1" applyBorder="1" applyAlignment="1"/>
    <xf numFmtId="10" fontId="30" fillId="44" borderId="178" xfId="847" applyNumberFormat="1" applyFont="1" applyFill="1" applyBorder="1" applyAlignment="1">
      <alignment horizontal="right"/>
    </xf>
    <xf numFmtId="0" fontId="30" fillId="42" borderId="166" xfId="907" applyFill="1" applyBorder="1"/>
    <xf numFmtId="10" fontId="30" fillId="42" borderId="166" xfId="847" applyNumberFormat="1" applyFont="1" applyFill="1" applyBorder="1" applyAlignment="1">
      <alignment horizontal="right"/>
    </xf>
    <xf numFmtId="167" fontId="30" fillId="111" borderId="178" xfId="815" applyFont="1" applyFill="1" applyBorder="1" applyAlignment="1"/>
    <xf numFmtId="0" fontId="30" fillId="0" borderId="166" xfId="0" applyFont="1" applyBorder="1" applyAlignment="1">
      <alignment horizontal="left"/>
    </xf>
    <xf numFmtId="0" fontId="36" fillId="42" borderId="178" xfId="0" applyFont="1" applyFill="1" applyBorder="1"/>
    <xf numFmtId="0" fontId="30" fillId="42" borderId="178" xfId="0" applyFont="1" applyFill="1" applyBorder="1"/>
    <xf numFmtId="168" fontId="30" fillId="41" borderId="166" xfId="863" applyFont="1" applyFill="1" applyBorder="1" applyAlignment="1"/>
    <xf numFmtId="168" fontId="30" fillId="41" borderId="178" xfId="863" applyFont="1" applyFill="1" applyBorder="1" applyAlignment="1"/>
    <xf numFmtId="0" fontId="30" fillId="0" borderId="178" xfId="0" applyFont="1" applyBorder="1" applyAlignment="1">
      <alignment horizontal="left"/>
    </xf>
    <xf numFmtId="168" fontId="30" fillId="0" borderId="178" xfId="863" applyFont="1" applyFill="1" applyBorder="1" applyAlignment="1"/>
    <xf numFmtId="168" fontId="30" fillId="44" borderId="178" xfId="863" applyFont="1" applyFill="1" applyBorder="1" applyAlignment="1">
      <alignment horizontal="right"/>
    </xf>
    <xf numFmtId="10" fontId="30" fillId="111" borderId="166" xfId="847" applyNumberFormat="1" applyFont="1" applyFill="1" applyBorder="1" applyAlignment="1">
      <alignment horizontal="right"/>
    </xf>
    <xf numFmtId="170" fontId="30" fillId="0" borderId="166" xfId="0" applyNumberFormat="1" applyFont="1" applyBorder="1"/>
    <xf numFmtId="168" fontId="30" fillId="0" borderId="166" xfId="863" applyFont="1" applyFill="1" applyBorder="1" applyAlignment="1"/>
    <xf numFmtId="10" fontId="30" fillId="111" borderId="178" xfId="847" applyNumberFormat="1" applyFont="1" applyFill="1" applyBorder="1" applyAlignment="1">
      <alignment horizontal="right"/>
    </xf>
    <xf numFmtId="168" fontId="30" fillId="0" borderId="144" xfId="863" applyFont="1" applyFill="1" applyBorder="1" applyAlignment="1">
      <alignment horizontal="left"/>
    </xf>
    <xf numFmtId="268" fontId="30" fillId="0" borderId="166" xfId="847" applyNumberFormat="1" applyFont="1" applyFill="1" applyBorder="1" applyAlignment="1">
      <alignment horizontal="left"/>
    </xf>
    <xf numFmtId="10" fontId="30" fillId="0" borderId="166" xfId="847" applyNumberFormat="1" applyFont="1" applyFill="1" applyBorder="1" applyAlignment="1"/>
    <xf numFmtId="10" fontId="30" fillId="0" borderId="178" xfId="847" applyNumberFormat="1" applyFont="1" applyFill="1" applyBorder="1" applyAlignment="1">
      <alignment horizontal="left"/>
    </xf>
    <xf numFmtId="167" fontId="30" fillId="0" borderId="166" xfId="815" applyFont="1" applyFill="1" applyBorder="1" applyAlignment="1">
      <alignment horizontal="left"/>
    </xf>
    <xf numFmtId="167" fontId="30" fillId="0" borderId="178" xfId="815" applyFont="1" applyFill="1" applyBorder="1" applyAlignment="1">
      <alignment horizontal="left"/>
    </xf>
    <xf numFmtId="165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1" fontId="30" fillId="111" borderId="144" xfId="907" applyNumberFormat="1" applyFill="1" applyBorder="1" applyAlignment="1">
      <alignment horizontal="left"/>
    </xf>
    <xf numFmtId="168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8" fontId="30" fillId="111" borderId="144" xfId="863" applyFont="1" applyFill="1" applyBorder="1" applyAlignment="1">
      <alignment horizontal="left"/>
    </xf>
    <xf numFmtId="230" fontId="30" fillId="111" borderId="144" xfId="863" applyNumberFormat="1" applyFont="1" applyFill="1" applyBorder="1" applyAlignment="1">
      <alignment horizontal="left"/>
    </xf>
    <xf numFmtId="3" fontId="30" fillId="111" borderId="166" xfId="863" applyNumberFormat="1" applyFont="1" applyFill="1" applyBorder="1" applyAlignment="1">
      <alignment horizontal="left"/>
    </xf>
    <xf numFmtId="230" fontId="30" fillId="111" borderId="166" xfId="0" applyNumberFormat="1" applyFont="1" applyFill="1" applyBorder="1"/>
    <xf numFmtId="10" fontId="30" fillId="42" borderId="166" xfId="847" applyNumberFormat="1" applyFont="1" applyFill="1" applyBorder="1" applyAlignment="1">
      <alignment horizontal="left"/>
    </xf>
    <xf numFmtId="230" fontId="30" fillId="42" borderId="166" xfId="863" applyNumberFormat="1" applyFont="1" applyFill="1" applyBorder="1" applyAlignment="1">
      <alignment horizontal="left"/>
    </xf>
    <xf numFmtId="10" fontId="30" fillId="42" borderId="178" xfId="847" applyNumberFormat="1" applyFont="1" applyFill="1" applyBorder="1" applyAlignment="1">
      <alignment horizontal="left"/>
    </xf>
    <xf numFmtId="230" fontId="30" fillId="42" borderId="178" xfId="863" applyNumberFormat="1" applyFont="1" applyFill="1" applyBorder="1" applyAlignment="1">
      <alignment horizontal="left"/>
    </xf>
    <xf numFmtId="0" fontId="30" fillId="111" borderId="178" xfId="0" applyFont="1" applyFill="1" applyBorder="1" applyAlignment="1">
      <alignment horizontal="left"/>
    </xf>
    <xf numFmtId="230" fontId="30" fillId="111" borderId="178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8" xfId="907" applyFont="1" applyBorder="1" applyAlignment="1">
      <alignment horizontal="left"/>
    </xf>
    <xf numFmtId="0" fontId="229" fillId="33" borderId="178" xfId="829" applyFont="1" applyFill="1" applyBorder="1"/>
    <xf numFmtId="0" fontId="205" fillId="60" borderId="166" xfId="0" applyFont="1" applyFill="1" applyBorder="1" applyAlignment="1" applyProtection="1">
      <alignment horizontal="left" wrapText="1"/>
      <protection hidden="1"/>
    </xf>
    <xf numFmtId="167" fontId="205" fillId="0" borderId="166" xfId="815" applyFont="1" applyBorder="1"/>
    <xf numFmtId="0" fontId="208" fillId="114" borderId="178" xfId="0" applyFont="1" applyFill="1" applyBorder="1" applyAlignment="1" applyProtection="1">
      <alignment horizontal="left" wrapText="1"/>
      <protection hidden="1"/>
    </xf>
    <xf numFmtId="262" fontId="208" fillId="0" borderId="178" xfId="847" applyNumberFormat="1" applyFont="1" applyBorder="1"/>
    <xf numFmtId="0" fontId="208" fillId="114" borderId="144" xfId="0" applyFont="1" applyFill="1" applyBorder="1" applyAlignment="1" applyProtection="1">
      <alignment horizontal="left" wrapText="1"/>
      <protection hidden="1"/>
    </xf>
    <xf numFmtId="262" fontId="208" fillId="0" borderId="144" xfId="847" applyNumberFormat="1" applyFont="1" applyBorder="1"/>
    <xf numFmtId="0" fontId="211" fillId="0" borderId="178" xfId="0" applyFont="1" applyBorder="1" applyAlignment="1">
      <alignment horizontal="right" vertical="center"/>
    </xf>
    <xf numFmtId="0" fontId="211" fillId="0" borderId="166" xfId="0" applyFont="1" applyBorder="1" applyAlignment="1">
      <alignment horizontal="right" vertical="center"/>
    </xf>
    <xf numFmtId="0" fontId="212" fillId="43" borderId="166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7" fontId="208" fillId="59" borderId="149" xfId="0" applyNumberFormat="1" applyFont="1" applyFill="1" applyBorder="1" applyProtection="1">
      <protection hidden="1"/>
    </xf>
    <xf numFmtId="167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2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8" xfId="0" applyFont="1" applyFill="1" applyBorder="1" applyAlignment="1">
      <alignment horizontal="left"/>
    </xf>
    <xf numFmtId="167" fontId="208" fillId="59" borderId="156" xfId="0" applyNumberFormat="1" applyFont="1" applyFill="1" applyBorder="1" applyProtection="1">
      <protection hidden="1"/>
    </xf>
    <xf numFmtId="167" fontId="208" fillId="59" borderId="155" xfId="0" applyNumberFormat="1" applyFont="1" applyFill="1" applyBorder="1" applyProtection="1">
      <protection hidden="1"/>
    </xf>
    <xf numFmtId="10" fontId="208" fillId="59" borderId="156" xfId="847" applyNumberFormat="1" applyFont="1" applyFill="1" applyBorder="1" applyAlignment="1" applyProtection="1">
      <alignment horizontal="right"/>
      <protection hidden="1"/>
    </xf>
    <xf numFmtId="262" fontId="208" fillId="59" borderId="178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8" xfId="0" applyFont="1" applyFill="1" applyBorder="1" applyAlignment="1" applyProtection="1">
      <alignment horizontal="left"/>
      <protection hidden="1"/>
    </xf>
    <xf numFmtId="167" fontId="208" fillId="59" borderId="178" xfId="0" applyNumberFormat="1" applyFont="1" applyFill="1" applyBorder="1" applyProtection="1">
      <protection hidden="1"/>
    </xf>
    <xf numFmtId="167" fontId="208" fillId="114" borderId="178" xfId="0" applyNumberFormat="1" applyFont="1" applyFill="1" applyBorder="1" applyProtection="1">
      <protection hidden="1"/>
    </xf>
    <xf numFmtId="262" fontId="208" fillId="59" borderId="156" xfId="847" applyNumberFormat="1" applyFont="1" applyFill="1" applyBorder="1" applyAlignment="1" applyProtection="1">
      <alignment horizontal="center"/>
      <protection hidden="1"/>
    </xf>
    <xf numFmtId="262" fontId="208" fillId="59" borderId="178" xfId="847" applyNumberFormat="1" applyFont="1" applyFill="1" applyBorder="1" applyAlignment="1" applyProtection="1">
      <alignment horizontal="center"/>
      <protection hidden="1"/>
    </xf>
    <xf numFmtId="0" fontId="208" fillId="59" borderId="166" xfId="0" applyFont="1" applyFill="1" applyBorder="1" applyProtection="1">
      <protection hidden="1"/>
    </xf>
    <xf numFmtId="167" fontId="208" fillId="59" borderId="166" xfId="815" applyFont="1" applyFill="1" applyBorder="1" applyAlignment="1" applyProtection="1">
      <protection hidden="1"/>
    </xf>
    <xf numFmtId="10" fontId="208" fillId="59" borderId="166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8" xfId="776" applyFont="1" applyFill="1" applyBorder="1" applyAlignment="1">
      <alignment wrapText="1"/>
    </xf>
    <xf numFmtId="217" fontId="43" fillId="33" borderId="178" xfId="2697" applyNumberFormat="1" applyFont="1" applyFill="1" applyBorder="1" applyAlignment="1">
      <alignment horizontal="center"/>
    </xf>
    <xf numFmtId="167" fontId="43" fillId="33" borderId="178" xfId="815" applyFont="1" applyFill="1" applyBorder="1"/>
    <xf numFmtId="217" fontId="110" fillId="94" borderId="144" xfId="1823" applyNumberFormat="1" applyFont="1" applyFill="1" applyBorder="1" applyAlignment="1">
      <alignment horizontal="center" vertical="center" wrapText="1"/>
    </xf>
    <xf numFmtId="167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7" fontId="43" fillId="94" borderId="144" xfId="2697" applyNumberFormat="1" applyFont="1" applyFill="1" applyBorder="1" applyAlignment="1">
      <alignment horizontal="center"/>
    </xf>
    <xf numFmtId="171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1" fontId="38" fillId="38" borderId="144" xfId="847" applyNumberFormat="1" applyFont="1" applyFill="1" applyBorder="1" applyAlignment="1">
      <alignment horizontal="center" vertical="center" wrapText="1"/>
    </xf>
    <xf numFmtId="0" fontId="43" fillId="0" borderId="178" xfId="2697" applyFont="1" applyBorder="1" applyAlignment="1">
      <alignment vertical="center"/>
    </xf>
    <xf numFmtId="43" fontId="43" fillId="41" borderId="178" xfId="43199" applyFont="1" applyFill="1" applyBorder="1" applyAlignment="1">
      <alignment vertical="center"/>
    </xf>
    <xf numFmtId="43" fontId="43" fillId="41" borderId="178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8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70" fontId="43" fillId="42" borderId="144" xfId="43199" applyNumberFormat="1" applyFont="1" applyFill="1" applyBorder="1" applyAlignment="1">
      <alignment horizontal="center" wrapText="1"/>
    </xf>
    <xf numFmtId="170" fontId="43" fillId="42" borderId="144" xfId="847" applyNumberFormat="1" applyFont="1" applyFill="1" applyBorder="1" applyAlignment="1">
      <alignment horizontal="center" wrapText="1"/>
    </xf>
    <xf numFmtId="170" fontId="110" fillId="59" borderId="144" xfId="863" applyNumberFormat="1" applyFont="1" applyFill="1" applyBorder="1" applyAlignment="1">
      <alignment vertical="center"/>
    </xf>
    <xf numFmtId="0" fontId="243" fillId="41" borderId="178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8" xfId="2697" applyFont="1" applyFill="1" applyBorder="1" applyAlignment="1">
      <alignment horizontal="center" vertical="center"/>
    </xf>
    <xf numFmtId="0" fontId="43" fillId="41" borderId="166" xfId="2697" applyFont="1" applyFill="1" applyBorder="1" applyAlignment="1">
      <alignment horizontal="center"/>
    </xf>
    <xf numFmtId="0" fontId="43" fillId="41" borderId="166" xfId="2697" applyFont="1" applyFill="1" applyBorder="1" applyAlignment="1">
      <alignment horizontal="left"/>
    </xf>
    <xf numFmtId="2" fontId="43" fillId="41" borderId="166" xfId="2697" applyNumberFormat="1" applyFont="1" applyFill="1" applyBorder="1" applyAlignment="1">
      <alignment horizontal="center"/>
    </xf>
    <xf numFmtId="3" fontId="43" fillId="41" borderId="178" xfId="43199" applyNumberFormat="1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8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8" xfId="907" applyFont="1" applyBorder="1" applyAlignment="1">
      <alignment horizontal="left"/>
    </xf>
    <xf numFmtId="170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168" fontId="110" fillId="59" borderId="144" xfId="863" applyFont="1" applyFill="1" applyBorder="1" applyAlignment="1">
      <alignment vertical="center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2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2" fontId="251" fillId="59" borderId="144" xfId="905" applyNumberFormat="1" applyFont="1" applyFill="1" applyBorder="1" applyAlignment="1">
      <alignment horizontal="left"/>
    </xf>
    <xf numFmtId="262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2" fontId="251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172" fontId="251" fillId="59" borderId="144" xfId="43199" applyNumberFormat="1" applyFont="1" applyFill="1" applyBorder="1" applyAlignment="1">
      <alignment vertical="center"/>
    </xf>
    <xf numFmtId="168" fontId="251" fillId="59" borderId="144" xfId="863" applyFont="1" applyFill="1" applyBorder="1" applyAlignment="1">
      <alignment vertical="center"/>
    </xf>
    <xf numFmtId="172" fontId="110" fillId="59" borderId="144" xfId="43199" applyNumberFormat="1" applyFont="1" applyFill="1" applyBorder="1" applyAlignment="1">
      <alignment vertical="center"/>
    </xf>
    <xf numFmtId="0" fontId="117" fillId="101" borderId="188" xfId="2697" applyFont="1" applyFill="1" applyBorder="1" applyAlignment="1">
      <alignment horizontal="center" vertical="center" wrapText="1"/>
    </xf>
    <xf numFmtId="0" fontId="110" fillId="59" borderId="189" xfId="905" applyFont="1" applyFill="1" applyBorder="1" applyAlignment="1">
      <alignment horizontal="left"/>
    </xf>
    <xf numFmtId="0" fontId="146" fillId="0" borderId="190" xfId="2697" applyFont="1" applyBorder="1" applyAlignment="1">
      <alignment horizontal="center" vertical="center" wrapText="1"/>
    </xf>
    <xf numFmtId="0" fontId="146" fillId="0" borderId="191" xfId="2697" applyFont="1" applyBorder="1" applyAlignment="1">
      <alignment horizontal="center" vertical="center" wrapText="1"/>
    </xf>
    <xf numFmtId="0" fontId="146" fillId="0" borderId="190" xfId="2697" applyFont="1" applyBorder="1" applyAlignment="1">
      <alignment vertical="center"/>
    </xf>
    <xf numFmtId="4" fontId="146" fillId="0" borderId="190" xfId="43199" applyNumberFormat="1" applyFont="1" applyBorder="1" applyAlignment="1">
      <alignment horizontal="right" vertical="center" wrapText="1"/>
    </xf>
    <xf numFmtId="4" fontId="146" fillId="0" borderId="191" xfId="43199" applyNumberFormat="1" applyFont="1" applyBorder="1" applyAlignment="1">
      <alignment horizontal="right" vertical="center" wrapText="1"/>
    </xf>
    <xf numFmtId="0" fontId="146" fillId="41" borderId="190" xfId="907" applyFont="1" applyFill="1" applyBorder="1"/>
    <xf numFmtId="0" fontId="143" fillId="43" borderId="166" xfId="43405" applyFont="1" applyFill="1" applyBorder="1" applyAlignment="1">
      <alignment horizontal="left" wrapText="1"/>
    </xf>
    <xf numFmtId="10" fontId="143" fillId="43" borderId="166" xfId="847" applyNumberFormat="1" applyFont="1" applyFill="1" applyBorder="1" applyAlignment="1">
      <alignment horizontal="right"/>
    </xf>
    <xf numFmtId="0" fontId="244" fillId="0" borderId="178" xfId="43405" applyFont="1" applyBorder="1"/>
    <xf numFmtId="10" fontId="244" fillId="0" borderId="178" xfId="847" applyNumberFormat="1" applyFont="1" applyFill="1" applyBorder="1"/>
    <xf numFmtId="174" fontId="211" fillId="0" borderId="178" xfId="0" applyNumberFormat="1" applyFont="1" applyBorder="1" applyAlignment="1">
      <alignment horizontal="right"/>
    </xf>
    <xf numFmtId="10" fontId="211" fillId="0" borderId="178" xfId="0" applyNumberFormat="1" applyFont="1" applyBorder="1" applyAlignment="1">
      <alignment horizontal="left"/>
    </xf>
    <xf numFmtId="0" fontId="208" fillId="58" borderId="192" xfId="834" applyFont="1" applyFill="1" applyBorder="1" applyAlignment="1" applyProtection="1">
      <alignment horizontal="left" vertical="center"/>
    </xf>
    <xf numFmtId="0" fontId="208" fillId="58" borderId="193" xfId="834" applyFont="1" applyFill="1" applyBorder="1" applyAlignment="1" applyProtection="1">
      <alignment horizontal="left" vertical="center"/>
    </xf>
    <xf numFmtId="4" fontId="208" fillId="58" borderId="192" xfId="834" applyNumberFormat="1" applyFont="1" applyFill="1" applyBorder="1" applyAlignment="1" applyProtection="1">
      <alignment horizontal="left" vertical="center"/>
    </xf>
    <xf numFmtId="14" fontId="208" fillId="56" borderId="156" xfId="834" applyNumberFormat="1" applyFont="1" applyFill="1" applyBorder="1" applyAlignment="1" applyProtection="1">
      <alignment horizontal="left" vertical="center"/>
    </xf>
    <xf numFmtId="0" fontId="212" fillId="43" borderId="189" xfId="0" applyFont="1" applyFill="1" applyBorder="1" applyAlignment="1">
      <alignment horizontal="center"/>
    </xf>
    <xf numFmtId="0" fontId="212" fillId="43" borderId="194" xfId="0" applyFont="1" applyFill="1" applyBorder="1" applyAlignment="1">
      <alignment horizontal="center"/>
    </xf>
    <xf numFmtId="0" fontId="208" fillId="41" borderId="189" xfId="0" applyFont="1" applyFill="1" applyBorder="1" applyAlignment="1" applyProtection="1">
      <alignment horizontal="left"/>
      <protection hidden="1"/>
    </xf>
    <xf numFmtId="170" fontId="208" fillId="41" borderId="189" xfId="43183" applyNumberFormat="1" applyFont="1" applyFill="1" applyBorder="1" applyAlignment="1" applyProtection="1">
      <alignment horizontal="center" vertical="center"/>
    </xf>
    <xf numFmtId="165" fontId="208" fillId="41" borderId="189" xfId="43184" applyFont="1" applyFill="1" applyBorder="1" applyAlignment="1" applyProtection="1">
      <alignment horizontal="center" vertical="center"/>
    </xf>
    <xf numFmtId="0" fontId="205" fillId="41" borderId="194" xfId="2697" applyFont="1" applyFill="1" applyBorder="1"/>
    <xf numFmtId="43" fontId="110" fillId="0" borderId="194" xfId="43185" applyFont="1" applyFill="1" applyBorder="1" applyAlignment="1" applyProtection="1">
      <alignment vertical="center"/>
    </xf>
    <xf numFmtId="167" fontId="205" fillId="41" borderId="194" xfId="815" applyFont="1" applyFill="1" applyBorder="1"/>
    <xf numFmtId="0" fontId="229" fillId="0" borderId="178" xfId="2697" applyFont="1" applyBorder="1"/>
    <xf numFmtId="10" fontId="205" fillId="0" borderId="178" xfId="847" applyNumberFormat="1" applyFont="1" applyFill="1" applyBorder="1"/>
    <xf numFmtId="0" fontId="229" fillId="41" borderId="194" xfId="2697" applyFont="1" applyFill="1" applyBorder="1" applyAlignment="1">
      <alignment vertical="center" wrapText="1"/>
    </xf>
    <xf numFmtId="170" fontId="205" fillId="0" borderId="194" xfId="43183" applyNumberFormat="1" applyFont="1" applyFill="1" applyBorder="1" applyAlignment="1">
      <alignment vertical="center" wrapText="1"/>
    </xf>
    <xf numFmtId="0" fontId="230" fillId="0" borderId="178" xfId="2697" applyFont="1" applyBorder="1"/>
    <xf numFmtId="10" fontId="208" fillId="0" borderId="178" xfId="2697" applyNumberFormat="1" applyFont="1" applyBorder="1"/>
    <xf numFmtId="0" fontId="205" fillId="41" borderId="178" xfId="2697" applyFont="1" applyFill="1" applyBorder="1"/>
    <xf numFmtId="43" fontId="43" fillId="0" borderId="178" xfId="43185" applyFont="1" applyFill="1" applyBorder="1" applyAlignment="1" applyProtection="1">
      <alignment horizontal="right"/>
      <protection locked="0"/>
    </xf>
    <xf numFmtId="167" fontId="205" fillId="41" borderId="178" xfId="815" applyFont="1" applyFill="1" applyBorder="1"/>
    <xf numFmtId="168" fontId="208" fillId="41" borderId="189" xfId="43185" applyNumberFormat="1" applyFont="1" applyFill="1" applyBorder="1" applyAlignment="1" applyProtection="1">
      <alignment horizontal="right"/>
      <protection locked="0"/>
    </xf>
    <xf numFmtId="165" fontId="208" fillId="41" borderId="189" xfId="43184" applyFont="1" applyFill="1" applyBorder="1" applyAlignment="1" applyProtection="1">
      <alignment horizontal="right"/>
      <protection locked="0"/>
    </xf>
    <xf numFmtId="0" fontId="208" fillId="97" borderId="189" xfId="2697" applyFont="1" applyFill="1" applyBorder="1"/>
    <xf numFmtId="167" fontId="208" fillId="97" borderId="189" xfId="2697" applyNumberFormat="1" applyFont="1" applyFill="1" applyBorder="1"/>
    <xf numFmtId="0" fontId="230" fillId="0" borderId="189" xfId="2697" applyFont="1" applyBorder="1"/>
    <xf numFmtId="170" fontId="205" fillId="0" borderId="189" xfId="43183" applyNumberFormat="1" applyFont="1" applyFill="1" applyBorder="1" applyAlignment="1">
      <alignment vertical="center" wrapText="1"/>
    </xf>
    <xf numFmtId="170" fontId="208" fillId="41" borderId="189" xfId="43183" applyNumberFormat="1" applyFont="1" applyFill="1" applyBorder="1" applyAlignment="1" applyProtection="1">
      <alignment vertical="center"/>
    </xf>
    <xf numFmtId="165" fontId="208" fillId="0" borderId="189" xfId="43184" applyFont="1" applyFill="1" applyBorder="1" applyAlignment="1" applyProtection="1">
      <alignment vertical="center"/>
    </xf>
    <xf numFmtId="0" fontId="208" fillId="97" borderId="189" xfId="0" applyFont="1" applyFill="1" applyBorder="1" applyAlignment="1" applyProtection="1">
      <alignment horizontal="left"/>
      <protection hidden="1"/>
    </xf>
    <xf numFmtId="43" fontId="208" fillId="97" borderId="189" xfId="43183" applyFont="1" applyFill="1" applyBorder="1" applyAlignment="1" applyProtection="1">
      <alignment vertical="center"/>
    </xf>
    <xf numFmtId="165" fontId="208" fillId="97" borderId="189" xfId="43184" applyFont="1" applyFill="1" applyBorder="1" applyAlignment="1" applyProtection="1">
      <alignment vertical="center"/>
    </xf>
    <xf numFmtId="0" fontId="110" fillId="58" borderId="191" xfId="834" applyFont="1" applyFill="1" applyBorder="1" applyAlignment="1" applyProtection="1">
      <alignment horizontal="left" vertical="center"/>
    </xf>
    <xf numFmtId="0" fontId="110" fillId="58" borderId="195" xfId="834" applyFont="1" applyFill="1" applyBorder="1" applyAlignment="1" applyProtection="1">
      <alignment horizontal="left" vertical="center"/>
    </xf>
    <xf numFmtId="0" fontId="110" fillId="56" borderId="191" xfId="834" applyFont="1" applyFill="1" applyBorder="1" applyAlignment="1" applyProtection="1">
      <alignment horizontal="left" vertical="center"/>
    </xf>
    <xf numFmtId="0" fontId="110" fillId="56" borderId="195" xfId="834" applyFont="1" applyFill="1" applyBorder="1" applyAlignment="1" applyProtection="1">
      <alignment horizontal="left" vertical="center"/>
    </xf>
    <xf numFmtId="0" fontId="208" fillId="97" borderId="194" xfId="0" applyFont="1" applyFill="1" applyBorder="1" applyAlignment="1" applyProtection="1">
      <alignment horizontal="left"/>
      <protection hidden="1"/>
    </xf>
    <xf numFmtId="0" fontId="208" fillId="0" borderId="189" xfId="2697" applyFont="1" applyBorder="1" applyAlignment="1">
      <alignment horizontal="left"/>
    </xf>
    <xf numFmtId="165" fontId="208" fillId="0" borderId="189" xfId="2697" applyNumberFormat="1" applyFont="1" applyBorder="1"/>
    <xf numFmtId="168" fontId="205" fillId="0" borderId="196" xfId="863" applyFont="1" applyBorder="1"/>
    <xf numFmtId="0" fontId="205" fillId="97" borderId="194" xfId="0" applyFont="1" applyFill="1" applyBorder="1" applyAlignment="1" applyProtection="1">
      <alignment horizontal="left"/>
      <protection hidden="1"/>
    </xf>
    <xf numFmtId="165" fontId="205" fillId="0" borderId="194" xfId="43184" applyFont="1" applyBorder="1"/>
    <xf numFmtId="168" fontId="205" fillId="0" borderId="190" xfId="863" applyFont="1" applyBorder="1"/>
    <xf numFmtId="0" fontId="205" fillId="97" borderId="178" xfId="0" applyFont="1" applyFill="1" applyBorder="1" applyAlignment="1" applyProtection="1">
      <alignment horizontal="left"/>
      <protection hidden="1"/>
    </xf>
    <xf numFmtId="165" fontId="205" fillId="0" borderId="178" xfId="43184" applyFont="1" applyBorder="1"/>
    <xf numFmtId="14" fontId="110" fillId="56" borderId="195" xfId="834" applyNumberFormat="1" applyFont="1" applyFill="1" applyBorder="1" applyAlignment="1" applyProtection="1">
      <alignment horizontal="left" vertical="center"/>
    </xf>
    <xf numFmtId="0" fontId="217" fillId="43" borderId="189" xfId="0" applyFont="1" applyFill="1" applyBorder="1" applyAlignment="1">
      <alignment horizontal="center"/>
    </xf>
    <xf numFmtId="0" fontId="213" fillId="59" borderId="189" xfId="907" applyFont="1" applyFill="1" applyBorder="1"/>
    <xf numFmtId="219" fontId="213" fillId="59" borderId="189" xfId="863" applyNumberFormat="1" applyFont="1" applyFill="1" applyBorder="1"/>
    <xf numFmtId="0" fontId="205" fillId="0" borderId="189" xfId="907" applyFont="1" applyBorder="1" applyAlignment="1">
      <alignment horizontal="left" indent="1"/>
    </xf>
    <xf numFmtId="219" fontId="218" fillId="41" borderId="189" xfId="863" applyNumberFormat="1" applyFont="1" applyFill="1" applyBorder="1"/>
    <xf numFmtId="168" fontId="205" fillId="0" borderId="178" xfId="863" applyFont="1" applyBorder="1"/>
    <xf numFmtId="0" fontId="210" fillId="43" borderId="178" xfId="0" applyFont="1" applyFill="1" applyBorder="1"/>
    <xf numFmtId="0" fontId="210" fillId="43" borderId="178" xfId="0" applyFont="1" applyFill="1" applyBorder="1" applyAlignment="1">
      <alignment horizontal="center"/>
    </xf>
    <xf numFmtId="0" fontId="205" fillId="0" borderId="194" xfId="0" applyFont="1" applyBorder="1"/>
    <xf numFmtId="44" fontId="205" fillId="0" borderId="194" xfId="863" applyNumberFormat="1" applyFont="1" applyBorder="1"/>
    <xf numFmtId="0" fontId="208" fillId="0" borderId="178" xfId="907" applyFont="1" applyBorder="1"/>
    <xf numFmtId="214" fontId="208" fillId="0" borderId="178" xfId="0" applyNumberFormat="1" applyFont="1" applyBorder="1"/>
    <xf numFmtId="168" fontId="205" fillId="0" borderId="194" xfId="863" applyFont="1" applyBorder="1"/>
    <xf numFmtId="168" fontId="205" fillId="100" borderId="178" xfId="863" applyFont="1" applyFill="1" applyBorder="1"/>
    <xf numFmtId="0" fontId="208" fillId="59" borderId="189" xfId="907" applyFont="1" applyFill="1" applyBorder="1"/>
    <xf numFmtId="170" fontId="208" fillId="59" borderId="189" xfId="907" applyNumberFormat="1" applyFont="1" applyFill="1" applyBorder="1"/>
    <xf numFmtId="168" fontId="208" fillId="59" borderId="189" xfId="863" applyFont="1" applyFill="1" applyBorder="1"/>
    <xf numFmtId="167" fontId="208" fillId="59" borderId="189" xfId="907" applyNumberFormat="1" applyFont="1" applyFill="1" applyBorder="1"/>
    <xf numFmtId="0" fontId="205" fillId="0" borderId="194" xfId="907" applyFont="1" applyBorder="1"/>
    <xf numFmtId="168" fontId="205" fillId="61" borderId="194" xfId="863" applyFont="1" applyFill="1" applyBorder="1"/>
    <xf numFmtId="168" fontId="205" fillId="0" borderId="194" xfId="863" applyFont="1" applyFill="1" applyBorder="1"/>
    <xf numFmtId="168" fontId="205" fillId="44" borderId="194" xfId="863" applyFont="1" applyFill="1" applyBorder="1"/>
    <xf numFmtId="0" fontId="217" fillId="43" borderId="194" xfId="0" applyFont="1" applyFill="1" applyBorder="1" applyAlignment="1">
      <alignment horizontal="center" vertical="center" wrapText="1"/>
    </xf>
    <xf numFmtId="0" fontId="217" fillId="43" borderId="189" xfId="0" applyFont="1" applyFill="1" applyBorder="1" applyAlignment="1">
      <alignment horizontal="center" vertical="center" wrapText="1"/>
    </xf>
    <xf numFmtId="0" fontId="297" fillId="43" borderId="192" xfId="907" applyFont="1" applyFill="1" applyBorder="1"/>
    <xf numFmtId="0" fontId="297" fillId="43" borderId="194" xfId="907" applyFont="1" applyFill="1" applyBorder="1"/>
    <xf numFmtId="0" fontId="297" fillId="43" borderId="193" xfId="907" applyFont="1" applyFill="1" applyBorder="1"/>
    <xf numFmtId="0" fontId="294" fillId="43" borderId="191" xfId="907" applyFont="1" applyFill="1" applyBorder="1"/>
    <xf numFmtId="0" fontId="294" fillId="43" borderId="189" xfId="907" applyFont="1" applyFill="1" applyBorder="1"/>
    <xf numFmtId="0" fontId="294" fillId="43" borderId="190" xfId="907" applyFont="1" applyFill="1" applyBorder="1"/>
    <xf numFmtId="0" fontId="208" fillId="97" borderId="189" xfId="0" applyFont="1" applyFill="1" applyBorder="1"/>
    <xf numFmtId="0" fontId="298" fillId="97" borderId="189" xfId="0" applyFont="1" applyFill="1" applyBorder="1"/>
    <xf numFmtId="0" fontId="216" fillId="97" borderId="189" xfId="0" applyFont="1" applyFill="1" applyBorder="1"/>
    <xf numFmtId="168" fontId="208" fillId="97" borderId="189" xfId="0" applyNumberFormat="1" applyFont="1" applyFill="1" applyBorder="1"/>
    <xf numFmtId="272" fontId="208" fillId="97" borderId="189" xfId="863" applyNumberFormat="1" applyFont="1" applyFill="1" applyBorder="1"/>
    <xf numFmtId="43" fontId="208" fillId="97" borderId="189" xfId="0" applyNumberFormat="1" applyFont="1" applyFill="1" applyBorder="1"/>
    <xf numFmtId="0" fontId="294" fillId="43" borderId="191" xfId="907" applyFont="1" applyFill="1" applyBorder="1" applyAlignment="1">
      <alignment vertical="center"/>
    </xf>
    <xf numFmtId="0" fontId="294" fillId="43" borderId="189" xfId="907" applyFont="1" applyFill="1" applyBorder="1" applyAlignment="1">
      <alignment horizontal="center" vertical="center"/>
    </xf>
    <xf numFmtId="0" fontId="294" fillId="43" borderId="190" xfId="907" applyFont="1" applyFill="1" applyBorder="1" applyAlignment="1">
      <alignment vertical="center"/>
    </xf>
    <xf numFmtId="0" fontId="294" fillId="43" borderId="189" xfId="907" applyFont="1" applyFill="1" applyBorder="1" applyAlignment="1">
      <alignment vertical="center"/>
    </xf>
    <xf numFmtId="0" fontId="294" fillId="120" borderId="192" xfId="907" applyFont="1" applyFill="1" applyBorder="1"/>
    <xf numFmtId="0" fontId="294" fillId="120" borderId="194" xfId="907" applyFont="1" applyFill="1" applyBorder="1" applyAlignment="1">
      <alignment horizontal="center" wrapText="1"/>
    </xf>
    <xf numFmtId="0" fontId="294" fillId="120" borderId="194" xfId="907" applyFont="1" applyFill="1" applyBorder="1" applyAlignment="1">
      <alignment horizontal="center"/>
    </xf>
    <xf numFmtId="0" fontId="294" fillId="120" borderId="193" xfId="907" applyFont="1" applyFill="1" applyBorder="1" applyAlignment="1">
      <alignment horizontal="center"/>
    </xf>
    <xf numFmtId="0" fontId="295" fillId="0" borderId="192" xfId="907" applyFont="1" applyBorder="1"/>
    <xf numFmtId="43" fontId="295" fillId="0" borderId="193" xfId="43408" applyFont="1" applyFill="1" applyBorder="1"/>
    <xf numFmtId="219" fontId="295" fillId="121" borderId="189" xfId="43408" applyNumberFormat="1" applyFont="1" applyFill="1" applyBorder="1"/>
    <xf numFmtId="43" fontId="296" fillId="121" borderId="189" xfId="43408" applyFont="1" applyFill="1" applyBorder="1"/>
    <xf numFmtId="167" fontId="296" fillId="121" borderId="195" xfId="815" applyFont="1" applyFill="1" applyBorder="1"/>
    <xf numFmtId="0" fontId="296" fillId="0" borderId="194" xfId="0" applyFont="1" applyBorder="1"/>
    <xf numFmtId="0" fontId="238" fillId="0" borderId="178" xfId="907" applyFont="1" applyBorder="1" applyAlignment="1">
      <alignment horizontal="left"/>
    </xf>
    <xf numFmtId="0" fontId="233" fillId="33" borderId="178" xfId="829" applyFont="1" applyFill="1" applyBorder="1"/>
    <xf numFmtId="0" fontId="205" fillId="33" borderId="178" xfId="831" applyFont="1" applyFill="1" applyBorder="1" applyAlignment="1">
      <alignment vertical="center"/>
    </xf>
    <xf numFmtId="170" fontId="205" fillId="33" borderId="178" xfId="863" applyNumberFormat="1" applyFont="1" applyFill="1" applyBorder="1" applyAlignment="1">
      <alignment vertical="center"/>
    </xf>
    <xf numFmtId="10" fontId="211" fillId="0" borderId="178" xfId="0" applyNumberFormat="1" applyFont="1" applyBorder="1" applyAlignment="1">
      <alignment horizontal="center"/>
    </xf>
    <xf numFmtId="0" fontId="223" fillId="33" borderId="197" xfId="831" applyFont="1" applyFill="1" applyBorder="1" applyAlignment="1">
      <alignment horizontal="left" vertical="center"/>
    </xf>
    <xf numFmtId="0" fontId="212" fillId="43" borderId="189" xfId="0" applyFont="1" applyFill="1" applyBorder="1" applyAlignment="1">
      <alignment horizontal="center" vertical="center" wrapText="1"/>
    </xf>
    <xf numFmtId="0" fontId="205" fillId="0" borderId="178" xfId="831" applyFont="1" applyBorder="1" applyAlignment="1">
      <alignment vertical="center"/>
    </xf>
    <xf numFmtId="168" fontId="205" fillId="33" borderId="178" xfId="863" applyFont="1" applyFill="1" applyBorder="1" applyAlignment="1" applyProtection="1">
      <alignment horizontal="center" vertical="center"/>
      <protection locked="0"/>
    </xf>
    <xf numFmtId="0" fontId="207" fillId="38" borderId="191" xfId="905" applyFont="1" applyFill="1" applyBorder="1" applyAlignment="1">
      <alignment horizontal="center" vertical="center"/>
    </xf>
    <xf numFmtId="0" fontId="207" fillId="38" borderId="189" xfId="905" applyFont="1" applyFill="1" applyBorder="1" applyAlignment="1">
      <alignment vertical="center"/>
    </xf>
    <xf numFmtId="0" fontId="207" fillId="38" borderId="195" xfId="905" applyFont="1" applyFill="1" applyBorder="1" applyAlignment="1">
      <alignment vertical="center"/>
    </xf>
    <xf numFmtId="176" fontId="43" fillId="41" borderId="199" xfId="863" applyNumberFormat="1" applyFont="1" applyFill="1" applyBorder="1" applyAlignment="1">
      <alignment vertical="center"/>
    </xf>
    <xf numFmtId="176" fontId="205" fillId="0" borderId="190" xfId="863" applyNumberFormat="1" applyFont="1" applyFill="1" applyBorder="1" applyAlignment="1">
      <alignment vertical="center"/>
    </xf>
    <xf numFmtId="168" fontId="208" fillId="33" borderId="190" xfId="831" applyNumberFormat="1" applyFont="1" applyFill="1" applyBorder="1" applyAlignment="1">
      <alignment vertical="center"/>
    </xf>
    <xf numFmtId="168" fontId="208" fillId="33" borderId="190" xfId="863" applyFont="1" applyFill="1" applyBorder="1" applyAlignment="1">
      <alignment vertical="center"/>
    </xf>
    <xf numFmtId="168" fontId="212" fillId="0" borderId="178" xfId="863" applyFont="1" applyFill="1" applyBorder="1" applyAlignment="1">
      <alignment horizontal="center" vertical="center"/>
    </xf>
    <xf numFmtId="17" fontId="207" fillId="38" borderId="190" xfId="905" applyNumberFormat="1" applyFont="1" applyFill="1" applyBorder="1" applyAlignment="1">
      <alignment horizontal="center" vertical="center"/>
    </xf>
    <xf numFmtId="0" fontId="33" fillId="33" borderId="190" xfId="907" applyFont="1" applyFill="1" applyBorder="1" applyAlignment="1">
      <alignment horizontal="center" vertical="center"/>
    </xf>
    <xf numFmtId="4" fontId="208" fillId="33" borderId="190" xfId="831" applyNumberFormat="1" applyFont="1" applyFill="1" applyBorder="1" applyAlignment="1">
      <alignment horizontal="right" vertical="center"/>
    </xf>
    <xf numFmtId="4" fontId="205" fillId="33" borderId="190" xfId="863" applyNumberFormat="1" applyFont="1" applyFill="1" applyBorder="1" applyAlignment="1">
      <alignment horizontal="right" vertical="center"/>
    </xf>
    <xf numFmtId="17" fontId="39" fillId="38" borderId="190" xfId="905" applyNumberFormat="1" applyFont="1" applyFill="1" applyBorder="1" applyAlignment="1">
      <alignment horizontal="center" vertical="center"/>
    </xf>
    <xf numFmtId="17" fontId="39" fillId="38" borderId="190" xfId="905" applyNumberFormat="1" applyFont="1" applyFill="1" applyBorder="1" applyAlignment="1">
      <alignment horizontal="center" vertical="center" wrapText="1"/>
    </xf>
    <xf numFmtId="17" fontId="39" fillId="38" borderId="199" xfId="905" applyNumberFormat="1" applyFont="1" applyFill="1" applyBorder="1" applyAlignment="1">
      <alignment horizontal="center" vertical="center" wrapText="1"/>
    </xf>
    <xf numFmtId="176" fontId="33" fillId="0" borderId="190" xfId="907" applyNumberFormat="1" applyFont="1" applyBorder="1" applyAlignment="1">
      <alignment horizontal="center" vertical="center"/>
    </xf>
    <xf numFmtId="171" fontId="30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0" fillId="0" borderId="196" xfId="863" applyBorder="1"/>
    <xf numFmtId="17" fontId="38" fillId="38" borderId="195" xfId="905" applyNumberFormat="1" applyFont="1" applyFill="1" applyBorder="1" applyAlignment="1">
      <alignment horizontal="center" vertical="center" wrapText="1"/>
    </xf>
    <xf numFmtId="17" fontId="38" fillId="38" borderId="190" xfId="905" applyNumberFormat="1" applyFont="1" applyFill="1" applyBorder="1" applyAlignment="1">
      <alignment horizontal="center" vertical="center" wrapText="1"/>
    </xf>
    <xf numFmtId="0" fontId="30" fillId="0" borderId="190" xfId="907" applyBorder="1"/>
    <xf numFmtId="168" fontId="30" fillId="0" borderId="190" xfId="863" applyFont="1" applyFill="1" applyBorder="1" applyAlignment="1"/>
    <xf numFmtId="171" fontId="30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30" fillId="0" borderId="199" xfId="863" applyBorder="1"/>
    <xf numFmtId="0" fontId="33" fillId="0" borderId="190" xfId="907" applyFont="1" applyBorder="1" applyAlignment="1">
      <alignment horizontal="center" vertical="center"/>
    </xf>
    <xf numFmtId="0" fontId="208" fillId="97" borderId="189" xfId="831" applyFont="1" applyFill="1" applyBorder="1" applyAlignment="1">
      <alignment horizontal="center"/>
    </xf>
    <xf numFmtId="4" fontId="208" fillId="97" borderId="189" xfId="831" applyNumberFormat="1" applyFont="1" applyFill="1" applyBorder="1" applyAlignment="1">
      <alignment horizontal="right"/>
    </xf>
    <xf numFmtId="170" fontId="208" fillId="97" borderId="189" xfId="863" applyNumberFormat="1" applyFont="1" applyFill="1" applyBorder="1" applyAlignment="1">
      <alignment horizontal="right"/>
    </xf>
    <xf numFmtId="0" fontId="205" fillId="33" borderId="189" xfId="831" applyFont="1" applyFill="1" applyBorder="1" applyAlignment="1">
      <alignment vertical="center"/>
    </xf>
    <xf numFmtId="170" fontId="208" fillId="97" borderId="189" xfId="863" applyNumberFormat="1" applyFont="1" applyFill="1" applyBorder="1" applyAlignment="1">
      <alignment horizontal="center"/>
    </xf>
    <xf numFmtId="4" fontId="208" fillId="0" borderId="189" xfId="831" applyNumberFormat="1" applyFont="1" applyBorder="1" applyAlignment="1">
      <alignment vertical="center"/>
    </xf>
    <xf numFmtId="14" fontId="208" fillId="42" borderId="189" xfId="863" applyNumberFormat="1" applyFont="1" applyFill="1" applyBorder="1" applyAlignment="1">
      <alignment horizontal="center" vertical="top" wrapText="1"/>
    </xf>
    <xf numFmtId="216" fontId="208" fillId="97" borderId="189" xfId="863" applyNumberFormat="1" applyFont="1" applyFill="1" applyBorder="1" applyAlignment="1">
      <alignment horizontal="center"/>
    </xf>
    <xf numFmtId="0" fontId="239" fillId="33" borderId="178" xfId="829" applyFont="1" applyFill="1" applyBorder="1"/>
    <xf numFmtId="0" fontId="0" fillId="0" borderId="178" xfId="0" applyBorder="1"/>
    <xf numFmtId="0" fontId="212" fillId="43" borderId="189" xfId="0" applyFont="1" applyFill="1" applyBorder="1"/>
    <xf numFmtId="167" fontId="208" fillId="0" borderId="189" xfId="815" applyFont="1" applyBorder="1"/>
    <xf numFmtId="10" fontId="205" fillId="44" borderId="189" xfId="847" applyNumberFormat="1" applyFont="1" applyFill="1" applyBorder="1" applyAlignment="1">
      <alignment horizontal="right"/>
    </xf>
    <xf numFmtId="10" fontId="205" fillId="45" borderId="189" xfId="847" applyNumberFormat="1" applyFont="1" applyFill="1" applyBorder="1" applyAlignment="1">
      <alignment horizontal="right"/>
    </xf>
    <xf numFmtId="0" fontId="236" fillId="43" borderId="189" xfId="0" applyFont="1" applyFill="1" applyBorder="1" applyAlignment="1">
      <alignment horizontal="center" vertical="center" wrapText="1"/>
    </xf>
    <xf numFmtId="168" fontId="205" fillId="54" borderId="178" xfId="903" applyFont="1" applyFill="1" applyBorder="1" applyAlignment="1">
      <alignment horizontal="left" vertical="top" wrapText="1"/>
    </xf>
    <xf numFmtId="276" fontId="205" fillId="111" borderId="178" xfId="863" applyNumberFormat="1" applyFont="1" applyFill="1" applyBorder="1" applyAlignment="1">
      <alignment horizontal="right"/>
    </xf>
    <xf numFmtId="168" fontId="205" fillId="54" borderId="194" xfId="903" applyFont="1" applyFill="1" applyBorder="1" applyAlignment="1">
      <alignment horizontal="left" vertical="top"/>
    </xf>
    <xf numFmtId="168" fontId="205" fillId="54" borderId="194" xfId="903" applyFont="1" applyFill="1" applyBorder="1" applyAlignment="1">
      <alignment horizontal="right"/>
    </xf>
    <xf numFmtId="0" fontId="208" fillId="0" borderId="189" xfId="0" applyFont="1" applyBorder="1"/>
    <xf numFmtId="167" fontId="208" fillId="0" borderId="189" xfId="0" applyNumberFormat="1" applyFont="1" applyBorder="1"/>
    <xf numFmtId="0" fontId="205" fillId="0" borderId="194" xfId="0" applyFont="1" applyBorder="1" applyAlignment="1">
      <alignment horizontal="left"/>
    </xf>
    <xf numFmtId="167" fontId="205" fillId="111" borderId="194" xfId="815" applyFont="1" applyFill="1" applyBorder="1"/>
    <xf numFmtId="168" fontId="43" fillId="41" borderId="178" xfId="903" applyFont="1" applyFill="1" applyBorder="1" applyAlignment="1">
      <alignment horizontal="left" vertical="top" wrapText="1"/>
    </xf>
    <xf numFmtId="168" fontId="43" fillId="41" borderId="178" xfId="863" applyFont="1" applyFill="1" applyBorder="1" applyAlignment="1">
      <alignment horizontal="right"/>
    </xf>
    <xf numFmtId="168" fontId="205" fillId="41" borderId="178" xfId="903" applyFont="1" applyFill="1" applyBorder="1" applyAlignment="1">
      <alignment horizontal="left" vertical="top" wrapText="1"/>
    </xf>
    <xf numFmtId="167" fontId="205" fillId="41" borderId="178" xfId="815" applyFont="1" applyFill="1" applyBorder="1" applyAlignment="1">
      <alignment horizontal="right"/>
    </xf>
    <xf numFmtId="167" fontId="205" fillId="0" borderId="194" xfId="815" applyFont="1" applyFill="1" applyBorder="1"/>
    <xf numFmtId="168" fontId="110" fillId="41" borderId="178" xfId="903" applyFont="1" applyFill="1" applyBorder="1" applyAlignment="1">
      <alignment horizontal="left" vertical="top" wrapText="1"/>
    </xf>
    <xf numFmtId="167" fontId="110" fillId="41" borderId="178" xfId="815" applyFont="1" applyFill="1" applyBorder="1" applyAlignment="1">
      <alignment horizontal="right"/>
    </xf>
    <xf numFmtId="0" fontId="205" fillId="0" borderId="178" xfId="0" applyFont="1" applyBorder="1" applyAlignment="1">
      <alignment horizontal="left"/>
    </xf>
    <xf numFmtId="167" fontId="205" fillId="111" borderId="178" xfId="815" applyFont="1" applyFill="1" applyBorder="1"/>
    <xf numFmtId="167" fontId="205" fillId="0" borderId="178" xfId="815" applyFont="1" applyFill="1" applyBorder="1"/>
    <xf numFmtId="0" fontId="205" fillId="0" borderId="189" xfId="0" applyFont="1" applyBorder="1"/>
    <xf numFmtId="4" fontId="205" fillId="0" borderId="189" xfId="0" applyNumberFormat="1" applyFont="1" applyBorder="1"/>
    <xf numFmtId="43" fontId="205" fillId="0" borderId="194" xfId="0" applyNumberFormat="1" applyFont="1" applyBorder="1"/>
    <xf numFmtId="167" fontId="205" fillId="0" borderId="194" xfId="0" applyNumberFormat="1" applyFont="1" applyBorder="1"/>
    <xf numFmtId="43" fontId="205" fillId="0" borderId="178" xfId="0" applyNumberFormat="1" applyFont="1" applyBorder="1"/>
    <xf numFmtId="167" fontId="205" fillId="0" borderId="178" xfId="0" applyNumberFormat="1" applyFont="1" applyBorder="1"/>
    <xf numFmtId="165" fontId="205" fillId="0" borderId="194" xfId="0" applyNumberFormat="1" applyFont="1" applyBorder="1"/>
    <xf numFmtId="165" fontId="205" fillId="0" borderId="178" xfId="0" applyNumberFormat="1" applyFont="1" applyBorder="1"/>
    <xf numFmtId="10" fontId="233" fillId="0" borderId="178" xfId="0" applyNumberFormat="1" applyFont="1" applyBorder="1" applyAlignment="1">
      <alignment horizontal="left"/>
    </xf>
    <xf numFmtId="0" fontId="205" fillId="33" borderId="178" xfId="829" applyFont="1" applyFill="1" applyBorder="1" applyAlignment="1">
      <alignment horizontal="center"/>
    </xf>
    <xf numFmtId="0" fontId="286" fillId="43" borderId="194" xfId="832" applyFont="1" applyFill="1" applyBorder="1" applyAlignment="1">
      <alignment horizontal="center"/>
    </xf>
    <xf numFmtId="167" fontId="282" fillId="0" borderId="194" xfId="815" applyFont="1" applyBorder="1"/>
    <xf numFmtId="0" fontId="286" fillId="43" borderId="178" xfId="832" applyFont="1" applyFill="1" applyBorder="1" applyAlignment="1">
      <alignment horizontal="center"/>
    </xf>
    <xf numFmtId="167" fontId="282" fillId="0" borderId="178" xfId="815" applyFont="1" applyFill="1" applyBorder="1"/>
    <xf numFmtId="4" fontId="110" fillId="0" borderId="189" xfId="43199" applyNumberFormat="1" applyFont="1" applyFill="1" applyBorder="1" applyAlignment="1">
      <alignment vertical="center"/>
    </xf>
    <xf numFmtId="0" fontId="287" fillId="43" borderId="192" xfId="0" applyFont="1" applyFill="1" applyBorder="1"/>
    <xf numFmtId="167" fontId="282" fillId="0" borderId="194" xfId="815" applyFont="1" applyFill="1" applyBorder="1"/>
    <xf numFmtId="10" fontId="282" fillId="0" borderId="193" xfId="847" applyNumberFormat="1" applyFont="1" applyFill="1" applyBorder="1" applyAlignment="1">
      <alignment horizontal="center"/>
    </xf>
    <xf numFmtId="0" fontId="287" fillId="43" borderId="189" xfId="0" applyFont="1" applyFill="1" applyBorder="1"/>
    <xf numFmtId="40" fontId="289" fillId="43" borderId="189" xfId="0" applyNumberFormat="1" applyFont="1" applyFill="1" applyBorder="1"/>
    <xf numFmtId="10" fontId="289" fillId="43" borderId="189" xfId="0" applyNumberFormat="1" applyFont="1" applyFill="1" applyBorder="1" applyAlignment="1">
      <alignment horizontal="center"/>
    </xf>
    <xf numFmtId="0" fontId="205" fillId="0" borderId="190" xfId="0" applyFont="1" applyBorder="1"/>
    <xf numFmtId="170" fontId="283" fillId="0" borderId="0" xfId="863" applyNumberFormat="1" applyFont="1" applyBorder="1" applyAlignment="1">
      <alignment vertical="center"/>
    </xf>
    <xf numFmtId="0" fontId="251" fillId="58" borderId="192" xfId="834" applyFont="1" applyFill="1" applyBorder="1" applyAlignment="1" applyProtection="1">
      <alignment horizontal="left" vertical="center"/>
    </xf>
    <xf numFmtId="0" fontId="250" fillId="0" borderId="194" xfId="43437" quotePrefix="1" applyFont="1" applyBorder="1" applyAlignment="1">
      <alignment horizontal="left" vertical="center"/>
    </xf>
    <xf numFmtId="278" fontId="250" fillId="41" borderId="194" xfId="43439" applyNumberFormat="1" applyFont="1" applyFill="1" applyBorder="1" applyAlignment="1">
      <alignment vertical="center" wrapText="1"/>
    </xf>
    <xf numFmtId="0" fontId="250" fillId="0" borderId="196" xfId="43437" quotePrefix="1" applyFont="1" applyBorder="1" applyAlignment="1">
      <alignment horizontal="left" vertical="center"/>
    </xf>
    <xf numFmtId="170" fontId="312" fillId="42" borderId="196" xfId="863" applyNumberFormat="1" applyFont="1" applyFill="1" applyBorder="1" applyAlignment="1">
      <alignment vertical="center"/>
    </xf>
    <xf numFmtId="170" fontId="309" fillId="42" borderId="199" xfId="863" applyNumberFormat="1" applyFont="1" applyFill="1" applyBorder="1" applyAlignment="1">
      <alignment vertical="center"/>
    </xf>
    <xf numFmtId="170" fontId="250" fillId="42" borderId="196" xfId="863" applyNumberFormat="1" applyFont="1" applyFill="1" applyBorder="1" applyAlignment="1">
      <alignment vertical="center"/>
    </xf>
    <xf numFmtId="0" fontId="250" fillId="0" borderId="199" xfId="43437" quotePrefix="1" applyFont="1" applyBorder="1" applyAlignment="1">
      <alignment horizontal="left" vertical="center"/>
    </xf>
    <xf numFmtId="170" fontId="250" fillId="33" borderId="199" xfId="863" applyNumberFormat="1" applyFont="1" applyFill="1" applyBorder="1" applyAlignment="1">
      <alignment vertical="center"/>
    </xf>
    <xf numFmtId="0" fontId="272" fillId="101" borderId="190" xfId="2697" applyFont="1" applyFill="1" applyBorder="1"/>
    <xf numFmtId="14" fontId="30" fillId="0" borderId="190" xfId="2697" applyNumberFormat="1" applyBorder="1"/>
    <xf numFmtId="0" fontId="30" fillId="0" borderId="190" xfId="2697" applyBorder="1"/>
    <xf numFmtId="43" fontId="30" fillId="0" borderId="190" xfId="2697" applyNumberFormat="1" applyBorder="1"/>
    <xf numFmtId="168" fontId="0" fillId="0" borderId="190" xfId="863" applyFont="1" applyBorder="1"/>
    <xf numFmtId="0" fontId="272" fillId="97" borderId="190" xfId="2697" applyFont="1" applyFill="1" applyBorder="1"/>
    <xf numFmtId="168" fontId="272" fillId="97" borderId="190" xfId="863" applyFont="1" applyFill="1" applyBorder="1"/>
    <xf numFmtId="0" fontId="117" fillId="55" borderId="189" xfId="2697" applyFont="1" applyFill="1" applyBorder="1" applyAlignment="1">
      <alignment horizontal="left" vertical="center" wrapText="1"/>
    </xf>
    <xf numFmtId="0" fontId="117" fillId="55" borderId="203" xfId="2697" applyFont="1" applyFill="1" applyBorder="1" applyAlignment="1">
      <alignment horizontal="center" vertical="center" wrapText="1"/>
    </xf>
    <xf numFmtId="0" fontId="43" fillId="0" borderId="194" xfId="2697" applyFont="1" applyBorder="1" applyAlignment="1">
      <alignment vertical="center"/>
    </xf>
    <xf numFmtId="0" fontId="43" fillId="0" borderId="193" xfId="2697" applyFont="1" applyBorder="1" applyAlignment="1">
      <alignment vertical="center"/>
    </xf>
    <xf numFmtId="269" fontId="43" fillId="0" borderId="192" xfId="2697" applyNumberFormat="1" applyFont="1" applyBorder="1" applyAlignment="1">
      <alignment vertical="center"/>
    </xf>
    <xf numFmtId="168" fontId="43" fillId="0" borderId="196" xfId="863" applyFont="1" applyBorder="1" applyAlignment="1">
      <alignment vertical="center"/>
    </xf>
    <xf numFmtId="269" fontId="43" fillId="0" borderId="196" xfId="2697" applyNumberFormat="1" applyFont="1" applyBorder="1" applyAlignment="1">
      <alignment vertical="center"/>
    </xf>
    <xf numFmtId="168" fontId="43" fillId="0" borderId="199" xfId="863" applyFont="1" applyBorder="1" applyAlignment="1">
      <alignment vertical="center"/>
    </xf>
    <xf numFmtId="269" fontId="43" fillId="0" borderId="199" xfId="2697" applyNumberFormat="1" applyFont="1" applyBorder="1" applyAlignment="1">
      <alignment vertical="center"/>
    </xf>
    <xf numFmtId="0" fontId="110" fillId="59" borderId="178" xfId="2697" applyFont="1" applyFill="1" applyBorder="1" applyAlignment="1">
      <alignment vertical="center"/>
    </xf>
    <xf numFmtId="270" fontId="110" fillId="59" borderId="190" xfId="43183" applyNumberFormat="1" applyFont="1" applyFill="1" applyBorder="1" applyAlignment="1">
      <alignment vertical="center"/>
    </xf>
    <xf numFmtId="270" fontId="110" fillId="59" borderId="191" xfId="43183" applyNumberFormat="1" applyFont="1" applyFill="1" applyBorder="1" applyAlignment="1">
      <alignment vertical="center"/>
    </xf>
    <xf numFmtId="0" fontId="43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 applyAlignment="1">
      <alignment vertical="center"/>
    </xf>
    <xf numFmtId="271" fontId="43" fillId="60" borderId="189" xfId="2697" applyNumberFormat="1" applyFont="1" applyFill="1" applyBorder="1" applyAlignment="1">
      <alignment vertical="center"/>
    </xf>
    <xf numFmtId="0" fontId="110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/>
    <xf numFmtId="270" fontId="110" fillId="98" borderId="189" xfId="2697" applyNumberFormat="1" applyFont="1" applyFill="1" applyBorder="1" applyAlignment="1">
      <alignment vertical="center"/>
    </xf>
    <xf numFmtId="270" fontId="110" fillId="60" borderId="189" xfId="2697" applyNumberFormat="1" applyFont="1" applyFill="1" applyBorder="1" applyAlignment="1">
      <alignment vertical="center"/>
    </xf>
    <xf numFmtId="271" fontId="43" fillId="98" borderId="189" xfId="2697" applyNumberFormat="1" applyFont="1" applyFill="1" applyBorder="1" applyAlignment="1">
      <alignment vertical="center"/>
    </xf>
    <xf numFmtId="0" fontId="43" fillId="0" borderId="194" xfId="2697" applyFont="1" applyBorder="1"/>
    <xf numFmtId="171" fontId="117" fillId="43" borderId="192" xfId="2697" applyNumberFormat="1" applyFont="1" applyFill="1" applyBorder="1" applyAlignment="1">
      <alignment horizontal="center" vertical="center" wrapText="1"/>
    </xf>
    <xf numFmtId="0" fontId="30" fillId="0" borderId="190" xfId="0" applyFont="1" applyBorder="1"/>
    <xf numFmtId="0" fontId="0" fillId="0" borderId="190" xfId="0" applyBorder="1"/>
    <xf numFmtId="171" fontId="117" fillId="55" borderId="192" xfId="2697" applyNumberFormat="1" applyFont="1" applyFill="1" applyBorder="1" applyAlignment="1">
      <alignment horizontal="center" vertical="center" wrapText="1"/>
    </xf>
    <xf numFmtId="171" fontId="117" fillId="55" borderId="194" xfId="2697" applyNumberFormat="1" applyFont="1" applyFill="1" applyBorder="1" applyAlignment="1">
      <alignment horizontal="center" vertical="center" wrapText="1"/>
    </xf>
    <xf numFmtId="171" fontId="117" fillId="55" borderId="193" xfId="2697" applyNumberFormat="1" applyFont="1" applyFill="1" applyBorder="1" applyAlignment="1">
      <alignment horizontal="center" vertical="center" wrapText="1"/>
    </xf>
    <xf numFmtId="0" fontId="221" fillId="0" borderId="178" xfId="0" applyFont="1" applyBorder="1" applyAlignment="1">
      <alignment horizontal="right"/>
    </xf>
    <xf numFmtId="0" fontId="205" fillId="0" borderId="204" xfId="832" applyFont="1" applyBorder="1"/>
    <xf numFmtId="0" fontId="205" fillId="33" borderId="204" xfId="0" applyFont="1" applyFill="1" applyBorder="1"/>
    <xf numFmtId="0" fontId="208" fillId="33" borderId="191" xfId="831" applyFont="1" applyFill="1" applyBorder="1" applyAlignment="1">
      <alignment vertical="center"/>
    </xf>
    <xf numFmtId="0" fontId="208" fillId="33" borderId="195" xfId="831" applyFont="1" applyFill="1" applyBorder="1" applyAlignment="1">
      <alignment vertical="center"/>
    </xf>
    <xf numFmtId="0" fontId="208" fillId="0" borderId="190" xfId="832" applyFont="1" applyBorder="1" applyAlignment="1">
      <alignment horizontal="center"/>
    </xf>
    <xf numFmtId="0" fontId="208" fillId="44" borderId="190" xfId="832" applyFont="1" applyFill="1" applyBorder="1" applyAlignment="1">
      <alignment horizontal="center"/>
    </xf>
    <xf numFmtId="0" fontId="208" fillId="44" borderId="190" xfId="0" applyFont="1" applyFill="1" applyBorder="1"/>
    <xf numFmtId="0" fontId="205" fillId="0" borderId="190" xfId="832" applyFont="1" applyBorder="1" applyAlignment="1">
      <alignment horizontal="center"/>
    </xf>
    <xf numFmtId="0" fontId="205" fillId="33" borderId="192" xfId="789" applyFont="1" applyFill="1" applyBorder="1"/>
    <xf numFmtId="17" fontId="205" fillId="0" borderId="193" xfId="0" applyNumberFormat="1" applyFont="1" applyBorder="1"/>
    <xf numFmtId="195" fontId="205" fillId="0" borderId="190" xfId="832" applyNumberFormat="1" applyFont="1" applyBorder="1"/>
    <xf numFmtId="0" fontId="205" fillId="0" borderId="156" xfId="0" applyFont="1" applyBorder="1"/>
    <xf numFmtId="17" fontId="205" fillId="0" borderId="155" xfId="0" applyNumberFormat="1" applyFont="1" applyBorder="1"/>
    <xf numFmtId="172" fontId="215" fillId="0" borderId="190" xfId="863" applyNumberFormat="1" applyFont="1" applyFill="1" applyBorder="1" applyAlignment="1">
      <alignment vertical="top"/>
    </xf>
    <xf numFmtId="165" fontId="227" fillId="44" borderId="190" xfId="863" applyNumberFormat="1" applyFont="1" applyFill="1" applyBorder="1" applyAlignment="1">
      <alignment vertical="top"/>
    </xf>
    <xf numFmtId="165" fontId="215" fillId="0" borderId="190" xfId="863" applyNumberFormat="1" applyFont="1" applyFill="1" applyBorder="1" applyAlignment="1">
      <alignment vertical="top"/>
    </xf>
    <xf numFmtId="0" fontId="207" fillId="0" borderId="189" xfId="832" applyFont="1" applyBorder="1"/>
    <xf numFmtId="0" fontId="205" fillId="0" borderId="189" xfId="832" applyFont="1" applyBorder="1"/>
    <xf numFmtId="0" fontId="205" fillId="0" borderId="191" xfId="0" applyFont="1" applyBorder="1" applyAlignment="1">
      <alignment horizontal="right"/>
    </xf>
    <xf numFmtId="0" fontId="205" fillId="0" borderId="195" xfId="832" applyFont="1" applyBorder="1" applyAlignment="1">
      <alignment horizontal="left"/>
    </xf>
    <xf numFmtId="0" fontId="205" fillId="41" borderId="191" xfId="0" applyFont="1" applyFill="1" applyBorder="1" applyAlignment="1">
      <alignment horizontal="right"/>
    </xf>
    <xf numFmtId="0" fontId="205" fillId="41" borderId="195" xfId="832" applyFont="1" applyFill="1" applyBorder="1" applyAlignment="1">
      <alignment horizontal="left"/>
    </xf>
    <xf numFmtId="171" fontId="205" fillId="0" borderId="194" xfId="0" applyNumberFormat="1" applyFont="1" applyBorder="1"/>
    <xf numFmtId="171" fontId="205" fillId="0" borderId="178" xfId="0" applyNumberFormat="1" applyFont="1" applyBorder="1"/>
    <xf numFmtId="167" fontId="208" fillId="0" borderId="191" xfId="815" applyFont="1" applyFill="1" applyBorder="1"/>
    <xf numFmtId="167" fontId="208" fillId="0" borderId="195" xfId="815" applyFont="1" applyFill="1" applyBorder="1"/>
    <xf numFmtId="167" fontId="208" fillId="0" borderId="189" xfId="815" applyFont="1" applyFill="1" applyBorder="1"/>
    <xf numFmtId="167" fontId="205" fillId="0" borderId="191" xfId="815" applyFont="1" applyFill="1" applyBorder="1"/>
    <xf numFmtId="167" fontId="205" fillId="0" borderId="195" xfId="815" applyFont="1" applyFill="1" applyBorder="1"/>
    <xf numFmtId="167" fontId="208" fillId="0" borderId="191" xfId="815" applyFont="1" applyBorder="1"/>
    <xf numFmtId="167" fontId="208" fillId="0" borderId="195" xfId="815" applyFont="1" applyBorder="1"/>
    <xf numFmtId="0" fontId="205" fillId="41" borderId="195" xfId="832" applyFont="1" applyFill="1" applyBorder="1" applyAlignment="1">
      <alignment horizontal="center"/>
    </xf>
    <xf numFmtId="167" fontId="208" fillId="0" borderId="190" xfId="815" applyFont="1" applyBorder="1"/>
    <xf numFmtId="0" fontId="34" fillId="33" borderId="197" xfId="831" applyFont="1" applyFill="1" applyBorder="1" applyAlignment="1">
      <alignment horizontal="left"/>
    </xf>
    <xf numFmtId="0" fontId="39" fillId="39" borderId="190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90" xfId="831" applyNumberFormat="1" applyFont="1" applyBorder="1" applyAlignment="1">
      <alignment horizontal="center"/>
    </xf>
    <xf numFmtId="172" fontId="43" fillId="0" borderId="190" xfId="863" applyNumberFormat="1" applyFont="1" applyBorder="1" applyAlignment="1">
      <alignment horizontal="center"/>
    </xf>
    <xf numFmtId="196" fontId="43" fillId="0" borderId="190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90" xfId="43410" applyNumberFormat="1" applyFont="1" applyBorder="1" applyAlignment="1">
      <alignment vertical="center"/>
    </xf>
    <xf numFmtId="40" fontId="120" fillId="42" borderId="190" xfId="43410" applyNumberFormat="1" applyFont="1" applyFill="1" applyBorder="1" applyAlignment="1">
      <alignment vertical="center"/>
    </xf>
    <xf numFmtId="0" fontId="50" fillId="109" borderId="205" xfId="43411" applyFont="1" applyFill="1" applyBorder="1" applyAlignment="1">
      <alignment horizontal="center"/>
    </xf>
    <xf numFmtId="0" fontId="50" fillId="0" borderId="206" xfId="43411" applyFont="1" applyBorder="1" applyAlignment="1">
      <alignment horizontal="right" wrapText="1"/>
    </xf>
    <xf numFmtId="0" fontId="50" fillId="0" borderId="206" xfId="43411" applyFont="1" applyBorder="1" applyAlignment="1">
      <alignment wrapText="1"/>
    </xf>
    <xf numFmtId="14" fontId="50" fillId="0" borderId="206" xfId="43411" applyNumberFormat="1" applyFont="1" applyBorder="1" applyAlignment="1">
      <alignment horizontal="right" wrapText="1"/>
    </xf>
    <xf numFmtId="267" fontId="50" fillId="0" borderId="206" xfId="43411" applyNumberFormat="1" applyFont="1" applyBorder="1" applyAlignment="1">
      <alignment horizontal="right" wrapText="1"/>
    </xf>
    <xf numFmtId="0" fontId="251" fillId="0" borderId="190" xfId="7308" applyFont="1" applyBorder="1"/>
    <xf numFmtId="214" fontId="250" fillId="0" borderId="190" xfId="7308" applyNumberFormat="1" applyFont="1" applyBorder="1"/>
    <xf numFmtId="0" fontId="261" fillId="0" borderId="190" xfId="7308" applyFont="1" applyBorder="1" applyAlignment="1">
      <alignment vertical="center"/>
    </xf>
    <xf numFmtId="0" fontId="250" fillId="42" borderId="190" xfId="7308" applyFont="1" applyFill="1" applyBorder="1" applyAlignment="1">
      <alignment horizontal="center"/>
    </xf>
    <xf numFmtId="0" fontId="250" fillId="0" borderId="190" xfId="7308" applyFont="1" applyBorder="1"/>
    <xf numFmtId="174" fontId="250" fillId="0" borderId="190" xfId="7308" applyNumberFormat="1" applyFont="1" applyBorder="1"/>
    <xf numFmtId="266" fontId="250" fillId="0" borderId="190" xfId="7308" applyNumberFormat="1" applyFont="1" applyBorder="1"/>
    <xf numFmtId="10" fontId="255" fillId="0" borderId="190" xfId="7308" applyNumberFormat="1" applyFont="1" applyBorder="1" applyAlignment="1">
      <alignment horizontal="right" vertical="center"/>
    </xf>
    <xf numFmtId="214" fontId="250" fillId="0" borderId="190" xfId="43165" applyNumberFormat="1" applyFont="1" applyBorder="1"/>
    <xf numFmtId="167" fontId="258" fillId="41" borderId="190" xfId="902" applyFont="1" applyFill="1" applyBorder="1" applyAlignment="1">
      <alignment horizontal="center"/>
    </xf>
    <xf numFmtId="0" fontId="250" fillId="0" borderId="190" xfId="7308" applyFont="1" applyBorder="1" applyAlignment="1">
      <alignment horizontal="right"/>
    </xf>
    <xf numFmtId="0" fontId="250" fillId="0" borderId="190" xfId="7308" applyFont="1" applyBorder="1" applyAlignment="1">
      <alignment horizontal="center"/>
    </xf>
    <xf numFmtId="10" fontId="257" fillId="0" borderId="190" xfId="7308" applyNumberFormat="1" applyFont="1" applyBorder="1" applyAlignment="1">
      <alignment horizontal="center"/>
    </xf>
    <xf numFmtId="167" fontId="261" fillId="0" borderId="190" xfId="7308" applyNumberFormat="1" applyFont="1" applyBorder="1" applyAlignment="1">
      <alignment vertical="center"/>
    </xf>
    <xf numFmtId="0" fontId="261" fillId="0" borderId="196" xfId="7308" applyFont="1" applyBorder="1" applyAlignment="1">
      <alignment vertical="center"/>
    </xf>
    <xf numFmtId="43" fontId="261" fillId="0" borderId="190" xfId="7308" applyNumberFormat="1" applyFont="1" applyBorder="1" applyAlignment="1">
      <alignment vertical="center"/>
    </xf>
    <xf numFmtId="43" fontId="261" fillId="0" borderId="191" xfId="7308" applyNumberFormat="1" applyFont="1" applyBorder="1" applyAlignment="1">
      <alignment vertical="center"/>
    </xf>
    <xf numFmtId="10" fontId="262" fillId="0" borderId="199" xfId="1095" applyNumberFormat="1" applyFont="1" applyFill="1" applyBorder="1" applyAlignment="1">
      <alignment vertical="center"/>
    </xf>
    <xf numFmtId="10" fontId="262" fillId="0" borderId="190" xfId="1095" applyNumberFormat="1" applyFont="1" applyFill="1" applyBorder="1" applyAlignment="1">
      <alignment vertical="center"/>
    </xf>
    <xf numFmtId="10" fontId="262" fillId="0" borderId="190" xfId="1095" applyNumberFormat="1" applyFont="1" applyBorder="1" applyAlignment="1">
      <alignment vertical="center"/>
    </xf>
    <xf numFmtId="10" fontId="261" fillId="0" borderId="190" xfId="7308" applyNumberFormat="1" applyFont="1" applyBorder="1" applyAlignment="1">
      <alignment vertical="center"/>
    </xf>
    <xf numFmtId="0" fontId="251" fillId="107" borderId="191" xfId="7308" applyFont="1" applyFill="1" applyBorder="1"/>
    <xf numFmtId="167" fontId="251" fillId="41" borderId="190" xfId="902" applyFont="1" applyFill="1" applyBorder="1"/>
    <xf numFmtId="0" fontId="250" fillId="0" borderId="207" xfId="7308" applyFont="1" applyBorder="1"/>
    <xf numFmtId="167" fontId="250" fillId="41" borderId="199" xfId="902" applyFont="1" applyFill="1" applyBorder="1"/>
    <xf numFmtId="0" fontId="254" fillId="0" borderId="190" xfId="7308" applyFont="1" applyBorder="1" applyAlignment="1">
      <alignment horizontal="center" vertical="center"/>
    </xf>
    <xf numFmtId="0" fontId="251" fillId="0" borderId="190" xfId="7308" applyFont="1" applyBorder="1" applyAlignment="1">
      <alignment horizontal="center"/>
    </xf>
    <xf numFmtId="0" fontId="254" fillId="0" borderId="190" xfId="7308" applyFont="1" applyBorder="1" applyAlignment="1">
      <alignment vertical="center"/>
    </xf>
    <xf numFmtId="2" fontId="255" fillId="0" borderId="190" xfId="7308" applyNumberFormat="1" applyFont="1" applyBorder="1" applyAlignment="1">
      <alignment horizontal="center" vertical="center"/>
    </xf>
    <xf numFmtId="0" fontId="256" fillId="42" borderId="190" xfId="7308" applyFont="1" applyFill="1" applyBorder="1" applyAlignment="1">
      <alignment horizontal="center" vertical="center"/>
    </xf>
    <xf numFmtId="10" fontId="255" fillId="42" borderId="190" xfId="7308" applyNumberFormat="1" applyFont="1" applyFill="1" applyBorder="1" applyAlignment="1">
      <alignment horizontal="center" vertical="center"/>
    </xf>
    <xf numFmtId="0" fontId="257" fillId="61" borderId="190" xfId="7308" applyFont="1" applyFill="1" applyBorder="1"/>
    <xf numFmtId="2" fontId="250" fillId="42" borderId="190" xfId="7308" applyNumberFormat="1" applyFont="1" applyFill="1" applyBorder="1" applyAlignment="1">
      <alignment horizontal="center"/>
    </xf>
    <xf numFmtId="2" fontId="255" fillId="42" borderId="190" xfId="7308" applyNumberFormat="1" applyFont="1" applyFill="1" applyBorder="1" applyAlignment="1">
      <alignment horizontal="center" vertical="center"/>
    </xf>
    <xf numFmtId="167" fontId="258" fillId="42" borderId="190" xfId="902" applyFont="1" applyFill="1" applyBorder="1"/>
    <xf numFmtId="0" fontId="250" fillId="46" borderId="190" xfId="7308" applyFont="1" applyFill="1" applyBorder="1"/>
    <xf numFmtId="265" fontId="250" fillId="0" borderId="190" xfId="7308" applyNumberFormat="1" applyFont="1" applyBorder="1"/>
    <xf numFmtId="2" fontId="250" fillId="0" borderId="190" xfId="7308" applyNumberFormat="1" applyFont="1" applyBorder="1"/>
    <xf numFmtId="10" fontId="250" fillId="0" borderId="190" xfId="7308" applyNumberFormat="1" applyFont="1" applyBorder="1"/>
    <xf numFmtId="173" fontId="250" fillId="0" borderId="190" xfId="7308" applyNumberFormat="1" applyFont="1" applyBorder="1"/>
    <xf numFmtId="167" fontId="251" fillId="102" borderId="190" xfId="902" applyFont="1" applyFill="1" applyBorder="1"/>
    <xf numFmtId="0" fontId="251" fillId="59" borderId="189" xfId="2697" applyFont="1" applyFill="1" applyBorder="1" applyAlignment="1">
      <alignment vertical="center"/>
    </xf>
    <xf numFmtId="4" fontId="251" fillId="59" borderId="189" xfId="2697" applyNumberFormat="1" applyFont="1" applyFill="1" applyBorder="1" applyAlignment="1">
      <alignment vertical="center"/>
    </xf>
    <xf numFmtId="167" fontId="250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6" fillId="97" borderId="152" xfId="0" applyFont="1" applyFill="1" applyBorder="1" applyAlignment="1">
      <alignment vertical="center"/>
    </xf>
    <xf numFmtId="0" fontId="36" fillId="97" borderId="152" xfId="0" applyFont="1" applyFill="1" applyBorder="1" applyAlignment="1">
      <alignment horizontal="center" vertical="center" wrapText="1"/>
    </xf>
    <xf numFmtId="0" fontId="36" fillId="97" borderId="152" xfId="0" applyFont="1" applyFill="1" applyBorder="1" applyAlignment="1">
      <alignment horizontal="center" vertical="center"/>
    </xf>
    <xf numFmtId="168" fontId="283" fillId="42" borderId="0" xfId="863" applyFont="1" applyFill="1" applyBorder="1"/>
    <xf numFmtId="0" fontId="113" fillId="42" borderId="0" xfId="0" applyFont="1" applyFill="1"/>
    <xf numFmtId="167" fontId="205" fillId="41" borderId="166" xfId="815" applyFont="1" applyFill="1" applyBorder="1"/>
    <xf numFmtId="0" fontId="212" fillId="43" borderId="166" xfId="0" applyFont="1" applyFill="1" applyBorder="1" applyAlignment="1">
      <alignment horizontal="center" vertical="center" wrapText="1"/>
    </xf>
    <xf numFmtId="0" fontId="205" fillId="0" borderId="0" xfId="847" applyNumberFormat="1" applyFont="1"/>
    <xf numFmtId="168" fontId="205" fillId="44" borderId="0" xfId="863" applyFont="1" applyFill="1"/>
    <xf numFmtId="2" fontId="205" fillId="44" borderId="0" xfId="863" applyNumberFormat="1" applyFont="1" applyFill="1"/>
    <xf numFmtId="14" fontId="205" fillId="44" borderId="0" xfId="847" applyNumberFormat="1" applyFont="1" applyFill="1"/>
    <xf numFmtId="14" fontId="205" fillId="44" borderId="0" xfId="0" applyNumberFormat="1" applyFont="1" applyFill="1"/>
    <xf numFmtId="2" fontId="205" fillId="44" borderId="0" xfId="0" applyNumberFormat="1" applyFont="1" applyFill="1"/>
    <xf numFmtId="167" fontId="205" fillId="44" borderId="0" xfId="815" applyFont="1" applyFill="1"/>
    <xf numFmtId="2" fontId="205" fillId="44" borderId="0" xfId="847" applyNumberFormat="1" applyFont="1" applyFill="1"/>
    <xf numFmtId="0" fontId="205" fillId="44" borderId="0" xfId="0" applyFont="1" applyFill="1"/>
    <xf numFmtId="10" fontId="205" fillId="108" borderId="178" xfId="0" applyNumberFormat="1" applyFont="1" applyFill="1" applyBorder="1"/>
    <xf numFmtId="0" fontId="205" fillId="108" borderId="178" xfId="847" applyNumberFormat="1" applyFont="1" applyFill="1" applyBorder="1"/>
    <xf numFmtId="168" fontId="205" fillId="108" borderId="178" xfId="863" applyFont="1" applyFill="1" applyBorder="1"/>
    <xf numFmtId="3" fontId="30" fillId="0" borderId="0" xfId="0" applyNumberFormat="1" applyFont="1" applyAlignment="1">
      <alignment horizontal="center" vertical="distributed"/>
    </xf>
    <xf numFmtId="257" fontId="30" fillId="0" borderId="0" xfId="0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Fill="1" applyAlignment="1">
      <alignment horizontal="center"/>
    </xf>
    <xf numFmtId="168" fontId="30" fillId="0" borderId="0" xfId="863" applyFont="1" applyFill="1" applyAlignment="1">
      <alignment horizontal="center" vertical="distributed"/>
    </xf>
    <xf numFmtId="168" fontId="30" fillId="0" borderId="0" xfId="0" applyNumberFormat="1" applyFont="1" applyAlignment="1">
      <alignment horizontal="center" vertical="distributed"/>
    </xf>
    <xf numFmtId="168" fontId="30" fillId="0" borderId="0" xfId="863" applyFont="1" applyFill="1" applyBorder="1" applyAlignment="1">
      <alignment horizontal="center" vertical="distributed"/>
    </xf>
    <xf numFmtId="9" fontId="30" fillId="0" borderId="0" xfId="847" applyFont="1" applyFill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30" fillId="0" borderId="0" xfId="863" applyNumberFormat="1" applyFont="1" applyFill="1" applyAlignment="1">
      <alignment horizontal="center" vertical="distributed"/>
    </xf>
    <xf numFmtId="10" fontId="30" fillId="0" borderId="0" xfId="847" applyNumberFormat="1" applyFont="1" applyFill="1" applyAlignment="1">
      <alignment horizontal="center" vertical="distributed"/>
    </xf>
    <xf numFmtId="4" fontId="30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8" fillId="125" borderId="208" xfId="0" applyFont="1" applyFill="1" applyBorder="1"/>
    <xf numFmtId="0" fontId="318" fillId="125" borderId="209" xfId="0" applyFont="1" applyFill="1" applyBorder="1"/>
    <xf numFmtId="0" fontId="318" fillId="125" borderId="0" xfId="0" applyFont="1" applyFill="1"/>
    <xf numFmtId="168" fontId="212" fillId="43" borderId="189" xfId="0" applyNumberFormat="1" applyFont="1" applyFill="1" applyBorder="1" applyAlignment="1">
      <alignment horizontal="center" vertical="center" wrapText="1"/>
    </xf>
    <xf numFmtId="0" fontId="250" fillId="0" borderId="0" xfId="0" applyFont="1" applyAlignment="1">
      <alignment horizontal="left" vertical="center"/>
    </xf>
    <xf numFmtId="0" fontId="250" fillId="0" borderId="0" xfId="0" applyFont="1" applyAlignment="1">
      <alignment horizontal="right" vertical="center"/>
    </xf>
    <xf numFmtId="168" fontId="250" fillId="118" borderId="0" xfId="863" applyFont="1" applyFill="1" applyBorder="1" applyAlignment="1">
      <alignment vertical="center"/>
    </xf>
    <xf numFmtId="168" fontId="205" fillId="126" borderId="0" xfId="863" applyFont="1" applyFill="1"/>
    <xf numFmtId="0" fontId="205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2" fillId="43" borderId="144" xfId="0" applyFont="1" applyFill="1" applyBorder="1" applyAlignment="1">
      <alignment horizontal="center" vertical="center" wrapText="1"/>
    </xf>
    <xf numFmtId="167" fontId="205" fillId="0" borderId="166" xfId="815" applyFont="1" applyFill="1" applyBorder="1"/>
    <xf numFmtId="10" fontId="283" fillId="0" borderId="0" xfId="2578" applyNumberFormat="1" applyFont="1" applyFill="1" applyBorder="1" applyAlignment="1">
      <alignment horizontal="center"/>
    </xf>
    <xf numFmtId="167" fontId="282" fillId="114" borderId="0" xfId="5583" applyNumberFormat="1" applyFont="1" applyFill="1" applyBorder="1" applyAlignment="1">
      <alignment vertical="center"/>
    </xf>
    <xf numFmtId="0" fontId="250" fillId="42" borderId="210" xfId="0" applyFont="1" applyFill="1" applyBorder="1" applyAlignment="1">
      <alignment vertical="center"/>
    </xf>
    <xf numFmtId="0" fontId="260" fillId="39" borderId="149" xfId="831" applyFont="1" applyFill="1" applyBorder="1" applyAlignment="1">
      <alignment horizontal="left" vertical="center"/>
    </xf>
    <xf numFmtId="0" fontId="260" fillId="39" borderId="186" xfId="831" applyFont="1" applyFill="1" applyBorder="1" applyAlignment="1">
      <alignment horizontal="left" vertical="center"/>
    </xf>
    <xf numFmtId="168" fontId="260" fillId="39" borderId="186" xfId="863" applyFont="1" applyFill="1" applyBorder="1" applyAlignment="1">
      <alignment horizontal="left" vertical="center"/>
    </xf>
    <xf numFmtId="0" fontId="260" fillId="39" borderId="148" xfId="831" applyFont="1" applyFill="1" applyBorder="1" applyAlignment="1">
      <alignment horizontal="left" vertical="center"/>
    </xf>
    <xf numFmtId="14" fontId="250" fillId="0" borderId="152" xfId="831" applyNumberFormat="1" applyFont="1" applyBorder="1" applyAlignment="1">
      <alignment horizontal="center" vertical="center"/>
    </xf>
    <xf numFmtId="0" fontId="250" fillId="0" borderId="152" xfId="831" applyFont="1" applyBorder="1" applyAlignment="1">
      <alignment vertical="center"/>
    </xf>
    <xf numFmtId="168" fontId="250" fillId="0" borderId="152" xfId="863" applyFont="1" applyBorder="1" applyAlignment="1">
      <alignment vertical="center"/>
    </xf>
    <xf numFmtId="272" fontId="250" fillId="0" borderId="152" xfId="863" applyNumberFormat="1" applyFont="1" applyBorder="1" applyAlignment="1">
      <alignment vertical="center"/>
    </xf>
    <xf numFmtId="0" fontId="250" fillId="0" borderId="0" xfId="831" applyFont="1"/>
    <xf numFmtId="0" fontId="319" fillId="0" borderId="0" xfId="0" applyFont="1"/>
    <xf numFmtId="0" fontId="317" fillId="0" borderId="0" xfId="43418" applyFont="1" applyAlignment="1">
      <alignment horizontal="center" vertical="center" wrapText="1"/>
    </xf>
    <xf numFmtId="214" fontId="250" fillId="0" borderId="0" xfId="0" applyNumberFormat="1" applyFont="1" applyAlignment="1">
      <alignment horizontal="center"/>
    </xf>
    <xf numFmtId="214" fontId="251" fillId="0" borderId="0" xfId="0" applyNumberFormat="1" applyFont="1" applyAlignment="1">
      <alignment horizontal="center"/>
    </xf>
    <xf numFmtId="43" fontId="205" fillId="108" borderId="0" xfId="863" applyNumberFormat="1" applyFont="1" applyFill="1" applyBorder="1"/>
    <xf numFmtId="43" fontId="205" fillId="108" borderId="178" xfId="863" applyNumberFormat="1" applyFont="1" applyFill="1" applyBorder="1"/>
    <xf numFmtId="0" fontId="317" fillId="129" borderId="144" xfId="0" applyFont="1" applyFill="1" applyBorder="1"/>
    <xf numFmtId="0" fontId="317" fillId="101" borderId="144" xfId="0" applyFont="1" applyFill="1" applyBorder="1" applyAlignment="1">
      <alignment horizontal="center"/>
    </xf>
    <xf numFmtId="0" fontId="317" fillId="101" borderId="178" xfId="0" applyFont="1" applyFill="1" applyBorder="1" applyAlignment="1">
      <alignment horizontal="center"/>
    </xf>
    <xf numFmtId="0" fontId="251" fillId="128" borderId="144" xfId="0" applyFont="1" applyFill="1" applyBorder="1"/>
    <xf numFmtId="17" fontId="315" fillId="127" borderId="144" xfId="0" applyNumberFormat="1" applyFont="1" applyFill="1" applyBorder="1" applyAlignment="1">
      <alignment horizontal="center"/>
    </xf>
    <xf numFmtId="214" fontId="251" fillId="131" borderId="178" xfId="0" applyNumberFormat="1" applyFont="1" applyFill="1" applyBorder="1" applyAlignment="1">
      <alignment horizontal="center"/>
    </xf>
    <xf numFmtId="214" fontId="262" fillId="0" borderId="0" xfId="863" applyNumberFormat="1" applyFont="1" applyFill="1" applyBorder="1" applyAlignment="1">
      <alignment horizontal="center"/>
    </xf>
    <xf numFmtId="0" fontId="317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0" fontId="322" fillId="0" borderId="0" xfId="0" applyFont="1"/>
    <xf numFmtId="167" fontId="250" fillId="0" borderId="0" xfId="815" applyFont="1"/>
    <xf numFmtId="167" fontId="250" fillId="59" borderId="144" xfId="815" applyFont="1" applyFill="1" applyBorder="1"/>
    <xf numFmtId="0" fontId="251" fillId="0" borderId="149" xfId="0" applyFont="1" applyBorder="1"/>
    <xf numFmtId="214" fontId="321" fillId="130" borderId="148" xfId="863" applyNumberFormat="1" applyFont="1" applyFill="1" applyBorder="1" applyAlignment="1">
      <alignment horizontal="center"/>
    </xf>
    <xf numFmtId="0" fontId="317" fillId="0" borderId="0" xfId="43418" applyFont="1" applyAlignment="1">
      <alignment horizontal="center" vertical="center"/>
    </xf>
    <xf numFmtId="17" fontId="320" fillId="0" borderId="0" xfId="43418" applyNumberFormat="1" applyFont="1" applyAlignment="1">
      <alignment horizontal="center"/>
    </xf>
    <xf numFmtId="0" fontId="320" fillId="0" borderId="0" xfId="43418" applyFont="1" applyAlignment="1">
      <alignment horizontal="center"/>
    </xf>
    <xf numFmtId="0" fontId="320" fillId="0" borderId="0" xfId="43418" applyFont="1" applyAlignment="1">
      <alignment horizontal="center" vertical="center"/>
    </xf>
    <xf numFmtId="214" fontId="320" fillId="0" borderId="0" xfId="43418" applyNumberFormat="1" applyFont="1" applyAlignment="1">
      <alignment horizontal="center"/>
    </xf>
    <xf numFmtId="17" fontId="257" fillId="0" borderId="0" xfId="43418" applyNumberFormat="1" applyFont="1" applyAlignment="1">
      <alignment horizontal="center"/>
    </xf>
    <xf numFmtId="0" fontId="257" fillId="0" borderId="0" xfId="43418" applyFont="1" applyAlignment="1">
      <alignment horizontal="center"/>
    </xf>
    <xf numFmtId="0" fontId="251" fillId="0" borderId="0" xfId="0" applyFont="1" applyAlignment="1">
      <alignment horizontal="center"/>
    </xf>
    <xf numFmtId="167" fontId="282" fillId="42" borderId="0" xfId="5583" applyNumberFormat="1" applyFont="1" applyFill="1" applyBorder="1"/>
    <xf numFmtId="165" fontId="227" fillId="44" borderId="152" xfId="863" applyNumberFormat="1" applyFont="1" applyFill="1" applyBorder="1" applyAlignment="1">
      <alignment vertical="top"/>
    </xf>
    <xf numFmtId="168" fontId="0" fillId="103" borderId="152" xfId="863" applyFont="1" applyFill="1" applyBorder="1"/>
    <xf numFmtId="167" fontId="30" fillId="61" borderId="173" xfId="815" applyFont="1" applyFill="1" applyBorder="1" applyAlignment="1">
      <alignment horizontal="center" vertical="center"/>
    </xf>
    <xf numFmtId="167" fontId="30" fillId="61" borderId="179" xfId="815" applyFont="1" applyFill="1" applyBorder="1" applyAlignment="1">
      <alignment horizontal="center" vertical="center"/>
    </xf>
    <xf numFmtId="168" fontId="208" fillId="97" borderId="189" xfId="863" applyFont="1" applyFill="1" applyBorder="1"/>
    <xf numFmtId="0" fontId="294" fillId="43" borderId="189" xfId="907" applyFont="1" applyFill="1" applyBorder="1" applyAlignment="1">
      <alignment horizontal="center"/>
    </xf>
    <xf numFmtId="168" fontId="32" fillId="45" borderId="0" xfId="863" applyFont="1" applyFill="1" applyAlignment="1"/>
    <xf numFmtId="170" fontId="205" fillId="0" borderId="0" xfId="863" applyNumberFormat="1" applyFont="1"/>
    <xf numFmtId="170" fontId="205" fillId="0" borderId="0" xfId="0" applyNumberFormat="1" applyFont="1"/>
    <xf numFmtId="217" fontId="296" fillId="61" borderId="194" xfId="847" applyNumberFormat="1" applyFont="1" applyFill="1" applyBorder="1"/>
    <xf numFmtId="43" fontId="296" fillId="61" borderId="194" xfId="43408" applyFont="1" applyFill="1" applyBorder="1"/>
    <xf numFmtId="168" fontId="205" fillId="61" borderId="0" xfId="863" applyFont="1" applyFill="1"/>
    <xf numFmtId="170" fontId="250" fillId="0" borderId="0" xfId="43408" applyNumberFormat="1" applyFont="1" applyAlignment="1">
      <alignment vertical="center"/>
    </xf>
    <xf numFmtId="205" fontId="116" fillId="0" borderId="0" xfId="0" applyNumberFormat="1" applyFont="1"/>
    <xf numFmtId="176" fontId="43" fillId="41" borderId="0" xfId="863" applyNumberFormat="1" applyFont="1" applyFill="1" applyBorder="1" applyAlignment="1">
      <alignment vertical="center"/>
    </xf>
    <xf numFmtId="168" fontId="205" fillId="0" borderId="178" xfId="0" applyNumberFormat="1" applyFont="1" applyBorder="1"/>
    <xf numFmtId="0" fontId="251" fillId="0" borderId="0" xfId="907" applyFont="1" applyAlignment="1">
      <alignment vertical="center"/>
    </xf>
    <xf numFmtId="0" fontId="250" fillId="0" borderId="0" xfId="907" applyFont="1" applyAlignment="1">
      <alignment vertical="center"/>
    </xf>
    <xf numFmtId="0" fontId="314" fillId="43" borderId="190" xfId="907" applyFont="1" applyFill="1" applyBorder="1" applyAlignment="1">
      <alignment vertical="center"/>
    </xf>
    <xf numFmtId="10" fontId="250" fillId="0" borderId="190" xfId="847" applyNumberFormat="1" applyFont="1" applyBorder="1" applyAlignment="1">
      <alignment vertical="center"/>
    </xf>
    <xf numFmtId="0" fontId="205" fillId="0" borderId="0" xfId="0" pivotButton="1" applyFont="1"/>
    <xf numFmtId="205" fontId="205" fillId="0" borderId="0" xfId="0" applyNumberFormat="1" applyFont="1" applyAlignment="1">
      <alignment horizontal="left"/>
    </xf>
    <xf numFmtId="0" fontId="43" fillId="133" borderId="0" xfId="43437" applyFont="1" applyFill="1" applyAlignment="1">
      <alignment vertical="center"/>
    </xf>
    <xf numFmtId="0" fontId="43" fillId="134" borderId="0" xfId="43437" applyFont="1" applyFill="1" applyAlignment="1">
      <alignment vertical="center"/>
    </xf>
    <xf numFmtId="0" fontId="311" fillId="134" borderId="0" xfId="43437" applyFont="1" applyFill="1" applyAlignment="1">
      <alignment vertical="center"/>
    </xf>
    <xf numFmtId="0" fontId="250" fillId="134" borderId="0" xfId="43437" applyFont="1" applyFill="1" applyAlignment="1">
      <alignment vertical="center" wrapText="1"/>
    </xf>
    <xf numFmtId="0" fontId="250" fillId="134" borderId="0" xfId="43437" applyFont="1" applyFill="1" applyAlignment="1">
      <alignment vertical="center"/>
    </xf>
    <xf numFmtId="14" fontId="251" fillId="135" borderId="156" xfId="834" applyNumberFormat="1" applyFont="1" applyFill="1" applyBorder="1" applyAlignment="1" applyProtection="1">
      <alignment horizontal="left" vertical="center"/>
    </xf>
    <xf numFmtId="0" fontId="260" fillId="136" borderId="189" xfId="43438" applyFont="1" applyFill="1" applyBorder="1" applyAlignment="1">
      <alignment horizontal="center" vertical="center" wrapText="1"/>
    </xf>
    <xf numFmtId="0" fontId="251" fillId="137" borderId="192" xfId="834" applyFont="1" applyFill="1" applyBorder="1" applyAlignment="1" applyProtection="1">
      <alignment horizontal="left" vertical="center"/>
    </xf>
    <xf numFmtId="0" fontId="250" fillId="132" borderId="200" xfId="43437" quotePrefix="1" applyFont="1" applyFill="1" applyBorder="1" applyAlignment="1">
      <alignment horizontal="left" vertical="center"/>
    </xf>
    <xf numFmtId="170" fontId="250" fillId="138" borderId="201" xfId="863" applyNumberFormat="1" applyFont="1" applyFill="1" applyBorder="1" applyAlignment="1">
      <alignment vertical="center" wrapText="1"/>
    </xf>
    <xf numFmtId="170" fontId="257" fillId="139" borderId="0" xfId="863" applyNumberFormat="1" applyFont="1" applyFill="1" applyBorder="1" applyAlignment="1">
      <alignment vertical="center" wrapText="1"/>
    </xf>
    <xf numFmtId="170" fontId="250" fillId="138" borderId="194" xfId="863" applyNumberFormat="1" applyFont="1" applyFill="1" applyBorder="1" applyAlignment="1">
      <alignment vertical="center" wrapText="1"/>
    </xf>
    <xf numFmtId="170" fontId="250" fillId="138" borderId="194" xfId="863" applyNumberFormat="1" applyFont="1" applyFill="1" applyBorder="1" applyAlignment="1">
      <alignment vertical="center"/>
    </xf>
    <xf numFmtId="0" fontId="250" fillId="134" borderId="0" xfId="43437" applyFont="1" applyFill="1" applyAlignment="1">
      <alignment horizontal="right" vertical="center"/>
    </xf>
    <xf numFmtId="170" fontId="250" fillId="138" borderId="0" xfId="863" applyNumberFormat="1" applyFont="1" applyFill="1" applyBorder="1" applyAlignment="1">
      <alignment vertical="center"/>
    </xf>
    <xf numFmtId="170" fontId="250" fillId="134" borderId="0" xfId="863" applyNumberFormat="1" applyFont="1" applyFill="1" applyBorder="1" applyAlignment="1">
      <alignment vertical="center"/>
    </xf>
    <xf numFmtId="0" fontId="250" fillId="132" borderId="126" xfId="43437" quotePrefix="1" applyFont="1" applyFill="1" applyBorder="1" applyAlignment="1">
      <alignment horizontal="left" vertical="center"/>
    </xf>
    <xf numFmtId="170" fontId="250" fillId="138" borderId="165" xfId="863" applyNumberFormat="1" applyFont="1" applyFill="1" applyBorder="1" applyAlignment="1">
      <alignment vertical="center" wrapText="1"/>
    </xf>
    <xf numFmtId="170" fontId="312" fillId="139" borderId="0" xfId="863" applyNumberFormat="1" applyFont="1" applyFill="1" applyBorder="1" applyAlignment="1">
      <alignment vertical="center" wrapText="1"/>
    </xf>
    <xf numFmtId="170" fontId="250" fillId="138" borderId="0" xfId="863" applyNumberFormat="1" applyFont="1" applyFill="1" applyBorder="1" applyAlignment="1">
      <alignment vertical="center" wrapText="1"/>
    </xf>
    <xf numFmtId="0" fontId="250" fillId="138" borderId="0" xfId="863" applyNumberFormat="1" applyFont="1" applyFill="1" applyBorder="1" applyAlignment="1">
      <alignment vertical="center"/>
    </xf>
    <xf numFmtId="170" fontId="250" fillId="134" borderId="0" xfId="863" applyNumberFormat="1" applyFont="1" applyFill="1" applyAlignment="1">
      <alignment vertical="center"/>
    </xf>
    <xf numFmtId="170" fontId="250" fillId="132" borderId="0" xfId="863" applyNumberFormat="1" applyFont="1" applyFill="1" applyBorder="1" applyAlignment="1">
      <alignment vertical="center" wrapText="1"/>
    </xf>
    <xf numFmtId="170" fontId="250" fillId="132" borderId="0" xfId="863" applyNumberFormat="1" applyFont="1" applyFill="1" applyBorder="1" applyAlignment="1">
      <alignment vertical="center"/>
    </xf>
    <xf numFmtId="0" fontId="250" fillId="132" borderId="0" xfId="863" applyNumberFormat="1" applyFont="1" applyFill="1" applyBorder="1" applyAlignment="1">
      <alignment vertical="center"/>
    </xf>
    <xf numFmtId="0" fontId="250" fillId="132" borderId="184" xfId="43437" quotePrefix="1" applyFont="1" applyFill="1" applyBorder="1" applyAlignment="1">
      <alignment horizontal="left" vertical="center"/>
    </xf>
    <xf numFmtId="170" fontId="250" fillId="138" borderId="185" xfId="863" applyNumberFormat="1" applyFont="1" applyFill="1" applyBorder="1" applyAlignment="1">
      <alignment vertical="center" wrapText="1"/>
    </xf>
    <xf numFmtId="170" fontId="250" fillId="132" borderId="178" xfId="863" applyNumberFormat="1" applyFont="1" applyFill="1" applyBorder="1" applyAlignment="1">
      <alignment vertical="center" wrapText="1"/>
    </xf>
    <xf numFmtId="170" fontId="250" fillId="132" borderId="178" xfId="863" applyNumberFormat="1" applyFont="1" applyFill="1" applyBorder="1" applyAlignment="1">
      <alignment vertical="center"/>
    </xf>
    <xf numFmtId="0" fontId="250" fillId="132" borderId="178" xfId="863" applyNumberFormat="1" applyFont="1" applyFill="1" applyBorder="1" applyAlignment="1">
      <alignment vertical="center"/>
    </xf>
    <xf numFmtId="0" fontId="251" fillId="140" borderId="178" xfId="43437" quotePrefix="1" applyFont="1" applyFill="1" applyBorder="1" applyAlignment="1">
      <alignment horizontal="left" vertical="center"/>
    </xf>
    <xf numFmtId="170" fontId="251" fillId="140" borderId="178" xfId="863" applyNumberFormat="1" applyFont="1" applyFill="1" applyBorder="1" applyAlignment="1">
      <alignment vertical="center" wrapText="1"/>
    </xf>
    <xf numFmtId="170" fontId="251" fillId="140" borderId="189" xfId="863" applyNumberFormat="1" applyFont="1" applyFill="1" applyBorder="1" applyAlignment="1">
      <alignment vertical="center" wrapText="1"/>
    </xf>
    <xf numFmtId="170" fontId="251" fillId="140" borderId="178" xfId="863" applyNumberFormat="1" applyFont="1" applyFill="1" applyBorder="1" applyAlignment="1">
      <alignment vertical="center"/>
    </xf>
    <xf numFmtId="170" fontId="251" fillId="138" borderId="0" xfId="863" applyNumberFormat="1" applyFont="1" applyFill="1" applyBorder="1" applyAlignment="1">
      <alignment vertical="center"/>
    </xf>
    <xf numFmtId="168" fontId="250" fillId="134" borderId="0" xfId="43186" applyFont="1" applyFill="1" applyAlignment="1">
      <alignment vertical="center" wrapText="1"/>
    </xf>
    <xf numFmtId="0" fontId="250" fillId="132" borderId="0" xfId="2697" applyFont="1" applyFill="1" applyAlignment="1">
      <alignment vertical="center"/>
    </xf>
    <xf numFmtId="39" fontId="250" fillId="134" borderId="0" xfId="43437" applyNumberFormat="1" applyFont="1" applyFill="1" applyAlignment="1">
      <alignment vertical="center"/>
    </xf>
    <xf numFmtId="0" fontId="260" fillId="141" borderId="189" xfId="43438" applyFont="1" applyFill="1" applyBorder="1" applyAlignment="1">
      <alignment horizontal="center" vertical="center" wrapText="1"/>
    </xf>
    <xf numFmtId="0" fontId="250" fillId="132" borderId="0" xfId="2697" applyFont="1" applyFill="1" applyAlignment="1">
      <alignment vertical="center" wrapText="1"/>
    </xf>
    <xf numFmtId="0" fontId="250" fillId="132" borderId="194" xfId="43437" quotePrefix="1" applyFont="1" applyFill="1" applyBorder="1" applyAlignment="1">
      <alignment horizontal="left" vertical="center"/>
    </xf>
    <xf numFmtId="0" fontId="250" fillId="134" borderId="194" xfId="43437" applyFont="1" applyFill="1" applyBorder="1" applyAlignment="1">
      <alignment vertical="center" wrapText="1"/>
    </xf>
    <xf numFmtId="0" fontId="250" fillId="142" borderId="0" xfId="2697" applyFont="1" applyFill="1" applyAlignment="1">
      <alignment vertical="center" wrapText="1"/>
    </xf>
    <xf numFmtId="0" fontId="250" fillId="132" borderId="0" xfId="43437" quotePrefix="1" applyFont="1" applyFill="1" applyAlignment="1">
      <alignment horizontal="left" vertical="center"/>
    </xf>
    <xf numFmtId="43" fontId="250" fillId="138" borderId="0" xfId="43408" applyFont="1" applyFill="1" applyBorder="1" applyAlignment="1">
      <alignment vertical="center" wrapText="1"/>
    </xf>
    <xf numFmtId="43" fontId="250" fillId="142" borderId="0" xfId="43408" applyFont="1" applyFill="1" applyBorder="1" applyAlignment="1">
      <alignment vertical="center" wrapText="1"/>
    </xf>
    <xf numFmtId="168" fontId="250" fillId="143" borderId="0" xfId="863" applyFont="1" applyFill="1" applyBorder="1" applyAlignment="1">
      <alignment vertical="center" wrapText="1"/>
    </xf>
    <xf numFmtId="0" fontId="250" fillId="134" borderId="0" xfId="2697" applyFont="1" applyFill="1" applyAlignment="1">
      <alignment vertical="center" wrapText="1"/>
    </xf>
    <xf numFmtId="0" fontId="250" fillId="143" borderId="178" xfId="2697" applyFont="1" applyFill="1" applyBorder="1" applyAlignment="1">
      <alignment vertical="center" wrapText="1"/>
    </xf>
    <xf numFmtId="0" fontId="250" fillId="142" borderId="178" xfId="2697" applyFont="1" applyFill="1" applyBorder="1" applyAlignment="1">
      <alignment vertical="center" wrapText="1"/>
    </xf>
    <xf numFmtId="0" fontId="43" fillId="132" borderId="0" xfId="2697" applyFont="1" applyFill="1" applyAlignment="1">
      <alignment vertical="center"/>
    </xf>
    <xf numFmtId="0" fontId="43" fillId="132" borderId="0" xfId="2697" applyFont="1" applyFill="1" applyAlignment="1">
      <alignment vertical="center" wrapText="1"/>
    </xf>
    <xf numFmtId="0" fontId="43" fillId="134" borderId="0" xfId="43437" applyFont="1" applyFill="1" applyAlignment="1">
      <alignment vertical="center" wrapText="1"/>
    </xf>
    <xf numFmtId="0" fontId="250" fillId="132" borderId="0" xfId="0" applyFont="1" applyFill="1"/>
    <xf numFmtId="0" fontId="313" fillId="132" borderId="0" xfId="0" applyFont="1" applyFill="1"/>
    <xf numFmtId="0" fontId="314" fillId="144" borderId="192" xfId="0" applyFont="1" applyFill="1" applyBorder="1" applyAlignment="1">
      <alignment vertical="center"/>
    </xf>
    <xf numFmtId="0" fontId="314" fillId="144" borderId="186" xfId="0" applyFont="1" applyFill="1" applyBorder="1" applyAlignment="1">
      <alignment vertical="center"/>
    </xf>
    <xf numFmtId="0" fontId="314" fillId="144" borderId="202" xfId="0" applyFont="1" applyFill="1" applyBorder="1" applyAlignment="1">
      <alignment vertical="center"/>
    </xf>
    <xf numFmtId="14" fontId="250" fillId="132" borderId="20" xfId="0" applyNumberFormat="1" applyFont="1" applyFill="1" applyBorder="1" applyAlignment="1">
      <alignment horizontal="left" vertical="center"/>
    </xf>
    <xf numFmtId="167" fontId="250" fillId="132" borderId="0" xfId="815" applyFont="1" applyFill="1" applyBorder="1" applyAlignment="1">
      <alignment vertical="center"/>
    </xf>
    <xf numFmtId="170" fontId="250" fillId="132" borderId="196" xfId="863" applyNumberFormat="1" applyFont="1" applyFill="1" applyBorder="1" applyAlignment="1">
      <alignment vertical="center"/>
    </xf>
    <xf numFmtId="170" fontId="250" fillId="132" borderId="192" xfId="863" applyNumberFormat="1" applyFont="1" applyFill="1" applyBorder="1" applyAlignment="1">
      <alignment vertical="center"/>
    </xf>
    <xf numFmtId="272" fontId="250" fillId="132" borderId="196" xfId="863" applyNumberFormat="1" applyFont="1" applyFill="1" applyBorder="1" applyAlignment="1">
      <alignment vertical="center"/>
    </xf>
    <xf numFmtId="170" fontId="250" fillId="132" borderId="193" xfId="863" applyNumberFormat="1" applyFont="1" applyFill="1" applyBorder="1" applyAlignment="1">
      <alignment vertical="center"/>
    </xf>
    <xf numFmtId="170" fontId="250" fillId="132" borderId="10" xfId="863" applyNumberFormat="1" applyFont="1" applyFill="1" applyBorder="1" applyAlignment="1">
      <alignment vertical="center"/>
    </xf>
    <xf numFmtId="170" fontId="250" fillId="132" borderId="20" xfId="863" applyNumberFormat="1" applyFont="1" applyFill="1" applyBorder="1" applyAlignment="1">
      <alignment vertical="center"/>
    </xf>
    <xf numFmtId="272" fontId="250" fillId="132" borderId="10" xfId="863" applyNumberFormat="1" applyFont="1" applyFill="1" applyBorder="1" applyAlignment="1">
      <alignment vertical="center"/>
    </xf>
    <xf numFmtId="170" fontId="250" fillId="132" borderId="29" xfId="863" applyNumberFormat="1" applyFont="1" applyFill="1" applyBorder="1" applyAlignment="1">
      <alignment vertical="center"/>
    </xf>
    <xf numFmtId="170" fontId="250" fillId="132" borderId="199" xfId="863" applyNumberFormat="1" applyFont="1" applyFill="1" applyBorder="1" applyAlignment="1">
      <alignment vertical="center"/>
    </xf>
    <xf numFmtId="170" fontId="250" fillId="132" borderId="156" xfId="863" applyNumberFormat="1" applyFont="1" applyFill="1" applyBorder="1" applyAlignment="1">
      <alignment vertical="center"/>
    </xf>
    <xf numFmtId="272" fontId="250" fillId="132" borderId="199" xfId="863" applyNumberFormat="1" applyFont="1" applyFill="1" applyBorder="1" applyAlignment="1">
      <alignment vertical="center"/>
    </xf>
    <xf numFmtId="0" fontId="250" fillId="132" borderId="191" xfId="0" applyFont="1" applyFill="1" applyBorder="1" applyAlignment="1">
      <alignment horizontal="left" vertical="center"/>
    </xf>
    <xf numFmtId="279" fontId="250" fillId="132" borderId="189" xfId="0" applyNumberFormat="1" applyFont="1" applyFill="1" applyBorder="1" applyAlignment="1">
      <alignment vertical="center"/>
    </xf>
    <xf numFmtId="170" fontId="250" fillId="132" borderId="190" xfId="863" applyNumberFormat="1" applyFont="1" applyFill="1" applyBorder="1" applyAlignment="1">
      <alignment vertical="center"/>
    </xf>
    <xf numFmtId="0" fontId="251" fillId="132" borderId="191" xfId="0" applyFont="1" applyFill="1" applyBorder="1" applyAlignment="1">
      <alignment vertical="center"/>
    </xf>
    <xf numFmtId="0" fontId="251" fillId="132" borderId="189" xfId="0" applyFont="1" applyFill="1" applyBorder="1" applyAlignment="1">
      <alignment vertical="center"/>
    </xf>
    <xf numFmtId="170" fontId="251" fillId="132" borderId="190" xfId="863" applyNumberFormat="1" applyFont="1" applyFill="1" applyBorder="1" applyAlignment="1">
      <alignment vertical="center"/>
    </xf>
    <xf numFmtId="170" fontId="251" fillId="132" borderId="195" xfId="863" applyNumberFormat="1" applyFont="1" applyFill="1" applyBorder="1" applyAlignment="1">
      <alignment vertical="center"/>
    </xf>
    <xf numFmtId="170" fontId="251" fillId="132" borderId="199" xfId="863" applyNumberFormat="1" applyFont="1" applyFill="1" applyBorder="1" applyAlignment="1">
      <alignment vertical="center"/>
    </xf>
    <xf numFmtId="0" fontId="317" fillId="122" borderId="191" xfId="43440" applyFont="1" applyFill="1" applyBorder="1" applyAlignment="1">
      <alignment horizontal="center" vertical="center" wrapText="1"/>
    </xf>
    <xf numFmtId="0" fontId="317" fillId="122" borderId="211" xfId="43440" applyFont="1" applyFill="1" applyBorder="1" applyAlignment="1">
      <alignment horizontal="center" vertical="center" wrapText="1"/>
    </xf>
    <xf numFmtId="4" fontId="317" fillId="122" borderId="186" xfId="43440" applyNumberFormat="1" applyFont="1" applyFill="1" applyBorder="1" applyAlignment="1">
      <alignment horizontal="center" vertical="center" wrapText="1"/>
    </xf>
    <xf numFmtId="0" fontId="317" fillId="122" borderId="212" xfId="43440" applyFont="1" applyFill="1" applyBorder="1" applyAlignment="1">
      <alignment horizontal="center" vertical="center" wrapText="1"/>
    </xf>
    <xf numFmtId="4" fontId="317" fillId="122" borderId="213" xfId="43440" applyNumberFormat="1" applyFont="1" applyFill="1" applyBorder="1" applyAlignment="1">
      <alignment horizontal="center" vertical="center" wrapText="1"/>
    </xf>
    <xf numFmtId="0" fontId="315" fillId="0" borderId="0" xfId="43440" applyFont="1" applyAlignment="1">
      <alignment vertical="center"/>
    </xf>
    <xf numFmtId="168" fontId="315" fillId="145" borderId="199" xfId="863" applyFont="1" applyFill="1" applyBorder="1" applyAlignment="1">
      <alignment vertical="center"/>
    </xf>
    <xf numFmtId="168" fontId="315" fillId="145" borderId="191" xfId="863" applyFont="1" applyFill="1" applyBorder="1" applyAlignment="1">
      <alignment vertical="center"/>
    </xf>
    <xf numFmtId="168" fontId="315" fillId="145" borderId="195" xfId="863" applyFont="1" applyFill="1" applyBorder="1" applyAlignment="1">
      <alignment vertical="center"/>
    </xf>
    <xf numFmtId="168" fontId="250" fillId="0" borderId="199" xfId="863" applyFont="1" applyFill="1" applyBorder="1" applyAlignment="1">
      <alignment horizontal="right" vertical="center"/>
    </xf>
    <xf numFmtId="168" fontId="315" fillId="0" borderId="199" xfId="863" applyFont="1" applyFill="1" applyBorder="1" applyAlignment="1">
      <alignment vertical="center"/>
    </xf>
    <xf numFmtId="4" fontId="315" fillId="145" borderId="199" xfId="43440" applyNumberFormat="1" applyFont="1" applyFill="1" applyBorder="1" applyAlignment="1">
      <alignment vertical="center"/>
    </xf>
    <xf numFmtId="4" fontId="315" fillId="0" borderId="199" xfId="43440" applyNumberFormat="1" applyFont="1" applyBorder="1" applyAlignment="1">
      <alignment vertical="center"/>
    </xf>
    <xf numFmtId="168" fontId="323" fillId="146" borderId="199" xfId="863" applyFont="1" applyFill="1" applyBorder="1" applyAlignment="1">
      <alignment vertical="center"/>
    </xf>
    <xf numFmtId="43" fontId="315" fillId="0" borderId="0" xfId="43440" applyNumberFormat="1" applyFont="1" applyAlignment="1">
      <alignment vertical="center"/>
    </xf>
    <xf numFmtId="0" fontId="315" fillId="0" borderId="191" xfId="43440" applyFont="1" applyBorder="1" applyAlignment="1">
      <alignment vertical="center"/>
    </xf>
    <xf numFmtId="0" fontId="315" fillId="0" borderId="195" xfId="43440" applyFont="1" applyBorder="1" applyAlignment="1">
      <alignment vertical="center"/>
    </xf>
    <xf numFmtId="43" fontId="250" fillId="42" borderId="190" xfId="43441" applyFont="1" applyFill="1" applyBorder="1" applyAlignment="1">
      <alignment horizontal="right" vertical="center"/>
    </xf>
    <xf numFmtId="168" fontId="315" fillId="0" borderId="0" xfId="863" applyFont="1" applyAlignment="1">
      <alignment vertical="center"/>
    </xf>
    <xf numFmtId="282" fontId="315" fillId="0" borderId="214" xfId="43440" applyNumberFormat="1" applyFont="1" applyBorder="1" applyAlignment="1">
      <alignment horizontal="center" vertical="center"/>
    </xf>
    <xf numFmtId="43" fontId="250" fillId="145" borderId="196" xfId="43441" applyFont="1" applyFill="1" applyBorder="1" applyAlignment="1">
      <alignment vertical="center"/>
    </xf>
    <xf numFmtId="43" fontId="250" fillId="145" borderId="0" xfId="43441" applyFont="1" applyFill="1" applyAlignment="1">
      <alignment vertical="center"/>
    </xf>
    <xf numFmtId="0" fontId="315" fillId="145" borderId="196" xfId="43440" applyFont="1" applyFill="1" applyBorder="1" applyAlignment="1">
      <alignment vertical="center"/>
    </xf>
    <xf numFmtId="43" fontId="250" fillId="145" borderId="10" xfId="43441" applyFont="1" applyFill="1" applyBorder="1" applyAlignment="1">
      <alignment vertical="center"/>
    </xf>
    <xf numFmtId="0" fontId="315" fillId="145" borderId="10" xfId="43440" applyFont="1" applyFill="1" applyBorder="1" applyAlignment="1">
      <alignment vertical="center"/>
    </xf>
    <xf numFmtId="43" fontId="250" fillId="0" borderId="0" xfId="43441" applyFont="1" applyAlignment="1">
      <alignment vertical="center"/>
    </xf>
    <xf numFmtId="0" fontId="315" fillId="145" borderId="0" xfId="43440" applyFont="1" applyFill="1" applyAlignment="1">
      <alignment vertical="center"/>
    </xf>
    <xf numFmtId="4" fontId="262" fillId="145" borderId="10" xfId="43440" applyNumberFormat="1" applyFont="1" applyFill="1" applyBorder="1" applyAlignment="1">
      <alignment vertical="center"/>
    </xf>
    <xf numFmtId="282" fontId="323" fillId="0" borderId="191" xfId="43440" applyNumberFormat="1" applyFont="1" applyBorder="1" applyAlignment="1">
      <alignment horizontal="center" vertical="center"/>
    </xf>
    <xf numFmtId="168" fontId="323" fillId="0" borderId="190" xfId="863" applyFont="1" applyBorder="1" applyAlignment="1">
      <alignment vertical="center"/>
    </xf>
    <xf numFmtId="168" fontId="324" fillId="42" borderId="215" xfId="0" applyNumberFormat="1" applyFont="1" applyFill="1" applyBorder="1" applyAlignment="1">
      <alignment horizontal="center" vertical="center" wrapText="1"/>
    </xf>
    <xf numFmtId="14" fontId="267" fillId="0" borderId="0" xfId="0" applyNumberFormat="1" applyFont="1"/>
    <xf numFmtId="167" fontId="0" fillId="0" borderId="0" xfId="815" applyFont="1"/>
    <xf numFmtId="44" fontId="0" fillId="0" borderId="0" xfId="0" applyNumberFormat="1"/>
    <xf numFmtId="4" fontId="0" fillId="0" borderId="0" xfId="0" applyNumberFormat="1" applyAlignment="1">
      <alignment horizontal="right" vertical="center"/>
    </xf>
    <xf numFmtId="168" fontId="43" fillId="41" borderId="0" xfId="863" applyFont="1" applyFill="1"/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154" xfId="0" applyFont="1" applyFill="1" applyBorder="1" applyAlignment="1">
      <alignment horizontal="center" vertical="center" textRotation="90"/>
    </xf>
    <xf numFmtId="167" fontId="30" fillId="42" borderId="144" xfId="815" applyFont="1" applyFill="1" applyBorder="1" applyAlignment="1">
      <alignment horizontal="center"/>
    </xf>
    <xf numFmtId="0" fontId="272" fillId="43" borderId="168" xfId="0" applyFont="1" applyFill="1" applyBorder="1" applyAlignment="1">
      <alignment horizontal="center" vertical="center" wrapText="1"/>
    </xf>
    <xf numFmtId="0" fontId="272" fillId="43" borderId="160" xfId="0" applyFont="1" applyFill="1" applyBorder="1" applyAlignment="1">
      <alignment horizontal="center" vertical="center" wrapText="1"/>
    </xf>
    <xf numFmtId="167" fontId="30" fillId="59" borderId="170" xfId="815" applyFont="1" applyFill="1" applyBorder="1" applyAlignment="1">
      <alignment horizontal="center" vertical="center"/>
    </xf>
    <xf numFmtId="167" fontId="30" fillId="59" borderId="175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7" fontId="30" fillId="59" borderId="172" xfId="815" applyFont="1" applyFill="1" applyBorder="1" applyAlignment="1">
      <alignment horizontal="center" vertical="center"/>
    </xf>
    <xf numFmtId="167" fontId="30" fillId="59" borderId="177" xfId="815" applyFont="1" applyFill="1" applyBorder="1" applyAlignment="1">
      <alignment horizontal="center" vertical="center"/>
    </xf>
    <xf numFmtId="168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8" xfId="0" applyFont="1" applyBorder="1" applyAlignment="1">
      <alignment horizontal="left"/>
    </xf>
    <xf numFmtId="0" fontId="30" fillId="59" borderId="178" xfId="907" applyFill="1" applyBorder="1" applyAlignment="1">
      <alignment horizontal="left"/>
    </xf>
    <xf numFmtId="167" fontId="30" fillId="59" borderId="167" xfId="815" applyFont="1" applyFill="1" applyBorder="1" applyAlignment="1">
      <alignment horizontal="center" vertical="center"/>
    </xf>
    <xf numFmtId="167" fontId="30" fillId="59" borderId="176" xfId="815" applyFont="1" applyFill="1" applyBorder="1" applyAlignment="1">
      <alignment horizontal="center" vertical="center"/>
    </xf>
    <xf numFmtId="0" fontId="30" fillId="59" borderId="166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7" fontId="30" fillId="61" borderId="167" xfId="815" applyFont="1" applyFill="1" applyBorder="1" applyAlignment="1">
      <alignment horizontal="center" vertical="center"/>
    </xf>
    <xf numFmtId="167" fontId="30" fillId="61" borderId="176" xfId="815" applyFont="1" applyFill="1" applyBorder="1" applyAlignment="1">
      <alignment horizontal="center" vertical="center"/>
    </xf>
    <xf numFmtId="167" fontId="30" fillId="61" borderId="170" xfId="815" applyFont="1" applyFill="1" applyBorder="1" applyAlignment="1">
      <alignment horizontal="center" vertical="center"/>
    </xf>
    <xf numFmtId="167" fontId="30" fillId="61" borderId="175" xfId="815" applyFont="1" applyFill="1" applyBorder="1" applyAlignment="1">
      <alignment horizontal="center" vertical="center"/>
    </xf>
    <xf numFmtId="167" fontId="30" fillId="44" borderId="172" xfId="815" applyFont="1" applyFill="1" applyBorder="1" applyAlignment="1">
      <alignment horizontal="center" vertical="center"/>
    </xf>
    <xf numFmtId="167" fontId="30" fillId="44" borderId="177" xfId="815" applyFont="1" applyFill="1" applyBorder="1" applyAlignment="1">
      <alignment horizontal="center" vertical="center"/>
    </xf>
    <xf numFmtId="0" fontId="235" fillId="0" borderId="166" xfId="907" applyFont="1" applyBorder="1" applyAlignment="1">
      <alignment horizontal="left"/>
    </xf>
    <xf numFmtId="0" fontId="36" fillId="0" borderId="166" xfId="907" applyFont="1" applyBorder="1" applyAlignment="1">
      <alignment horizontal="left"/>
    </xf>
    <xf numFmtId="0" fontId="296" fillId="0" borderId="0" xfId="0" applyFont="1" applyAlignment="1">
      <alignment horizontal="center"/>
    </xf>
    <xf numFmtId="0" fontId="296" fillId="0" borderId="194" xfId="0" applyFont="1" applyBorder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167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36" fillId="0" borderId="190" xfId="907" applyFont="1" applyBorder="1" applyAlignment="1">
      <alignment horizontal="center"/>
    </xf>
    <xf numFmtId="0" fontId="36" fillId="0" borderId="192" xfId="907" applyFont="1" applyBorder="1" applyAlignment="1">
      <alignment horizontal="center"/>
    </xf>
    <xf numFmtId="0" fontId="36" fillId="0" borderId="194" xfId="907" applyFont="1" applyBorder="1" applyAlignment="1">
      <alignment horizontal="center"/>
    </xf>
    <xf numFmtId="0" fontId="205" fillId="33" borderId="191" xfId="831" applyFont="1" applyFill="1" applyBorder="1" applyAlignment="1">
      <alignment horizontal="center" vertical="center"/>
    </xf>
    <xf numFmtId="0" fontId="205" fillId="33" borderId="195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4" fontId="38" fillId="55" borderId="198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70" fontId="38" fillId="55" borderId="128" xfId="863" applyNumberFormat="1" applyFont="1" applyFill="1" applyBorder="1" applyAlignment="1">
      <alignment horizontal="center" vertical="center"/>
    </xf>
    <xf numFmtId="170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70" fontId="117" fillId="55" borderId="132" xfId="863" applyNumberFormat="1" applyFont="1" applyFill="1" applyBorder="1" applyAlignment="1">
      <alignment horizontal="center" vertical="center" wrapText="1"/>
    </xf>
    <xf numFmtId="170" fontId="117" fillId="55" borderId="133" xfId="863" applyNumberFormat="1" applyFont="1" applyFill="1" applyBorder="1" applyAlignment="1">
      <alignment horizontal="center" vertical="center" wrapText="1"/>
    </xf>
    <xf numFmtId="170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12" fillId="43" borderId="189" xfId="0" applyFont="1" applyFill="1" applyBorder="1" applyAlignment="1">
      <alignment horizontal="center" vertical="center" wrapText="1"/>
    </xf>
    <xf numFmtId="0" fontId="208" fillId="97" borderId="189" xfId="0" applyFont="1" applyFill="1" applyBorder="1" applyAlignment="1">
      <alignment horizontal="center" vertical="center" wrapText="1"/>
    </xf>
    <xf numFmtId="0" fontId="325" fillId="61" borderId="216" xfId="43440" applyFont="1" applyFill="1" applyBorder="1" applyAlignment="1">
      <alignment horizontal="center" vertical="center"/>
    </xf>
    <xf numFmtId="0" fontId="272" fillId="101" borderId="190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5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92" xfId="832" applyFont="1" applyFill="1" applyBorder="1" applyAlignment="1">
      <alignment horizontal="center" vertical="center" wrapText="1"/>
    </xf>
    <xf numFmtId="0" fontId="208" fillId="41" borderId="193" xfId="0" applyFont="1" applyFill="1" applyBorder="1" applyAlignment="1">
      <alignment horizontal="center" vertical="center" wrapText="1"/>
    </xf>
    <xf numFmtId="0" fontId="208" fillId="0" borderId="192" xfId="0" applyFont="1" applyBorder="1" applyAlignment="1">
      <alignment horizontal="center" vertical="center"/>
    </xf>
    <xf numFmtId="0" fontId="208" fillId="0" borderId="193" xfId="0" applyFont="1" applyBorder="1" applyAlignment="1">
      <alignment horizontal="center" vertical="center"/>
    </xf>
    <xf numFmtId="0" fontId="208" fillId="0" borderId="191" xfId="0" applyFont="1" applyBorder="1" applyAlignment="1">
      <alignment horizontal="center" vertical="center"/>
    </xf>
    <xf numFmtId="0" fontId="208" fillId="0" borderId="195" xfId="0" applyFont="1" applyBorder="1" applyAlignment="1">
      <alignment horizontal="center" vertical="center"/>
    </xf>
    <xf numFmtId="0" fontId="208" fillId="41" borderId="192" xfId="0" applyFont="1" applyFill="1" applyBorder="1" applyAlignment="1">
      <alignment horizontal="center" vertical="center"/>
    </xf>
    <xf numFmtId="0" fontId="208" fillId="41" borderId="193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9" xfId="833" applyFont="1" applyBorder="1" applyAlignment="1">
      <alignment horizontal="left" vertical="center" wrapText="1"/>
    </xf>
    <xf numFmtId="0" fontId="205" fillId="0" borderId="189" xfId="0" applyFont="1" applyBorder="1" applyAlignment="1">
      <alignment horizontal="left" vertical="center" wrapText="1"/>
    </xf>
    <xf numFmtId="0" fontId="208" fillId="0" borderId="191" xfId="0" applyFont="1" applyBorder="1" applyAlignment="1">
      <alignment horizontal="left" vertical="center"/>
    </xf>
    <xf numFmtId="0" fontId="208" fillId="0" borderId="195" xfId="0" applyFont="1" applyBorder="1" applyAlignment="1">
      <alignment horizontal="left" vertical="center"/>
    </xf>
    <xf numFmtId="0" fontId="215" fillId="0" borderId="178" xfId="836" applyFont="1" applyFill="1" applyBorder="1" applyAlignment="1">
      <alignment horizontal="left" vertical="center" wrapText="1"/>
    </xf>
    <xf numFmtId="0" fontId="205" fillId="0" borderId="178" xfId="0" applyFont="1" applyBorder="1" applyAlignment="1">
      <alignment horizontal="left" vertical="center" wrapText="1"/>
    </xf>
    <xf numFmtId="0" fontId="215" fillId="0" borderId="189" xfId="836" applyFont="1" applyFill="1" applyBorder="1" applyAlignment="1">
      <alignment horizontal="left" vertical="center" wrapText="1"/>
    </xf>
    <xf numFmtId="0" fontId="215" fillId="0" borderId="194" xfId="836" applyFont="1" applyFill="1" applyBorder="1" applyAlignment="1">
      <alignment horizontal="left" vertical="center" wrapText="1"/>
    </xf>
    <xf numFmtId="0" fontId="205" fillId="0" borderId="194" xfId="0" applyFont="1" applyBorder="1" applyAlignment="1">
      <alignment horizontal="left" vertical="center" wrapText="1"/>
    </xf>
    <xf numFmtId="0" fontId="208" fillId="0" borderId="192" xfId="0" applyFont="1" applyBorder="1" applyAlignment="1">
      <alignment horizontal="center" vertical="center" wrapText="1"/>
    </xf>
    <xf numFmtId="0" fontId="208" fillId="0" borderId="193" xfId="0" applyFont="1" applyBorder="1" applyAlignment="1">
      <alignment horizontal="center" vertical="center" wrapText="1"/>
    </xf>
    <xf numFmtId="0" fontId="208" fillId="105" borderId="191" xfId="0" applyFont="1" applyFill="1" applyBorder="1" applyAlignment="1">
      <alignment horizontal="center" vertical="center"/>
    </xf>
    <xf numFmtId="0" fontId="208" fillId="105" borderId="195" xfId="0" applyFont="1" applyFill="1" applyBorder="1" applyAlignment="1">
      <alignment horizontal="center" vertical="center"/>
    </xf>
    <xf numFmtId="10" fontId="250" fillId="0" borderId="191" xfId="7308" applyNumberFormat="1" applyFont="1" applyBorder="1" applyAlignment="1">
      <alignment horizontal="center"/>
    </xf>
    <xf numFmtId="0" fontId="250" fillId="0" borderId="189" xfId="7308" applyFont="1" applyBorder="1" applyAlignment="1">
      <alignment horizontal="center"/>
    </xf>
    <xf numFmtId="0" fontId="250" fillId="0" borderId="195" xfId="7308" applyFont="1" applyBorder="1" applyAlignment="1">
      <alignment horizontal="center"/>
    </xf>
    <xf numFmtId="214" fontId="250" fillId="0" borderId="191" xfId="43165" applyNumberFormat="1" applyFont="1" applyBorder="1" applyAlignment="1">
      <alignment horizontal="center"/>
    </xf>
    <xf numFmtId="214" fontId="250" fillId="0" borderId="189" xfId="43165" applyNumberFormat="1" applyFont="1" applyBorder="1" applyAlignment="1">
      <alignment horizontal="center"/>
    </xf>
    <xf numFmtId="214" fontId="250" fillId="0" borderId="195" xfId="43165" applyNumberFormat="1" applyFont="1" applyBorder="1" applyAlignment="1">
      <alignment horizontal="center"/>
    </xf>
    <xf numFmtId="214" fontId="250" fillId="0" borderId="191" xfId="7308" applyNumberFormat="1" applyFont="1" applyBorder="1" applyAlignment="1">
      <alignment horizontal="center"/>
    </xf>
    <xf numFmtId="214" fontId="250" fillId="0" borderId="189" xfId="7308" applyNumberFormat="1" applyFont="1" applyBorder="1" applyAlignment="1">
      <alignment horizontal="center"/>
    </xf>
    <xf numFmtId="214" fontId="250" fillId="0" borderId="195" xfId="7308" applyNumberFormat="1" applyFont="1" applyBorder="1" applyAlignment="1">
      <alignment horizontal="center"/>
    </xf>
  </cellXfs>
  <cellStyles count="43442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9B518DC1-3C09-4C2D-9064-14EC5666A791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029793D0-6CA7-4263-8AEB-C0BCB56D90FE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5"/>
    </tableStyle>
    <tableStyle name="Padrão" pivot="0" count="1" xr9:uid="{3101F1C1-6DA4-4166-994B-3EC22CFD8317}">
      <tableStyleElement type="headerRow" dxfId="584"/>
    </tableStyle>
    <tableStyle name="Padrão 2" pivot="0" count="2" xr9:uid="{85D0CDF3-BF56-48CA-93DE-51D2DBCCC9A6}">
      <tableStyleElement type="wholeTable" dxfId="583"/>
      <tableStyleElement type="headerRow" dxfId="58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16.xml"/><Relationship Id="rId55" Type="http://schemas.openxmlformats.org/officeDocument/2006/relationships/styles" Target="styles.xml"/><Relationship Id="rId63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theme" Target="theme/theme1.xml"/><Relationship Id="rId58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connections" Target="connections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pivotCacheDefinition" Target="pivotCache/pivotCacheDefinition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[Persas_RTA_2022_Cermissões.xlsx]Calc_Mercado!Tabela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7617.7150000000029</c:v>
                </c:pt>
                <c:pt idx="1">
                  <c:v>8969.3859999999986</c:v>
                </c:pt>
                <c:pt idx="2">
                  <c:v>8304.8669999999984</c:v>
                </c:pt>
                <c:pt idx="3">
                  <c:v>10090.165999999999</c:v>
                </c:pt>
                <c:pt idx="4">
                  <c:v>17228.352999999999</c:v>
                </c:pt>
                <c:pt idx="5">
                  <c:v>19562.929000000004</c:v>
                </c:pt>
                <c:pt idx="6">
                  <c:v>17780.263000000003</c:v>
                </c:pt>
                <c:pt idx="7">
                  <c:v>16752.272000000004</c:v>
                </c:pt>
                <c:pt idx="8">
                  <c:v>11748.674999999997</c:v>
                </c:pt>
                <c:pt idx="9">
                  <c:v>8918.1029999999992</c:v>
                </c:pt>
                <c:pt idx="10">
                  <c:v>8156.6699999999992</c:v>
                </c:pt>
                <c:pt idx="11">
                  <c:v>8156.6699999999992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7617.7150000000029</c:v>
                </c:pt>
                <c:pt idx="1">
                  <c:v>8969.3859999999986</c:v>
                </c:pt>
                <c:pt idx="2">
                  <c:v>8304.8669999999984</c:v>
                </c:pt>
                <c:pt idx="3">
                  <c:v>10090.165999999999</c:v>
                </c:pt>
                <c:pt idx="4">
                  <c:v>17228.352999999999</c:v>
                </c:pt>
                <c:pt idx="5">
                  <c:v>19562.929000000004</c:v>
                </c:pt>
                <c:pt idx="6">
                  <c:v>17780.263000000003</c:v>
                </c:pt>
                <c:pt idx="7">
                  <c:v>16752.272000000004</c:v>
                </c:pt>
                <c:pt idx="8">
                  <c:v>11748.674999999997</c:v>
                </c:pt>
                <c:pt idx="9">
                  <c:v>8918.1029999999992</c:v>
                </c:pt>
                <c:pt idx="10">
                  <c:v>8156.6699999999992</c:v>
                </c:pt>
                <c:pt idx="11">
                  <c:v>8156.6699999999992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2-4980-A41D-CB87336365F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6.6079978079101459E-2</c:v>
                </c:pt>
                <c:pt idx="1">
                  <c:v>1.9743350294482206E-2</c:v>
                </c:pt>
                <c:pt idx="2">
                  <c:v>-7.8098841122112947E-2</c:v>
                </c:pt>
                <c:pt idx="3">
                  <c:v>0.12197774386446504</c:v>
                </c:pt>
                <c:pt idx="4">
                  <c:v>-0.22370000000000001</c:v>
                </c:pt>
                <c:pt idx="5">
                  <c:v>0.28960000000000002</c:v>
                </c:pt>
                <c:pt idx="6">
                  <c:v>0.1956272607198577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0.50820154886855606</c:v>
                </c:pt>
                <c:pt idx="1">
                  <c:v>0.20838039005452771</c:v>
                </c:pt>
                <c:pt idx="2">
                  <c:v>0.14067798628830894</c:v>
                </c:pt>
                <c:pt idx="3">
                  <c:v>0</c:v>
                </c:pt>
                <c:pt idx="4">
                  <c:v>0</c:v>
                </c:pt>
                <c:pt idx="5">
                  <c:v>1.6712872259448733E-2</c:v>
                </c:pt>
                <c:pt idx="6">
                  <c:v>9.9633833447315759E-2</c:v>
                </c:pt>
                <c:pt idx="7">
                  <c:v>2.4018557679938435E-3</c:v>
                </c:pt>
                <c:pt idx="8">
                  <c:v>4.0668893444547237E-2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47516565.009275258</c:v>
                </c:pt>
                <c:pt idx="1">
                  <c:v>60335559.834578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32947321.16528523</c:v>
                </c:pt>
                <c:pt idx="1">
                  <c:v>24739687.473364118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14626922.781354129</c:v>
                </c:pt>
                <c:pt idx="1">
                  <c:v>16701808.717433799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10002090.938565342</c:v>
                </c:pt>
                <c:pt idx="1">
                  <c:v>16946627.459861781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0.41615714357120775</c:v>
                </c:pt>
                <c:pt idx="1">
                  <c:v>0.17063896813068513</c:v>
                </c:pt>
                <c:pt idx="2">
                  <c:v>0.11519868262391769</c:v>
                </c:pt>
                <c:pt idx="3">
                  <c:v>0.11688728995300948</c:v>
                </c:pt>
                <c:pt idx="4">
                  <c:v>0.16842982451197178</c:v>
                </c:pt>
                <c:pt idx="5" formatCode="0.00%">
                  <c:v>1.2688091209208052E-2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Cermissões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568.73030731554422</c:v>
                </c:pt>
                <c:pt idx="1">
                  <c:v>666.96</c:v>
                </c:pt>
                <c:pt idx="2">
                  <c:v>631.15</c:v>
                </c:pt>
                <c:pt idx="3">
                  <c:v>604.07000000000005</c:v>
                </c:pt>
                <c:pt idx="4">
                  <c:v>713.78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520.56883401284801</c:v>
                </c:pt>
                <c:pt idx="1">
                  <c:v>554.4586282168874</c:v>
                </c:pt>
                <c:pt idx="2">
                  <c:v>595.01164823221416</c:v>
                </c:pt>
                <c:pt idx="3">
                  <c:v>807.73629610701323</c:v>
                </c:pt>
                <c:pt idx="4">
                  <c:v>894.19829621338408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501.15807073349265</c:v>
                </c:pt>
                <c:pt idx="1">
                  <c:v>518.02839025059757</c:v>
                </c:pt>
                <c:pt idx="2">
                  <c:v>529.07491770544038</c:v>
                </c:pt>
                <c:pt idx="3">
                  <c:v>573.23718395444462</c:v>
                </c:pt>
                <c:pt idx="4">
                  <c:v>641.37714065426599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Cermissões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369.17</c:v>
                </c:pt>
                <c:pt idx="1">
                  <c:v>405.12</c:v>
                </c:pt>
                <c:pt idx="2">
                  <c:v>495.76</c:v>
                </c:pt>
                <c:pt idx="3" formatCode="_(* #,##0.00_);_(* \(#,##0.00\);_(* &quot;-&quot;??_);_(@_)">
                  <c:v>469.76</c:v>
                </c:pt>
                <c:pt idx="4" formatCode="_(* #,##0.00_);_(* \(#,##0.00\);_(* &quot;-&quot;??_);_(@_)">
                  <c:v>537.92999999999995</c:v>
                </c:pt>
                <c:pt idx="5" formatCode="_(* #,##0.00_);_(* \(#,##0.00\);_(* &quot;-&quot;??_);_(@_)">
                  <c:v>568.73030731554422</c:v>
                </c:pt>
                <c:pt idx="6" formatCode="_(* #,##0.00_);_(* \(#,##0.00\);_(* &quot;-&quot;??_);_(@_)">
                  <c:v>666.96</c:v>
                </c:pt>
                <c:pt idx="7" formatCode="_(* #,##0.00_);_(* \(#,##0.00\);_(* &quot;-&quot;??_);_(@_)">
                  <c:v>631.15</c:v>
                </c:pt>
                <c:pt idx="8" formatCode="_(* #,##0.00_);_(* \(#,##0.00\);_(* &quot;-&quot;??_);_(@_)">
                  <c:v>604.07000000000005</c:v>
                </c:pt>
                <c:pt idx="9" formatCode="_(* #,##0.00_);_(* \(#,##0.00\);_(* &quot;-&quot;??_);_(@_)">
                  <c:v>713.78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369.17</c:v>
                </c:pt>
                <c:pt idx="1">
                  <c:v>414.14568955587271</c:v>
                </c:pt>
                <c:pt idx="2">
                  <c:v>437.30779532562508</c:v>
                </c:pt>
                <c:pt idx="3">
                  <c:v>490.690941488965</c:v>
                </c:pt>
                <c:pt idx="4">
                  <c:v>486.87126268549207</c:v>
                </c:pt>
                <c:pt idx="5">
                  <c:v>520.56883401284801</c:v>
                </c:pt>
                <c:pt idx="6">
                  <c:v>554.4586282168874</c:v>
                </c:pt>
                <c:pt idx="7">
                  <c:v>595.01164823221416</c:v>
                </c:pt>
                <c:pt idx="8">
                  <c:v>807.73629610701323</c:v>
                </c:pt>
                <c:pt idx="9">
                  <c:v>894.19829621338408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369.17</c:v>
                </c:pt>
                <c:pt idx="1">
                  <c:v>393.25200607117483</c:v>
                </c:pt>
                <c:pt idx="2">
                  <c:v>428.22953031819844</c:v>
                </c:pt>
                <c:pt idx="3">
                  <c:v>466.10106791857731</c:v>
                </c:pt>
                <c:pt idx="4">
                  <c:v>480.07737408232686</c:v>
                </c:pt>
                <c:pt idx="5">
                  <c:v>501.15807073349265</c:v>
                </c:pt>
                <c:pt idx="6">
                  <c:v>518.02839025059757</c:v>
                </c:pt>
                <c:pt idx="7">
                  <c:v>529.07491770544038</c:v>
                </c:pt>
                <c:pt idx="8">
                  <c:v>573.23718395444462</c:v>
                </c:pt>
                <c:pt idx="9">
                  <c:v>641.37714065426599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209550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651596</xdr:colOff>
      <xdr:row>30</xdr:row>
      <xdr:rowOff>130967</xdr:rowOff>
    </xdr:from>
    <xdr:to>
      <xdr:col>16</xdr:col>
      <xdr:colOff>678319</xdr:colOff>
      <xdr:row>58</xdr:row>
      <xdr:rowOff>5783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79</xdr:row>
      <xdr:rowOff>0</xdr:rowOff>
    </xdr:from>
    <xdr:to>
      <xdr:col>4</xdr:col>
      <xdr:colOff>659324</xdr:colOff>
      <xdr:row>109</xdr:row>
      <xdr:rowOff>27905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7005300"/>
          <a:ext cx="8609524" cy="53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REAJUSTE\Permission&#225;rias%20de%20Distribui&#231;&#227;o\2022\07-%20JULHO\2-Certaja%20-%20Charles\PERSAS_RTP_%202022_Certaj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PIS_COFINS"/>
      <sheetName val="Rede Básica + Ajuste"/>
      <sheetName val="Conexão "/>
      <sheetName val="CUSD"/>
      <sheetName val="Encargos"/>
      <sheetName val="Financeiros"/>
      <sheetName val="ICMS"/>
      <sheetName val="Financeiros Mitigação"/>
      <sheetName val="CVE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7">
          <cell r="N17">
            <v>11535.279299999997</v>
          </cell>
        </row>
        <row r="18">
          <cell r="N18">
            <v>350.23906484425817</v>
          </cell>
        </row>
        <row r="19">
          <cell r="N19">
            <v>3273.9337351557419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">
          <cell r="I9">
            <v>-180523.29810000001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7.429744907407" createdVersion="4" refreshedVersion="8" minRefreshableVersion="3" recordCount="723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755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6-02T00:00:00" count="59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562" maxValue="32335"/>
    </cacheField>
    <cacheField name="Daj" numFmtId="4">
      <sharedItems containsSemiMixedTypes="0" containsString="0" containsNumber="1" minValue="-539.52" maxValue="31041.599999999999"/>
    </cacheField>
    <cacheField name="TUSD_E" numFmtId="4">
      <sharedItems containsSemiMixedTypes="0" containsString="0" containsNumber="1" minValue="-87.932000000000002" maxValue="5277.7030000000004"/>
    </cacheField>
    <cacheField name="TUSD_Eaj" numFmtId="4">
      <sharedItems containsSemiMixedTypes="0" containsString="0" containsNumber="1" minValue="-87.932000000000002" maxValue="5277.7030000000004"/>
    </cacheField>
    <cacheField name="TE_E" numFmtId="4">
      <sharedItems containsSemiMixedTypes="0" containsString="0" containsNumber="1" minValue="-87.932000000000002" maxValue="5277.7030000000004"/>
    </cacheField>
    <cacheField name="TE_Eaj" numFmtId="4">
      <sharedItems containsSemiMixedTypes="0" containsString="0" containsNumber="1" minValue="-87.932000000000002" maxValue="5277.7030000000004"/>
    </cacheField>
    <cacheField name="TUSD/KW" numFmtId="4">
      <sharedItems containsString="0" containsBlank="1" containsNumber="1" minValue="44.35" maxValue="44.35"/>
    </cacheField>
    <cacheField name="TUSD/MWh" numFmtId="4">
      <sharedItems containsString="0" containsBlank="1" containsNumber="1" minValue="79.7" maxValue="1614.19"/>
    </cacheField>
    <cacheField name="TE" numFmtId="4">
      <sharedItems containsString="0" containsBlank="1" containsNumber="1" minValue="115.17" maxValue="209.4"/>
    </cacheField>
    <cacheField name="ReceitaD" numFmtId="4">
      <sharedItems containsString="0" containsBlank="1" containsNumber="1" minValue="-24924.7" maxValue="1434057.25"/>
    </cacheField>
    <cacheField name="ReceitaE" numFmtId="4">
      <sharedItems containsString="0" containsBlank="1" containsNumber="1" minValue="-69529.591039999999" maxValue="4173185.3161600004"/>
    </cacheField>
    <cacheField name="Total" numFmtId="4">
      <sharedItems containsString="0" containsBlank="1" containsNumber="1" minValue="-69529.591039999999" maxValue="4173185.3161600004"/>
    </cacheField>
    <cacheField name="Total com Tar de aplicação" numFmtId="4">
      <sharedItems containsString="0" containsBlank="1" containsNumber="1" minValue="-53117.083239999993" maxValue="3188102.0512100002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5411.1512802391799" maxValue="324778.79890338168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7374.599792703938" maxValue="424301.92935423815"/>
    </cacheField>
    <cacheField name="DISTRIBUICAO" numFmtId="4">
      <sharedItems containsString="0" containsBlank="1" containsNumber="1" minValue="-33889.45988509398" maxValue="2034054.7707767386"/>
    </cacheField>
    <cacheField name="EnergiaRevenda" numFmtId="4">
      <sharedItems containsString="0" containsBlank="1" containsNumber="1" minValue="-18171.213378896409" maxValue="1090641.2610135302"/>
    </cacheField>
    <cacheField name="ESSERR" numFmtId="4">
      <sharedItems containsString="0" containsBlank="1" containsNumber="1" minValue="-242.07371523097396" maxValue="14529.331450389585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836.19829185909816" maxValue="50188.853131279146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60.2968982194642" maxValue="9621.0642385429746"/>
    </cacheField>
    <cacheField name="TUST_FR" numFmtId="4">
      <sharedItems containsString="0" containsBlank="1" containsNumber="1" minValue="-557.34702871346349" maxValue="32067.288564857368"/>
    </cacheField>
    <cacheField name="TUST_RB" numFmtId="4">
      <sharedItems containsString="0" containsBlank="1" containsNumber="1" minValue="-852.71776309538029" maxValue="49061.617205852534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3040.0100289795173" maxValue="182462.24412017566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-87.69" maxValue="9427.33"/>
    </cacheField>
    <cacheField name="Cofins" numFmtId="4">
      <sharedItems containsSemiMixedTypes="0" containsString="0" containsNumber="1" minValue="-412.54" maxValue="43368.72"/>
    </cacheField>
    <cacheField name="ICMS" numFmtId="4">
      <sharedItems containsSemiMixedTypes="0" containsString="0" containsNumber="1" minValue="-1759.15" maxValue="557518.79"/>
    </cacheField>
    <cacheField name="UC" numFmtId="4">
      <sharedItems containsSemiMixedTypes="0" containsString="0" containsNumber="1" containsInteger="1" minValue="0" maxValue="14114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24444.823683502098" maxValue="49290.194945428593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2858.9424959999983" maxValue="3709.7750910000004"/>
    </cacheField>
    <cacheField name="Subs_Rural" numFmtId="4">
      <sharedItems containsString="0" containsBlank="1" containsNumber="1" minValue="-6374.1906799999942" maxValue="382580.69046999968"/>
    </cacheField>
    <cacheField name="Subs_Irrigante" numFmtId="4">
      <sharedItems containsString="0" containsBlank="1" containsNumber="1" minValue="-596.94294999999988" maxValue="978761.94925600011"/>
    </cacheField>
    <cacheField name="Subs_BaixaRenda" numFmtId="4">
      <sharedItems containsString="0" containsBlank="1" containsNumber="1" minValue="-74.791499999999985" maxValue="24744.874620000002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1211.223407875928" maxValue="1273103.5051337059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6741.829400000002" maxValue="2805519.7660000003"/>
    </cacheField>
    <cacheField name="FinAj" numFmtId="4">
      <sharedItems containsSemiMixedTypes="0" containsString="0" containsNumber="1" minValue="-866969.89654999925" maxValue="103121.68798399973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105573.2244400005" maxValue="18419.995360000008"/>
    </cacheField>
    <cacheField name="FinPostTE" numFmtId="4">
      <sharedItems containsSemiMixedTypes="0" containsString="0" containsNumber="1" minValue="-2007.4875599999987" maxValue="120489.95948999992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2597.8516391925295" maxValue="155923.77507302584"/>
    </cacheField>
    <cacheField name="finCT_TUST_FR" numFmtId="4">
      <sharedItems containsString="0" containsBlank="1" containsNumber="1" minValue="-67.289638470235218" maxValue="3871.5488610944121"/>
    </cacheField>
    <cacheField name="finCT_TUST_RB" numFmtId="4">
      <sharedItems containsString="0" containsBlank="1" containsNumber="1" minValue="-102.95034698271547" maxValue="5923.3086649218894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241.7573583409976" maxValue="13909.651569316979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2006.8794333990882" maxValue="120453.45956294239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335.74717754243011" maxValue="20151.638608893438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5661.5839166726801" maxValue="94.327853795650299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735.56642929048394" maxValue="12.255298803356595"/>
    </cacheField>
    <cacheField name="finCT_TFSEE" numFmtId="4">
      <sharedItems containsString="0" containsBlank="1" containsNumber="1" minValue="-222.44354391037268" maxValue="3.706139906532627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6139.429612589251" maxValue="928591.55964959692"/>
    </cacheField>
    <cacheField name="DIST_E" numFmtId="4">
      <sharedItems containsString="0" containsBlank="1" containsNumber="1" minValue="-33889.45988509398" maxValue="2034054.7707767386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105573.2244400003" maxValue="18419.995360000008"/>
    </cacheField>
    <cacheField name="Fin_TE" numFmtId="4">
      <sharedItems containsString="0" containsBlank="1" containsNumber="1" minValue="-2007.4875599999978" maxValue="120489.95949000004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141083.7740048273" maxValue="19011.637906830387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38" maxValue="238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323.96"/>
    <n v="1323.96"/>
    <n v="1323.96"/>
    <n v="1323.96"/>
    <m/>
    <n v="581.32000000000005"/>
    <n v="209.4"/>
    <m/>
    <n v="1046881.6512"/>
    <n v="1046881.6512"/>
    <n v="799764.5172"/>
    <n v="0"/>
    <n v="81473.72798282154"/>
    <n v="0"/>
    <n v="0"/>
    <n v="0"/>
    <n v="98226.108063866559"/>
    <n v="510261.21672962094"/>
    <n v="273597.32139748544"/>
    <n v="3644.8154939862652"/>
    <n v="0"/>
    <n v="0"/>
    <n v="0"/>
    <n v="0"/>
    <n v="12590.332194079192"/>
    <m/>
    <n v="2413.5318355847908"/>
    <n v="7545.8845669487027"/>
    <n v="11366.448113337301"/>
    <n v="0"/>
    <n v="0"/>
    <n v="0"/>
    <n v="0"/>
    <n v="0"/>
    <n v="0"/>
    <n v="0"/>
    <n v="0"/>
    <n v="0"/>
    <n v="0"/>
    <m/>
    <n v="0"/>
    <n v="0"/>
    <n v="0"/>
    <n v="0"/>
    <n v="0"/>
    <n v="45772.320406310806"/>
    <n v="0"/>
    <n v="1295.1199999999999"/>
    <n v="6032.25"/>
    <n v="391966.78"/>
    <n v="9305"/>
    <m/>
    <m/>
    <m/>
    <m/>
    <m/>
    <m/>
    <m/>
    <m/>
    <m/>
    <n v="319369.64180379623"/>
    <m/>
    <m/>
    <m/>
    <m/>
    <m/>
    <m/>
    <m/>
    <m/>
    <m/>
    <m/>
    <m/>
    <m/>
    <n v="799764.5172"/>
    <n v="-247117.16399999999"/>
    <m/>
    <m/>
    <m/>
    <m/>
    <n v="-277343.14080000011"/>
    <n v="30226.006799999981"/>
    <n v="31"/>
    <n v="39114.90306401928"/>
    <n v="911.02996569334482"/>
    <n v="1372.2943603066542"/>
    <n v="0"/>
    <n v="0"/>
    <n v="0"/>
    <n v="0"/>
    <n v="0"/>
    <n v="3220.0912691058184"/>
    <n v="0"/>
    <n v="0"/>
    <n v="30216.850459935609"/>
    <n v="0"/>
    <n v="0"/>
    <n v="0"/>
    <n v="5055.2225944943348"/>
    <n v="0"/>
    <n v="-1420.2600340181962"/>
    <m/>
    <n v="0"/>
    <n v="0"/>
    <n v="0"/>
    <n v="0"/>
    <n v="-184.52355688136231"/>
    <n v="-55.801994616896536"/>
    <n v="0"/>
    <n v="0"/>
    <m/>
    <m/>
    <m/>
    <n v="510261.21672962094"/>
    <n v="0"/>
    <n v="0"/>
    <n v="-277343.14080000005"/>
    <n v="30226.006800000032"/>
    <n v="0"/>
    <n v="0"/>
    <n v="-286251.28648418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33900000000000002"/>
    <n v="-0.33900000000000002"/>
    <n v="-0.33900000000000002"/>
    <n v="-0.33900000000000002"/>
    <m/>
    <n v="581.32000000000005"/>
    <n v="209.4"/>
    <m/>
    <n v="-268.05408"/>
    <n v="-268.05408"/>
    <n v="-204.77973"/>
    <n v="0"/>
    <n v="-20.86135063459357"/>
    <n v="0"/>
    <n v="0"/>
    <n v="0"/>
    <n v="-25.150798085781116"/>
    <n v="-130.65240073064254"/>
    <n v="-70.054602823157481"/>
    <n v="-0.93325512285971179"/>
    <n v="0"/>
    <n v="0"/>
    <n v="0"/>
    <n v="0"/>
    <n v="-3.2237549576972464"/>
    <m/>
    <n v="-0.61798490306598697"/>
    <n v="-1.932123982745408"/>
    <n v="-2.9103793999979946"/>
    <n v="0"/>
    <n v="0"/>
    <n v="0"/>
    <n v="0"/>
    <n v="0"/>
    <n v="0"/>
    <n v="0"/>
    <n v="0"/>
    <n v="0"/>
    <n v="0"/>
    <m/>
    <n v="0"/>
    <n v="0"/>
    <n v="0"/>
    <n v="0"/>
    <n v="0"/>
    <n v="-11.720004092071788"/>
    <n v="0"/>
    <n v="-0.68"/>
    <n v="-3.18"/>
    <n v="-127.56"/>
    <n v="0"/>
    <m/>
    <m/>
    <m/>
    <m/>
    <m/>
    <m/>
    <m/>
    <m/>
    <m/>
    <n v="-81.77460691522927"/>
    <m/>
    <m/>
    <m/>
    <m/>
    <m/>
    <m/>
    <m/>
    <m/>
    <m/>
    <m/>
    <m/>
    <m/>
    <n v="-205.38380000000001"/>
    <n v="62.640280000000018"/>
    <m/>
    <m/>
    <m/>
    <m/>
    <n v="71.013720000000035"/>
    <n v="-7.7393699999999948"/>
    <n v="31"/>
    <n v="-10.015372170384722"/>
    <n v="-0.23326925161639611"/>
    <n v="-0.35137601448983036"/>
    <n v="0"/>
    <n v="0"/>
    <n v="0"/>
    <n v="0"/>
    <n v="0"/>
    <n v="-0.82450447160553963"/>
    <n v="0"/>
    <n v="0"/>
    <n v="-7.7370255188360346"/>
    <n v="0"/>
    <n v="0"/>
    <n v="0"/>
    <n v="-1.2943899056871651"/>
    <n v="0"/>
    <n v="0.36365762676528846"/>
    <m/>
    <n v="0"/>
    <n v="0"/>
    <n v="0"/>
    <n v="0"/>
    <n v="4.7247262593115735E-2"/>
    <n v="1.4288102491863741E-2"/>
    <n v="0"/>
    <n v="0"/>
    <m/>
    <m/>
    <m/>
    <n v="-130.65240073064254"/>
    <n v="0"/>
    <n v="0"/>
    <n v="71.013720000000021"/>
    <n v="-7.7393699999999939"/>
    <n v="0"/>
    <n v="0"/>
    <n v="73.294650985028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58.061"/>
    <n v="58.061"/>
    <n v="58.061"/>
    <n v="58.061"/>
    <m/>
    <n v="581.32000000000005"/>
    <n v="209.4"/>
    <m/>
    <n v="45909.993920000008"/>
    <n v="45909.993920000008"/>
    <n v="35072.90827"/>
    <n v="0"/>
    <n v="3572.9524460033549"/>
    <n v="0"/>
    <n v="0"/>
    <n v="0"/>
    <n v="4307.6120579897852"/>
    <n v="22377.017813633734"/>
    <n v="11998.348951372702"/>
    <n v="159.839898785716"/>
    <n v="0"/>
    <n v="0"/>
    <n v="0"/>
    <n v="0"/>
    <n v="552.1369811175806"/>
    <m/>
    <n v="105.84313114134002"/>
    <n v="330.91755328077028"/>
    <n v="498.46471487694265"/>
    <n v="0"/>
    <n v="0"/>
    <n v="0"/>
    <n v="0"/>
    <n v="0"/>
    <n v="0"/>
    <n v="0"/>
    <n v="0"/>
    <n v="0"/>
    <n v="0"/>
    <m/>
    <n v="0"/>
    <n v="0"/>
    <n v="0"/>
    <n v="0"/>
    <n v="0"/>
    <n v="2007.30134982236"/>
    <n v="0"/>
    <n v="58.25"/>
    <n v="265.31"/>
    <n v="38688.949999999997"/>
    <n v="542"/>
    <m/>
    <m/>
    <m/>
    <m/>
    <m/>
    <m/>
    <m/>
    <m/>
    <m/>
    <n v="14005.650301195063"/>
    <m/>
    <m/>
    <m/>
    <m/>
    <m/>
    <m/>
    <m/>
    <m/>
    <m/>
    <m/>
    <m/>
    <m/>
    <n v="35072.304199999999"/>
    <n v="-10837.719720000016"/>
    <m/>
    <m/>
    <m/>
    <m/>
    <n v="-12162.618280000004"/>
    <n v="1325.532629999999"/>
    <n v="31"/>
    <n v="1715.3466772410211"/>
    <n v="39.952348135986995"/>
    <n v="60.180657160159342"/>
    <n v="0"/>
    <n v="0"/>
    <n v="0"/>
    <n v="0"/>
    <n v="0"/>
    <n v="141.21402397017482"/>
    <n v="0"/>
    <n v="0"/>
    <n v="1325.1310874605879"/>
    <n v="0"/>
    <n v="0"/>
    <n v="0"/>
    <n v="221.69195372891591"/>
    <n v="0"/>
    <n v="-62.284145922181324"/>
    <m/>
    <n v="0"/>
    <n v="0"/>
    <n v="0"/>
    <n v="0"/>
    <n v="-8.0921041693773077"/>
    <n v="-2.4471431232451266"/>
    <n v="0"/>
    <n v="0"/>
    <m/>
    <m/>
    <m/>
    <n v="22377.017813633734"/>
    <n v="0"/>
    <n v="0"/>
    <n v="-12162.618280000006"/>
    <n v="1325.5326299999979"/>
    <n v="0"/>
    <n v="0"/>
    <n v="-12553.27649215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37.229999999999997"/>
    <n v="37.229999999999997"/>
    <n v="37.229999999999997"/>
    <n v="37.229999999999997"/>
    <m/>
    <n v="510.28"/>
    <n v="209.4"/>
    <m/>
    <n v="26793.686399999999"/>
    <n v="26793.686399999999"/>
    <n v="19889.382899999997"/>
    <n v="0"/>
    <n v="0"/>
    <n v="0"/>
    <n v="0"/>
    <n v="0"/>
    <n v="2762.1363207481736"/>
    <n v="14348.63976165729"/>
    <n v="7693.6072657998602"/>
    <n v="102.492885616717"/>
    <n v="0"/>
    <n v="0"/>
    <n v="0"/>
    <n v="0"/>
    <n v="0"/>
    <m/>
    <n v="67.868961478308819"/>
    <n v="212.19166925549123"/>
    <n v="319.62662260154963"/>
    <n v="0"/>
    <n v="0"/>
    <n v="0"/>
    <n v="0"/>
    <n v="0"/>
    <n v="0"/>
    <n v="0"/>
    <n v="0"/>
    <n v="0"/>
    <n v="0"/>
    <m/>
    <n v="0"/>
    <n v="0"/>
    <n v="0"/>
    <n v="0"/>
    <n v="0"/>
    <n v="1287.1261131204501"/>
    <n v="0"/>
    <n v="10.77"/>
    <n v="38.229999999999997"/>
    <n v="2913.43"/>
    <n v="113"/>
    <m/>
    <m/>
    <m/>
    <m/>
    <m/>
    <m/>
    <m/>
    <n v="12928.117499999998"/>
    <m/>
    <n v="8980.7333789203112"/>
    <m/>
    <m/>
    <m/>
    <m/>
    <m/>
    <m/>
    <m/>
    <m/>
    <m/>
    <m/>
    <m/>
    <m/>
    <n v="6961.2654000000002"/>
    <n v="-2416.6292999999987"/>
    <m/>
    <m/>
    <m/>
    <m/>
    <n v="-7754.2643999999982"/>
    <n v="849.96089999999936"/>
    <n v="31"/>
    <n v="1145.045117800104"/>
    <n v="25.618331084597145"/>
    <n v="38.589171148838886"/>
    <n v="0"/>
    <n v="0"/>
    <n v="0"/>
    <n v="0"/>
    <n v="0"/>
    <n v="90.549561881634872"/>
    <n v="0"/>
    <n v="0"/>
    <n v="849.70342202438133"/>
    <n v="0"/>
    <n v="0"/>
    <n v="0"/>
    <n v="142.15379406705961"/>
    <n v="0"/>
    <n v="0"/>
    <m/>
    <n v="0"/>
    <n v="0"/>
    <n v="0"/>
    <n v="0"/>
    <n v="0"/>
    <n v="-1.5691624064073295"/>
    <n v="0"/>
    <n v="0"/>
    <m/>
    <m/>
    <m/>
    <n v="14348.63976165729"/>
    <n v="0"/>
    <n v="0"/>
    <n v="-7754.2644"/>
    <n v="849.96090000000004"/>
    <n v="0"/>
    <n v="0"/>
    <n v="-8049.439103753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"/>
    <s v="Refaturamento - 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2"/>
    <n v="-0.02"/>
    <n v="-3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68.700999999999993"/>
    <n v="68.700999999999993"/>
    <n v="68.700999999999993"/>
    <n v="68.700999999999993"/>
    <m/>
    <n v="510.28"/>
    <n v="209.4"/>
    <m/>
    <n v="49442.735679999991"/>
    <n v="49442.735679999991"/>
    <n v="36702.135229999993"/>
    <n v="0"/>
    <n v="0"/>
    <n v="0"/>
    <n v="0"/>
    <n v="0"/>
    <n v="5097.0058386172514"/>
    <n v="26477.730332141215"/>
    <n v="14197.112886589208"/>
    <n v="189.13144600467567"/>
    <n v="0"/>
    <n v="0"/>
    <n v="0"/>
    <n v="0"/>
    <n v="0"/>
    <m/>
    <n v="125.23947146175918"/>
    <n v="391.56002872741078"/>
    <n v="589.81113616301536"/>
    <n v="0"/>
    <n v="0"/>
    <n v="0"/>
    <n v="0"/>
    <n v="0"/>
    <n v="0"/>
    <n v="0"/>
    <n v="0"/>
    <n v="0"/>
    <n v="0"/>
    <m/>
    <n v="0"/>
    <n v="0"/>
    <n v="0"/>
    <n v="0"/>
    <n v="0"/>
    <n v="2375.1504458095096"/>
    <n v="0"/>
    <n v="29.9"/>
    <n v="164.99"/>
    <n v="10524.4"/>
    <n v="362"/>
    <m/>
    <m/>
    <m/>
    <m/>
    <m/>
    <m/>
    <m/>
    <n v="14680.716689999997"/>
    <m/>
    <n v="16572.263332398717"/>
    <m/>
    <m/>
    <m/>
    <m/>
    <m/>
    <m/>
    <m/>
    <m/>
    <m/>
    <m/>
    <m/>
    <m/>
    <n v="22021.098000000002"/>
    <n v="-7644.7108099999932"/>
    <m/>
    <m/>
    <m/>
    <m/>
    <n v="-14309.044279999996"/>
    <n v="1568.4438299999988"/>
    <n v="31"/>
    <n v="2112.9665495026857"/>
    <n v="47.273837331262655"/>
    <n v="71.209096081020107"/>
    <n v="0"/>
    <n v="0"/>
    <n v="0"/>
    <n v="0"/>
    <n v="0"/>
    <n v="167.092276412307"/>
    <n v="0"/>
    <n v="0"/>
    <n v="1567.9687025650564"/>
    <n v="0"/>
    <n v="0"/>
    <n v="0"/>
    <n v="262.3182327746722"/>
    <n v="0"/>
    <n v="0"/>
    <m/>
    <n v="0"/>
    <n v="0"/>
    <n v="0"/>
    <n v="0"/>
    <n v="0"/>
    <n v="-2.8955956616328251"/>
    <n v="0"/>
    <n v="0"/>
    <m/>
    <m/>
    <m/>
    <n v="26477.730332141215"/>
    <n v="0"/>
    <n v="0"/>
    <n v="-14309.044279999995"/>
    <n v="1568.4438299999983"/>
    <n v="0"/>
    <n v="0"/>
    <n v="-14853.73397440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-0.14000000000000001"/>
    <n v="-0.14000000000000001"/>
    <n v="-0.14000000000000001"/>
    <n v="-0.14000000000000001"/>
    <m/>
    <n v="510.28"/>
    <n v="209.4"/>
    <m/>
    <n v="-100.7552"/>
    <n v="-100.7552"/>
    <n v="-74.792200000000008"/>
    <n v="0"/>
    <n v="0"/>
    <n v="0"/>
    <n v="0"/>
    <n v="0"/>
    <n v="-10.38676027141403"/>
    <n v="-53.956743664572144"/>
    <n v="-28.931104410743504"/>
    <n v="-0.38541509498631166"/>
    <n v="0"/>
    <n v="0"/>
    <n v="0"/>
    <n v="0"/>
    <n v="0"/>
    <m/>
    <n v="-0.25521500421604182"/>
    <n v="-0.79792730850842808"/>
    <n v="-1.2019265958693783"/>
    <n v="0"/>
    <n v="0"/>
    <n v="0"/>
    <n v="0"/>
    <n v="0"/>
    <n v="0"/>
    <n v="0"/>
    <n v="0"/>
    <n v="0"/>
    <n v="0"/>
    <m/>
    <n v="0"/>
    <n v="0"/>
    <n v="0"/>
    <n v="0"/>
    <n v="0"/>
    <n v="-4.8401196840414462"/>
    <n v="0"/>
    <n v="-0.13"/>
    <n v="-0.63"/>
    <n v="-20.94"/>
    <n v="0"/>
    <m/>
    <m/>
    <m/>
    <m/>
    <m/>
    <m/>
    <m/>
    <n v="-29.916600000000003"/>
    <m/>
    <n v="-33.771224094784948"/>
    <m/>
    <m/>
    <m/>
    <m/>
    <m/>
    <m/>
    <m/>
    <m/>
    <m/>
    <m/>
    <m/>
    <m/>
    <n v="-44.875600000000006"/>
    <n v="15.547800000000002"/>
    <m/>
    <m/>
    <m/>
    <m/>
    <n v="29.159199999999998"/>
    <n v="-3.1961999999999979"/>
    <n v="31"/>
    <n v="-4.3058371338172279"/>
    <n v="-9.6335384148364289E-2"/>
    <n v="-0.14511103843237838"/>
    <n v="0"/>
    <n v="0"/>
    <n v="0"/>
    <n v="0"/>
    <n v="0"/>
    <n v="-0.34050332160700947"/>
    <n v="0"/>
    <n v="0"/>
    <n v="-3.1952317776903989"/>
    <n v="0"/>
    <n v="0"/>
    <n v="0"/>
    <n v="-0.53455630323363756"/>
    <n v="0"/>
    <n v="0"/>
    <m/>
    <n v="0"/>
    <n v="0"/>
    <n v="0"/>
    <n v="0"/>
    <n v="0"/>
    <n v="5.900691294574989E-3"/>
    <n v="0"/>
    <n v="0"/>
    <m/>
    <m/>
    <m/>
    <n v="-53.956743664572144"/>
    <n v="0"/>
    <n v="0"/>
    <n v="29.159199999999998"/>
    <n v="-3.1961999999999975"/>
    <n v="0"/>
    <n v="0"/>
    <n v="30.269177397946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48.045000000000002"/>
    <n v="48.045000000000002"/>
    <n v="48.045000000000002"/>
    <n v="48.045000000000002"/>
    <m/>
    <n v="510.28"/>
    <n v="209.4"/>
    <m/>
    <n v="34577.025600000001"/>
    <n v="34577.025600000001"/>
    <n v="25667.08035"/>
    <n v="0"/>
    <n v="0"/>
    <n v="0"/>
    <n v="0"/>
    <n v="0"/>
    <n v="3564.5135517149074"/>
    <n v="18516.798209745488"/>
    <n v="9928.535081529797"/>
    <n v="132.26620170440958"/>
    <n v="0"/>
    <n v="0"/>
    <n v="0"/>
    <n v="0"/>
    <n v="0"/>
    <m/>
    <n v="87.584320553998054"/>
    <n v="273.83155383776733"/>
    <n v="412.47545213245917"/>
    <n v="0"/>
    <n v="0"/>
    <n v="0"/>
    <n v="0"/>
    <n v="0"/>
    <n v="0"/>
    <n v="0"/>
    <n v="0"/>
    <n v="0"/>
    <n v="0"/>
    <m/>
    <n v="0"/>
    <n v="0"/>
    <n v="0"/>
    <n v="0"/>
    <n v="0"/>
    <n v="1661.025358712652"/>
    <n v="0"/>
    <n v="41.34"/>
    <n v="194.42"/>
    <n v="12751.09"/>
    <n v="625"/>
    <m/>
    <m/>
    <m/>
    <m/>
    <m/>
    <m/>
    <m/>
    <n v="2567.0443499999992"/>
    <m/>
    <n v="11589.560440242449"/>
    <m/>
    <m/>
    <m/>
    <m/>
    <m/>
    <m/>
    <m/>
    <m/>
    <m/>
    <m/>
    <m/>
    <m/>
    <n v="23102.44"/>
    <n v="-8016.8169500000004"/>
    <m/>
    <m/>
    <m/>
    <m/>
    <n v="-10006.812599999999"/>
    <n v="1096.8673499999993"/>
    <n v="31"/>
    <n v="1477.6710363874827"/>
    <n v="33.060239510058295"/>
    <n v="49.798998867740067"/>
    <n v="0"/>
    <n v="0"/>
    <n v="0"/>
    <n v="0"/>
    <n v="0"/>
    <n v="116.85344347577666"/>
    <n v="0"/>
    <n v="0"/>
    <n v="1096.5350768509652"/>
    <n v="0"/>
    <n v="0"/>
    <n v="0"/>
    <n v="183.44826849185802"/>
    <n v="0"/>
    <n v="0"/>
    <m/>
    <n v="0"/>
    <n v="0"/>
    <n v="0"/>
    <n v="0"/>
    <n v="0"/>
    <n v="-2.0249908089132447"/>
    <n v="0"/>
    <n v="0"/>
    <m/>
    <m/>
    <m/>
    <n v="18516.798209745488"/>
    <n v="0"/>
    <n v="0"/>
    <n v="-10006.812600000001"/>
    <n v="1096.8673499999986"/>
    <n v="0"/>
    <n v="0"/>
    <n v="-10387.7330577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-0.16800000000000001"/>
    <n v="-0.16800000000000001"/>
    <n v="-0.16800000000000001"/>
    <n v="-0.16800000000000001"/>
    <m/>
    <n v="510.28"/>
    <n v="209.4"/>
    <m/>
    <n v="-120.90624"/>
    <n v="-120.90624"/>
    <n v="-89.750640000000004"/>
    <n v="0"/>
    <n v="0"/>
    <n v="0"/>
    <n v="0"/>
    <n v="0"/>
    <n v="-12.464112325696837"/>
    <n v="-64.748092397486573"/>
    <n v="-34.717325292892205"/>
    <n v="-0.46249811398357399"/>
    <n v="0"/>
    <n v="0"/>
    <n v="0"/>
    <n v="0"/>
    <n v="0"/>
    <m/>
    <n v="-0.30625800505925016"/>
    <n v="-0.95751277021011372"/>
    <n v="-1.442311915043254"/>
    <n v="0"/>
    <n v="0"/>
    <n v="0"/>
    <n v="0"/>
    <n v="0"/>
    <n v="0"/>
    <n v="0"/>
    <n v="0"/>
    <n v="0"/>
    <n v="0"/>
    <m/>
    <n v="0"/>
    <n v="0"/>
    <n v="0"/>
    <n v="0"/>
    <n v="0"/>
    <n v="-5.8081436208497355"/>
    <n v="0"/>
    <n v="-0.26"/>
    <n v="-1.23"/>
    <n v="-41.1"/>
    <n v="0"/>
    <m/>
    <m/>
    <m/>
    <m/>
    <m/>
    <m/>
    <m/>
    <n v="-8.9762399999999971"/>
    <m/>
    <n v="-40.525468913741939"/>
    <m/>
    <m/>
    <m/>
    <m/>
    <m/>
    <m/>
    <m/>
    <m/>
    <m/>
    <m/>
    <m/>
    <m/>
    <n v="-81.736000000000004"/>
    <n v="27.049279999999996"/>
    <m/>
    <m/>
    <m/>
    <m/>
    <n v="34.991039999999998"/>
    <n v="-3.8354399999999975"/>
    <n v="31"/>
    <n v="-5.1670045605806436"/>
    <n v="-0.11560246097803717"/>
    <n v="-0.17413324611885406"/>
    <n v="0"/>
    <n v="0"/>
    <n v="0"/>
    <n v="0"/>
    <n v="0"/>
    <n v="-0.40860398592840852"/>
    <n v="0"/>
    <n v="0"/>
    <n v="-3.834278133228473"/>
    <n v="0"/>
    <n v="0"/>
    <n v="0"/>
    <n v="-0.64146756388036508"/>
    <n v="0"/>
    <n v="0"/>
    <m/>
    <n v="0"/>
    <n v="0"/>
    <n v="0"/>
    <n v="0"/>
    <n v="0"/>
    <n v="7.0808295534899868E-3"/>
    <n v="0"/>
    <n v="0"/>
    <m/>
    <m/>
    <m/>
    <n v="-64.748092397486573"/>
    <n v="0"/>
    <n v="0"/>
    <n v="34.991039999999998"/>
    <n v="-3.8354399999999984"/>
    <n v="0"/>
    <n v="0"/>
    <n v="36.323012877536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9.2569999999999997"/>
    <n v="9.2569999999999997"/>
    <n v="9.2569999999999997"/>
    <n v="9.2569999999999997"/>
    <m/>
    <n v="510.28"/>
    <n v="209.4"/>
    <m/>
    <n v="6662.0777599999992"/>
    <n v="6662.0777599999992"/>
    <n v="4945.3671099999992"/>
    <n v="0"/>
    <n v="0"/>
    <n v="0"/>
    <n v="0"/>
    <n v="0"/>
    <n v="686.7874273748547"/>
    <n v="3567.6969721638875"/>
    <n v="1912.9659537875184"/>
    <n v="25.484196673487762"/>
    <n v="0"/>
    <n v="0"/>
    <n v="0"/>
    <n v="0"/>
    <n v="0"/>
    <m/>
    <n v="16.875180671627849"/>
    <n v="52.76009353473227"/>
    <n v="79.47310355687739"/>
    <n v="0"/>
    <n v="0"/>
    <n v="0"/>
    <n v="0"/>
    <n v="0"/>
    <n v="0"/>
    <n v="0"/>
    <n v="0"/>
    <n v="0"/>
    <n v="0"/>
    <m/>
    <n v="0"/>
    <n v="0"/>
    <n v="0"/>
    <n v="0"/>
    <n v="0"/>
    <n v="320.03562796551188"/>
    <n v="0"/>
    <n v="10.94"/>
    <n v="51.34"/>
    <n v="3372.57"/>
    <n v="141"/>
    <m/>
    <m/>
    <m/>
    <m/>
    <m/>
    <m/>
    <m/>
    <m/>
    <m/>
    <n v="2233.0015817530302"/>
    <m/>
    <m/>
    <m/>
    <m/>
    <m/>
    <m/>
    <m/>
    <m/>
    <m/>
    <m/>
    <m/>
    <m/>
    <n v="4946.9697999999999"/>
    <n v="-1715.13796"/>
    <m/>
    <m/>
    <m/>
    <m/>
    <n v="-1928.0479599999996"/>
    <n v="211.33730999999983"/>
    <n v="31"/>
    <n v="284.70810248389944"/>
    <n v="6.3698332218671965"/>
    <n v="9.594949162632318"/>
    <n v="0"/>
    <n v="0"/>
    <n v="0"/>
    <n v="0"/>
    <n v="0"/>
    <n v="22.514566057972047"/>
    <n v="0"/>
    <n v="0"/>
    <n v="211.27328975771456"/>
    <n v="0"/>
    <n v="0"/>
    <n v="0"/>
    <n v="35.345626421669863"/>
    <n v="0"/>
    <n v="0"/>
    <m/>
    <n v="0"/>
    <n v="0"/>
    <n v="0"/>
    <n v="0"/>
    <n v="0"/>
    <n v="-0.39016213795628829"/>
    <n v="0"/>
    <n v="0"/>
    <m/>
    <m/>
    <m/>
    <n v="3567.6969721638875"/>
    <n v="0"/>
    <n v="0"/>
    <n v="-1928.0479599999994"/>
    <n v="211.33730999999966"/>
    <n v="0"/>
    <n v="0"/>
    <n v="-2001.441251234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"/>
    <s v="Regular"/>
    <s v="Branca"/>
    <s v="B1"/>
    <s v="Residencial"/>
    <s v="Residencial"/>
    <s v="Não se aplica"/>
    <s v="Não se aplica"/>
    <s v="Ponta"/>
    <s v="CATIVO"/>
    <x v="0"/>
    <n v="0"/>
    <n v="0"/>
    <n v="4.8000000000000001E-2"/>
    <n v="4.8000000000000001E-2"/>
    <n v="4.8000000000000001E-2"/>
    <n v="4.8000000000000001E-2"/>
    <m/>
    <n v="1292.1099999999999"/>
    <n v="209.4"/>
    <m/>
    <n v="72.072479999999999"/>
    <n v="72.072479999999999"/>
    <n v="47.845439999999996"/>
    <n v="0"/>
    <n v="2.9538195588805056"/>
    <n v="0"/>
    <n v="0"/>
    <n v="0"/>
    <n v="8.9013532229398091"/>
    <n v="46.248653779350676"/>
    <n v="9.9192357979692005"/>
    <n v="0.13214231828102113"/>
    <n v="0"/>
    <n v="0"/>
    <n v="0"/>
    <n v="0"/>
    <n v="0.45646087896598181"/>
    <m/>
    <n v="8.7502287159785766E-2"/>
    <n v="0.68394385308191519"/>
    <n v="1.0302227964594672"/>
    <n v="0"/>
    <n v="0"/>
    <n v="0"/>
    <n v="0"/>
    <n v="0"/>
    <n v="0"/>
    <n v="0"/>
    <n v="0"/>
    <n v="0"/>
    <n v="0"/>
    <m/>
    <n v="0"/>
    <n v="0"/>
    <n v="0"/>
    <n v="0"/>
    <n v="0"/>
    <n v="1.6594696059570673"/>
    <n v="0"/>
    <n v="0"/>
    <n v="0"/>
    <n v="0"/>
    <n v="0"/>
    <m/>
    <m/>
    <m/>
    <m/>
    <m/>
    <m/>
    <m/>
    <m/>
    <m/>
    <n v="11.578705403926268"/>
    <m/>
    <m/>
    <m/>
    <m/>
    <m/>
    <m/>
    <m/>
    <m/>
    <m/>
    <m/>
    <m/>
    <m/>
    <n v="49.838999999999999"/>
    <n v="-22.263480000000001"/>
    <m/>
    <m/>
    <m/>
    <m/>
    <n v="-25.322879999999998"/>
    <n v="1.0958399999999993"/>
    <n v="31"/>
    <n v="1.7173430452405576"/>
    <n v="8.2573930131211171E-2"/>
    <n v="0.12438089008489439"/>
    <n v="0"/>
    <n v="0"/>
    <n v="0"/>
    <n v="0"/>
    <n v="0"/>
    <n v="0.29180805756633532"/>
    <n v="0"/>
    <n v="0"/>
    <n v="1.0955080380652795"/>
    <n v="0"/>
    <n v="0"/>
    <n v="0"/>
    <n v="0.18327644682296151"/>
    <n v="0"/>
    <n v="-5.149134538269573E-2"/>
    <m/>
    <n v="0"/>
    <n v="0"/>
    <n v="0"/>
    <n v="0"/>
    <n v="-6.6898778892907629E-3"/>
    <n v="-2.0230941581400042E-3"/>
    <n v="0"/>
    <n v="0"/>
    <m/>
    <m/>
    <m/>
    <n v="46.248653779350676"/>
    <n v="0"/>
    <n v="0"/>
    <n v="-25.322879999999998"/>
    <n v="1.0958400000000008"/>
    <n v="0"/>
    <n v="0"/>
    <n v="-25.94501837186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"/>
    <s v="Regular"/>
    <s v="Branca"/>
    <s v="B1"/>
    <s v="Residencial"/>
    <s v="Residencial"/>
    <s v="Não se aplica"/>
    <s v="Não se aplica"/>
    <s v="Fora ponta"/>
    <s v="CATIVO"/>
    <x v="0"/>
    <n v="0"/>
    <n v="0"/>
    <n v="0.443"/>
    <n v="0.443"/>
    <n v="0.443"/>
    <n v="0.443"/>
    <m/>
    <n v="344.38"/>
    <n v="209.4"/>
    <m/>
    <n v="245.32454000000001"/>
    <n v="245.32454000000001"/>
    <n v="209.60544999999999"/>
    <n v="0"/>
    <n v="27.261293012168"/>
    <n v="0"/>
    <n v="0"/>
    <n v="0"/>
    <n v="16.433338572272934"/>
    <n v="85.367276583591149"/>
    <n v="91.546280385424083"/>
    <n v="1.2195634791352574"/>
    <n v="0"/>
    <n v="0"/>
    <n v="0"/>
    <n v="0"/>
    <n v="4.2127535287902065"/>
    <m/>
    <n v="0.80757319191218946"/>
    <n v="1.2624349916758344"/>
    <n v="1.9016195784647665"/>
    <n v="0"/>
    <n v="0"/>
    <n v="0"/>
    <n v="0"/>
    <n v="0"/>
    <n v="0"/>
    <n v="0"/>
    <n v="0"/>
    <n v="0"/>
    <n v="0"/>
    <m/>
    <n v="0"/>
    <n v="0"/>
    <n v="0"/>
    <n v="0"/>
    <n v="0"/>
    <n v="15.315521571645434"/>
    <n v="0"/>
    <n v="0"/>
    <n v="0"/>
    <n v="0"/>
    <n v="0"/>
    <m/>
    <m/>
    <m/>
    <m/>
    <m/>
    <m/>
    <m/>
    <m/>
    <m/>
    <n v="106.86180195706952"/>
    <m/>
    <m/>
    <m/>
    <m/>
    <m/>
    <m/>
    <m/>
    <m/>
    <m/>
    <m/>
    <m/>
    <m/>
    <n v="208.18599999999998"/>
    <n v="-37.168540000000007"/>
    <m/>
    <m/>
    <m/>
    <m/>
    <n v="-45.832780000000007"/>
    <n v="10.113689999999993"/>
    <n v="31"/>
    <n v="12.167207093148306"/>
    <n v="0.15241633992044523"/>
    <n v="0.22958639294837191"/>
    <n v="0"/>
    <n v="0"/>
    <n v="0"/>
    <n v="0"/>
    <n v="0"/>
    <n v="0.53872489811394431"/>
    <n v="0"/>
    <n v="0"/>
    <n v="10.110626267977466"/>
    <n v="0"/>
    <n v="0"/>
    <n v="0"/>
    <n v="1.691488873803582"/>
    <n v="0"/>
    <n v="-0.47522220842779817"/>
    <m/>
    <n v="0"/>
    <n v="0"/>
    <n v="0"/>
    <n v="0"/>
    <n v="-6.1741998019912536E-2"/>
    <n v="-1.8671473167833796E-2"/>
    <n v="0"/>
    <n v="0"/>
    <m/>
    <m/>
    <m/>
    <n v="85.367276583591149"/>
    <n v="0"/>
    <n v="0"/>
    <n v="-45.83278"/>
    <n v="10.113689999999991"/>
    <n v="0"/>
    <n v="0"/>
    <n v="-47.89016281175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"/>
    <s v="Regular"/>
    <s v="Branca"/>
    <s v="B1"/>
    <s v="Residencial"/>
    <s v="Residencial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48"/>
    <n v="2.2200000000000002"/>
    <n v="148.1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4"/>
    <s v="Regular"/>
    <s v="Branca"/>
    <s v="B1"/>
    <s v="Residencial"/>
    <s v="Residencial"/>
    <s v="Não se aplica"/>
    <s v="Não se aplica"/>
    <s v="Intermediário"/>
    <s v="CATIVO"/>
    <x v="0"/>
    <n v="0"/>
    <n v="0"/>
    <n v="4.1000000000000002E-2"/>
    <n v="4.1000000000000002E-2"/>
    <n v="4.1000000000000002E-2"/>
    <n v="4.1000000000000002E-2"/>
    <m/>
    <n v="818.26"/>
    <n v="209.4"/>
    <m/>
    <n v="42.134059999999998"/>
    <n v="42.134059999999998"/>
    <n v="30.134180000000001"/>
    <n v="0"/>
    <n v="2.5230542065437653"/>
    <n v="0"/>
    <n v="0"/>
    <n v="0"/>
    <n v="4.5627554049426022"/>
    <n v="23.70244064904686"/>
    <n v="8.4726805774320262"/>
    <n v="0.11287156353170555"/>
    <n v="0"/>
    <n v="0"/>
    <n v="0"/>
    <n v="0"/>
    <n v="0.38989366745010945"/>
    <m/>
    <n v="7.4741536948983667E-2"/>
    <n v="0.35052332939666975"/>
    <n v="0.52798918318547527"/>
    <n v="0"/>
    <n v="0"/>
    <n v="0"/>
    <n v="0"/>
    <n v="0"/>
    <n v="0"/>
    <n v="0"/>
    <n v="0"/>
    <n v="0"/>
    <n v="0"/>
    <m/>
    <n v="0"/>
    <n v="0"/>
    <n v="0"/>
    <n v="0"/>
    <n v="0"/>
    <n v="1.417463621754995"/>
    <n v="0"/>
    <n v="0"/>
    <n v="0"/>
    <n v="0"/>
    <n v="0"/>
    <m/>
    <m/>
    <m/>
    <m/>
    <m/>
    <m/>
    <m/>
    <m/>
    <m/>
    <n v="9.8901441991870218"/>
    <m/>
    <m/>
    <m/>
    <m/>
    <m/>
    <m/>
    <m/>
    <m/>
    <m/>
    <m/>
    <m/>
    <m/>
    <n v="29.3992"/>
    <n v="-12.764859999999992"/>
    <m/>
    <m/>
    <m/>
    <m/>
    <n v="-12.93591"/>
    <n v="0.93602999999999936"/>
    <n v="31"/>
    <n v="1.2965134040171193"/>
    <n v="4.2319393296005647E-2"/>
    <n v="6.3745206168509205E-2"/>
    <n v="0"/>
    <n v="0"/>
    <n v="0"/>
    <n v="0"/>
    <n v="0"/>
    <n v="0.14957824484880078"/>
    <n v="0"/>
    <n v="0"/>
    <n v="0.93574644918075833"/>
    <n v="0"/>
    <n v="0"/>
    <n v="0"/>
    <n v="0.15654863166127964"/>
    <n v="0"/>
    <n v="-4.3982190847719593E-2"/>
    <m/>
    <n v="0"/>
    <n v="0"/>
    <n v="0"/>
    <n v="0"/>
    <n v="-5.7142706971025081E-3"/>
    <n v="-1.7280595934112408E-3"/>
    <n v="0"/>
    <n v="0"/>
    <m/>
    <m/>
    <m/>
    <n v="23.70244064904686"/>
    <n v="0"/>
    <n v="0"/>
    <n v="-12.935909999999996"/>
    <n v="0.93603000000000058"/>
    <n v="0"/>
    <n v="0"/>
    <n v="-13.29682504990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"/>
    <s v="Regular"/>
    <s v="Convencional"/>
    <s v="B3"/>
    <s v="Industrial"/>
    <s v="Não se aplica"/>
    <s v="Não se aplica"/>
    <s v="Não se aplica"/>
    <s v="Não se aplica"/>
    <s v="CATIVO"/>
    <x v="0"/>
    <n v="0"/>
    <n v="0"/>
    <n v="8.5890000000000004"/>
    <n v="8.5890000000000004"/>
    <n v="8.5890000000000004"/>
    <n v="8.5890000000000004"/>
    <m/>
    <n v="581.32000000000005"/>
    <n v="209.4"/>
    <m/>
    <n v="6791.4940800000013"/>
    <n v="6791.4940800000013"/>
    <n v="5188.3572299999996"/>
    <n v="0"/>
    <n v="528.54908731718047"/>
    <n v="0"/>
    <n v="0"/>
    <n v="0"/>
    <n v="637.22774265125076"/>
    <n v="3310.2462238215007"/>
    <n v="1774.9232555991139"/>
    <n v="23.645216077410218"/>
    <n v="0"/>
    <n v="0"/>
    <n v="0"/>
    <n v="0"/>
    <n v="81.677968529975374"/>
    <m/>
    <n v="15.657440508654165"/>
    <n v="48.952840376992064"/>
    <n v="73.738196656586368"/>
    <n v="0"/>
    <n v="0"/>
    <n v="0"/>
    <n v="0"/>
    <n v="0"/>
    <n v="0"/>
    <n v="0"/>
    <n v="0"/>
    <n v="0"/>
    <n v="0"/>
    <m/>
    <n v="0"/>
    <n v="0"/>
    <n v="0"/>
    <n v="0"/>
    <n v="0"/>
    <n v="296.94134261594274"/>
    <n v="0"/>
    <n v="7.44"/>
    <n v="33.71"/>
    <n v="1310.68"/>
    <n v="8"/>
    <m/>
    <m/>
    <m/>
    <m/>
    <m/>
    <m/>
    <m/>
    <m/>
    <m/>
    <n v="2071.8645982150565"/>
    <m/>
    <m/>
    <m/>
    <m/>
    <m/>
    <m/>
    <m/>
    <m/>
    <m/>
    <m/>
    <m/>
    <m/>
    <n v="5188.9612999999999"/>
    <n v="-1602.562780000002"/>
    <m/>
    <m/>
    <m/>
    <m/>
    <n v="-1799.2237200000006"/>
    <n v="196.08686999999986"/>
    <n v="31"/>
    <n v="253.75230552045559"/>
    <n v="5.910175817502143"/>
    <n v="8.9025622078263922"/>
    <n v="0"/>
    <n v="0"/>
    <n v="0"/>
    <n v="0"/>
    <n v="0"/>
    <n v="20.889878780589925"/>
    <n v="0"/>
    <n v="0"/>
    <n v="196.02746956130591"/>
    <n v="0"/>
    <n v="0"/>
    <n v="0"/>
    <n v="32.795029203383649"/>
    <n v="0"/>
    <n v="-9.2137326144161307"/>
    <m/>
    <n v="0"/>
    <n v="0"/>
    <n v="0"/>
    <n v="0"/>
    <n v="-1.1970700248149768"/>
    <n v="-0.3620074109221747"/>
    <n v="0"/>
    <n v="0"/>
    <m/>
    <m/>
    <m/>
    <n v="3310.2462238215007"/>
    <n v="0"/>
    <n v="0"/>
    <n v="-1799.2237200000009"/>
    <n v="196.08686999999986"/>
    <n v="0"/>
    <n v="0"/>
    <n v="-1857.014033364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2.133"/>
    <n v="2.133"/>
    <n v="2.133"/>
    <n v="2.133"/>
    <m/>
    <n v="581.32000000000005"/>
    <n v="209.4"/>
    <m/>
    <n v="1686.6057600000001"/>
    <n v="1686.6057600000001"/>
    <n v="1288.4813099999999"/>
    <n v="0"/>
    <n v="131.26035664775247"/>
    <n v="0"/>
    <n v="0"/>
    <n v="0"/>
    <n v="158.24971184947231"/>
    <n v="822.0695302609455"/>
    <n v="440.78604077225634"/>
    <n v="5.8720742686128764"/>
    <n v="0"/>
    <n v="0"/>
    <n v="0"/>
    <n v="0"/>
    <n v="20.283980309050815"/>
    <m/>
    <n v="3.8883828856629798"/>
    <n v="12.156992493203408"/>
    <n v="18.312210207067029"/>
    <n v="0"/>
    <n v="0"/>
    <n v="0"/>
    <n v="0"/>
    <n v="0"/>
    <n v="0"/>
    <n v="0"/>
    <n v="0"/>
    <n v="0"/>
    <n v="0"/>
    <m/>
    <n v="0"/>
    <n v="0"/>
    <n v="0"/>
    <n v="0"/>
    <n v="0"/>
    <n v="73.742680614717173"/>
    <n v="0"/>
    <n v="1.86"/>
    <n v="8.4"/>
    <n v="374.62"/>
    <n v="2"/>
    <m/>
    <m/>
    <m/>
    <m/>
    <m/>
    <m/>
    <m/>
    <m/>
    <m/>
    <n v="514.52872138697353"/>
    <m/>
    <m/>
    <m/>
    <m/>
    <m/>
    <m/>
    <m/>
    <m/>
    <m/>
    <m/>
    <m/>
    <m/>
    <n v="1286.6690999999998"/>
    <n v="-399.96666000000027"/>
    <m/>
    <m/>
    <m/>
    <m/>
    <n v="-446.82084000000015"/>
    <n v="48.696389999999965"/>
    <n v="31"/>
    <n v="63.017076222509104"/>
    <n v="1.4677383884890052"/>
    <n v="2.2108703212590193"/>
    <n v="0"/>
    <n v="0"/>
    <n v="0"/>
    <n v="0"/>
    <n v="0"/>
    <n v="5.1878113213410586"/>
    <n v="0"/>
    <n v="0"/>
    <n v="48.68163844152582"/>
    <n v="0"/>
    <n v="0"/>
    <n v="0"/>
    <n v="8.1443471056953456"/>
    <n v="0"/>
    <n v="-2.2881466604435445"/>
    <m/>
    <n v="0"/>
    <n v="0"/>
    <n v="0"/>
    <n v="0"/>
    <n v="-0.297281448705359"/>
    <n v="-8.9901246652346334E-2"/>
    <n v="0"/>
    <n v="0"/>
    <m/>
    <m/>
    <m/>
    <n v="822.0695302609455"/>
    <n v="0"/>
    <n v="0"/>
    <n v="-446.8208400000002"/>
    <n v="48.696389999999951"/>
    <n v="0"/>
    <n v="0"/>
    <n v="-461.1725384987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Ponta"/>
    <s v="CATIVO"/>
    <x v="0"/>
    <n v="0"/>
    <n v="0"/>
    <n v="3.0790000000000002"/>
    <n v="3.0790000000000002"/>
    <n v="3.0790000000000002"/>
    <n v="3.0790000000000002"/>
    <m/>
    <n v="1614.19"/>
    <n v="209.4"/>
    <m/>
    <n v="5614.8336099999997"/>
    <n v="5614.8336099999997"/>
    <n v="3732.2098499999997"/>
    <n v="0"/>
    <n v="164.84343889499962"/>
    <n v="0"/>
    <n v="0"/>
    <n v="0"/>
    <n v="958.8559922691669"/>
    <n v="3580.3739411023271"/>
    <n v="636.27764629056605"/>
    <n v="8.4763791247346685"/>
    <n v="0"/>
    <n v="0"/>
    <n v="0"/>
    <n v="0"/>
    <n v="29.280063465338706"/>
    <m/>
    <n v="4.0884326258965018"/>
    <n v="74.496175222738202"/>
    <n v="110.96316910591993"/>
    <n v="0"/>
    <n v="0"/>
    <n v="0"/>
    <n v="0"/>
    <n v="0"/>
    <n v="0"/>
    <n v="0"/>
    <n v="0"/>
    <n v="0"/>
    <n v="0"/>
    <m/>
    <n v="0"/>
    <n v="0"/>
    <n v="0"/>
    <n v="0"/>
    <n v="0"/>
    <n v="47.183939556198233"/>
    <n v="0"/>
    <n v="0"/>
    <n v="0"/>
    <n v="0"/>
    <n v="0"/>
    <m/>
    <m/>
    <m/>
    <m/>
    <m/>
    <m/>
    <m/>
    <m/>
    <m/>
    <n v="683.46158584676425"/>
    <m/>
    <m/>
    <m/>
    <m/>
    <m/>
    <m/>
    <m/>
    <m/>
    <m/>
    <m/>
    <m/>
    <m/>
    <n v="3733.422"/>
    <n v="-1881.4416100000003"/>
    <m/>
    <m/>
    <m/>
    <m/>
    <n v="-1952.9173300000004"/>
    <n v="70.29356999999996"/>
    <n v="31"/>
    <n v="125.91069646863866"/>
    <n v="8.9940744991939994"/>
    <n v="13.396808716975741"/>
    <n v="0"/>
    <n v="0"/>
    <n v="0"/>
    <n v="0"/>
    <n v="0"/>
    <n v="31.433636839487349"/>
    <n v="0"/>
    <n v="0"/>
    <n v="70.272276025062411"/>
    <n v="0"/>
    <n v="0"/>
    <n v="0"/>
    <n v="5.2111257463990768"/>
    <n v="0"/>
    <n v="-2.8735710753540502"/>
    <m/>
    <n v="0"/>
    <n v="0"/>
    <n v="0"/>
    <n v="0"/>
    <n v="-0.42912779210679375"/>
    <n v="-9.4526491019580661E-2"/>
    <n v="0"/>
    <n v="0"/>
    <m/>
    <m/>
    <m/>
    <n v="3580.3739411023271"/>
    <n v="0"/>
    <n v="0"/>
    <n v="-1952.9173300000002"/>
    <n v="70.293569999999931"/>
    <n v="0"/>
    <n v="0"/>
    <n v="-2008.5529002257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"/>
    <s v="Regular"/>
    <s v="Verde"/>
    <s v="A4"/>
    <s v="Industrial"/>
    <s v="Não se aplica"/>
    <s v="Não se aplica"/>
    <s v="Não se aplica"/>
    <s v="Fora ponta"/>
    <s v="CATIVO"/>
    <x v="0"/>
    <n v="0"/>
    <n v="0"/>
    <n v="180.31"/>
    <n v="180.31"/>
    <n v="180.31"/>
    <n v="180.31"/>
    <m/>
    <n v="79.7"/>
    <n v="209.4"/>
    <m/>
    <n v="52127.621000000006"/>
    <n v="52127.621000000006"/>
    <n v="56350.481199999995"/>
    <n v="0"/>
    <n v="9653.433084494116"/>
    <n v="0"/>
    <n v="0"/>
    <n v="0"/>
    <n v="0"/>
    <n v="0"/>
    <n v="37261.195973579721"/>
    <n v="496.3871126927275"/>
    <n v="0"/>
    <n v="0"/>
    <n v="0"/>
    <n v="0"/>
    <n v="1714.6762726324203"/>
    <m/>
    <n v="239.4236072670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63.1491202916864"/>
    <n v="0"/>
    <n v="0"/>
    <n v="0"/>
    <n v="0"/>
    <n v="0"/>
    <m/>
    <m/>
    <m/>
    <m/>
    <m/>
    <m/>
    <m/>
    <m/>
    <m/>
    <n v="40024.345093871409"/>
    <m/>
    <m/>
    <m/>
    <m/>
    <m/>
    <m/>
    <m/>
    <m/>
    <m/>
    <m/>
    <m/>
    <m/>
    <n v="56350.481199999995"/>
    <n v="4222.8301999999894"/>
    <m/>
    <m/>
    <m/>
    <m/>
    <n v="106.38290000000062"/>
    <n v="4116.4772999999968"/>
    <n v="31"/>
    <n v="4221.454520631567"/>
    <n v="0"/>
    <n v="0"/>
    <n v="0"/>
    <n v="0"/>
    <n v="0"/>
    <n v="0"/>
    <n v="0"/>
    <n v="0"/>
    <n v="0"/>
    <n v="0"/>
    <n v="4115.230298823968"/>
    <n v="0"/>
    <n v="0"/>
    <n v="0"/>
    <n v="305.16988740929446"/>
    <n v="0"/>
    <n v="-168.279831307922"/>
    <m/>
    <n v="0"/>
    <n v="0"/>
    <n v="0"/>
    <n v="0"/>
    <n v="-25.130247546208693"/>
    <n v="-5.5355867475610694"/>
    <n v="0"/>
    <n v="0"/>
    <m/>
    <m/>
    <m/>
    <n v="0"/>
    <n v="0"/>
    <n v="0"/>
    <n v="106.38290000000052"/>
    <n v="4116.4772999999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"/>
    <s v="Regular"/>
    <s v="Verde"/>
    <s v="A4"/>
    <s v="Industrial"/>
    <s v="Não se aplica"/>
    <s v="Não se aplica"/>
    <s v="Não se aplica"/>
    <s v="Não se aplica"/>
    <s v="CATIVO"/>
    <x v="0"/>
    <n v="1480"/>
    <n v="1480"/>
    <n v="0"/>
    <n v="0"/>
    <n v="0"/>
    <n v="0"/>
    <n v="44.35"/>
    <m/>
    <m/>
    <n v="65638"/>
    <m/>
    <n v="65638"/>
    <n v="42875.6"/>
    <n v="0"/>
    <n v="0"/>
    <n v="0"/>
    <n v="0"/>
    <n v="0"/>
    <n v="19420.654258366245"/>
    <n v="42502.412502904081"/>
    <m/>
    <m/>
    <m/>
    <n v="0"/>
    <n v="0"/>
    <n v="0"/>
    <n v="0"/>
    <m/>
    <n v="0"/>
    <n v="1467.7466236582311"/>
    <n v="2245.5912622440619"/>
    <n v="0"/>
    <n v="0"/>
    <m/>
    <m/>
    <n v="0"/>
    <n v="0"/>
    <n v="0"/>
    <m/>
    <m/>
    <n v="0"/>
    <m/>
    <n v="0"/>
    <n v="0"/>
    <n v="0"/>
    <n v="0"/>
    <m/>
    <n v="0"/>
    <n v="0"/>
    <n v="140.01"/>
    <n v="630.16999999999996"/>
    <n v="23003.759999999998"/>
    <n v="6"/>
    <m/>
    <m/>
    <m/>
    <m/>
    <m/>
    <m/>
    <m/>
    <m/>
    <m/>
    <n v="0"/>
    <m/>
    <m/>
    <m/>
    <m/>
    <m/>
    <m/>
    <m/>
    <m/>
    <m/>
    <m/>
    <m/>
    <m/>
    <n v="42875.6"/>
    <n v="-22762.429999999986"/>
    <m/>
    <m/>
    <m/>
    <m/>
    <n v="-22762.400000000005"/>
    <n v="0"/>
    <n v="31"/>
    <n v="1084.975211414665"/>
    <n v="177.20403013513919"/>
    <n v="271.11479276586988"/>
    <n v="0"/>
    <n v="0"/>
    <m/>
    <m/>
    <m/>
    <n v="636.656388513656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502.412502904081"/>
    <m/>
    <n v="0"/>
    <n v="0"/>
    <n v="-22762.400000000001"/>
    <m/>
    <n v="0"/>
    <m/>
    <n v="-23843.41560507914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0"/>
    <s v="Regular"/>
    <s v="Convencional"/>
    <s v="B3"/>
    <s v="Comercial"/>
    <s v="Não se aplica"/>
    <s v="Não se aplica"/>
    <s v="Não se aplica"/>
    <s v="Não se aplica"/>
    <s v="CATIVO"/>
    <x v="0"/>
    <n v="0"/>
    <n v="0"/>
    <n v="286.92599999999999"/>
    <n v="286.92599999999999"/>
    <n v="286.92599999999999"/>
    <n v="286.92599999999999"/>
    <m/>
    <n v="581.32000000000005"/>
    <n v="209.4"/>
    <m/>
    <n v="226878.12672"/>
    <n v="226878.12672"/>
    <n v="173323.38881999999"/>
    <n v="0"/>
    <n v="17656.825640653082"/>
    <n v="0"/>
    <n v="0"/>
    <n v="0"/>
    <n v="21287.36841168387"/>
    <n v="110582.80451929303"/>
    <n v="59293.471886835636"/>
    <n v="789.89722531458892"/>
    <n v="0"/>
    <n v="0"/>
    <n v="0"/>
    <n v="0"/>
    <n v="2728.5519616290267"/>
    <m/>
    <n v="523.05585928351434"/>
    <n v="1635.3292208649229"/>
    <n v="2463.3142174744089"/>
    <n v="0"/>
    <n v="0"/>
    <n v="0"/>
    <n v="0"/>
    <n v="0"/>
    <n v="0"/>
    <n v="0"/>
    <n v="0"/>
    <n v="0"/>
    <n v="0"/>
    <m/>
    <n v="0"/>
    <n v="0"/>
    <n v="0"/>
    <n v="0"/>
    <n v="0"/>
    <n v="9919.6870033091127"/>
    <n v="0"/>
    <n v="291.02"/>
    <n v="1319.01"/>
    <n v="87769.21"/>
    <n v="806"/>
    <m/>
    <m/>
    <m/>
    <m/>
    <m/>
    <m/>
    <m/>
    <m/>
    <m/>
    <n v="69213.158890144754"/>
    <m/>
    <m/>
    <m/>
    <m/>
    <m/>
    <m/>
    <m/>
    <m/>
    <m/>
    <m/>
    <m/>
    <m/>
    <n v="173325.8051"/>
    <n v="-53552.35162000003"/>
    <m/>
    <m/>
    <m/>
    <m/>
    <n v="-60105.258480000019"/>
    <n v="6550.5205799999949"/>
    <n v="31"/>
    <n v="8476.9046470790636"/>
    <n v="197.43661737252546"/>
    <n v="297.40092723748967"/>
    <n v="0"/>
    <n v="0"/>
    <n v="0"/>
    <n v="0"/>
    <n v="0"/>
    <n v="697.85182896722836"/>
    <n v="0"/>
    <n v="0"/>
    <n v="6548.5362360399668"/>
    <n v="0"/>
    <n v="0"/>
    <n v="0"/>
    <n v="1095.557870440105"/>
    <n v="0"/>
    <n v="-307.79595344323752"/>
    <m/>
    <n v="0"/>
    <n v="0"/>
    <n v="0"/>
    <n v="0"/>
    <n v="-39.989581317971442"/>
    <n v="-12.093298217051597"/>
    <n v="0"/>
    <n v="0"/>
    <m/>
    <m/>
    <m/>
    <n v="110582.80451929303"/>
    <n v="0"/>
    <n v="0"/>
    <n v="-60105.258480000019"/>
    <n v="6550.5205799999894"/>
    <n v="0"/>
    <n v="0"/>
    <n v="-62035.814243451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25.283000000000001"/>
    <n v="25.283000000000001"/>
    <n v="25.283000000000001"/>
    <n v="25.283000000000001"/>
    <m/>
    <n v="581.32000000000005"/>
    <n v="209.4"/>
    <m/>
    <n v="19991.773760000004"/>
    <n v="19991.773760000004"/>
    <n v="15272.701809999999"/>
    <n v="0"/>
    <n v="1555.8629147328297"/>
    <n v="0"/>
    <n v="0"/>
    <n v="0"/>
    <n v="1875.7747138725779"/>
    <n v="9744.2025005098385"/>
    <n v="5224.7508058344856"/>
    <n v="69.603213189563689"/>
    <n v="0"/>
    <n v="0"/>
    <n v="0"/>
    <n v="0"/>
    <n v="240.43125839368579"/>
    <m/>
    <n v="46.090006797101324"/>
    <n v="144.09997243584706"/>
    <n v="217.05935802403923"/>
    <n v="0"/>
    <n v="0"/>
    <n v="0"/>
    <n v="0"/>
    <n v="0"/>
    <n v="0"/>
    <n v="0"/>
    <n v="0"/>
    <n v="0"/>
    <n v="0"/>
    <m/>
    <n v="0"/>
    <n v="0"/>
    <n v="0"/>
    <n v="0"/>
    <n v="0"/>
    <n v="874.09104265442772"/>
    <n v="0"/>
    <n v="25.62"/>
    <n v="116.18"/>
    <n v="16696.919999999998"/>
    <n v="59"/>
    <m/>
    <m/>
    <m/>
    <m/>
    <m/>
    <m/>
    <m/>
    <m/>
    <m/>
    <n v="6098.8418484889135"/>
    <m/>
    <m/>
    <m/>
    <m/>
    <m/>
    <m/>
    <m/>
    <m/>
    <m/>
    <m/>
    <m/>
    <m/>
    <n v="15270.8896"/>
    <n v="-4720.9141599999984"/>
    <m/>
    <m/>
    <m/>
    <m/>
    <n v="-5296.2828400000026"/>
    <n v="577.21088999999961"/>
    <n v="31"/>
    <n v="746.95768313816188"/>
    <n v="17.397482267307794"/>
    <n v="26.206017033470147"/>
    <n v="0"/>
    <n v="0"/>
    <n v="0"/>
    <n v="0"/>
    <n v="0"/>
    <n v="61.492467715642761"/>
    <n v="0"/>
    <n v="0"/>
    <n v="577.0360359667593"/>
    <n v="0"/>
    <n v="0"/>
    <n v="0"/>
    <n v="96.537050104686159"/>
    <n v="0"/>
    <n v="-27.121993443972997"/>
    <m/>
    <n v="0"/>
    <n v="0"/>
    <n v="0"/>
    <n v="0"/>
    <n v="-3.5237538057278925"/>
    <n v="-1.0656227000052851"/>
    <n v="0"/>
    <n v="0"/>
    <m/>
    <m/>
    <m/>
    <n v="9744.2025005098385"/>
    <n v="0"/>
    <n v="0"/>
    <n v="-5296.2828400000017"/>
    <n v="577.21088999999938"/>
    <n v="0"/>
    <n v="0"/>
    <n v="-5466.3972296591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Ponta"/>
    <s v="CATIVO"/>
    <x v="0"/>
    <n v="0"/>
    <n v="0"/>
    <n v="16.800999999999998"/>
    <n v="16.800999999999998"/>
    <n v="16.800999999999998"/>
    <n v="16.800999999999998"/>
    <m/>
    <n v="1614.19"/>
    <n v="209.4"/>
    <m/>
    <n v="30638.135589999998"/>
    <n v="30638.135589999998"/>
    <n v="20365.332149999995"/>
    <n v="0"/>
    <n v="899.49159365861919"/>
    <n v="0"/>
    <n v="0"/>
    <n v="0"/>
    <n v="5232.1336557694931"/>
    <n v="19536.81798780779"/>
    <n v="3471.9391800350108"/>
    <n v="46.252564363321575"/>
    <n v="0"/>
    <n v="0"/>
    <n v="0"/>
    <n v="0"/>
    <n v="159.77081723973873"/>
    <m/>
    <n v="22.30911222724492"/>
    <n v="406.49894118779616"/>
    <n v="605.48626312067574"/>
    <n v="0"/>
    <n v="0"/>
    <n v="0"/>
    <n v="0"/>
    <n v="0"/>
    <n v="0"/>
    <n v="0"/>
    <n v="0"/>
    <n v="0"/>
    <n v="0"/>
    <m/>
    <n v="0"/>
    <n v="0"/>
    <n v="0"/>
    <n v="0"/>
    <n v="0"/>
    <n v="257.46585530486726"/>
    <n v="0"/>
    <n v="0"/>
    <n v="0"/>
    <n v="0"/>
    <n v="0"/>
    <m/>
    <m/>
    <m/>
    <m/>
    <m/>
    <m/>
    <m/>
    <m/>
    <m/>
    <n v="3729.4050353398779"/>
    <m/>
    <m/>
    <m/>
    <m/>
    <m/>
    <m/>
    <m/>
    <m/>
    <m/>
    <m/>
    <m/>
    <m/>
    <n v="20364.12"/>
    <n v="-10274.045589999994"/>
    <m/>
    <m/>
    <m/>
    <m/>
    <n v="-10656.370270000001"/>
    <n v="383.5668299999997"/>
    <n v="31"/>
    <n v="687.04956523857982"/>
    <n v="49.077442566079355"/>
    <n v="73.10158598697933"/>
    <n v="0"/>
    <n v="0"/>
    <n v="0"/>
    <n v="0"/>
    <n v="0"/>
    <n v="171.52209566100282"/>
    <n v="0"/>
    <n v="0"/>
    <n v="383.4506364069739"/>
    <n v="0"/>
    <n v="0"/>
    <n v="0"/>
    <n v="28.435246399886637"/>
    <n v="0"/>
    <n v="-15.680047949666573"/>
    <m/>
    <n v="0"/>
    <n v="0"/>
    <n v="0"/>
    <n v="0"/>
    <n v="-2.3415966337077805"/>
    <n v="-0.51579719896718856"/>
    <n v="0"/>
    <n v="0"/>
    <m/>
    <m/>
    <m/>
    <n v="19536.81798780779"/>
    <n v="0"/>
    <n v="0"/>
    <n v="-10656.370270000003"/>
    <n v="383.56682999999975"/>
    <n v="0"/>
    <n v="0"/>
    <n v="-10959.9536462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Ponta"/>
    <s v="CATIVO"/>
    <x v="0"/>
    <n v="0"/>
    <n v="0"/>
    <n v="0.251"/>
    <n v="0.251"/>
    <n v="0.251"/>
    <n v="0.251"/>
    <m/>
    <n v="1614.19"/>
    <n v="209.4"/>
    <m/>
    <n v="457.72109"/>
    <n v="457.72109"/>
    <n v="304.24964999999997"/>
    <n v="0"/>
    <n v="13.438032855682009"/>
    <n v="0"/>
    <n v="0"/>
    <n v="0"/>
    <n v="78.165915576343252"/>
    <n v="291.8719906517324"/>
    <n v="51.869337193547274"/>
    <n v="0.69099420601117301"/>
    <n v="0"/>
    <n v="0"/>
    <n v="0"/>
    <n v="0"/>
    <n v="2.3869100129262799"/>
    <m/>
    <n v="0.33328892143553812"/>
    <n v="6.0729262685635881"/>
    <n v="9.0457146624182858"/>
    <n v="0"/>
    <n v="0"/>
    <n v="0"/>
    <n v="0"/>
    <n v="0"/>
    <n v="0"/>
    <n v="0"/>
    <n v="0"/>
    <n v="0"/>
    <n v="0"/>
    <m/>
    <n v="0"/>
    <n v="0"/>
    <n v="0"/>
    <n v="0"/>
    <n v="0"/>
    <n v="3.8464335266663707"/>
    <n v="0"/>
    <n v="0"/>
    <n v="0"/>
    <n v="0"/>
    <n v="0"/>
    <m/>
    <m/>
    <m/>
    <m/>
    <m/>
    <m/>
    <m/>
    <m/>
    <m/>
    <n v="55.715770720213648"/>
    <m/>
    <m/>
    <m/>
    <m/>
    <m/>
    <m/>
    <m/>
    <m/>
    <m/>
    <m/>
    <m/>
    <m/>
    <n v="303.03749999999997"/>
    <n v="-154.71359000000001"/>
    <m/>
    <m/>
    <m/>
    <m/>
    <n v="-159.20177000000001"/>
    <n v="5.7303299999999959"/>
    <n v="31"/>
    <n v="10.264236704653541"/>
    <n v="0.73319671948609777"/>
    <n v="1.0921074985257917"/>
    <n v="0"/>
    <n v="0"/>
    <n v="0"/>
    <n v="0"/>
    <n v="0"/>
    <n v="2.5624692584317472"/>
    <n v="0"/>
    <n v="0"/>
    <n v="5.728594115716362"/>
    <n v="0"/>
    <n v="0"/>
    <n v="0"/>
    <n v="0.42481083544857645"/>
    <n v="0"/>
    <n v="-0.23425343940041188"/>
    <m/>
    <n v="0"/>
    <n v="0"/>
    <n v="0"/>
    <n v="0"/>
    <n v="-3.4982486462749929E-2"/>
    <n v="-7.7057970918852914E-3"/>
    <n v="0"/>
    <n v="0"/>
    <m/>
    <m/>
    <m/>
    <n v="291.8719906517324"/>
    <n v="0"/>
    <n v="0"/>
    <n v="-159.20177000000004"/>
    <n v="5.730329999999995"/>
    <n v="0"/>
    <n v="0"/>
    <n v="-163.7371802392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Fora ponta"/>
    <s v="CATIVO"/>
    <x v="0"/>
    <n v="0"/>
    <n v="0"/>
    <n v="300.32"/>
    <n v="300.32"/>
    <n v="300.32"/>
    <n v="300.32"/>
    <m/>
    <n v="79.7"/>
    <n v="209.4"/>
    <m/>
    <n v="86822.512000000002"/>
    <n v="86822.512000000002"/>
    <n v="93856.006399999998"/>
    <n v="0"/>
    <n v="16078.526004854266"/>
    <n v="0"/>
    <n v="0"/>
    <n v="0"/>
    <n v="0"/>
    <n v="0"/>
    <n v="62061.351975960628"/>
    <n v="826.77043804492212"/>
    <n v="0"/>
    <n v="0"/>
    <n v="0"/>
    <n v="0"/>
    <n v="2855.923566063826"/>
    <m/>
    <n v="398.778202731158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2.2347280017702"/>
    <n v="0"/>
    <n v="0"/>
    <n v="0"/>
    <n v="0"/>
    <n v="0"/>
    <m/>
    <m/>
    <m/>
    <m/>
    <m/>
    <m/>
    <m/>
    <m/>
    <m/>
    <n v="66663.586703962399"/>
    <m/>
    <m/>
    <m/>
    <m/>
    <m/>
    <m/>
    <m/>
    <m/>
    <m/>
    <m/>
    <m/>
    <m/>
    <n v="93856.006399999998"/>
    <n v="7033.4643999999971"/>
    <m/>
    <m/>
    <m/>
    <m/>
    <n v="177.18880000000101"/>
    <n v="6856.3055999999951"/>
    <n v="31"/>
    <n v="7031.1531342469971"/>
    <n v="0"/>
    <n v="0"/>
    <n v="0"/>
    <n v="0"/>
    <n v="0"/>
    <n v="0"/>
    <n v="0"/>
    <n v="0"/>
    <n v="0"/>
    <n v="0"/>
    <n v="6854.2286248284363"/>
    <n v="0"/>
    <n v="0"/>
    <n v="0"/>
    <n v="508.2836259040505"/>
    <n v="0"/>
    <n v="-280.28284032163901"/>
    <m/>
    <n v="0"/>
    <n v="0"/>
    <n v="0"/>
    <n v="0"/>
    <n v="-41.856335993995799"/>
    <n v="-9.2199401698604788"/>
    <n v="0"/>
    <n v="0"/>
    <m/>
    <m/>
    <m/>
    <n v="0"/>
    <n v="0"/>
    <n v="0"/>
    <n v="177.1887999999999"/>
    <n v="6856.305599999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2.0720000000000001"/>
    <n v="2.0720000000000001"/>
    <n v="2.0720000000000001"/>
    <n v="2.0720000000000001"/>
    <m/>
    <n v="79.7"/>
    <n v="209.4"/>
    <m/>
    <n v="599.01520000000005"/>
    <n v="599.01520000000005"/>
    <n v="647.54143999999997"/>
    <n v="0"/>
    <n v="110.93069353375746"/>
    <n v="0"/>
    <n v="0"/>
    <n v="0"/>
    <n v="0"/>
    <n v="0"/>
    <n v="428.1803452790038"/>
    <n v="5.7041434057974119"/>
    <n v="0"/>
    <n v="0"/>
    <n v="0"/>
    <n v="0"/>
    <n v="19.703894608698214"/>
    <m/>
    <n v="2.7512934072288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52232140449085"/>
    <n v="0"/>
    <n v="0"/>
    <n v="0"/>
    <n v="0"/>
    <n v="0"/>
    <m/>
    <m/>
    <m/>
    <m/>
    <m/>
    <m/>
    <m/>
    <m/>
    <m/>
    <n v="459.93257741945291"/>
    <m/>
    <m/>
    <m/>
    <m/>
    <m/>
    <m/>
    <m/>
    <m/>
    <m/>
    <m/>
    <m/>
    <m/>
    <n v="646.91639999999995"/>
    <n v="47.871199999999931"/>
    <m/>
    <m/>
    <m/>
    <m/>
    <n v="1.2224800000000071"/>
    <n v="47.303759999999968"/>
    <n v="31"/>
    <n v="48.51008688785214"/>
    <n v="0"/>
    <n v="0"/>
    <n v="0"/>
    <n v="0"/>
    <n v="0"/>
    <n v="0"/>
    <n v="0"/>
    <n v="0"/>
    <n v="0"/>
    <n v="0"/>
    <n v="47.289430309817931"/>
    <n v="0"/>
    <n v="0"/>
    <n v="0"/>
    <n v="3.5068049842607643"/>
    <n v="0"/>
    <n v="-1.9337574758472158"/>
    <m/>
    <n v="0"/>
    <n v="0"/>
    <n v="0"/>
    <n v="0"/>
    <n v="-0.28877972888771808"/>
    <n v="-6.3611201491578395E-2"/>
    <n v="0"/>
    <n v="0"/>
    <m/>
    <m/>
    <m/>
    <n v="0"/>
    <n v="0"/>
    <n v="0"/>
    <n v="1.2224799999999902"/>
    <n v="47.30376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"/>
    <s v="Regular"/>
    <s v="Verde"/>
    <s v="A4"/>
    <s v="Comercial"/>
    <s v="Não se aplica"/>
    <s v="Não se aplica"/>
    <s v="Não se aplica"/>
    <s v="Não se aplica"/>
    <s v="CATIVO"/>
    <x v="0"/>
    <n v="4110"/>
    <n v="4110"/>
    <n v="0"/>
    <n v="0"/>
    <n v="0"/>
    <n v="0"/>
    <n v="44.35"/>
    <m/>
    <m/>
    <n v="182278.5"/>
    <m/>
    <n v="182278.5"/>
    <n v="119066.7"/>
    <n v="0"/>
    <n v="0"/>
    <n v="0"/>
    <n v="0"/>
    <n v="0"/>
    <n v="53931.68175803058"/>
    <n v="118030.34823441606"/>
    <m/>
    <m/>
    <m/>
    <n v="0"/>
    <n v="0"/>
    <n v="0"/>
    <n v="0"/>
    <m/>
    <n v="0"/>
    <n v="4075.9720427265743"/>
    <n v="6236.0676269074966"/>
    <n v="0"/>
    <n v="0"/>
    <m/>
    <m/>
    <n v="0"/>
    <n v="0"/>
    <n v="0"/>
    <m/>
    <m/>
    <n v="0"/>
    <m/>
    <n v="0"/>
    <n v="0"/>
    <n v="0"/>
    <n v="0"/>
    <m/>
    <n v="0"/>
    <n v="0"/>
    <n v="375.36"/>
    <n v="1689.91"/>
    <n v="109396.58"/>
    <n v="35"/>
    <m/>
    <m/>
    <m/>
    <m/>
    <m/>
    <m/>
    <m/>
    <m/>
    <m/>
    <n v="0"/>
    <m/>
    <m/>
    <m/>
    <m/>
    <m/>
    <m/>
    <m/>
    <m/>
    <m/>
    <m/>
    <m/>
    <m/>
    <n v="119066.7"/>
    <n v="-63211.830000000031"/>
    <m/>
    <m/>
    <m/>
    <m/>
    <n v="-63211.80000000001"/>
    <n v="0"/>
    <n v="31"/>
    <n v="3013.0054857528958"/>
    <n v="492.10038098339328"/>
    <n v="752.89310693765219"/>
    <n v="0"/>
    <n v="0"/>
    <m/>
    <m/>
    <m/>
    <n v="1768.01199783184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030.34823441606"/>
    <m/>
    <n v="0"/>
    <n v="0"/>
    <n v="-63211.8"/>
    <m/>
    <n v="0"/>
    <m/>
    <n v="-66213.80955194275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7"/>
    <s v="Sistema de Compensação"/>
    <s v="Verde"/>
    <s v="A4"/>
    <s v="Comercial"/>
    <s v="Não se aplica"/>
    <s v="Não se aplica"/>
    <s v="Não se aplica"/>
    <s v="Não se aplica"/>
    <s v="CATIVO"/>
    <x v="0"/>
    <n v="113"/>
    <n v="113"/>
    <n v="0"/>
    <n v="0"/>
    <n v="0"/>
    <n v="0"/>
    <n v="44.35"/>
    <m/>
    <m/>
    <n v="5011.55"/>
    <m/>
    <n v="5011.55"/>
    <n v="3273.6099999999997"/>
    <n v="0"/>
    <n v="0"/>
    <n v="0"/>
    <n v="0"/>
    <n v="0"/>
    <n v="1482.7931967536388"/>
    <n v="3245.116630289298"/>
    <m/>
    <m/>
    <m/>
    <n v="0"/>
    <n v="0"/>
    <n v="0"/>
    <n v="0"/>
    <m/>
    <n v="0"/>
    <n v="112.06443815768927"/>
    <n v="171.45392745512095"/>
    <n v="0"/>
    <n v="0"/>
    <m/>
    <m/>
    <n v="0"/>
    <n v="0"/>
    <n v="0"/>
    <m/>
    <m/>
    <n v="0"/>
    <m/>
    <n v="0"/>
    <n v="0"/>
    <n v="0"/>
    <n v="0"/>
    <m/>
    <n v="0"/>
    <n v="0"/>
    <n v="5.78"/>
    <n v="26.03"/>
    <n v="1753.7"/>
    <n v="1"/>
    <m/>
    <m/>
    <m/>
    <m/>
    <m/>
    <m/>
    <m/>
    <m/>
    <m/>
    <n v="0"/>
    <m/>
    <m/>
    <m/>
    <m/>
    <m/>
    <m/>
    <m/>
    <m/>
    <m/>
    <m/>
    <m/>
    <m/>
    <n v="3273.6099999999997"/>
    <n v="-1737.9700000000012"/>
    <m/>
    <m/>
    <m/>
    <m/>
    <n v="-1737.9400000000003"/>
    <n v="0"/>
    <n v="31"/>
    <n v="82.839323574228047"/>
    <n v="13.52976716572347"/>
    <n v="20.699980799015748"/>
    <n v="0"/>
    <n v="0"/>
    <m/>
    <m/>
    <m/>
    <n v="48.6095756094887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45.116630289298"/>
    <m/>
    <n v="0"/>
    <n v="0"/>
    <n v="-1737.9400000000005"/>
    <m/>
    <n v="0"/>
    <m/>
    <n v="-1820.4770022796913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8"/>
    <s v="Regular"/>
    <s v="Convencional"/>
    <s v="B2"/>
    <s v="Rural"/>
    <s v="Não se aplica"/>
    <s v="Não se aplica"/>
    <s v="Não se aplica"/>
    <s v="Não se aplica"/>
    <s v="CATIVO"/>
    <x v="0"/>
    <n v="0"/>
    <n v="0"/>
    <n v="3622.4189999999999"/>
    <n v="3622.4189999999999"/>
    <n v="3622.4189999999999"/>
    <n v="3622.4189999999999"/>
    <m/>
    <n v="581.32000000000005"/>
    <n v="209.4"/>
    <m/>
    <n v="2864319.1516800001"/>
    <n v="2864319.1516800001"/>
    <n v="2188194.6453299997"/>
    <n v="0"/>
    <n v="222916.08526375753"/>
    <n v="0"/>
    <n v="0"/>
    <n v="0"/>
    <n v="268751.41254010954"/>
    <n v="1396099.5244905411"/>
    <n v="748575.58791757899"/>
    <n v="9972.392592608714"/>
    <n v="0"/>
    <n v="0"/>
    <n v="0"/>
    <n v="0"/>
    <n v="34447.761681730684"/>
    <m/>
    <n v="6603.5405739804992"/>
    <n v="20645.907449712795"/>
    <n v="31099.155267732553"/>
    <n v="0"/>
    <n v="0"/>
    <n v="0"/>
    <n v="0"/>
    <n v="0"/>
    <n v="0"/>
    <n v="0"/>
    <n v="0"/>
    <n v="0"/>
    <n v="0"/>
    <m/>
    <n v="0"/>
    <n v="0"/>
    <n v="0"/>
    <n v="0"/>
    <n v="0"/>
    <n v="125235.29646961235"/>
    <n v="0"/>
    <n v="2355.34"/>
    <n v="10892.85"/>
    <n v="255723.04"/>
    <n v="14114"/>
    <m/>
    <m/>
    <m/>
    <m/>
    <m/>
    <n v="262589.15330999973"/>
    <m/>
    <m/>
    <m/>
    <n v="873810.88438719139"/>
    <m/>
    <m/>
    <m/>
    <m/>
    <m/>
    <m/>
    <m/>
    <m/>
    <m/>
    <m/>
    <m/>
    <m/>
    <n v="1925606.0236000002"/>
    <n v="-595054.26754999976"/>
    <m/>
    <m/>
    <m/>
    <m/>
    <n v="-758824.33212000027"/>
    <n v="82699.825769999938"/>
    <n v="31"/>
    <n v="107020.27859018557"/>
    <n v="2492.6223279380938"/>
    <n v="3754.6641623369796"/>
    <n v="0"/>
    <n v="0"/>
    <n v="0"/>
    <n v="0"/>
    <n v="0"/>
    <n v="8810.3264410881093"/>
    <n v="0"/>
    <n v="0"/>
    <n v="82674.773577924818"/>
    <n v="0"/>
    <n v="0"/>
    <n v="0"/>
    <n v="13831.33506716635"/>
    <n v="0"/>
    <n v="-3885.9005802049942"/>
    <m/>
    <n v="0"/>
    <n v="0"/>
    <n v="0"/>
    <n v="0"/>
    <n v="-504.86543278847967"/>
    <n v="-152.67697327573569"/>
    <n v="0"/>
    <n v="0"/>
    <m/>
    <m/>
    <m/>
    <n v="1396099.5244905411"/>
    <n v="0"/>
    <n v="0"/>
    <n v="-758824.33212000015"/>
    <n v="82699.825769999996"/>
    <n v="0"/>
    <n v="0"/>
    <n v="-783197.45229066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5.5789999999999997"/>
    <n v="-5.5789999999999997"/>
    <n v="-5.5789999999999997"/>
    <n v="-5.5789999999999997"/>
    <m/>
    <n v="581.32000000000005"/>
    <n v="209.4"/>
    <m/>
    <n v="-4411.42688"/>
    <n v="-4411.42688"/>
    <n v="-3370.10653"/>
    <n v="0"/>
    <n v="-343.31998581238207"/>
    <n v="0"/>
    <n v="0"/>
    <n v="0"/>
    <n v="-413.91239681584904"/>
    <n v="-2150.1762350331996"/>
    <n v="-1152.9045107681284"/>
    <n v="-15.358791535204517"/>
    <n v="0"/>
    <n v="0"/>
    <n v="0"/>
    <n v="0"/>
    <n v="-53.054067578150253"/>
    <m/>
    <n v="-10.170317918009266"/>
    <n v="-31.797403244060856"/>
    <n v="-47.896774845394724"/>
    <n v="0"/>
    <n v="0"/>
    <n v="0"/>
    <n v="0"/>
    <n v="0"/>
    <n v="0"/>
    <n v="0"/>
    <n v="0"/>
    <n v="0"/>
    <n v="0"/>
    <m/>
    <n v="0"/>
    <n v="0"/>
    <n v="0"/>
    <n v="0"/>
    <n v="0"/>
    <n v="-192.87876940905161"/>
    <n v="0"/>
    <n v="-6.77"/>
    <n v="-31.32"/>
    <n v="-355.93"/>
    <n v="0"/>
    <m/>
    <m/>
    <m/>
    <m/>
    <m/>
    <n v="-404.42170999999951"/>
    <m/>
    <m/>
    <m/>
    <n v="-1345.7832801771799"/>
    <m/>
    <m/>
    <m/>
    <m/>
    <m/>
    <m/>
    <m/>
    <m/>
    <m/>
    <m/>
    <m/>
    <m/>
    <n v="-2966.2164000000002"/>
    <n v="915.90074999999888"/>
    <m/>
    <m/>
    <m/>
    <m/>
    <n v="1168.6889200000003"/>
    <n v="-127.36856999999991"/>
    <n v="31"/>
    <n v="-164.82525468606627"/>
    <n v="-3.8389650583123149"/>
    <n v="-5.7826748815302693"/>
    <n v="0"/>
    <n v="0"/>
    <n v="0"/>
    <n v="0"/>
    <n v="0"/>
    <n v="-13.56905736603926"/>
    <n v="0"/>
    <n v="0"/>
    <n v="-127.32998634096248"/>
    <n v="0"/>
    <n v="0"/>
    <n v="0"/>
    <n v="-21.302068683860455"/>
    <n v="0"/>
    <n v="5.9847961643762346"/>
    <m/>
    <n v="0"/>
    <n v="0"/>
    <n v="0"/>
    <n v="0"/>
    <n v="0.77755893217402416"/>
    <n v="0.23514254808881319"/>
    <n v="0"/>
    <n v="0"/>
    <m/>
    <m/>
    <m/>
    <n v="-2150.1762350331996"/>
    <n v="0"/>
    <n v="0"/>
    <n v="1168.6889200000001"/>
    <n v="-127.36856999999986"/>
    <n v="0"/>
    <n v="0"/>
    <n v="1206.226719308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31.06399999999999"/>
    <n v="131.06399999999999"/>
    <n v="131.06399999999999"/>
    <n v="131.06399999999999"/>
    <m/>
    <n v="581.32000000000005"/>
    <n v="209.4"/>
    <m/>
    <n v="103634.92608"/>
    <n v="103634.92608"/>
    <n v="79171.83047999999"/>
    <n v="0"/>
    <n v="8065.4043055232196"/>
    <n v="0"/>
    <n v="0"/>
    <n v="0"/>
    <n v="9723.7882015186296"/>
    <n v="50512.761797524872"/>
    <n v="27084.473346354898"/>
    <n v="360.81460006632818"/>
    <n v="0"/>
    <n v="0"/>
    <n v="0"/>
    <n v="0"/>
    <n v="1246.3664300166131"/>
    <m/>
    <n v="238.924995089795"/>
    <n v="746.99674830249"/>
    <n v="1125.20933829303"/>
    <n v="0"/>
    <n v="0"/>
    <n v="0"/>
    <n v="0"/>
    <n v="0"/>
    <n v="0"/>
    <n v="0"/>
    <n v="0"/>
    <n v="0"/>
    <n v="0"/>
    <m/>
    <n v="0"/>
    <n v="0"/>
    <n v="0"/>
    <n v="0"/>
    <n v="0"/>
    <n v="4531.181759065772"/>
    <n v="0"/>
    <n v="81.349999999999994"/>
    <n v="374.02"/>
    <n v="5390.63"/>
    <n v="444"/>
    <m/>
    <m/>
    <m/>
    <m/>
    <m/>
    <n v="9500.8293599999888"/>
    <m/>
    <m/>
    <m/>
    <n v="31615.655105420672"/>
    <m/>
    <m/>
    <m/>
    <m/>
    <m/>
    <m/>
    <m/>
    <m/>
    <m/>
    <m/>
    <m/>
    <m/>
    <n v="69668.874800000005"/>
    <n v="-21532.039599999975"/>
    <m/>
    <m/>
    <m/>
    <m/>
    <n v="-27455.286720000007"/>
    <n v="2992.1911199999977"/>
    <n v="31"/>
    <n v="3872.1378706174073"/>
    <n v="90.186434200151552"/>
    <n v="135.84880815072302"/>
    <n v="0"/>
    <n v="0"/>
    <n v="0"/>
    <n v="0"/>
    <n v="0"/>
    <n v="318.76948102214919"/>
    <n v="0"/>
    <n v="0"/>
    <n v="2991.284697937248"/>
    <n v="0"/>
    <n v="0"/>
    <n v="0"/>
    <n v="500.43633805009631"/>
    <n v="0"/>
    <n v="-140.59711856745071"/>
    <m/>
    <n v="0"/>
    <n v="0"/>
    <n v="0"/>
    <n v="0"/>
    <n v="-18.266711576708303"/>
    <n v="-5.5240585988012469"/>
    <n v="0"/>
    <n v="0"/>
    <m/>
    <m/>
    <m/>
    <n v="50512.761797524872"/>
    <n v="0"/>
    <n v="0"/>
    <n v="-27455.286720000004"/>
    <n v="2992.1911199999995"/>
    <n v="0"/>
    <n v="0"/>
    <n v="-28337.13904631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-6.0000000000000001E-3"/>
    <n v="-6.0000000000000001E-3"/>
    <n v="-6.0000000000000001E-3"/>
    <n v="-6.0000000000000001E-3"/>
    <m/>
    <n v="581.32000000000005"/>
    <n v="209.4"/>
    <m/>
    <n v="-4.7443200000000001"/>
    <n v="-4.7443200000000001"/>
    <n v="-3.6244199999999998"/>
    <n v="0"/>
    <n v="-0.3692274448600632"/>
    <n v="0"/>
    <n v="0"/>
    <n v="0"/>
    <n v="-0.44514686877488696"/>
    <n v="-2.3124318713388061"/>
    <n v="-1.2399044747461501"/>
    <n v="-1.6517789785127641E-2"/>
    <n v="0"/>
    <n v="0"/>
    <n v="0"/>
    <n v="0"/>
    <n v="-5.7057609870747726E-2"/>
    <m/>
    <n v="-1.0937785894973221E-2"/>
    <n v="-3.4196884650361206E-2"/>
    <n v="-5.1511139822973354E-2"/>
    <n v="0"/>
    <n v="0"/>
    <n v="0"/>
    <n v="0"/>
    <n v="0"/>
    <n v="0"/>
    <n v="0"/>
    <n v="0"/>
    <n v="0"/>
    <n v="0"/>
    <m/>
    <n v="0"/>
    <n v="0"/>
    <n v="0"/>
    <n v="0"/>
    <n v="0"/>
    <n v="-0.20743370074463341"/>
    <n v="0"/>
    <n v="-0.02"/>
    <n v="0.02"/>
    <n v="15.97"/>
    <n v="1"/>
    <m/>
    <m/>
    <m/>
    <m/>
    <m/>
    <n v="-0.43493999999999955"/>
    <m/>
    <m/>
    <m/>
    <n v="-1.4473381754907835"/>
    <m/>
    <m/>
    <m/>
    <m/>
    <m/>
    <m/>
    <m/>
    <m/>
    <m/>
    <m/>
    <m/>
    <m/>
    <n v="-5.3158000000000003"/>
    <n v="-1.1706999999999992"/>
    <m/>
    <m/>
    <m/>
    <m/>
    <n v="1.2568800000000004"/>
    <n v="-0.13697999999999991"/>
    <n v="31"/>
    <n v="-0.17726322425459662"/>
    <n v="-4.1286593206441777E-3"/>
    <n v="-6.2190445042447848E-3"/>
    <n v="0"/>
    <n v="0"/>
    <n v="0"/>
    <n v="0"/>
    <n v="0"/>
    <n v="-1.4592999497443193E-2"/>
    <n v="0"/>
    <n v="0"/>
    <n v="-0.13693850475815994"/>
    <n v="0"/>
    <n v="0"/>
    <n v="0"/>
    <n v="-2.2909555852870189E-2"/>
    <n v="0"/>
    <n v="6.4364181728369663E-3"/>
    <m/>
    <n v="0"/>
    <n v="0"/>
    <n v="0"/>
    <n v="0"/>
    <n v="8.3623473616134536E-4"/>
    <n v="2.5288676976750052E-4"/>
    <n v="0"/>
    <n v="0"/>
    <m/>
    <m/>
    <m/>
    <n v="-2.3124318713388061"/>
    <n v="0"/>
    <n v="0"/>
    <n v="1.2568800000000007"/>
    <n v="-0.1369800000000001"/>
    <n v="0"/>
    <n v="0"/>
    <n v="1.297250459912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"/>
    <s v="Regular"/>
    <s v="Verde"/>
    <s v="A4"/>
    <s v="Rural"/>
    <s v="Não se aplica"/>
    <s v="Não se aplica"/>
    <s v="Não se aplica"/>
    <s v="Ponta"/>
    <s v="CATIVO"/>
    <x v="0"/>
    <n v="0"/>
    <n v="0"/>
    <n v="20.117999999999999"/>
    <n v="19.313279999999999"/>
    <n v="20.117999999999999"/>
    <n v="19.313279999999999"/>
    <m/>
    <n v="1614.19"/>
    <n v="209.4"/>
    <m/>
    <n v="36686.983619999999"/>
    <n v="36686.983619999999"/>
    <n v="24386.0337"/>
    <n v="0"/>
    <n v="1077.0770716757395"/>
    <n v="0"/>
    <n v="0"/>
    <n v="0"/>
    <n v="6265.1071297405315"/>
    <n v="23393.947043551998"/>
    <n v="4157.3997038238404"/>
    <n v="55.384149149532973"/>
    <n v="0"/>
    <n v="0"/>
    <n v="0"/>
    <n v="0"/>
    <n v="191.31416589661711"/>
    <m/>
    <n v="26.713571798566356"/>
    <n v="486.75350864925207"/>
    <n v="725.02664373916753"/>
    <n v="0"/>
    <n v="0"/>
    <n v="0"/>
    <n v="0"/>
    <n v="0"/>
    <n v="0"/>
    <n v="0"/>
    <n v="0"/>
    <n v="0"/>
    <n v="0"/>
    <m/>
    <n v="0"/>
    <n v="0"/>
    <n v="0"/>
    <n v="0"/>
    <n v="0"/>
    <n v="308.29701071503604"/>
    <n v="0"/>
    <n v="0"/>
    <n v="0"/>
    <n v="0"/>
    <n v="0"/>
    <m/>
    <m/>
    <m/>
    <m/>
    <m/>
    <n v="975.44134799999961"/>
    <m/>
    <m/>
    <m/>
    <n v="4465.6967145388762"/>
    <m/>
    <m/>
    <m/>
    <m/>
    <m/>
    <m/>
    <m/>
    <m/>
    <m/>
    <m/>
    <m/>
    <m/>
    <n v="23406.6165"/>
    <n v="-11812.9177752"/>
    <m/>
    <m/>
    <m/>
    <m/>
    <n v="-12760.24386"/>
    <n v="459.29393999999962"/>
    <n v="31"/>
    <n v="822.69288455864444"/>
    <n v="58.766739452674472"/>
    <n v="87.533938865903906"/>
    <n v="0"/>
    <n v="0"/>
    <n v="0"/>
    <n v="0"/>
    <n v="0"/>
    <n v="205.38548422760869"/>
    <n v="0"/>
    <n v="0"/>
    <n v="459.15480645411026"/>
    <n v="0"/>
    <n v="0"/>
    <n v="0"/>
    <n v="34.049180826910231"/>
    <n v="0"/>
    <n v="-18.775739816165242"/>
    <m/>
    <n v="0"/>
    <n v="0"/>
    <n v="0"/>
    <n v="0"/>
    <n v="-2.8038950703490002"/>
    <n v="-0.61763038204999177"/>
    <n v="0"/>
    <n v="0"/>
    <m/>
    <m/>
    <m/>
    <n v="23393.947043551998"/>
    <n v="0"/>
    <n v="0"/>
    <n v="-12760.243859999999"/>
    <n v="459.29393999999957"/>
    <n v="0"/>
    <n v="0"/>
    <n v="-13123.763314953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"/>
    <s v="Regular"/>
    <s v="Verde"/>
    <s v="A4"/>
    <s v="Rural"/>
    <s v="Não se aplica"/>
    <s v="Não se aplica"/>
    <s v="Não se aplica"/>
    <s v="Fora ponta"/>
    <s v="CATIVO"/>
    <x v="0"/>
    <n v="0"/>
    <n v="0"/>
    <n v="237.26499999999999"/>
    <n v="227.77439999999999"/>
    <n v="237.26499999999999"/>
    <n v="227.77439999999999"/>
    <m/>
    <n v="79.7"/>
    <n v="209.4"/>
    <m/>
    <n v="68593.311499999996"/>
    <n v="68593.311499999996"/>
    <n v="74150.057799999995"/>
    <n v="0"/>
    <n v="12702.688707184827"/>
    <n v="0"/>
    <n v="0"/>
    <n v="0"/>
    <n v="0"/>
    <n v="0"/>
    <n v="49030.989200107542"/>
    <n v="653.18223222805159"/>
    <n v="0"/>
    <n v="0"/>
    <n v="0"/>
    <n v="0"/>
    <n v="2256.2956343304927"/>
    <m/>
    <n v="315.05097985817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5.9523932450056"/>
    <n v="0"/>
    <n v="0"/>
    <n v="0"/>
    <n v="0"/>
    <n v="0"/>
    <m/>
    <m/>
    <m/>
    <m/>
    <m/>
    <n v="2966.0023120000001"/>
    <m/>
    <m/>
    <m/>
    <n v="52666.941593352545"/>
    <m/>
    <m/>
    <m/>
    <m/>
    <m/>
    <m/>
    <m/>
    <m/>
    <m/>
    <m/>
    <m/>
    <m/>
    <n v="71182.680399999997"/>
    <n v="5333.0713600000017"/>
    <m/>
    <m/>
    <m/>
    <m/>
    <n v="139.98635000000081"/>
    <n v="5416.759949999996"/>
    <n v="31"/>
    <n v="5554.8966049450828"/>
    <n v="0"/>
    <n v="0"/>
    <n v="0"/>
    <n v="0"/>
    <n v="0"/>
    <n v="0"/>
    <n v="0"/>
    <n v="0"/>
    <n v="0"/>
    <n v="0"/>
    <n v="5415.1190552408007"/>
    <n v="0"/>
    <n v="0"/>
    <n v="0"/>
    <n v="401.56471264026504"/>
    <n v="0"/>
    <n v="-221.43482987784228"/>
    <m/>
    <n v="0"/>
    <n v="0"/>
    <n v="0"/>
    <n v="0"/>
    <n v="-33.068205779220079"/>
    <n v="-7.2841272789090112"/>
    <n v="0"/>
    <n v="0"/>
    <m/>
    <m/>
    <m/>
    <n v="0"/>
    <n v="0"/>
    <n v="0"/>
    <n v="139.98635000000286"/>
    <n v="5416.75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"/>
    <s v="Regular"/>
    <s v="Verde"/>
    <s v="A4"/>
    <s v="Rural"/>
    <s v="Não se aplica"/>
    <s v="Não se aplica"/>
    <s v="Não se aplica"/>
    <s v="Não se aplica"/>
    <s v="CATIVO"/>
    <x v="0"/>
    <n v="1709"/>
    <n v="1640.6399999999999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175.25"/>
    <n v="788.98"/>
    <n v="120.23"/>
    <n v="16"/>
    <m/>
    <m/>
    <m/>
    <m/>
    <m/>
    <n v="1980.3892000000037"/>
    <m/>
    <m/>
    <m/>
    <n v="0"/>
    <m/>
    <m/>
    <m/>
    <m/>
    <m/>
    <m/>
    <m/>
    <m/>
    <m/>
    <m/>
    <m/>
    <m/>
    <n v="47529.340799999998"/>
    <n v="-25233.073199999977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7"/>
    <s v="Sistema de Compensação"/>
    <s v="Verde"/>
    <s v="A4"/>
    <s v="Rural"/>
    <s v="Não se aplica"/>
    <s v="Não se aplica"/>
    <s v="Não se aplica"/>
    <s v="Não se aplica"/>
    <s v="CATIVO"/>
    <x v="0"/>
    <n v="597"/>
    <n v="573.12"/>
    <n v="0"/>
    <n v="0"/>
    <n v="0"/>
    <n v="0"/>
    <n v="44.35"/>
    <m/>
    <m/>
    <n v="26476.95"/>
    <m/>
    <n v="26476.95"/>
    <n v="17295.09"/>
    <n v="0"/>
    <n v="0"/>
    <n v="0"/>
    <n v="0"/>
    <n v="0"/>
    <n v="7833.8720217869241"/>
    <n v="17144.554232590363"/>
    <m/>
    <m/>
    <m/>
    <n v="0"/>
    <n v="0"/>
    <n v="0"/>
    <n v="0"/>
    <m/>
    <n v="0"/>
    <n v="592.0572529215973"/>
    <n v="905.82296186466556"/>
    <n v="0"/>
    <n v="0"/>
    <m/>
    <m/>
    <n v="0"/>
    <n v="0"/>
    <n v="0"/>
    <m/>
    <m/>
    <n v="0"/>
    <m/>
    <n v="0"/>
    <n v="0"/>
    <n v="0"/>
    <n v="0"/>
    <m/>
    <n v="0"/>
    <n v="0"/>
    <n v="15.28"/>
    <n v="68.88"/>
    <n v="24.86"/>
    <n v="7"/>
    <m/>
    <m/>
    <m/>
    <m/>
    <m/>
    <n v="691.80359999999985"/>
    <m/>
    <m/>
    <m/>
    <n v="0"/>
    <m/>
    <m/>
    <m/>
    <m/>
    <m/>
    <m/>
    <m/>
    <m/>
    <m/>
    <m/>
    <m/>
    <m/>
    <n v="16603.286400000001"/>
    <n v="-8814.6155999999937"/>
    <m/>
    <m/>
    <m/>
    <m/>
    <n v="-9181.8600000000024"/>
    <n v="0"/>
    <n v="31"/>
    <n v="437.6555413611859"/>
    <n v="71.480274318025749"/>
    <n v="109.36184546028676"/>
    <n v="0"/>
    <n v="0"/>
    <m/>
    <m/>
    <m/>
    <n v="256.813421582874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44.554232590363"/>
    <m/>
    <n v="0"/>
    <n v="0"/>
    <n v="-9181.86"/>
    <m/>
    <n v="0"/>
    <m/>
    <n v="-9617.918321778546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8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229.92"/>
    <n v="229.92"/>
    <n v="229.92"/>
    <n v="229.92"/>
    <m/>
    <n v="581.32000000000005"/>
    <n v="209.4"/>
    <m/>
    <n v="181802.34239999999"/>
    <n v="181802.34239999999"/>
    <n v="138887.77439999999"/>
    <n v="0"/>
    <n v="14148.79568703762"/>
    <n v="0"/>
    <n v="0"/>
    <n v="0"/>
    <n v="17058.028011453669"/>
    <n v="88612.389309703038"/>
    <n v="47513.139472272465"/>
    <n v="632.96170456609116"/>
    <n v="0"/>
    <n v="0"/>
    <n v="0"/>
    <n v="0"/>
    <n v="2186.4476102470526"/>
    <m/>
    <n v="419.13595549537376"/>
    <n v="1310.4246198018411"/>
    <n v="1973.9068780163389"/>
    <n v="0"/>
    <n v="0"/>
    <n v="0"/>
    <n v="0"/>
    <n v="0"/>
    <n v="0"/>
    <n v="0"/>
    <n v="0"/>
    <n v="0"/>
    <n v="0"/>
    <m/>
    <n v="0"/>
    <n v="0"/>
    <n v="0"/>
    <n v="0"/>
    <n v="0"/>
    <n v="7948.8594125343516"/>
    <n v="0"/>
    <n v="225.06"/>
    <n v="1020.33"/>
    <n v="62311.47"/>
    <n v="476"/>
    <m/>
    <m/>
    <m/>
    <m/>
    <m/>
    <m/>
    <m/>
    <m/>
    <m/>
    <n v="55461.998884806817"/>
    <m/>
    <m/>
    <m/>
    <m/>
    <m/>
    <m/>
    <m/>
    <m/>
    <m/>
    <m/>
    <m/>
    <m/>
    <n v="138887.77439999999"/>
    <n v="-42914.598000000027"/>
    <m/>
    <m/>
    <m/>
    <m/>
    <n v="-48163.641600000017"/>
    <n v="5249.0735999999961"/>
    <n v="31"/>
    <n v="6792.7267534361454"/>
    <n v="158.21022516708513"/>
    <n v="238.31378540265996"/>
    <n v="0"/>
    <n v="0"/>
    <n v="0"/>
    <n v="0"/>
    <n v="0"/>
    <n v="559.20374074202118"/>
    <n v="0"/>
    <n v="0"/>
    <n v="5247.4835023326887"/>
    <n v="0"/>
    <n v="0"/>
    <n v="0"/>
    <n v="877.89418028198452"/>
    <n v="0"/>
    <n v="-246.64354438311238"/>
    <m/>
    <n v="0"/>
    <n v="0"/>
    <n v="0"/>
    <n v="0"/>
    <n v="-32.0445150897026"/>
    <n v="-9.6906210174905709"/>
    <n v="0"/>
    <n v="0"/>
    <m/>
    <m/>
    <m/>
    <n v="88612.389309703038"/>
    <n v="0"/>
    <n v="0"/>
    <n v="-48163.641600000017"/>
    <n v="5249.0735999999961"/>
    <n v="0"/>
    <n v="0"/>
    <n v="-49710.637623827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"/>
    <s v="Sistema de Compensação"/>
    <s v="Convencional"/>
    <s v="B3"/>
    <s v="Poder público"/>
    <s v="Não se aplica"/>
    <s v="Não se aplica"/>
    <s v="Não se aplica"/>
    <s v="Não se aplica"/>
    <s v="CATIVO"/>
    <x v="0"/>
    <n v="0"/>
    <n v="0"/>
    <n v="6.6680000000000001"/>
    <n v="6.6680000000000001"/>
    <n v="6.6680000000000001"/>
    <n v="6.6680000000000001"/>
    <m/>
    <n v="581.32000000000005"/>
    <n v="209.4"/>
    <m/>
    <n v="5272.5209600000007"/>
    <n v="5272.5209600000007"/>
    <n v="4027.93876"/>
    <n v="0"/>
    <n v="410.33476705448356"/>
    <n v="0"/>
    <n v="0"/>
    <n v="0"/>
    <n v="494.70655349849108"/>
    <n v="2569.8826196811933"/>
    <n v="1377.9471729345548"/>
    <n v="18.356770381205184"/>
    <n v="0"/>
    <n v="0"/>
    <n v="0"/>
    <n v="0"/>
    <n v="63.410023769690973"/>
    <m/>
    <n v="12.155526057946906"/>
    <n v="38.004137808101419"/>
    <n v="57.246046723264392"/>
    <n v="0"/>
    <n v="0"/>
    <n v="0"/>
    <n v="0"/>
    <n v="0"/>
    <n v="0"/>
    <n v="0"/>
    <n v="0"/>
    <n v="0"/>
    <n v="0"/>
    <m/>
    <n v="0"/>
    <n v="0"/>
    <n v="0"/>
    <n v="0"/>
    <n v="0"/>
    <n v="230.52798609420259"/>
    <n v="0"/>
    <n v="6.77"/>
    <n v="30.51"/>
    <n v="2115.67"/>
    <n v="1"/>
    <m/>
    <m/>
    <m/>
    <m/>
    <m/>
    <m/>
    <m/>
    <m/>
    <m/>
    <n v="1608.4751590287574"/>
    <m/>
    <m/>
    <m/>
    <m/>
    <m/>
    <m/>
    <m/>
    <m/>
    <m/>
    <m/>
    <m/>
    <m/>
    <n v="4029.1468999999997"/>
    <n v="-1243.4040600000017"/>
    <m/>
    <m/>
    <m/>
    <m/>
    <n v="-1396.8126400000006"/>
    <n v="152.2304399999999"/>
    <n v="31"/>
    <n v="196.99852988827479"/>
    <n v="4.5883167250092285"/>
    <n v="6.9114314590506964"/>
    <n v="0"/>
    <n v="0"/>
    <n v="0"/>
    <n v="0"/>
    <n v="0"/>
    <n v="16.217686774825211"/>
    <n v="0"/>
    <n v="0"/>
    <n v="152.18432495456841"/>
    <n v="0"/>
    <n v="0"/>
    <n v="0"/>
    <n v="25.460153071156412"/>
    <n v="0"/>
    <n v="-7.153006062746158"/>
    <m/>
    <n v="0"/>
    <n v="0"/>
    <n v="0"/>
    <n v="0"/>
    <n v="-0.92933553678731329"/>
    <n v="-0.28104149680161505"/>
    <n v="0"/>
    <n v="0"/>
    <m/>
    <m/>
    <m/>
    <n v="2569.8826196811933"/>
    <n v="0"/>
    <n v="0"/>
    <n v="-1396.8126400000006"/>
    <n v="152.23043999999982"/>
    <n v="0"/>
    <n v="0"/>
    <n v="-1441.677677782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"/>
    <s v="Regular"/>
    <s v="Verde"/>
    <s v="A4"/>
    <s v="Poder público"/>
    <s v="Não se aplica"/>
    <s v="Não se aplica"/>
    <s v="Não se aplica"/>
    <s v="Ponta"/>
    <s v="CATIVO"/>
    <x v="0"/>
    <n v="0"/>
    <n v="0"/>
    <n v="0.25900000000000001"/>
    <n v="0.25900000000000001"/>
    <n v="0.25900000000000001"/>
    <n v="0.25900000000000001"/>
    <m/>
    <n v="1614.19"/>
    <n v="209.4"/>
    <m/>
    <n v="472.30981000000003"/>
    <n v="472.30981000000003"/>
    <n v="313.94685000000004"/>
    <n v="0"/>
    <n v="13.866336691719683"/>
    <n v="0"/>
    <n v="0"/>
    <n v="0"/>
    <n v="80.657259499095233"/>
    <n v="301.17468358087126"/>
    <n v="53.522543159875475"/>
    <n v="0.71301792572467648"/>
    <n v="0"/>
    <n v="0"/>
    <n v="0"/>
    <n v="0"/>
    <n v="2.4629868260872767"/>
    <m/>
    <n v="0.34391167590360305"/>
    <n v="6.2664856715456949"/>
    <n v="9.3340242930929715"/>
    <n v="0"/>
    <n v="0"/>
    <n v="0"/>
    <n v="0"/>
    <n v="0"/>
    <n v="0"/>
    <n v="0"/>
    <n v="0"/>
    <n v="0"/>
    <n v="0"/>
    <m/>
    <n v="0"/>
    <n v="0"/>
    <n v="0"/>
    <n v="0"/>
    <n v="0"/>
    <n v="3.9690290175561356"/>
    <n v="0"/>
    <n v="0"/>
    <n v="0"/>
    <n v="0"/>
    <n v="0"/>
    <m/>
    <m/>
    <m/>
    <m/>
    <m/>
    <m/>
    <m/>
    <m/>
    <m/>
    <n v="57.491572177431614"/>
    <m/>
    <m/>
    <m/>
    <m/>
    <m/>
    <m/>
    <m/>
    <m/>
    <m/>
    <m/>
    <m/>
    <m/>
    <n v="315.15899999999999"/>
    <n v="-157.18081000000001"/>
    <m/>
    <m/>
    <m/>
    <m/>
    <n v="-164.27593000000002"/>
    <n v="5.9129699999999961"/>
    <n v="31"/>
    <n v="10.591383691256055"/>
    <n v="0.7565655392306736"/>
    <n v="1.12691570565012"/>
    <n v="0"/>
    <n v="0"/>
    <n v="0"/>
    <n v="0"/>
    <n v="0"/>
    <n v="2.6441415853937116"/>
    <n v="0"/>
    <n v="0"/>
    <n v="5.9111787887272413"/>
    <n v="0"/>
    <n v="0"/>
    <n v="0"/>
    <n v="0.43835062303259553"/>
    <n v="0"/>
    <n v="-0.24171968448090198"/>
    <m/>
    <n v="0"/>
    <n v="0"/>
    <n v="0"/>
    <n v="0"/>
    <n v="-3.609746611096476E-2"/>
    <n v="-7.9514001864472994E-3"/>
    <n v="0"/>
    <n v="0"/>
    <m/>
    <m/>
    <m/>
    <n v="301.17468358087126"/>
    <n v="0"/>
    <n v="0"/>
    <n v="-164.27593000000002"/>
    <n v="5.9129700000000014"/>
    <n v="0"/>
    <n v="0"/>
    <n v="-168.95589514727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"/>
    <s v="Regular"/>
    <s v="Verde"/>
    <s v="A4"/>
    <s v="Poder público"/>
    <s v="Não se aplica"/>
    <s v="Não se aplica"/>
    <s v="Não se aplica"/>
    <s v="Fora ponta"/>
    <s v="CATIVO"/>
    <x v="0"/>
    <n v="0"/>
    <n v="0"/>
    <n v="5.6760000000000002"/>
    <n v="5.6760000000000002"/>
    <n v="5.6760000000000002"/>
    <n v="5.6760000000000002"/>
    <m/>
    <n v="79.7"/>
    <n v="209.4"/>
    <m/>
    <n v="1640.9315999999999"/>
    <n v="1640.9315999999999"/>
    <n v="1773.8635199999999"/>
    <n v="0"/>
    <n v="303.88157166872941"/>
    <n v="0"/>
    <n v="0"/>
    <n v="0"/>
    <n v="0"/>
    <n v="0"/>
    <n v="1172.949633109858"/>
    <n v="15.625829136730749"/>
    <n v="0"/>
    <n v="0"/>
    <n v="0"/>
    <n v="0"/>
    <n v="53.976498937727349"/>
    <m/>
    <n v="7.53684429509208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.981500786288137"/>
    <n v="0"/>
    <n v="0"/>
    <n v="0"/>
    <n v="0"/>
    <n v="0"/>
    <m/>
    <m/>
    <m/>
    <m/>
    <m/>
    <m/>
    <m/>
    <m/>
    <m/>
    <n v="1259.9311338961461"/>
    <m/>
    <m/>
    <m/>
    <m/>
    <m/>
    <m/>
    <m/>
    <m/>
    <m/>
    <m/>
    <m/>
    <m/>
    <n v="1775.1135999999999"/>
    <n v="134.15200000000004"/>
    <m/>
    <m/>
    <m/>
    <m/>
    <n v="3.3488400000000196"/>
    <n v="129.58307999999991"/>
    <n v="31"/>
    <n v="132.88767045147097"/>
    <n v="0"/>
    <n v="0"/>
    <n v="0"/>
    <n v="0"/>
    <n v="0"/>
    <n v="0"/>
    <n v="0"/>
    <n v="0"/>
    <n v="0"/>
    <n v="0"/>
    <n v="129.54382550121909"/>
    <n v="0"/>
    <n v="0"/>
    <n v="0"/>
    <n v="9.6064792908610315"/>
    <n v="0"/>
    <n v="-5.2973008846084895"/>
    <m/>
    <n v="0"/>
    <n v="0"/>
    <n v="0"/>
    <n v="0"/>
    <n v="-0.79107806040863693"/>
    <n v="-0.17425539559179537"/>
    <n v="0"/>
    <n v="0"/>
    <m/>
    <m/>
    <m/>
    <n v="0"/>
    <n v="0"/>
    <n v="0"/>
    <n v="3.3488400000000524"/>
    <n v="129.5830799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"/>
    <s v="Regular"/>
    <s v="Verde"/>
    <s v="A4"/>
    <s v="Poder público"/>
    <s v="Não se aplica"/>
    <s v="Não se aplica"/>
    <s v="Não se aplica"/>
    <s v="Não se aplica"/>
    <s v="CATIVO"/>
    <x v="0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8.01"/>
    <n v="36.06"/>
    <n v="1765.11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3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565.24599999999998"/>
    <n v="565.24599999999998"/>
    <n v="565.24599999999998"/>
    <n v="565.24599999999998"/>
    <m/>
    <n v="319.73"/>
    <n v="115.17"/>
    <m/>
    <n v="245825.48540000001"/>
    <n v="245825.48540000001"/>
    <n v="187791.67858000001"/>
    <n v="0"/>
    <n v="19131.230827259056"/>
    <n v="0"/>
    <n v="0"/>
    <n v="0"/>
    <n v="23064.936307190244"/>
    <n v="119816.84600845459"/>
    <n v="64244.679100466681"/>
    <n v="855.85633878105295"/>
    <n v="0"/>
    <n v="0"/>
    <n v="0"/>
    <n v="0"/>
    <n v="2956.3953603250602"/>
    <m/>
    <n v="566.73280821575383"/>
    <n v="1771.8847905988227"/>
    <n v="2669.0093595345047"/>
    <n v="0"/>
    <n v="0"/>
    <n v="0"/>
    <n v="0"/>
    <n v="0"/>
    <n v="0"/>
    <n v="0"/>
    <n v="0"/>
    <n v="0"/>
    <n v="0"/>
    <m/>
    <n v="0"/>
    <n v="0"/>
    <n v="0"/>
    <n v="0"/>
    <n v="0"/>
    <n v="10748.014714350931"/>
    <n v="0"/>
    <n v="313.89999999999998"/>
    <n v="1413.64"/>
    <n v="62827.07"/>
    <n v="42"/>
    <m/>
    <m/>
    <m/>
    <m/>
    <m/>
    <m/>
    <m/>
    <m/>
    <m/>
    <n v="74992.693814817612"/>
    <m/>
    <m/>
    <m/>
    <m/>
    <m/>
    <m/>
    <m/>
    <m/>
    <m/>
    <m/>
    <m/>
    <m/>
    <n v="187793.00750000001"/>
    <n v="-58032.507900000026"/>
    <m/>
    <m/>
    <m/>
    <m/>
    <n v="-65127.644120000012"/>
    <n v="7093.8372999999983"/>
    <n v="31"/>
    <n v="9184.7551085594896"/>
    <n v="213.9232485827124"/>
    <n v="322.23491940258054"/>
    <n v="0"/>
    <n v="0"/>
    <n v="0"/>
    <n v="0"/>
    <n v="0"/>
    <n v="756.12483777704256"/>
    <n v="0"/>
    <n v="0"/>
    <n v="7095.3613555486736"/>
    <n v="0"/>
    <n v="0"/>
    <n v="0"/>
    <n v="1187.0406906976987"/>
    <n v="0"/>
    <n v="-333.49796576468725"/>
    <m/>
    <n v="0"/>
    <n v="0"/>
    <n v="0"/>
    <n v="0"/>
    <n v="-43.328847803656572"/>
    <n v="-13.103129880866391"/>
    <n v="0"/>
    <n v="0"/>
    <m/>
    <m/>
    <m/>
    <n v="119816.84600845459"/>
    <n v="0"/>
    <n v="0"/>
    <n v="-65127.644119999997"/>
    <n v="7093.837299999992"/>
    <n v="0"/>
    <n v="0"/>
    <n v="-67216.016400813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80.024000000000001"/>
    <n v="75.222560000000001"/>
    <n v="80.024000000000001"/>
    <n v="75.222560000000001"/>
    <m/>
    <n v="581.32000000000005"/>
    <n v="209.4"/>
    <m/>
    <n v="63276.577280000005"/>
    <n v="63276.577280000005"/>
    <n v="48340.097679999999"/>
    <n v="0"/>
    <n v="4924.5095079136163"/>
    <n v="0"/>
    <n v="0"/>
    <n v="0"/>
    <n v="5937.0721711402593"/>
    <n v="30841.674678669435"/>
    <n v="16537.019281180987"/>
    <n v="220.30326829417572"/>
    <n v="0"/>
    <n v="0"/>
    <n v="0"/>
    <n v="0"/>
    <n v="760.99636204945261"/>
    <m/>
    <n v="145.88089640988949"/>
    <n v="456.09524954341748"/>
    <n v="687.02124219893665"/>
    <n v="0"/>
    <n v="0"/>
    <n v="0"/>
    <n v="0"/>
    <n v="0"/>
    <n v="0"/>
    <n v="0"/>
    <n v="0"/>
    <n v="0"/>
    <n v="0"/>
    <m/>
    <n v="0"/>
    <n v="0"/>
    <n v="0"/>
    <n v="0"/>
    <n v="0"/>
    <n v="2766.6124113980904"/>
    <n v="0"/>
    <n v="77.489999999999995"/>
    <n v="349.22"/>
    <n v="24651.81"/>
    <n v="21"/>
    <m/>
    <m/>
    <m/>
    <m/>
    <n v="2900.4058607999996"/>
    <m/>
    <m/>
    <m/>
    <m/>
    <n v="19303.631692579078"/>
    <m/>
    <m/>
    <m/>
    <m/>
    <m/>
    <m/>
    <m/>
    <m/>
    <m/>
    <m/>
    <m/>
    <m/>
    <n v="45438.145399999994"/>
    <n v="-14041.867243200017"/>
    <m/>
    <m/>
    <m/>
    <m/>
    <n v="-16763.427520000005"/>
    <n v="1826.9479199999987"/>
    <n v="31"/>
    <n v="2364.2187096249763"/>
    <n v="55.06530557920496"/>
    <n v="82.945469567947384"/>
    <n v="0"/>
    <n v="0"/>
    <n v="0"/>
    <n v="0"/>
    <n v="0"/>
    <n v="194.63169863056555"/>
    <n v="0"/>
    <n v="0"/>
    <n v="1826.3944841278317"/>
    <n v="0"/>
    <n v="0"/>
    <n v="0"/>
    <n v="305.55238292834747"/>
    <n v="0"/>
    <n v="-85.844654643850845"/>
    <m/>
    <n v="0"/>
    <n v="0"/>
    <n v="0"/>
    <n v="0"/>
    <n v="-11.153141421095938"/>
    <n v="-3.3728351439790458"/>
    <n v="0"/>
    <n v="0"/>
    <m/>
    <m/>
    <m/>
    <n v="30841.674678669435"/>
    <n v="0"/>
    <n v="0"/>
    <n v="-16763.427520000005"/>
    <n v="1826.9479199999987"/>
    <n v="0"/>
    <n v="0"/>
    <n v="-17301.861800666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26.690999999999999"/>
    <n v="26.690999999999999"/>
    <n v="26.690999999999999"/>
    <n v="26.690999999999999"/>
    <m/>
    <n v="581.32000000000005"/>
    <n v="209.4"/>
    <m/>
    <n v="21105.107520000001"/>
    <n v="21105.107520000001"/>
    <n v="16123.232369999998"/>
    <n v="0"/>
    <n v="1642.508288459991"/>
    <n v="0"/>
    <n v="0"/>
    <n v="0"/>
    <n v="1980.2358457450846"/>
    <n v="10286.853179650678"/>
    <n v="5515.7150559082484"/>
    <n v="73.479387859140303"/>
    <n v="0"/>
    <n v="0"/>
    <n v="0"/>
    <n v="0"/>
    <n v="253.82077751002123"/>
    <m/>
    <n v="48.656740553788367"/>
    <n v="152.12484136713181"/>
    <n v="229.14730550249695"/>
    <n v="0"/>
    <n v="0"/>
    <n v="0"/>
    <n v="0"/>
    <n v="0"/>
    <n v="0"/>
    <n v="0"/>
    <n v="0"/>
    <n v="0"/>
    <n v="0"/>
    <m/>
    <n v="0"/>
    <n v="0"/>
    <n v="0"/>
    <n v="0"/>
    <n v="0"/>
    <n v="922.76881776250161"/>
    <n v="0"/>
    <n v="27.36"/>
    <n v="123.52"/>
    <n v="8235.48"/>
    <n v="19"/>
    <m/>
    <m/>
    <m/>
    <m/>
    <m/>
    <m/>
    <m/>
    <m/>
    <m/>
    <n v="6438.4838736707497"/>
    <m/>
    <m/>
    <m/>
    <m/>
    <m/>
    <m/>
    <m/>
    <m/>
    <m/>
    <m/>
    <m/>
    <m/>
    <n v="16122.6283"/>
    <n v="-4982.5092199999999"/>
    <m/>
    <m/>
    <m/>
    <m/>
    <n v="-5591.2306800000015"/>
    <n v="609.35552999999959"/>
    <n v="31"/>
    <n v="788.55545309657282"/>
    <n v="18.366340987885621"/>
    <n v="27.665419477132929"/>
    <n v="0"/>
    <n v="0"/>
    <n v="0"/>
    <n v="0"/>
    <n v="0"/>
    <n v="64.916958264376035"/>
    <n v="0"/>
    <n v="0"/>
    <n v="609.17093841667429"/>
    <n v="0"/>
    <n v="0"/>
    <n v="0"/>
    <n v="101.91315921149294"/>
    <n v="0"/>
    <n v="-28.632406241865283"/>
    <m/>
    <n v="0"/>
    <n v="0"/>
    <n v="0"/>
    <n v="0"/>
    <n v="-3.7199902238137383"/>
    <n v="-1.1249667953107192"/>
    <n v="0"/>
    <n v="0"/>
    <m/>
    <m/>
    <m/>
    <n v="10286.853179650678"/>
    <n v="0"/>
    <n v="0"/>
    <n v="-5591.2306800000024"/>
    <n v="609.35552999999891"/>
    <n v="0"/>
    <n v="0"/>
    <n v="-5770.8186709185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1.61"/>
    <n v="189.54"/>
    <n v="1086.08"/>
    <n v="1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7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75"/>
    <n v="12.51"/>
    <n v="150.01"/>
    <n v="1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8"/>
    <s v="Regular"/>
    <s v="Convencional"/>
    <s v="B2"/>
    <s v="Rural"/>
    <s v="Agropecuária rural"/>
    <s v="IRRIG./AQUIC."/>
    <s v="Não se aplica"/>
    <s v="Não se aplica"/>
    <s v="CATIVO"/>
    <x v="0"/>
    <n v="0"/>
    <n v="0"/>
    <n v="51.761000000000003"/>
    <n v="51.761000000000003"/>
    <n v="51.761000000000003"/>
    <n v="51.761000000000003"/>
    <m/>
    <n v="581.32000000000005"/>
    <n v="209.4"/>
    <m/>
    <n v="40928.457920000001"/>
    <n v="40928.457920000001"/>
    <n v="31267.267269999997"/>
    <n v="0"/>
    <n v="3185.2636289002885"/>
    <n v="0"/>
    <n v="0"/>
    <n v="0"/>
    <n v="3840.207845776154"/>
    <n v="19948.96434872799"/>
    <n v="10696.449252889246"/>
    <n v="142.49621951133199"/>
    <n v="0"/>
    <n v="0"/>
    <n v="0"/>
    <n v="0"/>
    <n v="492.22649075329548"/>
    <m/>
    <n v="94.35845595161814"/>
    <n v="295.01082439789104"/>
    <n v="444.37801806282067"/>
    <n v="0"/>
    <n v="0"/>
    <n v="0"/>
    <n v="0"/>
    <n v="0"/>
    <n v="0"/>
    <n v="0"/>
    <n v="0"/>
    <n v="0"/>
    <n v="0"/>
    <m/>
    <n v="0"/>
    <n v="0"/>
    <n v="0"/>
    <n v="0"/>
    <n v="0"/>
    <n v="1789.495964040495"/>
    <n v="0"/>
    <n v="0"/>
    <n v="0"/>
    <n v="0"/>
    <n v="0"/>
    <m/>
    <m/>
    <m/>
    <m/>
    <m/>
    <n v="3752.1548899999962"/>
    <m/>
    <m/>
    <m/>
    <n v="12485.94521692974"/>
    <m/>
    <m/>
    <m/>
    <m/>
    <m/>
    <m/>
    <m/>
    <m/>
    <m/>
    <m/>
    <m/>
    <m/>
    <n v="27514.580800000003"/>
    <n v="-8503.3410500000027"/>
    <m/>
    <m/>
    <m/>
    <m/>
    <n v="-10842.894280000004"/>
    <n v="1181.7036299999993"/>
    <n v="31"/>
    <n v="1529.220291773694"/>
    <n v="35.617255849310595"/>
    <n v="53.650660430702374"/>
    <n v="0"/>
    <n v="0"/>
    <n v="0"/>
    <n v="0"/>
    <n v="0"/>
    <n v="125.89137449785994"/>
    <n v="0"/>
    <n v="0"/>
    <n v="1181.3456574645188"/>
    <n v="0"/>
    <n v="0"/>
    <n v="0"/>
    <n v="197.63692008340217"/>
    <n v="0"/>
    <n v="-55.525906840702191"/>
    <m/>
    <n v="0"/>
    <n v="0"/>
    <n v="0"/>
    <n v="0"/>
    <n v="-7.2140576964078491"/>
    <n v="-2.1816120149892555"/>
    <n v="0"/>
    <n v="0"/>
    <m/>
    <m/>
    <m/>
    <n v="19948.96434872799"/>
    <n v="0"/>
    <n v="0"/>
    <n v="-10842.894280000004"/>
    <n v="1181.7036299999982"/>
    <n v="0"/>
    <n v="0"/>
    <n v="-11191.163509250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2.024"/>
    <n v="2.024"/>
    <n v="2.024"/>
    <n v="2.024"/>
    <m/>
    <n v="581.32000000000005"/>
    <n v="209.4"/>
    <m/>
    <n v="1600.4172800000001"/>
    <n v="1600.4172800000001"/>
    <n v="1222.63768"/>
    <n v="0"/>
    <n v="124.55272473279464"/>
    <n v="0"/>
    <n v="0"/>
    <n v="0"/>
    <n v="150.16287706672853"/>
    <n v="780.06035126495726"/>
    <n v="418.26110948103462"/>
    <n v="5.5720010875163908"/>
    <n v="0"/>
    <n v="0"/>
    <n v="0"/>
    <n v="0"/>
    <n v="19.247433729732233"/>
    <m/>
    <n v="3.6896797752376327"/>
    <n v="11.535749088721845"/>
    <n v="17.376424500283012"/>
    <n v="0"/>
    <n v="0"/>
    <n v="0"/>
    <n v="0"/>
    <n v="0"/>
    <n v="0"/>
    <n v="0"/>
    <n v="0"/>
    <n v="0"/>
    <n v="0"/>
    <m/>
    <n v="0"/>
    <n v="0"/>
    <n v="0"/>
    <n v="0"/>
    <n v="0"/>
    <n v="69.974301717856335"/>
    <n v="0"/>
    <n v="0"/>
    <n v="0"/>
    <n v="0"/>
    <n v="0"/>
    <m/>
    <m/>
    <m/>
    <m/>
    <m/>
    <n v="146.71975999999984"/>
    <m/>
    <m/>
    <m/>
    <n v="488.23541119889097"/>
    <m/>
    <m/>
    <m/>
    <m/>
    <m/>
    <m/>
    <m/>
    <m/>
    <m/>
    <m/>
    <m/>
    <m/>
    <n v="1073.7916"/>
    <n v="-334.63879999999995"/>
    <m/>
    <m/>
    <m/>
    <m/>
    <n v="-423.98752000000013"/>
    <n v="46.207919999999966"/>
    <n v="31"/>
    <n v="59.796794315217085"/>
    <n v="1.3927344108306379"/>
    <n v="2.0978910127652384"/>
    <n v="0"/>
    <n v="0"/>
    <n v="0"/>
    <n v="0"/>
    <n v="0"/>
    <n v="4.9227051638041814"/>
    <n v="0"/>
    <n v="0"/>
    <n v="46.193922271752626"/>
    <n v="0"/>
    <n v="0"/>
    <n v="0"/>
    <n v="7.728156841034874"/>
    <n v="0"/>
    <n v="-2.1712183969703318"/>
    <m/>
    <n v="0"/>
    <n v="0"/>
    <n v="0"/>
    <n v="0"/>
    <n v="-0.2820898509984282"/>
    <n v="-8.5307137001569444E-2"/>
    <n v="0"/>
    <n v="0"/>
    <m/>
    <m/>
    <m/>
    <n v="780.06035126495726"/>
    <n v="0"/>
    <n v="0"/>
    <n v="-423.98752000000025"/>
    <n v="46.207920000000001"/>
    <n v="0"/>
    <n v="0"/>
    <n v="-437.605821810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37.344999999999999"/>
    <n v="14.938000000000001"/>
    <n v="37.344999999999999"/>
    <n v="14.938000000000001"/>
    <m/>
    <n v="581.32000000000005"/>
    <n v="209.4"/>
    <m/>
    <n v="29529.438399999999"/>
    <n v="29529.438399999999"/>
    <n v="22558.994149999999"/>
    <n v="0"/>
    <n v="2298.13315471651"/>
    <n v="0"/>
    <n v="0"/>
    <n v="0"/>
    <n v="2770.668302399692"/>
    <n v="14392.961372524618"/>
    <n v="7717.3721015658284"/>
    <n v="102.80947658759862"/>
    <n v="0"/>
    <n v="0"/>
    <n v="0"/>
    <n v="0"/>
    <n v="355.13607343717894"/>
    <m/>
    <n v="68.078602374629142"/>
    <n v="212.84710954462318"/>
    <n v="320.61391944815665"/>
    <n v="0"/>
    <n v="0"/>
    <n v="0"/>
    <n v="0"/>
    <n v="0"/>
    <n v="0"/>
    <n v="0"/>
    <n v="0"/>
    <n v="0"/>
    <n v="0"/>
    <m/>
    <n v="0"/>
    <n v="0"/>
    <n v="0"/>
    <n v="0"/>
    <n v="0"/>
    <n v="1291.1019257180558"/>
    <n v="0"/>
    <n v="0"/>
    <n v="0"/>
    <n v="0"/>
    <n v="0"/>
    <m/>
    <m/>
    <m/>
    <m/>
    <m/>
    <m/>
    <n v="14618.252109999996"/>
    <m/>
    <m/>
    <n v="9008.4740272838844"/>
    <m/>
    <m/>
    <m/>
    <m/>
    <m/>
    <m/>
    <m/>
    <m/>
    <m/>
    <m/>
    <m/>
    <m/>
    <n v="7941.8052000000007"/>
    <n v="-2452.8320999999996"/>
    <m/>
    <m/>
    <m/>
    <m/>
    <n v="-7823.0306000000028"/>
    <n v="852.58634999999936"/>
    <n v="31"/>
    <n v="1103.3158516313197"/>
    <n v="25.697463721576156"/>
    <n v="38.708369501836899"/>
    <n v="0"/>
    <n v="0"/>
    <n v="0"/>
    <n v="0"/>
    <n v="0"/>
    <n v="90.829261038669756"/>
    <n v="0"/>
    <n v="0"/>
    <n v="852.32807669891372"/>
    <n v="0"/>
    <n v="0"/>
    <n v="0"/>
    <n v="142.5928938875727"/>
    <n v="0"/>
    <n v="-40.061339444099758"/>
    <m/>
    <n v="0"/>
    <n v="0"/>
    <n v="0"/>
    <n v="0"/>
    <n v="-5.2048643703242305"/>
    <n v="-1.5740094028278691"/>
    <n v="0"/>
    <n v="0"/>
    <m/>
    <m/>
    <m/>
    <n v="14392.961372524618"/>
    <n v="0"/>
    <n v="0"/>
    <n v="-7823.0306000000019"/>
    <n v="852.58634999999958"/>
    <n v="0"/>
    <n v="0"/>
    <n v="-8074.303070902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0.79500000000000004"/>
    <n v="0.318"/>
    <n v="0.79500000000000004"/>
    <n v="0.318"/>
    <m/>
    <n v="581.32000000000005"/>
    <n v="209.4"/>
    <m/>
    <n v="628.62240000000008"/>
    <n v="628.62240000000008"/>
    <n v="480.23564999999996"/>
    <n v="0"/>
    <n v="48.922636443958375"/>
    <n v="0"/>
    <n v="0"/>
    <n v="0"/>
    <n v="58.981960112672525"/>
    <n v="306.39722295239181"/>
    <n v="164.2873429038649"/>
    <n v="2.1886071465294124"/>
    <n v="0"/>
    <n v="0"/>
    <n v="0"/>
    <n v="0"/>
    <n v="7.5601333078740733"/>
    <m/>
    <n v="1.4492566310839516"/>
    <n v="4.5310872161728595"/>
    <n v="6.8252260265439695"/>
    <n v="0"/>
    <n v="0"/>
    <n v="0"/>
    <n v="0"/>
    <n v="0"/>
    <n v="0"/>
    <n v="0"/>
    <n v="0"/>
    <n v="0"/>
    <n v="0"/>
    <m/>
    <n v="0"/>
    <n v="0"/>
    <n v="0"/>
    <n v="0"/>
    <n v="0"/>
    <n v="27.484965348663927"/>
    <n v="0"/>
    <n v="0"/>
    <n v="0"/>
    <n v="0"/>
    <n v="0"/>
    <m/>
    <m/>
    <m/>
    <m/>
    <m/>
    <m/>
    <n v="311.19320999999997"/>
    <m/>
    <m/>
    <n v="191.77230825252883"/>
    <m/>
    <m/>
    <m/>
    <m/>
    <m/>
    <m/>
    <m/>
    <m/>
    <m/>
    <m/>
    <m/>
    <m/>
    <n v="170.10560000000001"/>
    <n v="-51.204699999999974"/>
    <m/>
    <m/>
    <m/>
    <m/>
    <n v="-166.53660000000008"/>
    <n v="18.149849999999986"/>
    <n v="31"/>
    <n v="23.487377213734078"/>
    <n v="0.54704735998535359"/>
    <n v="0.82402339681243397"/>
    <n v="0"/>
    <n v="0"/>
    <n v="0"/>
    <n v="0"/>
    <n v="0"/>
    <n v="1.9335724334112285"/>
    <n v="0"/>
    <n v="0"/>
    <n v="18.144351880456185"/>
    <n v="0"/>
    <n v="0"/>
    <n v="0"/>
    <n v="3.0355161505052983"/>
    <n v="0"/>
    <n v="-0.85282540790089456"/>
    <m/>
    <n v="0"/>
    <n v="0"/>
    <n v="0"/>
    <n v="0"/>
    <n v="-0.11080110254137754"/>
    <n v="-3.3507496994193531E-2"/>
    <n v="0"/>
    <n v="0"/>
    <m/>
    <m/>
    <m/>
    <n v="306.39722295239181"/>
    <n v="0"/>
    <n v="0"/>
    <n v="-166.53660000000008"/>
    <n v="18.149849999999986"/>
    <n v="0"/>
    <n v="0"/>
    <n v="-171.8856859383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"/>
    <s v="Regular"/>
    <s v="Verde"/>
    <s v="A4"/>
    <s v="Rural"/>
    <s v="Agropecuária rural"/>
    <s v="Não se aplica"/>
    <s v="Não se aplica"/>
    <s v="Ponta"/>
    <s v="CATIVO"/>
    <x v="0"/>
    <n v="0"/>
    <n v="0"/>
    <n v="13.455"/>
    <n v="12.9168"/>
    <n v="13.455"/>
    <n v="12.9168"/>
    <m/>
    <n v="1614.19"/>
    <n v="209.4"/>
    <m/>
    <n v="24536.403450000002"/>
    <n v="24536.403450000002"/>
    <n v="16309.47825"/>
    <n v="0"/>
    <n v="720.35351423586224"/>
    <n v="0"/>
    <n v="0"/>
    <n v="0"/>
    <n v="4190.1290600784796"/>
    <n v="15645.966670195456"/>
    <n v="2780.4857846182413"/>
    <n v="37.041143593148732"/>
    <n v="0"/>
    <n v="0"/>
    <n v="0"/>
    <n v="0"/>
    <n v="127.95169013515176"/>
    <m/>
    <n v="17.866145170976754"/>
    <n v="325.54272089053023"/>
    <n v="484.90076009098817"/>
    <n v="0"/>
    <n v="0"/>
    <n v="0"/>
    <n v="0"/>
    <n v="0"/>
    <n v="0"/>
    <n v="0"/>
    <n v="0"/>
    <n v="0"/>
    <n v="0"/>
    <m/>
    <n v="0"/>
    <n v="0"/>
    <n v="0"/>
    <n v="0"/>
    <n v="0"/>
    <n v="206.19029124022319"/>
    <n v="0"/>
    <n v="0"/>
    <n v="0"/>
    <n v="0"/>
    <n v="0"/>
    <m/>
    <m/>
    <m/>
    <m/>
    <m/>
    <n v="652.37912999999969"/>
    <m/>
    <m/>
    <m/>
    <n v="2986.6760758584646"/>
    <m/>
    <m/>
    <m/>
    <m/>
    <m/>
    <m/>
    <m/>
    <m/>
    <m/>
    <m/>
    <m/>
    <m/>
    <n v="15660.977999999999"/>
    <n v="-7893.9993119999963"/>
    <m/>
    <m/>
    <m/>
    <m/>
    <n v="-8534.1028500000011"/>
    <n v="307.1776499999998"/>
    <n v="31"/>
    <n v="550.22033809208551"/>
    <n v="39.303433707910074"/>
    <n v="58.543053357229212"/>
    <n v="0"/>
    <n v="0"/>
    <n v="0"/>
    <n v="0"/>
    <n v="0"/>
    <n v="137.36264490915983"/>
    <n v="0"/>
    <n v="0"/>
    <n v="307.08459692017368"/>
    <n v="0"/>
    <n v="0"/>
    <n v="0"/>
    <n v="22.772230242870904"/>
    <n v="0"/>
    <n v="-12.557290944751117"/>
    <m/>
    <n v="0"/>
    <n v="0"/>
    <n v="0"/>
    <n v="0"/>
    <n v="-1.8752563958418165"/>
    <n v="-0.41307370466659776"/>
    <n v="0"/>
    <n v="0"/>
    <m/>
    <m/>
    <m/>
    <n v="15645.966670195456"/>
    <n v="0"/>
    <n v="0"/>
    <n v="-8534.1028500000029"/>
    <n v="307.17764999999963"/>
    <n v="0"/>
    <n v="0"/>
    <n v="-8777.2261359328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"/>
    <s v="Regular"/>
    <s v="Verde"/>
    <s v="A4"/>
    <s v="Rural"/>
    <s v="Agropecuária rural"/>
    <s v="Não se aplica"/>
    <s v="Não se aplica"/>
    <s v="Fora ponta"/>
    <s v="CATIVO"/>
    <x v="0"/>
    <n v="0"/>
    <n v="0"/>
    <n v="127.242"/>
    <n v="122.15232"/>
    <n v="127.242"/>
    <n v="122.15232"/>
    <m/>
    <n v="79.7"/>
    <n v="209.4"/>
    <m/>
    <n v="36785.662199999999"/>
    <n v="36785.662199999999"/>
    <n v="39765.669840000002"/>
    <n v="0"/>
    <n v="6812.2795881382081"/>
    <n v="0"/>
    <n v="0"/>
    <n v="0"/>
    <n v="0"/>
    <n v="0"/>
    <n v="26294.654195941603"/>
    <n v="350.29276797320188"/>
    <n v="0"/>
    <n v="0"/>
    <n v="0"/>
    <n v="0"/>
    <n v="1210.0207325289471"/>
    <m/>
    <n v="168.957565503190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9.9119314744316"/>
    <n v="0"/>
    <n v="0"/>
    <n v="0"/>
    <n v="0"/>
    <n v="0"/>
    <m/>
    <m/>
    <m/>
    <m/>
    <m/>
    <n v="1590.6267936000004"/>
    <m/>
    <m/>
    <m/>
    <n v="28244.566127416034"/>
    <m/>
    <m/>
    <m/>
    <m/>
    <m/>
    <m/>
    <m/>
    <m/>
    <m/>
    <m/>
    <m/>
    <m/>
    <n v="38174.317999999999"/>
    <n v="2860.052287999999"/>
    <m/>
    <m/>
    <m/>
    <m/>
    <n v="75.072780000000435"/>
    <n v="2904.934859999998"/>
    <n v="31"/>
    <n v="2979.0156736409699"/>
    <n v="0"/>
    <n v="0"/>
    <n v="0"/>
    <n v="0"/>
    <n v="0"/>
    <n v="0"/>
    <n v="0"/>
    <n v="0"/>
    <n v="0"/>
    <n v="0"/>
    <n v="2904.0548704063003"/>
    <n v="0"/>
    <n v="0"/>
    <n v="0"/>
    <n v="215.3537064707084"/>
    <n v="0"/>
    <n v="-118.75249456648271"/>
    <m/>
    <n v="0"/>
    <n v="0"/>
    <n v="0"/>
    <n v="0"/>
    <n v="-17.734030049773764"/>
    <n v="-3.9063786197835384"/>
    <n v="0"/>
    <n v="0"/>
    <m/>
    <m/>
    <m/>
    <n v="0"/>
    <n v="0"/>
    <n v="0"/>
    <n v="75.072780000000421"/>
    <n v="2904.934860000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"/>
    <s v="Sistema de Compensação"/>
    <s v="Verde"/>
    <s v="A4"/>
    <s v="Rural"/>
    <s v="Agropecuária rural"/>
    <s v="Não se aplica"/>
    <s v="Não se aplica"/>
    <s v="Fora ponta"/>
    <s v="CATIVO"/>
    <x v="0"/>
    <n v="0"/>
    <n v="0"/>
    <n v="0.61299999999999999"/>
    <n v="0.58848"/>
    <n v="0.61299999999999999"/>
    <n v="0.58848"/>
    <m/>
    <n v="79.7"/>
    <n v="209.4"/>
    <m/>
    <n v="177.2183"/>
    <n v="177.2183"/>
    <n v="191.57476"/>
    <n v="0"/>
    <n v="32.818781436386736"/>
    <n v="0"/>
    <n v="0"/>
    <n v="0"/>
    <n v="0"/>
    <n v="0"/>
    <n v="126.67690716989833"/>
    <n v="1.6875675230472074"/>
    <n v="0"/>
    <n v="0"/>
    <n v="0"/>
    <n v="0"/>
    <n v="5.8293858084613923"/>
    <m/>
    <n v="0.81396856111547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3938794894282278"/>
    <n v="0"/>
    <n v="0"/>
    <n v="0"/>
    <n v="0"/>
    <n v="0"/>
    <m/>
    <m/>
    <m/>
    <m/>
    <m/>
    <n v="7.6629903999999955"/>
    <m/>
    <m/>
    <m/>
    <n v="136.07078665932656"/>
    <m/>
    <m/>
    <m/>
    <m/>
    <m/>
    <m/>
    <m/>
    <m/>
    <m/>
    <m/>
    <m/>
    <m/>
    <n v="184.38679999999999"/>
    <n v="14.227231999999987"/>
    <m/>
    <m/>
    <m/>
    <m/>
    <n v="0.3616700000000021"/>
    <n v="13.994789999999989"/>
    <n v="31"/>
    <n v="14.35168111112614"/>
    <n v="0"/>
    <n v="0"/>
    <n v="0"/>
    <n v="0"/>
    <n v="0"/>
    <n v="0"/>
    <n v="0"/>
    <n v="0"/>
    <n v="0"/>
    <n v="0"/>
    <n v="13.990550569458662"/>
    <n v="0"/>
    <n v="0"/>
    <n v="0"/>
    <n v="1.0374862236254092"/>
    <n v="0"/>
    <n v="-0.5721010292926394"/>
    <m/>
    <n v="0"/>
    <n v="0"/>
    <n v="0"/>
    <n v="0"/>
    <n v="-8.5435315544484247E-2"/>
    <n v="-1.8819337120819402E-2"/>
    <n v="0"/>
    <n v="0"/>
    <m/>
    <m/>
    <m/>
    <n v="0"/>
    <n v="0"/>
    <n v="0"/>
    <n v="0.36167000000000371"/>
    <n v="13.9947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"/>
    <s v="Regular"/>
    <s v="Verde"/>
    <s v="A4"/>
    <s v="Rural"/>
    <s v="Agropecuária rural"/>
    <s v="Não se aplica"/>
    <s v="Não se aplica"/>
    <s v="Não se aplica"/>
    <s v="CATIVO"/>
    <x v="0"/>
    <n v="6629"/>
    <n v="6363.84"/>
    <n v="0"/>
    <n v="0"/>
    <n v="0"/>
    <n v="0"/>
    <n v="44.35"/>
    <m/>
    <m/>
    <n v="293996.15000000002"/>
    <m/>
    <n v="293996.15000000002"/>
    <n v="192042.13"/>
    <n v="0"/>
    <n v="0"/>
    <n v="0"/>
    <n v="0"/>
    <n v="0"/>
    <n v="86986.160188317444"/>
    <n v="190370.60302821023"/>
    <m/>
    <m/>
    <m/>
    <n v="0"/>
    <n v="0"/>
    <n v="0"/>
    <n v="0"/>
    <m/>
    <n v="0"/>
    <n v="6574.1164650205501"/>
    <n v="10058.124646902626"/>
    <n v="0"/>
    <n v="0"/>
    <m/>
    <m/>
    <n v="0"/>
    <n v="0"/>
    <n v="0"/>
    <m/>
    <m/>
    <n v="0"/>
    <m/>
    <n v="0"/>
    <n v="0"/>
    <n v="0"/>
    <n v="0"/>
    <m/>
    <n v="0"/>
    <n v="0"/>
    <n v="277.98"/>
    <n v="1253.68"/>
    <n v="765.02"/>
    <n v="122"/>
    <m/>
    <m/>
    <m/>
    <m/>
    <m/>
    <n v="7681.6851999999953"/>
    <m/>
    <m/>
    <m/>
    <n v="0"/>
    <m/>
    <m/>
    <m/>
    <m/>
    <m/>
    <m/>
    <m/>
    <m/>
    <m/>
    <m/>
    <m/>
    <m/>
    <n v="184360.4448"/>
    <n v="-97875.889200000034"/>
    <m/>
    <m/>
    <m/>
    <m/>
    <n v="-101954.02000000002"/>
    <n v="0"/>
    <n v="31"/>
    <n v="4859.6626192350232"/>
    <n v="793.70642957151267"/>
    <n v="1214.3378116519943"/>
    <n v="0"/>
    <n v="0"/>
    <m/>
    <m/>
    <m/>
    <n v="2851.618378011509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0370.60302821023"/>
    <m/>
    <n v="0"/>
    <n v="0"/>
    <n v="-101954.02000000002"/>
    <m/>
    <n v="0"/>
    <m/>
    <n v="-106795.94732842543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7"/>
    <s v="Sistema de Compensação"/>
    <s v="Verde"/>
    <s v="A4"/>
    <s v="Rural"/>
    <s v="Agropecuária rural"/>
    <s v="Não se aplica"/>
    <s v="Não se aplica"/>
    <s v="Não se aplica"/>
    <s v="CATIVO"/>
    <x v="0"/>
    <n v="545"/>
    <n v="523.19999999999993"/>
    <n v="0"/>
    <n v="0"/>
    <n v="0"/>
    <n v="0"/>
    <n v="44.35"/>
    <m/>
    <m/>
    <n v="24170.75"/>
    <m/>
    <n v="24170.75"/>
    <n v="15788.65"/>
    <n v="0"/>
    <n v="0"/>
    <n v="0"/>
    <n v="0"/>
    <n v="0"/>
    <n v="7151.524710006488"/>
    <n v="15651.226225731569"/>
    <m/>
    <m/>
    <m/>
    <n v="0"/>
    <n v="0"/>
    <n v="0"/>
    <n v="0"/>
    <m/>
    <n v="0"/>
    <n v="540.48777695522699"/>
    <n v="826.92380940744169"/>
    <n v="0"/>
    <n v="0"/>
    <m/>
    <m/>
    <n v="0"/>
    <n v="0"/>
    <n v="0"/>
    <m/>
    <m/>
    <n v="0"/>
    <m/>
    <n v="0"/>
    <n v="0"/>
    <n v="0"/>
    <n v="0"/>
    <m/>
    <n v="0"/>
    <n v="0"/>
    <n v="21.53"/>
    <n v="97.16"/>
    <n v="27.77"/>
    <n v="10"/>
    <m/>
    <m/>
    <m/>
    <m/>
    <m/>
    <n v="631.54600000000198"/>
    <m/>
    <m/>
    <m/>
    <n v="0"/>
    <m/>
    <m/>
    <m/>
    <m/>
    <m/>
    <m/>
    <m/>
    <m/>
    <m/>
    <m/>
    <m/>
    <m/>
    <n v="15157.104000000001"/>
    <n v="-8046.8459999999923"/>
    <m/>
    <m/>
    <m/>
    <m/>
    <n v="-8382.1000000000022"/>
    <n v="0"/>
    <n v="31"/>
    <n v="399.53479068986053"/>
    <n v="65.254186772737057"/>
    <n v="99.836190579323784"/>
    <n v="0"/>
    <n v="0"/>
    <m/>
    <m/>
    <m/>
    <n v="234.444413337800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651.226225731569"/>
    <m/>
    <n v="0"/>
    <n v="0"/>
    <n v="-8382.1"/>
    <m/>
    <n v="0"/>
    <m/>
    <n v="-8780.176692410899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8"/>
    <s v="Regular"/>
    <s v="Verde"/>
    <s v="A4"/>
    <s v="Rural"/>
    <s v="Agropecuária rural"/>
    <s v="IRRIG./AQUIC. PR"/>
    <s v="Não se aplica"/>
    <s v="Fora ponta"/>
    <s v="CATIVO"/>
    <x v="0"/>
    <n v="0"/>
    <n v="0"/>
    <n v="93.811999999999998"/>
    <n v="28.143599999999999"/>
    <n v="93.811999999999998"/>
    <n v="28.143599999999999"/>
    <m/>
    <n v="79.7"/>
    <n v="209.4"/>
    <m/>
    <n v="27121.049200000001"/>
    <n v="27121.049200000001"/>
    <n v="29318.126239999998"/>
    <n v="0"/>
    <n v="5022.5049332957797"/>
    <n v="0"/>
    <n v="0"/>
    <n v="0"/>
    <n v="0"/>
    <n v="0"/>
    <n v="19386.319764147636"/>
    <n v="258.26114922039903"/>
    <n v="0"/>
    <n v="0"/>
    <n v="0"/>
    <n v="0"/>
    <n v="892.11474953243089"/>
    <m/>
    <n v="124.567730269763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7.6160239188268"/>
    <n v="0"/>
    <n v="0"/>
    <n v="0"/>
    <n v="0"/>
    <n v="0"/>
    <m/>
    <m/>
    <m/>
    <m/>
    <m/>
    <m/>
    <n v="20522.688367999996"/>
    <m/>
    <m/>
    <n v="20823.935788066465"/>
    <m/>
    <m/>
    <m/>
    <m/>
    <m/>
    <m/>
    <m/>
    <m/>
    <m/>
    <m/>
    <m/>
    <m/>
    <n v="8794.3127999999997"/>
    <n v="657.96803999999975"/>
    <m/>
    <m/>
    <m/>
    <m/>
    <n v="55.34908000000032"/>
    <n v="2141.7279599999983"/>
    <n v="31"/>
    <n v="2196.3456906965221"/>
    <n v="0"/>
    <n v="0"/>
    <n v="0"/>
    <n v="0"/>
    <n v="0"/>
    <n v="0"/>
    <n v="0"/>
    <n v="0"/>
    <n v="0"/>
    <n v="0"/>
    <n v="2141.0791680620823"/>
    <n v="0"/>
    <n v="0"/>
    <n v="0"/>
    <n v="158.77431910399173"/>
    <n v="0"/>
    <n v="-87.552922936380128"/>
    <m/>
    <n v="0"/>
    <n v="0"/>
    <n v="0"/>
    <n v="0"/>
    <n v="-13.074808844794688"/>
    <n v="-2.8800646883822196"/>
    <n v="0"/>
    <n v="0"/>
    <m/>
    <m/>
    <m/>
    <n v="0"/>
    <n v="0"/>
    <n v="0"/>
    <n v="55.349080000000868"/>
    <n v="2141.72795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"/>
    <s v="Não se aplica"/>
    <s v="Não se aplica"/>
    <s v="Não se aplica"/>
    <s v="CATIVO"/>
    <x v="1"/>
    <n v="0"/>
    <n v="0"/>
    <n v="1362.52"/>
    <n v="1362.52"/>
    <n v="1362.52"/>
    <n v="1362.52"/>
    <m/>
    <n v="581.32000000000005"/>
    <n v="209.4"/>
    <m/>
    <n v="1077371.8144"/>
    <n v="1077371.8144"/>
    <n v="823057.45640000002"/>
    <n v="0"/>
    <n v="83846.629695122218"/>
    <n v="0"/>
    <n v="0"/>
    <n v="0"/>
    <n v="101086.91860719316"/>
    <n v="525122.44555609161"/>
    <n v="281565.77415518736"/>
    <n v="3750.9698230053523"/>
    <n v="0"/>
    <n v="0"/>
    <n v="0"/>
    <n v="0"/>
    <n v="12957.022433515198"/>
    <m/>
    <n v="2483.8253396031519"/>
    <n v="7765.6565456350245"/>
    <n v="11697.493038599609"/>
    <n v="0"/>
    <n v="0"/>
    <n v="0"/>
    <n v="0"/>
    <n v="0"/>
    <n v="0"/>
    <n v="0"/>
    <n v="0"/>
    <n v="0"/>
    <n v="0"/>
    <m/>
    <n v="0"/>
    <n v="0"/>
    <n v="0"/>
    <n v="0"/>
    <n v="0"/>
    <n v="47105.427656429652"/>
    <n v="0"/>
    <n v="1333.14"/>
    <n v="6622.2"/>
    <n v="403674.23"/>
    <n v="9301"/>
    <m/>
    <m/>
    <m/>
    <m/>
    <m/>
    <m/>
    <m/>
    <m/>
    <m/>
    <n v="328671.20181161701"/>
    <m/>
    <m/>
    <m/>
    <m/>
    <m/>
    <m/>
    <m/>
    <m/>
    <m/>
    <m/>
    <m/>
    <m/>
    <n v="823057.45640000002"/>
    <n v="-254314.38800000004"/>
    <m/>
    <m/>
    <m/>
    <m/>
    <n v="-285420.6896000001"/>
    <n v="31106.33159999998"/>
    <n v="31"/>
    <n v="40254.114718561992"/>
    <n v="937.56348292735038"/>
    <n v="1412.2620863206012"/>
    <n v="0"/>
    <n v="0"/>
    <n v="0"/>
    <n v="0"/>
    <n v="0"/>
    <n v="3313.8756125427171"/>
    <n v="0"/>
    <n v="0"/>
    <n v="31096.908583848039"/>
    <n v="0"/>
    <n v="0"/>
    <n v="0"/>
    <n v="5202.4546734421092"/>
    <n v="0"/>
    <n v="-1461.6247481423052"/>
    <m/>
    <n v="0"/>
    <n v="0"/>
    <n v="0"/>
    <n v="0"/>
    <n v="-189.89775878575892"/>
    <n v="-57.42721359060215"/>
    <n v="0"/>
    <n v="0"/>
    <m/>
    <m/>
    <m/>
    <n v="525122.44555609161"/>
    <n v="0"/>
    <n v="0"/>
    <n v="-285420.6896000001"/>
    <n v="31106.331599999976"/>
    <n v="0"/>
    <n v="0"/>
    <n v="-294588.2827732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0640000000000001"/>
    <n v="-1.0640000000000001"/>
    <n v="-1.0640000000000001"/>
    <n v="-1.0640000000000001"/>
    <m/>
    <n v="581.32000000000005"/>
    <n v="209.4"/>
    <m/>
    <n v="-841.32608000000005"/>
    <n v="-841.32608000000005"/>
    <n v="-642.73048000000006"/>
    <n v="0"/>
    <n v="-65.476333555184539"/>
    <n v="0"/>
    <n v="0"/>
    <n v="0"/>
    <n v="-78.939378062746627"/>
    <n v="-410.0712518507483"/>
    <n v="-219.87639352165061"/>
    <n v="-2.9291547218959684"/>
    <n v="0"/>
    <n v="0"/>
    <n v="0"/>
    <n v="0"/>
    <n v="-10.118216150412596"/>
    <m/>
    <n v="-1.9396340320419179"/>
    <n v="-6.0642475446640534"/>
    <n v="-9.1346421286072754"/>
    <n v="0"/>
    <n v="0"/>
    <n v="0"/>
    <n v="0"/>
    <n v="0"/>
    <n v="0"/>
    <n v="0"/>
    <n v="0"/>
    <n v="0"/>
    <n v="0"/>
    <m/>
    <n v="0"/>
    <n v="0"/>
    <n v="0"/>
    <n v="0"/>
    <n v="0"/>
    <n v="-36.784909598714989"/>
    <n v="0"/>
    <n v="-1.1100000000000001"/>
    <n v="-5.01"/>
    <n v="-349.9"/>
    <n v="0"/>
    <m/>
    <m/>
    <m/>
    <m/>
    <m/>
    <m/>
    <m/>
    <m/>
    <m/>
    <n v="-256.66130312036557"/>
    <m/>
    <m/>
    <m/>
    <m/>
    <m/>
    <m/>
    <m/>
    <m/>
    <m/>
    <m/>
    <m/>
    <m/>
    <n v="-640.31420000000003"/>
    <n v="200.98188000000005"/>
    <m/>
    <m/>
    <m/>
    <m/>
    <n v="222.88672000000008"/>
    <n v="-24.291119999999985"/>
    <n v="31"/>
    <n v="-31.434678434481782"/>
    <n v="-0.73214891952756833"/>
    <n v="-1.1028438920860744"/>
    <n v="0"/>
    <n v="0"/>
    <n v="0"/>
    <n v="0"/>
    <n v="0"/>
    <n v="-2.5878252442132634"/>
    <n v="0"/>
    <n v="0"/>
    <n v="-24.283761510447022"/>
    <n v="0"/>
    <n v="0"/>
    <n v="0"/>
    <n v="-4.062627904575649"/>
    <n v="0"/>
    <n v="1.141391489316419"/>
    <m/>
    <n v="0"/>
    <n v="0"/>
    <n v="0"/>
    <n v="0"/>
    <n v="0.14829229321261117"/>
    <n v="4.4845253838770027E-2"/>
    <n v="0"/>
    <n v="0"/>
    <m/>
    <m/>
    <m/>
    <n v="-410.0712518507483"/>
    <n v="0"/>
    <n v="0"/>
    <n v="222.88672000000003"/>
    <n v="-24.291120000000006"/>
    <n v="0"/>
    <n v="0"/>
    <n v="230.0457482243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46.905999999999999"/>
    <n v="46.905999999999999"/>
    <n v="46.905999999999999"/>
    <n v="46.905999999999999"/>
    <m/>
    <n v="581.32000000000005"/>
    <n v="209.4"/>
    <m/>
    <n v="37089.512320000002"/>
    <n v="37089.512320000002"/>
    <n v="28334.507419999994"/>
    <n v="0"/>
    <n v="2886.4970881010204"/>
    <n v="0"/>
    <n v="0"/>
    <n v="0"/>
    <n v="3480.0098377924746"/>
    <n v="18077.821559503005"/>
    <n v="9693.1598820738182"/>
    <n v="129.13057461019952"/>
    <n v="0"/>
    <n v="0"/>
    <n v="0"/>
    <n v="0"/>
    <n v="446.05737476621545"/>
    <m/>
    <n v="85.507964198268979"/>
    <n v="267.33984523497372"/>
    <n v="402.69692075606469"/>
    <n v="0"/>
    <n v="0"/>
    <n v="0"/>
    <n v="0"/>
    <n v="0"/>
    <n v="0"/>
    <n v="0"/>
    <n v="0"/>
    <n v="0"/>
    <n v="0"/>
    <m/>
    <n v="0"/>
    <n v="0"/>
    <n v="0"/>
    <n v="0"/>
    <n v="0"/>
    <n v="1621.6475278546291"/>
    <n v="0"/>
    <n v="46.95"/>
    <n v="227.19"/>
    <n v="38162.85"/>
    <n v="567"/>
    <m/>
    <m/>
    <m/>
    <m/>
    <m/>
    <m/>
    <m/>
    <m/>
    <m/>
    <n v="11314.807409928448"/>
    <m/>
    <m/>
    <m/>
    <m/>
    <m/>
    <m/>
    <m/>
    <m/>
    <m/>
    <m/>
    <m/>
    <m/>
    <n v="28336.923699999996"/>
    <n v="-8752.6186200000047"/>
    <m/>
    <m/>
    <m/>
    <m/>
    <n v="-9825.8688800000036"/>
    <n v="1070.8639799999992"/>
    <n v="31"/>
    <n v="1385.7847994810181"/>
    <n v="32.276482349022672"/>
    <n v="48.618416919350977"/>
    <n v="0"/>
    <n v="0"/>
    <n v="0"/>
    <n v="0"/>
    <n v="0"/>
    <n v="114.08320573784522"/>
    <n v="0"/>
    <n v="0"/>
    <n v="1070.5395840310412"/>
    <n v="0"/>
    <n v="0"/>
    <n v="0"/>
    <n v="179.09927113912136"/>
    <n v="0"/>
    <n v="-50.317771802514926"/>
    <m/>
    <n v="0"/>
    <n v="0"/>
    <n v="0"/>
    <n v="0"/>
    <n v="-6.5374044223973442"/>
    <n v="-1.9769844704523933"/>
    <n v="0"/>
    <n v="0"/>
    <m/>
    <m/>
    <m/>
    <n v="18077.821559503005"/>
    <n v="0"/>
    <n v="0"/>
    <n v="-9825.8688800000054"/>
    <n v="1070.8639799999983"/>
    <n v="0"/>
    <n v="0"/>
    <n v="-10141.471678772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0.03"/>
    <n v="0.03"/>
    <n v="0.03"/>
    <n v="0.03"/>
    <m/>
    <n v="581.32000000000005"/>
    <n v="209.4"/>
    <m/>
    <n v="23.721600000000002"/>
    <n v="23.721600000000002"/>
    <n v="18.1221"/>
    <n v="0"/>
    <n v="1.8461372243003158"/>
    <n v="0"/>
    <n v="0"/>
    <n v="0"/>
    <n v="2.2257343438744348"/>
    <n v="11.56215935669403"/>
    <n v="6.1995223737307494"/>
    <n v="8.25889489256382E-2"/>
    <n v="0"/>
    <n v="0"/>
    <n v="0"/>
    <n v="0"/>
    <n v="0.28528804935373858"/>
    <m/>
    <n v="5.4688929474866095E-2"/>
    <n v="0.17098442325180602"/>
    <n v="0.25755569911486675"/>
    <n v="0"/>
    <n v="0"/>
    <n v="0"/>
    <n v="0"/>
    <n v="0"/>
    <n v="0"/>
    <n v="0"/>
    <n v="0"/>
    <n v="0"/>
    <n v="0"/>
    <m/>
    <n v="0"/>
    <n v="0"/>
    <n v="0"/>
    <n v="0"/>
    <n v="0"/>
    <n v="1.037168503723167"/>
    <n v="0"/>
    <n v="0.02"/>
    <n v="0.11"/>
    <n v="2.9"/>
    <n v="2"/>
    <m/>
    <m/>
    <m/>
    <m/>
    <m/>
    <m/>
    <m/>
    <m/>
    <m/>
    <n v="7.2366908774539169"/>
    <m/>
    <m/>
    <m/>
    <m/>
    <m/>
    <m/>
    <m/>
    <m/>
    <m/>
    <m/>
    <m/>
    <m/>
    <n v="18.1221"/>
    <n v="-5.6295000000000073"/>
    <m/>
    <m/>
    <m/>
    <m/>
    <n v="-6.2844000000000024"/>
    <n v="0.68489999999999951"/>
    <n v="31"/>
    <n v="0.88631612127298531"/>
    <n v="2.0643296603220895E-2"/>
    <n v="3.1095222521223931E-2"/>
    <n v="0"/>
    <n v="0"/>
    <n v="0"/>
    <n v="0"/>
    <n v="0"/>
    <n v="7.2964997487215744E-2"/>
    <n v="0"/>
    <n v="0"/>
    <n v="0.68469252379080014"/>
    <n v="0"/>
    <n v="0"/>
    <n v="0"/>
    <n v="0.11454777926435078"/>
    <n v="0"/>
    <n v="-3.2182090864184776E-2"/>
    <m/>
    <n v="0"/>
    <n v="0"/>
    <n v="0"/>
    <n v="0"/>
    <n v="-4.1811736808067268E-3"/>
    <n v="-1.2644338488374957E-3"/>
    <n v="0"/>
    <n v="0"/>
    <m/>
    <m/>
    <m/>
    <n v="11.56215935669403"/>
    <n v="0"/>
    <n v="0"/>
    <n v="-6.2844000000000033"/>
    <n v="0.68489999999999984"/>
    <n v="0"/>
    <n v="0"/>
    <n v="-6.48625229956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38.04"/>
    <n v="38.04"/>
    <n v="38.04"/>
    <n v="38.04"/>
    <m/>
    <n v="510.28"/>
    <n v="209.4"/>
    <m/>
    <n v="27376.627199999999"/>
    <n v="27376.627199999999"/>
    <n v="20322.109199999999"/>
    <n v="0"/>
    <n v="0"/>
    <n v="0"/>
    <n v="0"/>
    <n v="0"/>
    <n v="2822.2311480327835"/>
    <n v="14660.818064288029"/>
    <n v="7860.9943698905909"/>
    <n v="104.72278723770924"/>
    <n v="0"/>
    <n v="0"/>
    <n v="0"/>
    <n v="0"/>
    <n v="0"/>
    <m/>
    <n v="69.345562574130213"/>
    <n v="216.80824868329"/>
    <n v="326.58062647765104"/>
    <n v="0"/>
    <n v="0"/>
    <n v="0"/>
    <n v="0"/>
    <n v="0"/>
    <n v="0"/>
    <n v="0"/>
    <n v="0"/>
    <n v="0"/>
    <n v="0"/>
    <m/>
    <n v="0"/>
    <n v="0"/>
    <n v="0"/>
    <n v="0"/>
    <n v="0"/>
    <n v="1315.1296627209758"/>
    <n v="0"/>
    <n v="11.16"/>
    <n v="38.99"/>
    <n v="2907.81"/>
    <n v="100"/>
    <m/>
    <m/>
    <m/>
    <m/>
    <m/>
    <m/>
    <m/>
    <n v="13209.39"/>
    <m/>
    <n v="9176.1240326115658"/>
    <m/>
    <m/>
    <m/>
    <m/>
    <m/>
    <m/>
    <m/>
    <m/>
    <m/>
    <m/>
    <m/>
    <m/>
    <n v="7112.7191999999995"/>
    <n v="-2469.2064000000009"/>
    <m/>
    <m/>
    <m/>
    <m/>
    <n v="-7922.971199999999"/>
    <n v="868.45319999999936"/>
    <n v="31"/>
    <n v="1169.9574612171909"/>
    <n v="26.175700092884114"/>
    <n v="39.428742156911937"/>
    <n v="0"/>
    <n v="0"/>
    <n v="0"/>
    <n v="0"/>
    <n v="0"/>
    <n v="92.519616813789526"/>
    <n v="0"/>
    <n v="0"/>
    <n v="868.19012016673423"/>
    <n v="0"/>
    <n v="0"/>
    <n v="0"/>
    <n v="145.2465841071969"/>
    <n v="0"/>
    <n v="0"/>
    <m/>
    <n v="0"/>
    <n v="0"/>
    <n v="0"/>
    <n v="0"/>
    <n v="0"/>
    <n v="-1.6033021203259494"/>
    <n v="0"/>
    <n v="0"/>
    <m/>
    <m/>
    <m/>
    <n v="14660.818064288029"/>
    <n v="0"/>
    <n v="0"/>
    <n v="-7922.9711999999981"/>
    <n v="868.45319999999901"/>
    <n v="0"/>
    <n v="0"/>
    <n v="-8224.567915842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71.980999999999995"/>
    <n v="71.980999999999995"/>
    <n v="71.980999999999995"/>
    <n v="71.980999999999995"/>
    <m/>
    <n v="510.28"/>
    <n v="209.4"/>
    <m/>
    <n v="51803.286079999998"/>
    <n v="51803.286079999998"/>
    <n v="38454.409629999995"/>
    <n v="0"/>
    <n v="0"/>
    <n v="0"/>
    <n v="0"/>
    <n v="0"/>
    <n v="5340.3527935475231"/>
    <n v="27741.859755139765"/>
    <n v="14874.927332783769"/>
    <n v="198.1611710872121"/>
    <n v="0"/>
    <n v="0"/>
    <n v="0"/>
    <n v="0"/>
    <n v="0"/>
    <m/>
    <n v="131.21879441767788"/>
    <n v="410.25432566960825"/>
    <n v="617.9705592662408"/>
    <n v="0"/>
    <n v="0"/>
    <n v="0"/>
    <n v="0"/>
    <n v="0"/>
    <n v="0"/>
    <n v="0"/>
    <n v="0"/>
    <n v="0"/>
    <n v="0"/>
    <m/>
    <n v="0"/>
    <n v="0"/>
    <n v="0"/>
    <n v="0"/>
    <n v="0"/>
    <n v="2488.5475355499093"/>
    <n v="0"/>
    <n v="31.24"/>
    <n v="180.92"/>
    <n v="10687.8"/>
    <n v="337"/>
    <m/>
    <m/>
    <m/>
    <m/>
    <m/>
    <m/>
    <m/>
    <n v="15381.619889999998"/>
    <m/>
    <n v="17363.47486833368"/>
    <m/>
    <m/>
    <m/>
    <m/>
    <m/>
    <m/>
    <m/>
    <m/>
    <m/>
    <m/>
    <m/>
    <m/>
    <n v="23072.4692"/>
    <n v="-8009.6764099999964"/>
    <m/>
    <m/>
    <m/>
    <m/>
    <n v="-14992.202679999997"/>
    <n v="1643.3262299999988"/>
    <n v="31"/>
    <n v="2213.846162352118"/>
    <n v="49.530837759881479"/>
    <n v="74.608840410007247"/>
    <n v="0"/>
    <n v="0"/>
    <n v="0"/>
    <n v="0"/>
    <n v="0"/>
    <n v="175.069782804243"/>
    <n v="0"/>
    <n v="0"/>
    <n v="1642.8284184995173"/>
    <n v="0"/>
    <n v="0"/>
    <n v="0"/>
    <n v="274.84212330757464"/>
    <n v="0"/>
    <n v="0"/>
    <m/>
    <n v="0"/>
    <n v="0"/>
    <n v="0"/>
    <n v="0"/>
    <n v="0"/>
    <n v="-3.0338404291057373"/>
    <n v="0"/>
    <n v="0"/>
    <m/>
    <m/>
    <m/>
    <n v="27741.859755139765"/>
    <n v="0"/>
    <n v="0"/>
    <n v="-14992.202679999999"/>
    <n v="1643.3262300000006"/>
    <n v="0"/>
    <n v="0"/>
    <n v="-15562.89755915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53.829000000000001"/>
    <n v="53.829000000000001"/>
    <n v="53.829000000000001"/>
    <n v="53.829000000000001"/>
    <m/>
    <n v="510.28"/>
    <n v="209.4"/>
    <m/>
    <n v="38739.654719999999"/>
    <n v="38739.654719999999"/>
    <n v="28757.06667"/>
    <n v="0"/>
    <n v="0"/>
    <n v="0"/>
    <n v="0"/>
    <n v="0"/>
    <n v="3993.6351332138984"/>
    <n v="20745.982533716098"/>
    <n v="11123.802995185086"/>
    <n v="148.18935105727263"/>
    <n v="0"/>
    <n v="0"/>
    <n v="0"/>
    <n v="0"/>
    <n v="0"/>
    <m/>
    <n v="98.128346156752244"/>
    <n v="306.79735064071554"/>
    <n v="462.13219092180549"/>
    <n v="0"/>
    <n v="0"/>
    <n v="0"/>
    <n v="0"/>
    <n v="0"/>
    <n v="0"/>
    <n v="0"/>
    <n v="0"/>
    <n v="0"/>
    <n v="0"/>
    <m/>
    <n v="0"/>
    <n v="0"/>
    <n v="0"/>
    <n v="0"/>
    <n v="0"/>
    <n v="1860.9914462304785"/>
    <n v="0"/>
    <n v="44.71"/>
    <n v="230.09"/>
    <n v="14241.4"/>
    <n v="668"/>
    <m/>
    <m/>
    <m/>
    <m/>
    <m/>
    <m/>
    <m/>
    <n v="2876.0834699999987"/>
    <m/>
    <n v="12984.794441415565"/>
    <m/>
    <m/>
    <m/>
    <m/>
    <m/>
    <m/>
    <m/>
    <m/>
    <m/>
    <m/>
    <m/>
    <m/>
    <n v="25881.464"/>
    <n v="-8984.1475900000005"/>
    <m/>
    <m/>
    <m/>
    <m/>
    <n v="-11211.504119999998"/>
    <n v="1228.9160699999991"/>
    <n v="31"/>
    <n v="1655.5636219731932"/>
    <n v="37.040267095159265"/>
    <n v="55.794157769831997"/>
    <n v="0"/>
    <n v="0"/>
    <n v="0"/>
    <n v="0"/>
    <n v="0"/>
    <n v="130.9210949913122"/>
    <n v="0"/>
    <n v="0"/>
    <n v="1228.5437954378303"/>
    <n v="0"/>
    <n v="0"/>
    <n v="0"/>
    <n v="205.53308033402504"/>
    <n v="0"/>
    <n v="0"/>
    <m/>
    <n v="0"/>
    <n v="0"/>
    <n v="0"/>
    <n v="0"/>
    <n v="0"/>
    <n v="-2.2687736549691238"/>
    <n v="0"/>
    <n v="0"/>
    <m/>
    <m/>
    <m/>
    <n v="20745.982533716098"/>
    <n v="0"/>
    <n v="0"/>
    <n v="-11211.504119999998"/>
    <n v="1228.9160699999993"/>
    <n v="0"/>
    <n v="0"/>
    <n v="-11638.282501100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0.62"/>
    <n v="10.62"/>
    <n v="10.62"/>
    <n v="10.62"/>
    <m/>
    <n v="510.28"/>
    <n v="209.4"/>
    <m/>
    <n v="7643.0015999999996"/>
    <n v="7643.0015999999996"/>
    <n v="5673.5225999999993"/>
    <n v="0"/>
    <n v="0"/>
    <n v="0"/>
    <n v="0"/>
    <n v="0"/>
    <n v="787.90995773154987"/>
    <n v="4093.0044122696863"/>
    <n v="2194.6309203006854"/>
    <n v="29.236487919675923"/>
    <n v="0"/>
    <n v="0"/>
    <n v="0"/>
    <n v="0"/>
    <n v="0"/>
    <m/>
    <n v="19.359881034102596"/>
    <n v="60.528485831139321"/>
    <n v="91.174717486662828"/>
    <n v="0"/>
    <n v="0"/>
    <n v="0"/>
    <n v="0"/>
    <n v="0"/>
    <n v="0"/>
    <n v="0"/>
    <n v="0"/>
    <n v="0"/>
    <n v="0"/>
    <m/>
    <n v="0"/>
    <n v="0"/>
    <n v="0"/>
    <n v="0"/>
    <n v="0"/>
    <n v="367.15765031800106"/>
    <n v="0"/>
    <n v="13.43"/>
    <n v="64.67"/>
    <n v="4031.79"/>
    <n v="163"/>
    <m/>
    <m/>
    <m/>
    <m/>
    <m/>
    <m/>
    <m/>
    <m/>
    <m/>
    <n v="2561.7885706186862"/>
    <m/>
    <m/>
    <m/>
    <m/>
    <m/>
    <m/>
    <m/>
    <m/>
    <m/>
    <m/>
    <m/>
    <m/>
    <n v="5673.5225999999993"/>
    <n v="-1969.5090000000009"/>
    <m/>
    <m/>
    <m/>
    <m/>
    <n v="-2211.9335999999994"/>
    <n v="242.4545999999998"/>
    <n v="31"/>
    <n v="326.62850257956325"/>
    <n v="7.3077269975402004"/>
    <n v="11.007708772513269"/>
    <n v="0"/>
    <n v="0"/>
    <n v="0"/>
    <n v="0"/>
    <n v="0"/>
    <n v="25.829609110474507"/>
    <n v="0"/>
    <n v="0"/>
    <n v="242.38115342194305"/>
    <n v="0"/>
    <n v="0"/>
    <n v="0"/>
    <n v="40.549913859580272"/>
    <n v="0"/>
    <n v="0"/>
    <m/>
    <n v="0"/>
    <n v="0"/>
    <n v="0"/>
    <n v="0"/>
    <n v="0"/>
    <n v="-0.4476095824884716"/>
    <n v="0"/>
    <n v="0"/>
    <m/>
    <m/>
    <m/>
    <n v="4093.0044122696863"/>
    <n v="0"/>
    <n v="0"/>
    <n v="-2211.9335999999994"/>
    <n v="242.45459999999957"/>
    <n v="0"/>
    <n v="0"/>
    <n v="-2296.133314044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"/>
    <s v="Regular"/>
    <s v="Branca"/>
    <s v="B1"/>
    <s v="Residencial"/>
    <s v="Residencial"/>
    <s v="Não se aplica"/>
    <s v="Não se aplica"/>
    <s v="Ponta"/>
    <s v="CATIVO"/>
    <x v="1"/>
    <n v="0"/>
    <n v="0"/>
    <n v="5.1999999999999998E-2"/>
    <n v="5.1999999999999998E-2"/>
    <n v="5.1999999999999998E-2"/>
    <n v="5.1999999999999998E-2"/>
    <m/>
    <n v="1292.1099999999999"/>
    <n v="209.4"/>
    <m/>
    <n v="78.078519999999997"/>
    <n v="78.078519999999997"/>
    <n v="51.832560000000001"/>
    <n v="0"/>
    <n v="3.199971188787214"/>
    <n v="0"/>
    <n v="0"/>
    <n v="0"/>
    <n v="9.6431326581847916"/>
    <n v="50.102708260963226"/>
    <n v="10.745838781133299"/>
    <n v="0.14315417813777287"/>
    <n v="0"/>
    <n v="0"/>
    <n v="0"/>
    <n v="0"/>
    <n v="0.49449928554648026"/>
    <m/>
    <n v="9.4794144423101231E-2"/>
    <n v="0.74093917417207478"/>
    <n v="1.1160746961644228"/>
    <n v="0"/>
    <n v="0"/>
    <n v="0"/>
    <n v="0"/>
    <n v="0"/>
    <n v="0"/>
    <n v="0"/>
    <n v="0"/>
    <n v="0"/>
    <n v="0"/>
    <m/>
    <n v="0"/>
    <n v="0"/>
    <n v="0"/>
    <n v="0"/>
    <n v="0"/>
    <n v="1.7977587397868227"/>
    <n v="0"/>
    <n v="0"/>
    <n v="0"/>
    <n v="0"/>
    <n v="0"/>
    <m/>
    <m/>
    <m/>
    <m/>
    <m/>
    <m/>
    <m/>
    <m/>
    <m/>
    <n v="12.543597520920121"/>
    <m/>
    <m/>
    <m/>
    <m/>
    <m/>
    <m/>
    <m/>
    <m/>
    <m/>
    <m/>
    <m/>
    <m/>
    <n v="49.838999999999999"/>
    <n v="-28.269520000000014"/>
    <m/>
    <m/>
    <m/>
    <m/>
    <n v="-27.433119999999995"/>
    <n v="1.1871599999999991"/>
    <n v="31"/>
    <n v="1.860454965677274"/>
    <n v="8.9455090975478768E-2"/>
    <n v="0.13474596425863572"/>
    <n v="0"/>
    <n v="0"/>
    <n v="0"/>
    <n v="0"/>
    <n v="0"/>
    <n v="0.31612539569686504"/>
    <n v="0"/>
    <n v="0"/>
    <n v="1.1868003745707192"/>
    <n v="0"/>
    <n v="0"/>
    <n v="0"/>
    <n v="0.19854948405820827"/>
    <n v="0"/>
    <n v="-5.5782290831253523E-2"/>
    <m/>
    <n v="0"/>
    <n v="0"/>
    <n v="0"/>
    <n v="0"/>
    <n v="-7.247367713398345E-3"/>
    <n v="-2.191685337984986E-3"/>
    <n v="0"/>
    <n v="0"/>
    <m/>
    <m/>
    <m/>
    <n v="50.102708260963226"/>
    <n v="0"/>
    <n v="0"/>
    <n v="-27.433119999999995"/>
    <n v="1.1871599999999987"/>
    <n v="0"/>
    <n v="0"/>
    <n v="-28.107103236188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"/>
    <s v="Regular"/>
    <s v="Branca"/>
    <s v="B1"/>
    <s v="Residencial"/>
    <s v="Residencial"/>
    <s v="Não se aplica"/>
    <s v="Não se aplica"/>
    <s v="Fora ponta"/>
    <s v="CATIVO"/>
    <x v="1"/>
    <n v="0"/>
    <n v="0"/>
    <n v="0.52600000000000002"/>
    <n v="0.52600000000000002"/>
    <n v="0.52600000000000002"/>
    <n v="0.52600000000000002"/>
    <m/>
    <n v="344.38"/>
    <n v="209.4"/>
    <m/>
    <n v="291.28827999999999"/>
    <n v="291.28827999999999"/>
    <n v="248.87689999999998"/>
    <n v="0"/>
    <n v="32.368939332732211"/>
    <n v="0"/>
    <n v="0"/>
    <n v="0"/>
    <n v="19.512271081299239"/>
    <n v="101.36159702701794"/>
    <n v="108.69829228607915"/>
    <n v="1.4480595711628566"/>
    <n v="0"/>
    <n v="0"/>
    <n v="0"/>
    <n v="0"/>
    <n v="5.0020504653355502"/>
    <m/>
    <n v="0.95887923012598564"/>
    <n v="1.4989634438408328"/>
    <n v="2.2579049622403322"/>
    <n v="0"/>
    <n v="0"/>
    <n v="0"/>
    <n v="0"/>
    <n v="0"/>
    <n v="0"/>
    <n v="0"/>
    <n v="0"/>
    <n v="0"/>
    <n v="0"/>
    <m/>
    <n v="0"/>
    <n v="0"/>
    <n v="0"/>
    <n v="0"/>
    <n v="0"/>
    <n v="18.185021098612861"/>
    <n v="0"/>
    <n v="0"/>
    <n v="0"/>
    <n v="0"/>
    <n v="0"/>
    <m/>
    <m/>
    <m/>
    <m/>
    <m/>
    <m/>
    <m/>
    <m/>
    <m/>
    <n v="126.88331338469202"/>
    <m/>
    <m/>
    <m/>
    <m/>
    <m/>
    <m/>
    <m/>
    <m/>
    <m/>
    <m/>
    <m/>
    <m/>
    <n v="250.76949999999999"/>
    <n v="-40.548779999999965"/>
    <m/>
    <m/>
    <m/>
    <m/>
    <n v="-54.419960000000003"/>
    <n v="12.008579999999991"/>
    <n v="31"/>
    <n v="14.446841830690801"/>
    <n v="0.18097290022156698"/>
    <n v="0.27260145076939901"/>
    <n v="0"/>
    <n v="0"/>
    <n v="0"/>
    <n v="0"/>
    <n v="0"/>
    <n v="0.63965981130459326"/>
    <n v="0"/>
    <n v="0"/>
    <n v="12.004942250465362"/>
    <n v="0"/>
    <n v="0"/>
    <n v="0"/>
    <n v="2.0084043964349547"/>
    <n v="0"/>
    <n v="-0.56425932648537724"/>
    <m/>
    <n v="0"/>
    <n v="0"/>
    <n v="0"/>
    <n v="0"/>
    <n v="-7.3309911870143907E-2"/>
    <n v="-2.2169740149617478E-2"/>
    <n v="0"/>
    <n v="0"/>
    <m/>
    <m/>
    <m/>
    <n v="101.36159702701794"/>
    <n v="0"/>
    <n v="0"/>
    <n v="-54.419960000000003"/>
    <n v="12.008579999999995"/>
    <n v="0"/>
    <n v="0"/>
    <n v="-56.862811826143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"/>
    <s v="Regular"/>
    <s v="Branca"/>
    <s v="B1"/>
    <s v="Residencial"/>
    <s v="Residencial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6000000000000005"/>
    <n v="2.74"/>
    <n v="171.1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71"/>
    <s v="Regular"/>
    <s v="Branca"/>
    <s v="B1"/>
    <s v="Residencial"/>
    <s v="Residencial"/>
    <s v="Não se aplica"/>
    <s v="Não se aplica"/>
    <s v="Intermediário"/>
    <s v="CATIVO"/>
    <x v="1"/>
    <n v="0"/>
    <n v="0"/>
    <n v="4.2999999999999997E-2"/>
    <n v="4.2999999999999997E-2"/>
    <n v="4.2999999999999997E-2"/>
    <n v="4.2999999999999997E-2"/>
    <m/>
    <n v="818.26"/>
    <n v="209.4"/>
    <m/>
    <n v="44.189379999999993"/>
    <n v="44.189379999999993"/>
    <n v="31.604140000000001"/>
    <n v="0"/>
    <n v="2.6461300214971195"/>
    <n v="0"/>
    <n v="0"/>
    <n v="0"/>
    <n v="4.7853288393300453"/>
    <n v="24.858657266073532"/>
    <n v="8.8859820690140747"/>
    <n v="0.11837749346008142"/>
    <n v="0"/>
    <n v="0"/>
    <n v="0"/>
    <n v="0"/>
    <n v="0.40891287074035865"/>
    <m/>
    <n v="7.8387465580641399E-2"/>
    <n v="0.36762202839162916"/>
    <n v="0.55374475309696181"/>
    <n v="0"/>
    <n v="0"/>
    <n v="0"/>
    <n v="0"/>
    <n v="0"/>
    <n v="0"/>
    <n v="0"/>
    <n v="0"/>
    <n v="0"/>
    <n v="0"/>
    <m/>
    <n v="0"/>
    <n v="0"/>
    <n v="0"/>
    <n v="0"/>
    <n v="0"/>
    <n v="1.4866081886698725"/>
    <n v="0"/>
    <n v="0"/>
    <n v="0"/>
    <n v="0"/>
    <n v="0"/>
    <m/>
    <m/>
    <m/>
    <m/>
    <m/>
    <m/>
    <m/>
    <m/>
    <m/>
    <n v="10.372590257683948"/>
    <m/>
    <m/>
    <m/>
    <m/>
    <m/>
    <m/>
    <m/>
    <m/>
    <m/>
    <m/>
    <m/>
    <m/>
    <n v="29.3992"/>
    <n v="-14.820179999999986"/>
    <m/>
    <m/>
    <m/>
    <m/>
    <n v="-13.566929999999999"/>
    <n v="0.98168999999999929"/>
    <n v="31"/>
    <n v="1.3597579603106382"/>
    <n v="4.438375394459132E-2"/>
    <n v="6.6854728420631671E-2"/>
    <n v="0"/>
    <n v="0"/>
    <n v="0"/>
    <n v="0"/>
    <n v="0"/>
    <n v="0.15687474459752337"/>
    <n v="0"/>
    <n v="0"/>
    <n v="0.98139261743347816"/>
    <n v="0"/>
    <n v="0"/>
    <n v="0"/>
    <n v="0.1641851502789029"/>
    <n v="0"/>
    <n v="-4.612766357199849E-2"/>
    <m/>
    <n v="0"/>
    <n v="0"/>
    <n v="0"/>
    <n v="0"/>
    <n v="-5.9930156091563269E-3"/>
    <n v="-1.8123551833337387E-3"/>
    <n v="0"/>
    <n v="0"/>
    <m/>
    <m/>
    <m/>
    <n v="24.858657266073532"/>
    <n v="0"/>
    <n v="0"/>
    <n v="-13.566929999999996"/>
    <n v="0.9816900000000004"/>
    <n v="0"/>
    <n v="0"/>
    <n v="-13.94545066209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2"/>
    <s v="Regular"/>
    <s v="Convencional"/>
    <s v="B3"/>
    <s v="Industrial"/>
    <s v="Não se aplica"/>
    <s v="Não se aplica"/>
    <s v="Não se aplica"/>
    <s v="Não se aplica"/>
    <s v="CATIVO"/>
    <x v="1"/>
    <n v="0"/>
    <n v="0"/>
    <n v="8.7360000000000007"/>
    <n v="8.7360000000000007"/>
    <n v="8.7360000000000007"/>
    <n v="8.7360000000000007"/>
    <m/>
    <n v="581.32000000000005"/>
    <n v="209.4"/>
    <m/>
    <n v="6907.7299200000007"/>
    <n v="6907.7299200000007"/>
    <n v="5277.1555200000003"/>
    <n v="0"/>
    <n v="537.59515971625206"/>
    <n v="0"/>
    <n v="0"/>
    <n v="0"/>
    <n v="648.13384093623552"/>
    <n v="3366.9008046693016"/>
    <n v="1805.3009152303946"/>
    <n v="24.049901927145847"/>
    <n v="0"/>
    <n v="0"/>
    <n v="0"/>
    <n v="0"/>
    <n v="83.075879971808689"/>
    <m/>
    <n v="15.92541626308101"/>
    <n v="49.790664050925912"/>
    <n v="75.000219582249215"/>
    <n v="0"/>
    <n v="0"/>
    <n v="0"/>
    <n v="0"/>
    <n v="0"/>
    <n v="0"/>
    <n v="0"/>
    <n v="0"/>
    <n v="0"/>
    <n v="0"/>
    <m/>
    <n v="0"/>
    <n v="0"/>
    <n v="0"/>
    <n v="0"/>
    <n v="0"/>
    <n v="302.02346828418627"/>
    <n v="0"/>
    <n v="7.5"/>
    <n v="36.22"/>
    <n v="1320.1"/>
    <n v="7"/>
    <m/>
    <m/>
    <m/>
    <m/>
    <m/>
    <m/>
    <m/>
    <m/>
    <m/>
    <n v="2107.3243835145809"/>
    <m/>
    <m/>
    <m/>
    <m/>
    <m/>
    <m/>
    <m/>
    <m/>
    <m/>
    <m/>
    <m/>
    <m/>
    <n v="5279.5717999999997"/>
    <n v="-1628.1881200000016"/>
    <m/>
    <m/>
    <m/>
    <m/>
    <n v="-1830.0172800000007"/>
    <n v="199.44287999999989"/>
    <n v="31"/>
    <n v="258.09525451469199"/>
    <n v="6.011327970857927"/>
    <n v="9.0549287981803985"/>
    <n v="0"/>
    <n v="0"/>
    <n v="0"/>
    <n v="0"/>
    <n v="0"/>
    <n v="21.247407268277243"/>
    <n v="0"/>
    <n v="0"/>
    <n v="199.38246292788085"/>
    <n v="0"/>
    <n v="0"/>
    <n v="0"/>
    <n v="33.356313321778998"/>
    <n v="0"/>
    <n v="-9.3714248596506877"/>
    <m/>
    <n v="0"/>
    <n v="0"/>
    <n v="0"/>
    <n v="0"/>
    <n v="-1.2175577758509206"/>
    <n v="-0.36820313678147976"/>
    <n v="0"/>
    <n v="0"/>
    <m/>
    <m/>
    <m/>
    <n v="3366.9008046693016"/>
    <n v="0"/>
    <n v="0"/>
    <n v="-1830.0172800000005"/>
    <n v="199.44288000000006"/>
    <n v="0"/>
    <n v="0"/>
    <n v="-1888.7966696318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2.2970000000000002"/>
    <n v="2.2970000000000002"/>
    <n v="2.2970000000000002"/>
    <n v="2.2970000000000002"/>
    <m/>
    <n v="581.32000000000005"/>
    <n v="209.4"/>
    <m/>
    <n v="1816.2838400000003"/>
    <n v="1816.2838400000003"/>
    <n v="1387.5487900000001"/>
    <n v="0"/>
    <n v="141.35257347392752"/>
    <n v="0"/>
    <n v="0"/>
    <n v="0"/>
    <n v="170.4170595959859"/>
    <n v="885.27600141087294"/>
    <n v="474.67676308198446"/>
    <n v="6.3235605227396992"/>
    <n v="0"/>
    <n v="0"/>
    <n v="0"/>
    <n v="0"/>
    <n v="21.843554978851255"/>
    <m/>
    <n v="4.187349033458915"/>
    <n v="13.091707340313281"/>
    <n v="19.720181362228299"/>
    <n v="0"/>
    <n v="0"/>
    <n v="0"/>
    <n v="0"/>
    <n v="0"/>
    <n v="0"/>
    <n v="0"/>
    <n v="0"/>
    <n v="0"/>
    <n v="0"/>
    <m/>
    <n v="0"/>
    <n v="0"/>
    <n v="0"/>
    <n v="0"/>
    <n v="0"/>
    <n v="79.412535101737163"/>
    <n v="0"/>
    <n v="1.97"/>
    <n v="9.48"/>
    <n v="388.87"/>
    <n v="2"/>
    <m/>
    <m/>
    <m/>
    <m/>
    <m/>
    <m/>
    <m/>
    <m/>
    <m/>
    <n v="554.08929818372167"/>
    <m/>
    <m/>
    <m/>
    <m/>
    <m/>
    <m/>
    <m/>
    <m/>
    <m/>
    <m/>
    <m/>
    <m/>
    <n v="1389.3609999999999"/>
    <n v="-426.95284000000038"/>
    <m/>
    <m/>
    <m/>
    <m/>
    <n v="-481.17556000000019"/>
    <n v="52.440509999999968"/>
    <n v="31"/>
    <n v="67.862271018801493"/>
    <n v="1.5805884099199474"/>
    <n v="2.3808575377083798"/>
    <n v="0"/>
    <n v="0"/>
    <n v="0"/>
    <n v="0"/>
    <n v="0"/>
    <n v="5.5866866409378417"/>
    <n v="0"/>
    <n v="0"/>
    <n v="52.424624238248896"/>
    <n v="0"/>
    <n v="0"/>
    <n v="0"/>
    <n v="8.7705416323404677"/>
    <n v="0"/>
    <n v="-2.4640754238344016"/>
    <m/>
    <n v="0"/>
    <n v="0"/>
    <n v="0"/>
    <n v="0"/>
    <n v="-0.32013853149376814"/>
    <n v="-9.6813485025990964E-2"/>
    <n v="0"/>
    <n v="0"/>
    <m/>
    <m/>
    <m/>
    <n v="885.27600141087294"/>
    <n v="0"/>
    <n v="0"/>
    <n v="-481.17556000000025"/>
    <n v="52.440509999999961"/>
    <n v="0"/>
    <n v="0"/>
    <n v="-496.63071773631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4"/>
    <s v="Regular"/>
    <s v="Verde"/>
    <s v="A4"/>
    <s v="Industrial"/>
    <s v="Não se aplica"/>
    <s v="Não se aplica"/>
    <s v="Não se aplica"/>
    <s v="Ponta"/>
    <s v="CATIVO"/>
    <x v="1"/>
    <n v="0"/>
    <n v="0"/>
    <n v="5.2439999999999998"/>
    <n v="5.2439999999999998"/>
    <n v="5.2439999999999998"/>
    <n v="5.2439999999999998"/>
    <m/>
    <n v="1614.19"/>
    <n v="209.4"/>
    <m/>
    <n v="9562.9059600000001"/>
    <n v="9562.9059600000001"/>
    <n v="6356.5145999999995"/>
    <n v="0"/>
    <n v="280.75316452269504"/>
    <n v="0"/>
    <n v="0"/>
    <n v="0"/>
    <n v="1633.0759413639203"/>
    <n v="6097.9152150505361"/>
    <n v="1083.676510928135"/>
    <n v="14.436548272201557"/>
    <n v="0"/>
    <n v="0"/>
    <n v="0"/>
    <n v="0"/>
    <n v="49.868351027033505"/>
    <m/>
    <n v="6.963215553816581"/>
    <n v="126.87818865477074"/>
    <n v="188.98696290725692"/>
    <n v="0"/>
    <n v="0"/>
    <n v="0"/>
    <n v="0"/>
    <n v="0"/>
    <n v="0"/>
    <n v="0"/>
    <n v="0"/>
    <n v="0"/>
    <n v="0"/>
    <m/>
    <n v="0"/>
    <n v="0"/>
    <n v="0"/>
    <n v="0"/>
    <n v="0"/>
    <n v="80.361344278240821"/>
    <n v="0"/>
    <n v="0"/>
    <n v="0"/>
    <n v="0"/>
    <n v="0"/>
    <m/>
    <m/>
    <m/>
    <m/>
    <m/>
    <m/>
    <m/>
    <m/>
    <m/>
    <n v="1164.0378552063758"/>
    <m/>
    <m/>
    <m/>
    <m/>
    <m/>
    <m/>
    <m/>
    <m/>
    <m/>
    <m/>
    <m/>
    <m/>
    <n v="6351.6659999999993"/>
    <n v="-3211.2699600000014"/>
    <m/>
    <m/>
    <m/>
    <m/>
    <n v="-3326.1118800000004"/>
    <n v="119.72051999999991"/>
    <n v="31"/>
    <n v="214.44484971794054"/>
    <n v="15.318261342570096"/>
    <n v="22.816779769997027"/>
    <n v="0"/>
    <n v="0"/>
    <n v="0"/>
    <n v="0"/>
    <n v="0"/>
    <n v="53.536210323570003"/>
    <n v="0"/>
    <n v="0"/>
    <n v="119.68425315863169"/>
    <n v="0"/>
    <n v="0"/>
    <n v="0"/>
    <n v="8.8753307613240509"/>
    <n v="0"/>
    <n v="-4.8941236502619745"/>
    <m/>
    <n v="0"/>
    <n v="0"/>
    <n v="0"/>
    <n v="0"/>
    <n v="-0.73086915940501029"/>
    <n v="-0.16099282848544316"/>
    <n v="0"/>
    <n v="0"/>
    <m/>
    <m/>
    <m/>
    <n v="6097.9152150505361"/>
    <n v="0"/>
    <n v="0"/>
    <n v="-3326.1118800000004"/>
    <n v="119.72052000000008"/>
    <n v="0"/>
    <n v="0"/>
    <n v="-3420.867622209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5"/>
    <s v="Regular"/>
    <s v="Verde"/>
    <s v="A4"/>
    <s v="Industrial"/>
    <s v="Não se aplica"/>
    <s v="Não se aplica"/>
    <s v="Não se aplica"/>
    <s v="Fora ponta"/>
    <s v="CATIVO"/>
    <x v="1"/>
    <n v="0"/>
    <n v="0"/>
    <n v="185.566"/>
    <n v="185.566"/>
    <n v="185.566"/>
    <n v="185.566"/>
    <m/>
    <n v="79.7"/>
    <n v="209.4"/>
    <m/>
    <n v="53647.130600000004"/>
    <n v="53647.130600000004"/>
    <n v="57993.086320000002"/>
    <n v="0"/>
    <n v="9934.8287047708673"/>
    <n v="0"/>
    <n v="0"/>
    <n v="0"/>
    <n v="0"/>
    <n v="0"/>
    <n v="38347.352293457348"/>
    <n v="510.8566965444993"/>
    <n v="0"/>
    <n v="0"/>
    <n v="0"/>
    <n v="0"/>
    <n v="1764.6587388791954"/>
    <m/>
    <n v="246.402756952617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3.6943578062619"/>
    <n v="0"/>
    <n v="0"/>
    <n v="0"/>
    <n v="0"/>
    <n v="0"/>
    <m/>
    <m/>
    <m/>
    <m/>
    <m/>
    <m/>
    <m/>
    <m/>
    <m/>
    <n v="41191.046651263612"/>
    <m/>
    <m/>
    <m/>
    <m/>
    <m/>
    <m/>
    <m/>
    <m/>
    <m/>
    <m/>
    <m/>
    <m/>
    <n v="57994.3364"/>
    <n v="4347.1757999999973"/>
    <m/>
    <m/>
    <m/>
    <m/>
    <n v="109.48394000000063"/>
    <n v="4236.4717799999971"/>
    <n v="31"/>
    <n v="4344.5090653625302"/>
    <n v="0"/>
    <n v="0"/>
    <n v="0"/>
    <n v="0"/>
    <n v="0"/>
    <n v="0"/>
    <n v="0"/>
    <n v="0"/>
    <n v="0"/>
    <n v="0"/>
    <n v="4235.1884289921145"/>
    <n v="0"/>
    <n v="0"/>
    <n v="0"/>
    <n v="314.06552785199437"/>
    <n v="0"/>
    <n v="-173.18515432580352"/>
    <m/>
    <n v="0"/>
    <n v="0"/>
    <n v="0"/>
    <n v="0"/>
    <n v="-25.862789175086164"/>
    <n v="-5.6969479806883498"/>
    <n v="0"/>
    <n v="0"/>
    <m/>
    <m/>
    <m/>
    <n v="0"/>
    <n v="0"/>
    <n v="0"/>
    <n v="109.48394000000008"/>
    <n v="4236.471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6"/>
    <s v="Regular"/>
    <s v="Verde"/>
    <s v="A4"/>
    <s v="Industrial"/>
    <s v="Não se aplica"/>
    <s v="Não se aplica"/>
    <s v="Não se aplica"/>
    <s v="Não se aplica"/>
    <s v="CATIVO"/>
    <x v="1"/>
    <n v="1350"/>
    <n v="1350"/>
    <n v="0"/>
    <n v="0"/>
    <n v="0"/>
    <n v="0"/>
    <n v="44.35"/>
    <m/>
    <m/>
    <n v="59872.5"/>
    <m/>
    <n v="59872.5"/>
    <n v="39109.5"/>
    <n v="0"/>
    <n v="0"/>
    <n v="0"/>
    <n v="0"/>
    <n v="0"/>
    <n v="17714.785978915155"/>
    <n v="38769.092485757101"/>
    <m/>
    <m/>
    <m/>
    <n v="0"/>
    <n v="0"/>
    <n v="0"/>
    <n v="0"/>
    <m/>
    <n v="0"/>
    <n v="1338.8229337423054"/>
    <n v="2048.3433811010027"/>
    <n v="0"/>
    <n v="0"/>
    <m/>
    <m/>
    <n v="0"/>
    <n v="0"/>
    <n v="0"/>
    <m/>
    <m/>
    <n v="0"/>
    <m/>
    <n v="0"/>
    <n v="0"/>
    <n v="0"/>
    <n v="0"/>
    <m/>
    <n v="0"/>
    <n v="0"/>
    <n v="147.22999999999999"/>
    <n v="706.9"/>
    <n v="23724.38"/>
    <n v="7"/>
    <m/>
    <m/>
    <m/>
    <m/>
    <m/>
    <m/>
    <m/>
    <m/>
    <m/>
    <n v="0"/>
    <m/>
    <m/>
    <m/>
    <m/>
    <m/>
    <m/>
    <m/>
    <m/>
    <m/>
    <m/>
    <m/>
    <m/>
    <n v="39109.5"/>
    <n v="-20763.030000000006"/>
    <m/>
    <m/>
    <m/>
    <m/>
    <n v="-20763.000000000004"/>
    <n v="0"/>
    <n v="31"/>
    <n v="989.6733347363479"/>
    <n v="161.63881127191758"/>
    <n v="247.30065556346244"/>
    <n v="0"/>
    <n v="0"/>
    <m/>
    <m/>
    <m/>
    <n v="580.733867900969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769.092485757101"/>
    <m/>
    <n v="0"/>
    <n v="0"/>
    <n v="-20763"/>
    <m/>
    <n v="0"/>
    <m/>
    <n v="-21749.06153166003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7"/>
    <s v="Regular"/>
    <s v="Convencional"/>
    <s v="B3"/>
    <s v="Comercial"/>
    <s v="Não se aplica"/>
    <s v="Não se aplica"/>
    <s v="Não se aplica"/>
    <s v="Não se aplica"/>
    <s v="CATIVO"/>
    <x v="1"/>
    <n v="0"/>
    <n v="0"/>
    <n v="295.86799999999999"/>
    <n v="295.86799999999999"/>
    <n v="295.86799999999999"/>
    <n v="295.86799999999999"/>
    <m/>
    <n v="581.32000000000005"/>
    <n v="209.4"/>
    <m/>
    <n v="233948.74496000001"/>
    <n v="233948.74496000001"/>
    <n v="178724.98275999998"/>
    <n v="0"/>
    <n v="18207.097609309531"/>
    <n v="0"/>
    <n v="0"/>
    <n v="0"/>
    <n v="21950.785628448044"/>
    <n v="114029.09881821164"/>
    <n v="61141.342855698982"/>
    <n v="814.5142380243575"/>
    <n v="0"/>
    <n v="0"/>
    <n v="0"/>
    <n v="0"/>
    <n v="2813.5868195397311"/>
    <m/>
    <n v="539.35680619565608"/>
    <n v="1686.2939779555113"/>
    <n v="2540.08298619058"/>
    <n v="0"/>
    <n v="0"/>
    <n v="0"/>
    <n v="0"/>
    <n v="0"/>
    <n v="0"/>
    <n v="0"/>
    <n v="0"/>
    <n v="0"/>
    <n v="0"/>
    <m/>
    <n v="0"/>
    <n v="0"/>
    <n v="0"/>
    <n v="0"/>
    <n v="0"/>
    <n v="10228.832361985533"/>
    <n v="0"/>
    <n v="299.45"/>
    <n v="1448.28"/>
    <n v="90337.85"/>
    <n v="818"/>
    <m/>
    <m/>
    <m/>
    <m/>
    <m/>
    <m/>
    <m/>
    <m/>
    <m/>
    <n v="71370.175217684518"/>
    <m/>
    <m/>
    <m/>
    <m/>
    <m/>
    <m/>
    <m/>
    <m/>
    <m/>
    <m/>
    <m/>
    <m/>
    <n v="178726.19089999999"/>
    <n v="-55222.584060000052"/>
    <m/>
    <m/>
    <m/>
    <m/>
    <n v="-61978.42864000002"/>
    <n v="6754.6664399999954"/>
    <n v="31"/>
    <n v="8741.0859389597899"/>
    <n v="203.58969598005865"/>
    <n v="306.66937656364917"/>
    <n v="0"/>
    <n v="0"/>
    <n v="0"/>
    <n v="0"/>
    <n v="0"/>
    <n v="719.60026255158664"/>
    <n v="0"/>
    <n v="0"/>
    <n v="6752.6202542978717"/>
    <n v="0"/>
    <n v="0"/>
    <n v="0"/>
    <n v="1129.700745179498"/>
    <n v="0"/>
    <n v="-317.38836199348953"/>
    <m/>
    <n v="0"/>
    <n v="0"/>
    <n v="0"/>
    <n v="0"/>
    <n v="-41.235849819764098"/>
    <n v="-12.47018379959502"/>
    <n v="0"/>
    <n v="0"/>
    <m/>
    <m/>
    <m/>
    <n v="114029.09881821164"/>
    <n v="0"/>
    <n v="0"/>
    <n v="-61978.428640000013"/>
    <n v="6754.6664400000009"/>
    <n v="0"/>
    <n v="0"/>
    <n v="-63969.1498455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8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0.03"/>
    <n v="0.03"/>
    <n v="0.03"/>
    <n v="0.03"/>
    <m/>
    <n v="581.32000000000005"/>
    <n v="209.4"/>
    <m/>
    <n v="23.721600000000002"/>
    <n v="23.721600000000002"/>
    <n v="18.1221"/>
    <n v="0"/>
    <n v="1.8461372243003158"/>
    <n v="0"/>
    <n v="0"/>
    <n v="0"/>
    <n v="2.2257343438744348"/>
    <n v="11.56215935669403"/>
    <n v="6.1995223737307494"/>
    <n v="8.25889489256382E-2"/>
    <n v="0"/>
    <n v="0"/>
    <n v="0"/>
    <n v="0"/>
    <n v="0.28528804935373858"/>
    <m/>
    <n v="5.4688929474866095E-2"/>
    <n v="0.17098442325180602"/>
    <n v="0.25755569911486675"/>
    <n v="0"/>
    <n v="0"/>
    <n v="0"/>
    <n v="0"/>
    <n v="0"/>
    <n v="0"/>
    <n v="0"/>
    <n v="0"/>
    <n v="0"/>
    <n v="0"/>
    <m/>
    <n v="0"/>
    <n v="0"/>
    <n v="0"/>
    <n v="0"/>
    <n v="0"/>
    <n v="1.037168503723167"/>
    <n v="0"/>
    <n v="0.03"/>
    <n v="0.13"/>
    <n v="9.07"/>
    <n v="0"/>
    <m/>
    <m/>
    <m/>
    <m/>
    <m/>
    <m/>
    <m/>
    <m/>
    <m/>
    <n v="7.2366908774539169"/>
    <m/>
    <m/>
    <m/>
    <m/>
    <m/>
    <m/>
    <m/>
    <m/>
    <m/>
    <m/>
    <m/>
    <m/>
    <n v="18.1221"/>
    <n v="-5.6295000000000073"/>
    <m/>
    <m/>
    <m/>
    <m/>
    <n v="-6.2844000000000024"/>
    <n v="0.68489999999999951"/>
    <n v="31"/>
    <n v="0.88631612127298531"/>
    <n v="2.0643296603220895E-2"/>
    <n v="3.1095222521223931E-2"/>
    <n v="0"/>
    <n v="0"/>
    <n v="0"/>
    <n v="0"/>
    <n v="0"/>
    <n v="7.2964997487215744E-2"/>
    <n v="0"/>
    <n v="0"/>
    <n v="0.68469252379080014"/>
    <n v="0"/>
    <n v="0"/>
    <n v="0"/>
    <n v="0.11454777926435078"/>
    <n v="0"/>
    <n v="-3.2182090864184776E-2"/>
    <m/>
    <n v="0"/>
    <n v="0"/>
    <n v="0"/>
    <n v="0"/>
    <n v="-4.1811736808067268E-3"/>
    <n v="-1.2644338488374957E-3"/>
    <n v="0"/>
    <n v="0"/>
    <m/>
    <m/>
    <m/>
    <n v="11.56215935669403"/>
    <n v="0"/>
    <n v="0"/>
    <n v="-6.2844000000000033"/>
    <n v="0.68489999999999984"/>
    <n v="0"/>
    <n v="0"/>
    <n v="-6.48625229956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9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9.481000000000002"/>
    <n v="19.481000000000002"/>
    <n v="19.481000000000002"/>
    <n v="19.481000000000002"/>
    <m/>
    <n v="581.32000000000005"/>
    <n v="209.4"/>
    <m/>
    <n v="15404.016320000002"/>
    <n v="15404.016320000002"/>
    <n v="11767.88767"/>
    <n v="0"/>
    <n v="1198.8199755531487"/>
    <n v="0"/>
    <n v="0"/>
    <n v="0"/>
    <n v="1445.3176917672622"/>
    <n v="7508.0808809252139"/>
    <n v="4025.7631787549585"/>
    <n v="53.630510467345268"/>
    <n v="0"/>
    <n v="0"/>
    <n v="0"/>
    <n v="0"/>
    <n v="185.25654964867275"/>
    <m/>
    <n v="35.51316783666222"/>
    <n v="111.03158497894778"/>
    <n v="167.24808581522402"/>
    <n v="0"/>
    <n v="0"/>
    <n v="0"/>
    <n v="0"/>
    <n v="0"/>
    <n v="0"/>
    <n v="0"/>
    <n v="0"/>
    <n v="0"/>
    <n v="0"/>
    <m/>
    <n v="0"/>
    <n v="0"/>
    <n v="0"/>
    <n v="0"/>
    <n v="0"/>
    <n v="673.50265403436731"/>
    <n v="0"/>
    <n v="19.71"/>
    <n v="95.48"/>
    <n v="15853.98"/>
    <n v="60"/>
    <m/>
    <m/>
    <m/>
    <m/>
    <m/>
    <m/>
    <m/>
    <m/>
    <m/>
    <n v="4699.2658327893259"/>
    <m/>
    <m/>
    <m/>
    <m/>
    <m/>
    <m/>
    <m/>
    <m/>
    <m/>
    <m/>
    <m/>
    <m/>
    <n v="11767.283599999999"/>
    <n v="-3636.7627200000043"/>
    <m/>
    <m/>
    <m/>
    <m/>
    <n v="-4080.8798800000018"/>
    <n v="444.75122999999974"/>
    <n v="31"/>
    <n v="575.54414528396501"/>
    <n v="13.405068704244883"/>
    <n v="20.192200997865427"/>
    <n v="0"/>
    <n v="0"/>
    <n v="0"/>
    <n v="0"/>
    <n v="0"/>
    <n v="47.3810372016153"/>
    <n v="0"/>
    <n v="0"/>
    <n v="444.61650186561883"/>
    <n v="0"/>
    <n v="0"/>
    <n v="0"/>
    <n v="74.383509594960628"/>
    <n v="0"/>
    <n v="-20.897977070839488"/>
    <m/>
    <n v="0"/>
    <n v="0"/>
    <n v="0"/>
    <n v="0"/>
    <n v="-2.715114815859863"/>
    <n v="-0.82108119364011145"/>
    <n v="0"/>
    <n v="0"/>
    <m/>
    <m/>
    <m/>
    <n v="7508.0808809252139"/>
    <n v="0"/>
    <n v="0"/>
    <n v="-4080.8798800000013"/>
    <n v="444.75123000000031"/>
    <n v="0"/>
    <n v="0"/>
    <n v="-4211.95603492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0"/>
    <s v="Regular"/>
    <s v="Verde"/>
    <s v="A4"/>
    <s v="Comercial"/>
    <s v="Não se aplica"/>
    <s v="Não se aplica"/>
    <s v="Não se aplica"/>
    <s v="Ponta"/>
    <s v="CATIVO"/>
    <x v="1"/>
    <n v="0"/>
    <n v="0"/>
    <n v="16.466000000000001"/>
    <n v="16.466000000000001"/>
    <n v="16.466000000000001"/>
    <n v="16.466000000000001"/>
    <m/>
    <n v="1614.19"/>
    <n v="209.4"/>
    <m/>
    <n v="30027.232940000002"/>
    <n v="30027.232940000002"/>
    <n v="19959.261900000001"/>
    <n v="0"/>
    <n v="881.55637052454176"/>
    <n v="0"/>
    <n v="0"/>
    <n v="0"/>
    <n v="5127.8086290042556"/>
    <n v="19147.267721400101"/>
    <n v="3402.7111801950177"/>
    <n v="45.330321100318628"/>
    <n v="0"/>
    <n v="0"/>
    <n v="0"/>
    <n v="0"/>
    <n v="156.58510068862202"/>
    <m/>
    <n v="21.864284383894706"/>
    <n v="398.39364118792054"/>
    <n v="593.41329733617329"/>
    <n v="0"/>
    <n v="0"/>
    <n v="0"/>
    <n v="0"/>
    <n v="0"/>
    <n v="0"/>
    <n v="0"/>
    <n v="0"/>
    <n v="0"/>
    <n v="0"/>
    <m/>
    <n v="0"/>
    <n v="0"/>
    <n v="0"/>
    <n v="0"/>
    <n v="0"/>
    <n v="252.33216912385842"/>
    <n v="0"/>
    <n v="0"/>
    <n v="0"/>
    <n v="0"/>
    <n v="0"/>
    <m/>
    <m/>
    <m/>
    <m/>
    <m/>
    <m/>
    <m/>
    <m/>
    <m/>
    <n v="3655.0433493188762"/>
    <m/>
    <m/>
    <m/>
    <m/>
    <m/>
    <m/>
    <m/>
    <m/>
    <m/>
    <m/>
    <m/>
    <m/>
    <n v="19964.110499999999"/>
    <n v="-10063.152439999998"/>
    <m/>
    <m/>
    <m/>
    <m/>
    <n v="-10443.889820000002"/>
    <n v="375.91877999999974"/>
    <n v="31"/>
    <n v="673.35028517459978"/>
    <n v="48.098873239275179"/>
    <n v="71.643992313648141"/>
    <n v="0"/>
    <n v="0"/>
    <n v="0"/>
    <n v="0"/>
    <n v="0"/>
    <n v="168.10206696946989"/>
    <n v="0"/>
    <n v="0"/>
    <n v="375.80490322464357"/>
    <n v="0"/>
    <n v="0"/>
    <n v="0"/>
    <n v="27.868267794805831"/>
    <n v="0"/>
    <n v="-15.367398936921063"/>
    <m/>
    <n v="0"/>
    <n v="0"/>
    <n v="0"/>
    <n v="0"/>
    <n v="-2.294906860938795"/>
    <n v="-0.50551256938240385"/>
    <n v="0"/>
    <n v="0"/>
    <m/>
    <m/>
    <m/>
    <n v="19147.267721400101"/>
    <n v="0"/>
    <n v="0"/>
    <n v="-10443.88982"/>
    <n v="375.91877999999951"/>
    <n v="0"/>
    <n v="0"/>
    <n v="-10741.419959440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1"/>
    <s v="Sistema de Compensação"/>
    <s v="Verde"/>
    <s v="A4"/>
    <s v="Comercial"/>
    <s v="Não se aplica"/>
    <s v="Não se aplica"/>
    <s v="Não se aplica"/>
    <s v="Ponta"/>
    <s v="CATIVO"/>
    <x v="1"/>
    <n v="0"/>
    <n v="0"/>
    <n v="0.254"/>
    <n v="0.254"/>
    <n v="0.254"/>
    <n v="0.254"/>
    <m/>
    <n v="1614.19"/>
    <n v="209.4"/>
    <m/>
    <n v="463.19186000000002"/>
    <n v="463.19186000000002"/>
    <n v="307.8861"/>
    <n v="0"/>
    <n v="13.598646794196137"/>
    <n v="0"/>
    <n v="0"/>
    <n v="0"/>
    <n v="79.100169547375245"/>
    <n v="295.36050050015945"/>
    <n v="52.489289430920351"/>
    <n v="0.69925310090373682"/>
    <n v="0"/>
    <n v="0"/>
    <n v="0"/>
    <n v="0"/>
    <n v="2.4154388178616535"/>
    <m/>
    <n v="0.33727245436106246"/>
    <n v="6.1455110446818786"/>
    <n v="9.1538307739212925"/>
    <n v="0"/>
    <n v="0"/>
    <n v="0"/>
    <n v="0"/>
    <n v="0"/>
    <n v="0"/>
    <n v="0"/>
    <n v="0"/>
    <n v="0"/>
    <n v="0"/>
    <m/>
    <n v="0"/>
    <n v="0"/>
    <n v="0"/>
    <n v="0"/>
    <n v="0"/>
    <n v="3.8924068357500325"/>
    <n v="0"/>
    <n v="0"/>
    <n v="0"/>
    <n v="0"/>
    <n v="0"/>
    <m/>
    <m/>
    <m/>
    <m/>
    <m/>
    <m/>
    <m/>
    <m/>
    <m/>
    <n v="56.381696266670382"/>
    <m/>
    <m/>
    <m/>
    <m/>
    <m/>
    <m/>
    <m/>
    <m/>
    <m/>
    <m/>
    <m/>
    <m/>
    <n v="303.03749999999997"/>
    <n v="-160.18436000000003"/>
    <m/>
    <m/>
    <m/>
    <m/>
    <n v="-161.10458000000003"/>
    <n v="5.7988199999999956"/>
    <n v="31"/>
    <n v="10.386916824629452"/>
    <n v="0.74196002689031282"/>
    <n v="1.1051605761974148"/>
    <n v="0"/>
    <n v="0"/>
    <n v="0"/>
    <n v="0"/>
    <n v="0"/>
    <n v="2.5930963810424856"/>
    <n v="0"/>
    <n v="0"/>
    <n v="5.7970633680954364"/>
    <n v="0"/>
    <n v="0"/>
    <n v="0"/>
    <n v="0.42988825579258405"/>
    <n v="0"/>
    <n v="-0.23705328130559522"/>
    <m/>
    <n v="0"/>
    <n v="0"/>
    <n v="0"/>
    <n v="0"/>
    <n v="-3.5400603830830324E-2"/>
    <n v="-7.7978982523460028E-3"/>
    <n v="0"/>
    <n v="0"/>
    <m/>
    <m/>
    <m/>
    <n v="295.36050050015945"/>
    <n v="0"/>
    <n v="0"/>
    <n v="-161.10458000000006"/>
    <n v="5.7988199999999921"/>
    <n v="0"/>
    <n v="0"/>
    <n v="-165.6941983297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2"/>
    <s v="Regular"/>
    <s v="Verde"/>
    <s v="A4"/>
    <s v="Comercial"/>
    <s v="Não se aplica"/>
    <s v="Não se aplica"/>
    <s v="Não se aplica"/>
    <s v="Fora ponta"/>
    <s v="CATIVO"/>
    <x v="1"/>
    <n v="0"/>
    <n v="0"/>
    <n v="232.05600000000001"/>
    <n v="232.05600000000001"/>
    <n v="232.05600000000001"/>
    <n v="232.05600000000001"/>
    <m/>
    <n v="79.7"/>
    <n v="209.4"/>
    <m/>
    <n v="67087.389599999995"/>
    <n v="67087.389599999995"/>
    <n v="72522.14112"/>
    <n v="0"/>
    <n v="12423.809371944799"/>
    <n v="0"/>
    <n v="0"/>
    <n v="0"/>
    <n v="0"/>
    <n v="0"/>
    <n v="47954.545465282099"/>
    <n v="638.84203772959665"/>
    <n v="0"/>
    <n v="0"/>
    <n v="0"/>
    <n v="0"/>
    <n v="2206.760119361039"/>
    <m/>
    <n v="308.134238855160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6.127404239408"/>
    <n v="0"/>
    <n v="0"/>
    <n v="0"/>
    <n v="0"/>
    <n v="0"/>
    <m/>
    <m/>
    <m/>
    <m/>
    <m/>
    <m/>
    <m/>
    <m/>
    <m/>
    <n v="51510.672869521506"/>
    <m/>
    <m/>
    <m/>
    <m/>
    <m/>
    <m/>
    <m/>
    <m/>
    <m/>
    <m/>
    <m/>
    <m/>
    <n v="72523.391199999998"/>
    <n v="5435.9716000000044"/>
    <m/>
    <m/>
    <m/>
    <m/>
    <n v="136.91304000000079"/>
    <n v="5297.8384799999967"/>
    <n v="31"/>
    <n v="5432.9424338066747"/>
    <n v="0"/>
    <n v="0"/>
    <n v="0"/>
    <n v="0"/>
    <n v="0"/>
    <n v="0"/>
    <n v="0"/>
    <n v="0"/>
    <n v="0"/>
    <n v="0"/>
    <n v="5296.2336100265966"/>
    <n v="0"/>
    <n v="0"/>
    <n v="0"/>
    <n v="392.74861844962106"/>
    <n v="0"/>
    <n v="-216.57337104980797"/>
    <m/>
    <n v="0"/>
    <n v="0"/>
    <n v="0"/>
    <n v="0"/>
    <n v="-32.342214655775933"/>
    <n v="-7.1242089639622463"/>
    <n v="0"/>
    <n v="0"/>
    <m/>
    <m/>
    <m/>
    <n v="0"/>
    <n v="0"/>
    <n v="0"/>
    <n v="136.91304000000309"/>
    <n v="5297.838479999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3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0.64700000000000002"/>
    <n v="0.64700000000000002"/>
    <n v="0.64700000000000002"/>
    <n v="0.64700000000000002"/>
    <m/>
    <n v="79.7"/>
    <n v="209.4"/>
    <m/>
    <n v="187.04770000000002"/>
    <n v="187.04770000000002"/>
    <n v="202.20044000000001"/>
    <n v="0"/>
    <n v="34.639072739546855"/>
    <n v="0"/>
    <n v="0"/>
    <n v="0"/>
    <n v="0"/>
    <n v="0"/>
    <n v="133.70303252679318"/>
    <n v="1.7811683318295972"/>
    <n v="0"/>
    <n v="0"/>
    <n v="0"/>
    <n v="0"/>
    <n v="6.1527122643956291"/>
    <m/>
    <n v="0.85911526760475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9149103257097284"/>
    <n v="0"/>
    <n v="0"/>
    <n v="0"/>
    <n v="0"/>
    <n v="0"/>
    <m/>
    <m/>
    <m/>
    <m/>
    <m/>
    <m/>
    <m/>
    <m/>
    <m/>
    <n v="143.61794285250292"/>
    <m/>
    <m/>
    <m/>
    <m/>
    <m/>
    <m/>
    <m/>
    <m/>
    <m/>
    <m/>
    <m/>
    <m/>
    <n v="203.13800000000001"/>
    <n v="16.060299999999984"/>
    <m/>
    <m/>
    <m/>
    <m/>
    <n v="0.38173000000000223"/>
    <n v="14.77100999999999"/>
    <n v="31"/>
    <n v="15.147696050405528"/>
    <n v="0"/>
    <n v="0"/>
    <n v="0"/>
    <n v="0"/>
    <n v="0"/>
    <n v="0"/>
    <n v="0"/>
    <n v="0"/>
    <n v="0"/>
    <n v="0"/>
    <n v="14.766535429754924"/>
    <n v="0"/>
    <n v="0"/>
    <n v="0"/>
    <n v="1.0950303208574876"/>
    <n v="0"/>
    <n v="-0.60383257088472675"/>
    <m/>
    <n v="0"/>
    <n v="0"/>
    <n v="0"/>
    <n v="0"/>
    <n v="-9.0173979049398056E-2"/>
    <n v="-1.9863150272708241E-2"/>
    <n v="0"/>
    <n v="0"/>
    <m/>
    <m/>
    <m/>
    <n v="0"/>
    <n v="0"/>
    <n v="0"/>
    <n v="0.38172999999999746"/>
    <n v="14.7710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4"/>
    <s v="Regular"/>
    <s v="Verde"/>
    <s v="A4"/>
    <s v="Comercial"/>
    <s v="Não se aplica"/>
    <s v="Não se aplica"/>
    <s v="Não se aplica"/>
    <s v="Não se aplica"/>
    <s v="CATIVO"/>
    <x v="1"/>
    <n v="3561"/>
    <n v="3561"/>
    <n v="0"/>
    <n v="0"/>
    <n v="0"/>
    <n v="0"/>
    <n v="44.35"/>
    <m/>
    <m/>
    <n v="157930.35"/>
    <m/>
    <n v="157930.35"/>
    <n v="103162.17"/>
    <n v="0"/>
    <n v="0"/>
    <n v="0"/>
    <n v="0"/>
    <n v="0"/>
    <n v="46727.668793271754"/>
    <n v="102264.25062354151"/>
    <m/>
    <m/>
    <m/>
    <n v="0"/>
    <n v="0"/>
    <n v="0"/>
    <n v="0"/>
    <m/>
    <n v="0"/>
    <n v="3531.5173830047033"/>
    <n v="5403.0746519264221"/>
    <n v="0"/>
    <n v="0"/>
    <m/>
    <m/>
    <n v="0"/>
    <n v="0"/>
    <n v="0"/>
    <m/>
    <m/>
    <n v="0"/>
    <m/>
    <n v="0"/>
    <n v="0"/>
    <n v="0"/>
    <n v="0"/>
    <m/>
    <n v="0"/>
    <n v="0"/>
    <n v="311.44"/>
    <n v="1495.59"/>
    <n v="85740"/>
    <n v="35"/>
    <m/>
    <m/>
    <m/>
    <m/>
    <m/>
    <m/>
    <m/>
    <m/>
    <m/>
    <n v="0"/>
    <m/>
    <m/>
    <m/>
    <m/>
    <m/>
    <m/>
    <m/>
    <m/>
    <m/>
    <m/>
    <m/>
    <m/>
    <n v="103162.17"/>
    <n v="-54768.210000000036"/>
    <m/>
    <m/>
    <m/>
    <m/>
    <n v="-54768.180000000008"/>
    <n v="0"/>
    <n v="31"/>
    <n v="2610.5383296267755"/>
    <n v="426.36726439948052"/>
    <n v="652.32417367517792"/>
    <n v="0"/>
    <n v="0"/>
    <m/>
    <m/>
    <m/>
    <n v="1531.84689155211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264.25062354151"/>
    <m/>
    <n v="0"/>
    <n v="0"/>
    <n v="-54768.180000000008"/>
    <m/>
    <n v="0"/>
    <m/>
    <n v="-57369.19119573434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85"/>
    <s v="Sistema de Compensação"/>
    <s v="Verde"/>
    <s v="A4"/>
    <s v="Comercial"/>
    <s v="Não se aplica"/>
    <s v="Não se aplica"/>
    <s v="Não se aplica"/>
    <s v="Não se aplica"/>
    <s v="CATIVO"/>
    <x v="1"/>
    <n v="36"/>
    <n v="36"/>
    <n v="0"/>
    <n v="0"/>
    <n v="0"/>
    <n v="0"/>
    <n v="44.35"/>
    <m/>
    <m/>
    <n v="1596.6000000000001"/>
    <m/>
    <n v="1596.6000000000001"/>
    <n v="1042.92"/>
    <n v="0"/>
    <n v="0"/>
    <n v="0"/>
    <n v="0"/>
    <n v="0"/>
    <n v="472.39429277107081"/>
    <n v="1033.8424662868561"/>
    <m/>
    <m/>
    <m/>
    <n v="0"/>
    <n v="0"/>
    <n v="0"/>
    <n v="0"/>
    <m/>
    <n v="0"/>
    <n v="35.70194489979481"/>
    <n v="54.622490162693403"/>
    <n v="0"/>
    <n v="0"/>
    <m/>
    <m/>
    <n v="0"/>
    <n v="0"/>
    <n v="0"/>
    <m/>
    <m/>
    <n v="0"/>
    <m/>
    <n v="0"/>
    <n v="0"/>
    <n v="0"/>
    <n v="0"/>
    <m/>
    <n v="0"/>
    <n v="0"/>
    <n v="2.37"/>
    <n v="11.41"/>
    <n v="741.96"/>
    <n v="1"/>
    <m/>
    <m/>
    <m/>
    <m/>
    <m/>
    <m/>
    <m/>
    <m/>
    <m/>
    <n v="0"/>
    <m/>
    <m/>
    <m/>
    <m/>
    <m/>
    <m/>
    <m/>
    <m/>
    <m/>
    <m/>
    <m/>
    <m/>
    <n v="1042.92"/>
    <n v="-553.71"/>
    <m/>
    <m/>
    <m/>
    <m/>
    <n v="-553.68000000000006"/>
    <n v="0"/>
    <n v="31"/>
    <n v="26.391288926302764"/>
    <n v="4.3103683005844715"/>
    <n v="6.5946841483589935"/>
    <n v="0"/>
    <n v="0"/>
    <m/>
    <m/>
    <m/>
    <n v="15.48623647735922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33.8424662868561"/>
    <m/>
    <n v="0"/>
    <n v="0"/>
    <n v="-553.68000000000006"/>
    <m/>
    <n v="0"/>
    <m/>
    <n v="-579.9749741776008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86"/>
    <s v="Regular"/>
    <s v="Convencional"/>
    <s v="B2"/>
    <s v="Rural"/>
    <s v="Não se aplica"/>
    <s v="Não se aplica"/>
    <s v="Não se aplica"/>
    <s v="Não se aplica"/>
    <s v="CATIVO"/>
    <x v="1"/>
    <n v="0"/>
    <n v="0"/>
    <n v="3667.989"/>
    <n v="3667.989"/>
    <n v="3667.989"/>
    <n v="3667.989"/>
    <m/>
    <n v="581.32000000000005"/>
    <n v="209.4"/>
    <m/>
    <n v="2900352.2620800002"/>
    <n v="2900352.2620800002"/>
    <n v="2215722.1152299996"/>
    <n v="0"/>
    <n v="225720.36770746973"/>
    <n v="0"/>
    <n v="0"/>
    <n v="0"/>
    <n v="272132.30300845479"/>
    <n v="1413662.4445533592"/>
    <n v="757992.66240327596"/>
    <n v="10097.845206026759"/>
    <n v="0"/>
    <n v="0"/>
    <n v="0"/>
    <n v="0"/>
    <n v="34881.114228699014"/>
    <m/>
    <n v="6686.6130578528209"/>
    <n v="20905.632788632291"/>
    <n v="31490.382374688037"/>
    <n v="0"/>
    <n v="0"/>
    <n v="0"/>
    <n v="0"/>
    <n v="0"/>
    <n v="0"/>
    <n v="0"/>
    <n v="0"/>
    <n v="0"/>
    <n v="0"/>
    <m/>
    <n v="0"/>
    <n v="0"/>
    <n v="0"/>
    <n v="0"/>
    <n v="0"/>
    <n v="126810.75542676785"/>
    <n v="0"/>
    <n v="2478.12"/>
    <n v="12214.53"/>
    <n v="258901.34"/>
    <n v="14100"/>
    <m/>
    <m/>
    <m/>
    <m/>
    <m/>
    <n v="265892.52260999975"/>
    <m/>
    <m/>
    <m/>
    <n v="884803.41783004382"/>
    <m/>
    <m/>
    <m/>
    <m/>
    <m/>
    <m/>
    <m/>
    <m/>
    <m/>
    <m/>
    <m/>
    <m/>
    <n v="1949830.1242"/>
    <n v="-602540.05144999968"/>
    <m/>
    <m/>
    <m/>
    <m/>
    <n v="-768370.33572000032"/>
    <n v="83740.18886999994"/>
    <n v="31"/>
    <n v="108366.59277839866"/>
    <n v="2523.9794954783865"/>
    <n v="3801.8978053467144"/>
    <n v="0"/>
    <n v="0"/>
    <n v="0"/>
    <n v="0"/>
    <n v="0"/>
    <n v="8921.1602722711978"/>
    <n v="0"/>
    <n v="0"/>
    <n v="83714.821521563106"/>
    <n v="0"/>
    <n v="0"/>
    <n v="0"/>
    <n v="14005.333143868906"/>
    <n v="0"/>
    <n v="-3934.7851762276841"/>
    <m/>
    <n v="0"/>
    <n v="0"/>
    <n v="0"/>
    <n v="0"/>
    <n v="-511.21663560962043"/>
    <n v="-154.59764829211963"/>
    <n v="0"/>
    <n v="0"/>
    <m/>
    <m/>
    <m/>
    <n v="1413662.4445533592"/>
    <n v="0"/>
    <n v="0"/>
    <n v="-768370.33572000032"/>
    <n v="83740.188869999954"/>
    <n v="0"/>
    <n v="0"/>
    <n v="-793050.0695336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7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1.359"/>
    <n v="-11.359"/>
    <n v="-11.359"/>
    <n v="-11.359"/>
    <m/>
    <n v="581.32000000000005"/>
    <n v="209.4"/>
    <m/>
    <n v="-8981.7884799999993"/>
    <n v="-8981.7884799999993"/>
    <n v="-6861.6311299999998"/>
    <n v="0"/>
    <n v="-699.00909102757635"/>
    <n v="0"/>
    <n v="0"/>
    <n v="0"/>
    <n v="-842.73721373565684"/>
    <n v="-4377.8189377562494"/>
    <n v="-2347.3458214402531"/>
    <n v="-31.270929028210812"/>
    <n v="0"/>
    <n v="0"/>
    <n v="0"/>
    <n v="0"/>
    <n v="-108.01956508697056"/>
    <m/>
    <n v="-20.707051663500135"/>
    <n v="-64.740402123908822"/>
    <n v="-97.519172874859052"/>
    <n v="0"/>
    <n v="0"/>
    <n v="0"/>
    <n v="0"/>
    <n v="0"/>
    <n v="0"/>
    <n v="0"/>
    <n v="0"/>
    <n v="0"/>
    <n v="0"/>
    <m/>
    <n v="0"/>
    <n v="0"/>
    <n v="0"/>
    <n v="0"/>
    <n v="0"/>
    <n v="-392.70656779304846"/>
    <n v="0"/>
    <n v="-9.85"/>
    <n v="-45.16"/>
    <n v="-222.15"/>
    <n v="0"/>
    <m/>
    <m/>
    <m/>
    <m/>
    <m/>
    <n v="-823.41390999999908"/>
    <m/>
    <m/>
    <m/>
    <n v="-2740.0523892333017"/>
    <m/>
    <m/>
    <m/>
    <m/>
    <m/>
    <m/>
    <m/>
    <m/>
    <m/>
    <m/>
    <m/>
    <m/>
    <n v="-6038.7487999999994"/>
    <n v="1865.3813499999997"/>
    <m/>
    <m/>
    <m/>
    <m/>
    <n v="2379.4833200000007"/>
    <n v="-259.32596999999981"/>
    <n v="31"/>
    <n v="-335.58882738465945"/>
    <n v="-7.8162402038662009"/>
    <n v="-11.773687753952757"/>
    <n v="0"/>
    <n v="0"/>
    <n v="0"/>
    <n v="0"/>
    <n v="0"/>
    <n v="-27.626980215242952"/>
    <n v="0"/>
    <n v="0"/>
    <n v="-259.24741259132315"/>
    <n v="0"/>
    <n v="0"/>
    <n v="0"/>
    <n v="-43.371607488792051"/>
    <n v="0"/>
    <n v="12.185212337542566"/>
    <m/>
    <n v="0"/>
    <n v="0"/>
    <n v="0"/>
    <n v="0"/>
    <n v="1.5831317280094481"/>
    <n v="0.47875680296483836"/>
    <n v="0"/>
    <n v="0"/>
    <m/>
    <m/>
    <m/>
    <n v="-4377.8189377562494"/>
    <n v="0"/>
    <n v="0"/>
    <n v="2379.4833200000003"/>
    <n v="-259.32596999999987"/>
    <n v="0"/>
    <n v="0"/>
    <n v="2455.9113290234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8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110.562"/>
    <n v="110.562"/>
    <n v="110.562"/>
    <n v="110.562"/>
    <m/>
    <n v="581.32000000000005"/>
    <n v="209.4"/>
    <m/>
    <n v="87423.584640000001"/>
    <n v="87423.584640000001"/>
    <n v="66787.187339999989"/>
    <n v="0"/>
    <n v="6803.7541264363845"/>
    <n v="0"/>
    <n v="0"/>
    <n v="0"/>
    <n v="8202.7213509148423"/>
    <n v="42611.182093160176"/>
    <n v="22847.719756147308"/>
    <n v="304.37331237054701"/>
    <n v="0"/>
    <n v="0"/>
    <n v="0"/>
    <n v="0"/>
    <n v="1051.4005770882682"/>
    <m/>
    <n v="201.55058068667151"/>
    <n v="630.14599345220586"/>
    <n v="949.19577351792998"/>
    <n v="0"/>
    <n v="0"/>
    <n v="0"/>
    <n v="0"/>
    <n v="0"/>
    <n v="0"/>
    <n v="0"/>
    <n v="0"/>
    <n v="0"/>
    <n v="0"/>
    <m/>
    <n v="0"/>
    <n v="0"/>
    <n v="0"/>
    <n v="0"/>
    <n v="0"/>
    <n v="3822.3808036213595"/>
    <n v="0"/>
    <n v="71.349999999999994"/>
    <n v="350.09"/>
    <n v="5894.74"/>
    <n v="479"/>
    <m/>
    <m/>
    <m/>
    <m/>
    <m/>
    <n v="8014.6393799999914"/>
    <m/>
    <m/>
    <m/>
    <n v="26670.100559768667"/>
    <m/>
    <m/>
    <m/>
    <m/>
    <m/>
    <m/>
    <m/>
    <m/>
    <m/>
    <m/>
    <m/>
    <m/>
    <n v="58771.484800000006"/>
    <n v="-18163.112899999993"/>
    <m/>
    <m/>
    <m/>
    <m/>
    <n v="-23160.527760000008"/>
    <n v="2524.130459999998"/>
    <n v="31"/>
    <n v="3266.42943333945"/>
    <n v="76.078805301510329"/>
    <n v="114.5983330797186"/>
    <n v="0"/>
    <n v="0"/>
    <n v="0"/>
    <n v="0"/>
    <n v="0"/>
    <n v="268.90520173938603"/>
    <n v="0"/>
    <n v="0"/>
    <n v="2523.3658271786117"/>
    <n v="0"/>
    <n v="0"/>
    <n v="0"/>
    <n v="422.15438570083916"/>
    <n v="0"/>
    <n v="-118.6038776708674"/>
    <m/>
    <n v="0"/>
    <n v="0"/>
    <n v="0"/>
    <n v="0"/>
    <n v="-15.409297483244927"/>
    <n v="-4.6599445065056955"/>
    <n v="0"/>
    <n v="0"/>
    <m/>
    <m/>
    <m/>
    <n v="42611.182093160176"/>
    <n v="0"/>
    <n v="0"/>
    <n v="-23160.527760000012"/>
    <n v="2524.1304600000003"/>
    <n v="0"/>
    <n v="0"/>
    <n v="-23904.434224798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89"/>
    <s v="Regular"/>
    <s v="Verde"/>
    <s v="A4"/>
    <s v="Rural"/>
    <s v="Não se aplica"/>
    <s v="Não se aplica"/>
    <s v="Não se aplica"/>
    <s v="Ponta"/>
    <s v="CATIVO"/>
    <x v="1"/>
    <n v="0"/>
    <n v="0"/>
    <n v="18.216999999999999"/>
    <n v="17.488320000000002"/>
    <n v="18.216999999999999"/>
    <n v="17.488320000000002"/>
    <m/>
    <n v="1614.19"/>
    <n v="209.4"/>
    <m/>
    <n v="33220.339029999996"/>
    <n v="33220.339029999996"/>
    <n v="22081.736549999998"/>
    <n v="0"/>
    <n v="975.30137263728739"/>
    <n v="0"/>
    <n v="0"/>
    <n v="0"/>
    <n v="5673.1015300965937"/>
    <n v="21183.394636265373"/>
    <n v="3764.5566360751022"/>
    <n v="50.150762752611705"/>
    <n v="0"/>
    <n v="0"/>
    <n v="0"/>
    <n v="0"/>
    <n v="173.23641316923519"/>
    <m/>
    <n v="24.18933976809242"/>
    <n v="440.758955515629"/>
    <n v="656.51706775009518"/>
    <n v="0"/>
    <n v="0"/>
    <n v="0"/>
    <n v="0"/>
    <n v="0"/>
    <n v="0"/>
    <n v="0"/>
    <n v="0"/>
    <n v="0"/>
    <n v="0"/>
    <m/>
    <n v="0"/>
    <n v="0"/>
    <n v="0"/>
    <n v="0"/>
    <n v="0"/>
    <n v="279.16525719235568"/>
    <n v="0"/>
    <n v="0"/>
    <n v="0"/>
    <n v="0"/>
    <n v="0"/>
    <m/>
    <m/>
    <m/>
    <m/>
    <m/>
    <n v="883.26946199999645"/>
    <m/>
    <m/>
    <m/>
    <n v="4043.7218932674577"/>
    <m/>
    <m/>
    <m/>
    <m/>
    <m/>
    <m/>
    <m/>
    <m/>
    <m/>
    <m/>
    <m/>
    <m/>
    <n v="21200.503499999995"/>
    <n v="-10691.051968800006"/>
    <m/>
    <m/>
    <m/>
    <m/>
    <n v="-11554.496590000001"/>
    <n v="415.89410999999967"/>
    <n v="31"/>
    <n v="744.95458186722317"/>
    <n v="53.213723660869448"/>
    <n v="79.262638647985455"/>
    <n v="0"/>
    <n v="0"/>
    <n v="0"/>
    <n v="0"/>
    <n v="0"/>
    <n v="185.97809753327056"/>
    <n v="0"/>
    <n v="0"/>
    <n v="415.76812352990009"/>
    <n v="0"/>
    <n v="0"/>
    <n v="0"/>
    <n v="30.831788802257847"/>
    <n v="0"/>
    <n v="-17.001573328913537"/>
    <m/>
    <n v="0"/>
    <n v="0"/>
    <n v="0"/>
    <n v="0"/>
    <n v="-2.538948031441862"/>
    <n v="-0.55926894670467675"/>
    <n v="0"/>
    <n v="0"/>
    <m/>
    <m/>
    <m/>
    <n v="21183.394636265373"/>
    <n v="0"/>
    <n v="0"/>
    <n v="-11554.496589999999"/>
    <n v="415.89410999999927"/>
    <n v="0"/>
    <n v="0"/>
    <n v="-11883.66618493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1"/>
    <s v="Regular"/>
    <s v="Verde"/>
    <s v="A4"/>
    <s v="Rural"/>
    <s v="Não se aplica"/>
    <s v="Não se aplica"/>
    <s v="Não se aplica"/>
    <s v="Fora ponta"/>
    <s v="CATIVO"/>
    <x v="1"/>
    <n v="0"/>
    <n v="0"/>
    <n v="168.06299999999999"/>
    <n v="161.34048000000001"/>
    <n v="168.06299999999999"/>
    <n v="161.34048000000001"/>
    <m/>
    <n v="79.7"/>
    <n v="209.4"/>
    <m/>
    <n v="48587.013300000006"/>
    <n v="48587.013300000006"/>
    <n v="52523.048759999998"/>
    <n v="0"/>
    <n v="8997.7534494999418"/>
    <n v="0"/>
    <n v="0"/>
    <n v="0"/>
    <n v="0"/>
    <n v="0"/>
    <n v="34730.34428987703"/>
    <n v="462.67155077631776"/>
    <n v="0"/>
    <n v="0"/>
    <n v="0"/>
    <n v="0"/>
    <n v="1598.2121812845789"/>
    <m/>
    <n v="223.16149802080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5.4707481758178"/>
    <n v="0"/>
    <n v="0"/>
    <n v="0"/>
    <n v="0"/>
    <n v="0"/>
    <m/>
    <m/>
    <m/>
    <m/>
    <m/>
    <n v="2100.9219503999921"/>
    <m/>
    <m/>
    <m/>
    <n v="37305.815038052846"/>
    <m/>
    <m/>
    <m/>
    <m/>
    <m/>
    <m/>
    <m/>
    <m/>
    <m/>
    <m/>
    <m/>
    <m/>
    <n v="50421.976800000004"/>
    <n v="3778.4140319999933"/>
    <m/>
    <m/>
    <m/>
    <m/>
    <n v="99.157170000000562"/>
    <n v="3836.8782899999969"/>
    <n v="31"/>
    <n v="3934.7252570623023"/>
    <n v="0"/>
    <n v="0"/>
    <n v="0"/>
    <n v="0"/>
    <n v="0"/>
    <n v="0"/>
    <n v="0"/>
    <n v="0"/>
    <n v="0"/>
    <n v="0"/>
    <n v="3835.7159875284415"/>
    <n v="0"/>
    <n v="0"/>
    <n v="0"/>
    <n v="284.44216509161015"/>
    <n v="0"/>
    <n v="-156.84994337032367"/>
    <m/>
    <n v="0"/>
    <n v="0"/>
    <n v="0"/>
    <n v="0"/>
    <n v="-23.423353077247384"/>
    <n v="-5.1595991101733318"/>
    <n v="0"/>
    <n v="0"/>
    <m/>
    <m/>
    <m/>
    <n v="0"/>
    <n v="0"/>
    <n v="0"/>
    <n v="99.157170000000406"/>
    <n v="3836.87828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3"/>
    <s v="Regular"/>
    <s v="Verde"/>
    <s v="A4"/>
    <s v="Rural"/>
    <s v="Não se aplica"/>
    <s v="Não se aplica"/>
    <s v="Não se aplica"/>
    <s v="Não se aplica"/>
    <s v="CATIVO"/>
    <x v="1"/>
    <n v="1598"/>
    <n v="1534.08"/>
    <n v="0"/>
    <n v="0"/>
    <n v="0"/>
    <n v="0"/>
    <n v="44.35"/>
    <m/>
    <m/>
    <n v="70871.3"/>
    <m/>
    <n v="70871.3"/>
    <n v="46294.06"/>
    <n v="0"/>
    <n v="0"/>
    <n v="0"/>
    <n v="0"/>
    <n v="0"/>
    <n v="20969.057773560307"/>
    <n v="45891.118364622103"/>
    <m/>
    <m/>
    <m/>
    <n v="0"/>
    <n v="0"/>
    <n v="0"/>
    <n v="0"/>
    <m/>
    <n v="0"/>
    <n v="1584.7696652742252"/>
    <n v="2424.6316466662238"/>
    <n v="0"/>
    <n v="0"/>
    <m/>
    <m/>
    <n v="0"/>
    <n v="0"/>
    <n v="0"/>
    <m/>
    <m/>
    <n v="0"/>
    <m/>
    <n v="0"/>
    <n v="0"/>
    <n v="0"/>
    <n v="0"/>
    <m/>
    <n v="0"/>
    <n v="0"/>
    <n v="137.44999999999999"/>
    <n v="660.26"/>
    <n v="114.59"/>
    <n v="17"/>
    <m/>
    <m/>
    <m/>
    <m/>
    <m/>
    <n v="1851.7624000000021"/>
    <m/>
    <m/>
    <m/>
    <n v="0"/>
    <m/>
    <m/>
    <m/>
    <m/>
    <m/>
    <m/>
    <m/>
    <m/>
    <m/>
    <m/>
    <m/>
    <m/>
    <n v="44442.297599999998"/>
    <n v="-23594.18039999999"/>
    <m/>
    <m/>
    <m/>
    <m/>
    <n v="-24577.240000000005"/>
    <n v="0"/>
    <n v="31"/>
    <n v="1171.4799917842138"/>
    <n v="191.33245956483279"/>
    <n v="292.73070191882425"/>
    <n v="0"/>
    <n v="0"/>
    <m/>
    <m/>
    <m/>
    <n v="687.416830300557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891.118364622103"/>
    <m/>
    <n v="0"/>
    <n v="0"/>
    <n v="-24577.240000000005"/>
    <m/>
    <n v="0"/>
    <m/>
    <n v="-25744.44468710571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94"/>
    <s v="Sistema de Compensação"/>
    <s v="Verde"/>
    <s v="A4"/>
    <s v="Rural"/>
    <s v="Não se aplica"/>
    <s v="Não se aplica"/>
    <s v="Não se aplica"/>
    <s v="Não se aplica"/>
    <s v="CATIVO"/>
    <x v="1"/>
    <n v="527"/>
    <n v="505.92"/>
    <n v="0"/>
    <n v="0"/>
    <n v="0"/>
    <n v="0"/>
    <n v="44.35"/>
    <m/>
    <m/>
    <n v="23372.45"/>
    <m/>
    <n v="23372.45"/>
    <n v="15267.189999999999"/>
    <n v="0"/>
    <n v="0"/>
    <n v="0"/>
    <n v="0"/>
    <n v="0"/>
    <n v="6915.3275636209528"/>
    <n v="15134.304992588142"/>
    <m/>
    <m/>
    <m/>
    <n v="0"/>
    <n v="0"/>
    <n v="0"/>
    <n v="0"/>
    <m/>
    <n v="0"/>
    <n v="522.63680450532956"/>
    <n v="799.61256432609503"/>
    <n v="0"/>
    <n v="0"/>
    <m/>
    <m/>
    <n v="0"/>
    <n v="0"/>
    <n v="0"/>
    <m/>
    <m/>
    <n v="0"/>
    <m/>
    <n v="0"/>
    <n v="0"/>
    <n v="0"/>
    <n v="0"/>
    <m/>
    <n v="0"/>
    <n v="0"/>
    <n v="18.62"/>
    <n v="89.53"/>
    <n v="20.52"/>
    <n v="7"/>
    <m/>
    <m/>
    <m/>
    <m/>
    <m/>
    <n v="610.68759999999952"/>
    <m/>
    <m/>
    <m/>
    <n v="0"/>
    <m/>
    <m/>
    <m/>
    <m/>
    <m/>
    <m/>
    <m/>
    <m/>
    <m/>
    <m/>
    <m/>
    <m/>
    <n v="14656.502399999999"/>
    <n v="-7781.0795999999955"/>
    <m/>
    <m/>
    <m/>
    <m/>
    <n v="-8105.2600000000011"/>
    <n v="0"/>
    <n v="31"/>
    <n v="386.33914622671"/>
    <n v="63.099002622444914"/>
    <n v="96.538848505144301"/>
    <n v="0"/>
    <n v="0"/>
    <m/>
    <m/>
    <m/>
    <n v="226.701295099120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134.304992588142"/>
    <m/>
    <n v="0"/>
    <n v="0"/>
    <n v="-8105.260000000002"/>
    <m/>
    <n v="0"/>
    <m/>
    <n v="-8490.189205322101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9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239.22200000000001"/>
    <n v="239.22200000000001"/>
    <n v="239.22200000000001"/>
    <n v="239.22200000000001"/>
    <m/>
    <n v="581.32000000000005"/>
    <n v="209.4"/>
    <m/>
    <n v="189157.61984"/>
    <n v="189157.61984"/>
    <n v="144506.83353999999"/>
    <n v="0"/>
    <n v="14721.221302385673"/>
    <n v="0"/>
    <n v="0"/>
    <n v="0"/>
    <n v="17748.154040344336"/>
    <n v="92197.429520901977"/>
    <n v="49435.404709620583"/>
    <n v="658.56978466296744"/>
    <n v="0"/>
    <n v="0"/>
    <n v="0"/>
    <n v="0"/>
    <n v="2274.9059247500022"/>
    <m/>
    <n v="436.09316956121393"/>
    <n v="1363.4411899714512"/>
    <n v="2053.7663151218885"/>
    <n v="0"/>
    <n v="0"/>
    <n v="0"/>
    <n v="0"/>
    <n v="0"/>
    <n v="0"/>
    <n v="0"/>
    <n v="0"/>
    <n v="0"/>
    <n v="0"/>
    <m/>
    <n v="0"/>
    <n v="0"/>
    <n v="0"/>
    <n v="0"/>
    <n v="0"/>
    <n v="8270.4507932554479"/>
    <n v="0"/>
    <n v="234.2"/>
    <n v="1131.78"/>
    <n v="64625.21"/>
    <n v="478"/>
    <m/>
    <m/>
    <m/>
    <m/>
    <m/>
    <m/>
    <m/>
    <m/>
    <m/>
    <n v="57705.855502876031"/>
    <m/>
    <m/>
    <m/>
    <m/>
    <m/>
    <m/>
    <m/>
    <m/>
    <m/>
    <m/>
    <m/>
    <m/>
    <n v="144505.62539999999"/>
    <n v="-44652.024440000037"/>
    <m/>
    <m/>
    <m/>
    <m/>
    <n v="-50112.224560000017"/>
    <n v="5461.4382599999963"/>
    <n v="31"/>
    <n v="7067.5438387721952"/>
    <n v="164.61102333385702"/>
    <n v="247.95537739907422"/>
    <n v="0"/>
    <n v="0"/>
    <n v="0"/>
    <n v="0"/>
    <n v="0"/>
    <n v="581.82775429622779"/>
    <n v="0"/>
    <n v="0"/>
    <n v="5459.7838308760911"/>
    <n v="0"/>
    <n v="0"/>
    <n v="0"/>
    <n v="913.41162837255251"/>
    <n v="0"/>
    <n v="-256.62213802373481"/>
    <m/>
    <n v="0"/>
    <n v="0"/>
    <n v="0"/>
    <n v="0"/>
    <n v="-33.340957675664868"/>
    <n v="-10.082679806220085"/>
    <n v="0"/>
    <n v="0"/>
    <m/>
    <m/>
    <m/>
    <n v="92197.429520901977"/>
    <n v="0"/>
    <n v="0"/>
    <n v="-50112.224560000017"/>
    <n v="5461.4382599999954"/>
    <n v="0"/>
    <n v="0"/>
    <n v="-51721.808253511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6"/>
    <s v="Refaturamento - Regular"/>
    <s v="Convencional"/>
    <s v="B3"/>
    <s v="Poder público"/>
    <s v="Não se aplica"/>
    <s v="Não se aplica"/>
    <s v="Não se aplica"/>
    <s v="Não se aplica"/>
    <s v="CATIVO"/>
    <x v="1"/>
    <n v="0"/>
    <n v="0"/>
    <n v="-8.6999999999999994E-2"/>
    <n v="-8.6999999999999994E-2"/>
    <n v="-8.6999999999999994E-2"/>
    <n v="-8.6999999999999994E-2"/>
    <m/>
    <n v="581.32000000000005"/>
    <n v="209.4"/>
    <m/>
    <n v="-68.792640000000006"/>
    <n v="-68.792640000000006"/>
    <n v="-52.554089999999995"/>
    <n v="0"/>
    <n v="-5.3537979504709154"/>
    <n v="0"/>
    <n v="0"/>
    <n v="0"/>
    <n v="-6.4546295972358605"/>
    <n v="-33.530262134412688"/>
    <n v="-17.978614883819173"/>
    <n v="-0.23950795188435078"/>
    <n v="0"/>
    <n v="0"/>
    <n v="0"/>
    <n v="0"/>
    <n v="-0.82733534312584189"/>
    <m/>
    <n v="-0.15859789547711167"/>
    <n v="-0.4958548274302374"/>
    <n v="-0.74691152743311362"/>
    <n v="0"/>
    <n v="0"/>
    <n v="0"/>
    <n v="0"/>
    <n v="0"/>
    <n v="0"/>
    <n v="0"/>
    <n v="0"/>
    <n v="0"/>
    <n v="0"/>
    <m/>
    <n v="0"/>
    <n v="0"/>
    <n v="0"/>
    <n v="0"/>
    <n v="0"/>
    <n v="-3.0077886607971842"/>
    <n v="0"/>
    <n v="-0.08"/>
    <n v="-0.41"/>
    <n v="-26.74"/>
    <n v="0"/>
    <m/>
    <m/>
    <m/>
    <m/>
    <m/>
    <m/>
    <m/>
    <m/>
    <m/>
    <n v="-20.986403544616358"/>
    <m/>
    <m/>
    <m/>
    <m/>
    <m/>
    <m/>
    <m/>
    <m/>
    <m/>
    <m/>
    <m/>
    <m/>
    <n v="-54.366299999999995"/>
    <n v="14.396340000000009"/>
    <m/>
    <m/>
    <m/>
    <m/>
    <n v="18.224760000000007"/>
    <n v="-1.9862099999999985"/>
    <n v="31"/>
    <n v="-2.5703167516916494"/>
    <n v="-5.986556014934058E-2"/>
    <n v="-9.0176145311549272E-2"/>
    <n v="0"/>
    <n v="0"/>
    <n v="0"/>
    <n v="0"/>
    <n v="0"/>
    <n v="-0.21159849271292686"/>
    <n v="0"/>
    <n v="0"/>
    <n v="-1.9856083189933216"/>
    <n v="0"/>
    <n v="0"/>
    <n v="0"/>
    <n v="-0.33218855986661744"/>
    <n v="0"/>
    <n v="9.3328063506135983E-2"/>
    <m/>
    <n v="0"/>
    <n v="0"/>
    <n v="0"/>
    <n v="0"/>
    <n v="1.2125403674339452E-2"/>
    <n v="3.6668581616287332E-3"/>
    <n v="0"/>
    <n v="0"/>
    <m/>
    <m/>
    <m/>
    <n v="-33.530262134412688"/>
    <n v="0"/>
    <n v="0"/>
    <n v="18.224760000000003"/>
    <n v="-1.9862099999999963"/>
    <n v="0"/>
    <n v="0"/>
    <n v="18.810131668724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7"/>
    <s v="Sistema de Compensação"/>
    <s v="Convencional"/>
    <s v="B3"/>
    <s v="Poder público"/>
    <s v="Não se aplica"/>
    <s v="Não se aplica"/>
    <s v="Não se aplica"/>
    <s v="Não se aplica"/>
    <s v="CATIVO"/>
    <x v="1"/>
    <n v="0"/>
    <n v="0"/>
    <n v="4.7279999999999998"/>
    <n v="4.7279999999999998"/>
    <n v="4.7279999999999998"/>
    <n v="4.7279999999999998"/>
    <m/>
    <n v="581.32000000000005"/>
    <n v="209.4"/>
    <m/>
    <n v="3738.5241600000004"/>
    <n v="3738.5241600000004"/>
    <n v="2856.0429599999998"/>
    <n v="0"/>
    <n v="290.95122654972977"/>
    <n v="0"/>
    <n v="0"/>
    <n v="0"/>
    <n v="350.77573259461093"/>
    <n v="1822.196314614979"/>
    <n v="977.04472609996617"/>
    <n v="13.01601835068058"/>
    <n v="0"/>
    <n v="0"/>
    <n v="0"/>
    <n v="0"/>
    <n v="44.961396578149206"/>
    <m/>
    <n v="8.6189752852388963"/>
    <n v="26.947145104484626"/>
    <n v="40.590778180503001"/>
    <n v="0"/>
    <n v="0"/>
    <n v="0"/>
    <n v="0"/>
    <n v="0"/>
    <n v="0"/>
    <n v="0"/>
    <n v="0"/>
    <n v="0"/>
    <n v="0"/>
    <m/>
    <n v="0"/>
    <n v="0"/>
    <n v="0"/>
    <n v="0"/>
    <n v="0"/>
    <n v="163.45775618677112"/>
    <n v="0"/>
    <n v="4.8600000000000003"/>
    <n v="23.33"/>
    <n v="1603.02"/>
    <n v="1"/>
    <m/>
    <m/>
    <m/>
    <m/>
    <m/>
    <m/>
    <m/>
    <m/>
    <m/>
    <n v="1140.5024822867372"/>
    <m/>
    <m/>
    <m/>
    <m/>
    <m/>
    <m/>
    <m/>
    <m/>
    <m/>
    <m/>
    <m/>
    <m/>
    <n v="2857.2511000000004"/>
    <n v="-881.30306000000064"/>
    <m/>
    <m/>
    <m/>
    <m/>
    <n v="-990.4214400000003"/>
    <n v="107.94023999999992"/>
    <n v="31"/>
    <n v="139.68342071262168"/>
    <n v="3.2533835446676136"/>
    <n v="4.9006070693448862"/>
    <n v="0"/>
    <n v="0"/>
    <n v="0"/>
    <n v="0"/>
    <n v="0"/>
    <n v="11.499283603985248"/>
    <n v="0"/>
    <n v="0"/>
    <n v="107.90754174942992"/>
    <n v="0"/>
    <n v="0"/>
    <n v="0"/>
    <n v="18.052730012061687"/>
    <n v="0"/>
    <n v="-5.0718975201955345"/>
    <m/>
    <n v="0"/>
    <n v="0"/>
    <n v="0"/>
    <n v="0"/>
    <n v="-0.65895297209514325"/>
    <n v="-0.19927477457678933"/>
    <n v="0"/>
    <n v="0"/>
    <m/>
    <m/>
    <m/>
    <n v="1822.196314614979"/>
    <n v="0"/>
    <n v="0"/>
    <n v="-990.42144000000053"/>
    <n v="107.94024000000002"/>
    <n v="0"/>
    <n v="0"/>
    <n v="-1022.2333624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8"/>
    <s v="Regular"/>
    <s v="Verde"/>
    <s v="A4"/>
    <s v="Poder público"/>
    <s v="Não se aplica"/>
    <s v="Não se aplica"/>
    <s v="Não se aplica"/>
    <s v="Ponta"/>
    <s v="CATIVO"/>
    <x v="1"/>
    <n v="0"/>
    <n v="0"/>
    <n v="0.27"/>
    <n v="0.27"/>
    <n v="0.27"/>
    <n v="0.27"/>
    <m/>
    <n v="1614.19"/>
    <n v="209.4"/>
    <m/>
    <n v="492.36930000000007"/>
    <n v="492.36930000000007"/>
    <n v="327.28049999999996"/>
    <n v="0"/>
    <n v="14.455254466271485"/>
    <n v="0"/>
    <n v="0"/>
    <n v="0"/>
    <n v="84.082857392879205"/>
    <n v="313.96588635843722"/>
    <n v="55.795701363576754"/>
    <n v="0.74330054033074389"/>
    <n v="0"/>
    <n v="0"/>
    <n v="0"/>
    <n v="0"/>
    <n v="2.5675924441836475"/>
    <m/>
    <n v="0.35851796329719243"/>
    <n v="6.5326298506460914"/>
    <n v="9.7304500352706658"/>
    <n v="0"/>
    <n v="0"/>
    <n v="0"/>
    <n v="0"/>
    <n v="0"/>
    <n v="0"/>
    <n v="0"/>
    <n v="0"/>
    <n v="0"/>
    <n v="0"/>
    <m/>
    <n v="0"/>
    <n v="0"/>
    <n v="0"/>
    <n v="0"/>
    <n v="0"/>
    <n v="4.1375978175295627"/>
    <n v="0"/>
    <n v="0"/>
    <n v="0"/>
    <n v="0"/>
    <n v="0"/>
    <m/>
    <m/>
    <m/>
    <m/>
    <m/>
    <m/>
    <m/>
    <m/>
    <m/>
    <n v="59.933299181106314"/>
    <m/>
    <m/>
    <m/>
    <m/>
    <m/>
    <m/>
    <m/>
    <m/>
    <m/>
    <m/>
    <m/>
    <m/>
    <n v="327.28049999999996"/>
    <n v="-165.11880000000008"/>
    <m/>
    <m/>
    <m/>
    <m/>
    <n v="-171.25290000000004"/>
    <n v="6.1640999999999959"/>
    <n v="31"/>
    <n v="11.041210797834452"/>
    <n v="0.78869766637946714"/>
    <n v="1.1747769904460714"/>
    <n v="0"/>
    <n v="0"/>
    <n v="0"/>
    <n v="0"/>
    <n v="0"/>
    <n v="2.7564410349664143"/>
    <n v="0"/>
    <n v="0"/>
    <n v="6.1622327141171951"/>
    <n v="0"/>
    <n v="0"/>
    <n v="0"/>
    <n v="0.45696783096061999"/>
    <n v="0"/>
    <n v="-0.25198577146657897"/>
    <m/>
    <n v="0"/>
    <n v="0"/>
    <n v="0"/>
    <n v="0"/>
    <n v="-3.763056312726043E-2"/>
    <n v="-8.2891044414702408E-3"/>
    <n v="0"/>
    <n v="0"/>
    <m/>
    <m/>
    <m/>
    <n v="313.96588635843722"/>
    <n v="0"/>
    <n v="0"/>
    <n v="-171.25290000000007"/>
    <n v="6.1640999999999977"/>
    <n v="0"/>
    <n v="0"/>
    <n v="-176.1316281458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99"/>
    <s v="Regular"/>
    <s v="Verde"/>
    <s v="A4"/>
    <s v="Poder público"/>
    <s v="Não se aplica"/>
    <s v="Não se aplica"/>
    <s v="Não se aplica"/>
    <s v="Fora ponta"/>
    <s v="CATIVO"/>
    <x v="1"/>
    <n v="0"/>
    <n v="0"/>
    <n v="5.6109999999999998"/>
    <n v="5.6109999999999998"/>
    <n v="5.6109999999999998"/>
    <n v="5.6109999999999998"/>
    <m/>
    <n v="79.7"/>
    <n v="209.4"/>
    <m/>
    <n v="1622.1400999999998"/>
    <n v="1622.1400999999998"/>
    <n v="1753.54972"/>
    <n v="0"/>
    <n v="300.40160300092333"/>
    <n v="0"/>
    <n v="0"/>
    <n v="0"/>
    <n v="0"/>
    <n v="0"/>
    <n v="1159.5173346334414"/>
    <n v="15.446886414058531"/>
    <n v="0"/>
    <n v="0"/>
    <n v="0"/>
    <n v="0"/>
    <n v="53.35837483079424"/>
    <m/>
    <n v="7.4505344150390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985412422808793"/>
    <n v="0"/>
    <n v="0"/>
    <n v="0"/>
    <n v="0"/>
    <n v="0"/>
    <m/>
    <m/>
    <m/>
    <m/>
    <m/>
    <m/>
    <m/>
    <m/>
    <m/>
    <n v="1245.5027470562502"/>
    <m/>
    <m/>
    <m/>
    <m/>
    <m/>
    <m/>
    <m/>
    <m/>
    <m/>
    <m/>
    <m/>
    <m/>
    <n v="1753.2372"/>
    <n v="131.06710000000021"/>
    <m/>
    <m/>
    <m/>
    <m/>
    <n v="3.3104900000000188"/>
    <n v="128.09912999999992"/>
    <n v="31"/>
    <n v="131.3658771852015"/>
    <n v="0"/>
    <n v="0"/>
    <n v="0"/>
    <n v="0"/>
    <n v="0"/>
    <n v="0"/>
    <n v="0"/>
    <n v="0"/>
    <n v="0"/>
    <n v="0"/>
    <n v="128.06032503300571"/>
    <n v="0"/>
    <n v="0"/>
    <n v="0"/>
    <n v="9.4964685167408902"/>
    <n v="0"/>
    <n v="-5.2366376433295727"/>
    <m/>
    <n v="0"/>
    <n v="0"/>
    <n v="0"/>
    <n v="0"/>
    <n v="-0.78201885076688171"/>
    <n v="-0.17225987044847901"/>
    <n v="0"/>
    <n v="0"/>
    <m/>
    <m/>
    <m/>
    <n v="0"/>
    <n v="0"/>
    <n v="0"/>
    <n v="3.3104900000000157"/>
    <n v="128.09913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0"/>
    <s v="Regular"/>
    <s v="Verde"/>
    <s v="A4"/>
    <s v="Poder público"/>
    <s v="Não se aplica"/>
    <s v="Não se aplica"/>
    <s v="Não se aplica"/>
    <s v="Não se aplica"/>
    <s v="CATIVO"/>
    <x v="1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8.69"/>
    <n v="41.76"/>
    <n v="1866.58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01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543.36300000000006"/>
    <n v="543.36300000000006"/>
    <n v="543.36300000000006"/>
    <n v="543.36300000000006"/>
    <m/>
    <n v="319.73"/>
    <n v="115.17"/>
    <m/>
    <n v="236308.56870000003"/>
    <n v="236308.56870000003"/>
    <n v="180521.48949000001"/>
    <n v="0"/>
    <n v="18390.582111137388"/>
    <n v="0"/>
    <n v="0"/>
    <n v="0"/>
    <n v="22171.997655328501"/>
    <n v="115178.24256640812"/>
    <n v="61757.503051886932"/>
    <n v="822.72261600982472"/>
    <n v="0"/>
    <n v="0"/>
    <n v="0"/>
    <n v="0"/>
    <n v="2841.9411232849166"/>
    <m/>
    <n v="544.79224774794807"/>
    <n v="1703.2878348084696"/>
    <n v="2565.6810178661099"/>
    <n v="0"/>
    <n v="0"/>
    <n v="0"/>
    <n v="0"/>
    <n v="0"/>
    <n v="0"/>
    <n v="0"/>
    <n v="0"/>
    <n v="0"/>
    <n v="0"/>
    <m/>
    <n v="0"/>
    <n v="0"/>
    <n v="0"/>
    <n v="0"/>
    <n v="0"/>
    <n v="10331.914810956408"/>
    <n v="0"/>
    <n v="292.19"/>
    <n v="1403.51"/>
    <n v="58480.2"/>
    <n v="42"/>
    <m/>
    <m/>
    <m/>
    <m/>
    <m/>
    <m/>
    <m/>
    <m/>
    <m/>
    <n v="72089.417862843344"/>
    <m/>
    <m/>
    <m/>
    <m/>
    <m/>
    <m/>
    <m/>
    <m/>
    <m/>
    <m/>
    <m/>
    <m/>
    <n v="180520.49280000001"/>
    <n v="-55788.105900000053"/>
    <m/>
    <m/>
    <m/>
    <m/>
    <n v="-62606.284860000022"/>
    <n v="6819.205649999999"/>
    <n v="31"/>
    <n v="8829.1754210595391"/>
    <n v="205.64139882396057"/>
    <n v="309.75987890466195"/>
    <n v="0"/>
    <n v="0"/>
    <n v="0"/>
    <n v="0"/>
    <n v="0"/>
    <n v="726.85213204347747"/>
    <n v="0"/>
    <n v="0"/>
    <n v="6820.6707030832476"/>
    <n v="0"/>
    <n v="0"/>
    <n v="0"/>
    <n v="1141.0854580475989"/>
    <n v="0"/>
    <n v="-320.58688636770239"/>
    <m/>
    <n v="0"/>
    <n v="0"/>
    <n v="0"/>
    <n v="0"/>
    <n v="-41.65140970327684"/>
    <n v="-12.595853772441046"/>
    <n v="0"/>
    <n v="0"/>
    <m/>
    <m/>
    <m/>
    <n v="115178.24256640812"/>
    <n v="0"/>
    <n v="0"/>
    <n v="-62606.284860000029"/>
    <n v="6819.2056499999962"/>
    <n v="0"/>
    <n v="0"/>
    <n v="-64613.80765117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2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82.980999999999995"/>
    <n v="78.002139999999997"/>
    <n v="82.980999999999995"/>
    <n v="78.002139999999997"/>
    <m/>
    <n v="581.32000000000005"/>
    <n v="209.4"/>
    <m/>
    <n v="65614.736319999996"/>
    <n v="65614.736319999996"/>
    <n v="50126.332669999989"/>
    <n v="0"/>
    <n v="5106.4771003221504"/>
    <n v="0"/>
    <n v="0"/>
    <n v="0"/>
    <n v="6156.4553863014826"/>
    <n v="31981.318185927576"/>
    <n v="17148.085536485043"/>
    <n v="228.44378569327944"/>
    <n v="0"/>
    <n v="0"/>
    <n v="0"/>
    <n v="0"/>
    <n v="789.11625411408602"/>
    <m/>
    <n v="151.27140189179545"/>
    <n v="472.94861419527047"/>
    <n v="712.40764894169195"/>
    <n v="0"/>
    <n v="0"/>
    <n v="0"/>
    <n v="0"/>
    <n v="0"/>
    <n v="0"/>
    <n v="0"/>
    <n v="0"/>
    <n v="0"/>
    <n v="0"/>
    <m/>
    <n v="0"/>
    <n v="0"/>
    <n v="0"/>
    <n v="0"/>
    <n v="0"/>
    <n v="2868.8426535817371"/>
    <n v="0"/>
    <n v="80.41"/>
    <n v="386.6"/>
    <n v="25394.27"/>
    <n v="21"/>
    <m/>
    <m/>
    <m/>
    <m/>
    <n v="3007.5799601999979"/>
    <m/>
    <m/>
    <m/>
    <m/>
    <n v="20016.928190066781"/>
    <m/>
    <m/>
    <m/>
    <m/>
    <m/>
    <m/>
    <m/>
    <m/>
    <m/>
    <m/>
    <m/>
    <m/>
    <n v="47117.459999999992"/>
    <n v="-14560.422140800023"/>
    <m/>
    <m/>
    <m/>
    <m/>
    <n v="-17382.859880000004"/>
    <n v="1894.4562299999986"/>
    <n v="31"/>
    <n v="2451.5799353117764"/>
    <n v="57.100046514395785"/>
    <n v="86.01042200112272"/>
    <n v="0"/>
    <n v="0"/>
    <n v="0"/>
    <n v="0"/>
    <n v="0"/>
    <n v="201.8236152162217"/>
    <n v="0"/>
    <n v="0"/>
    <n v="1893.8823438894797"/>
    <n v="0"/>
    <n v="0"/>
    <n v="0"/>
    <n v="316.84297570450371"/>
    <n v="0"/>
    <n v="-89.016736066697376"/>
    <m/>
    <n v="0"/>
    <n v="0"/>
    <n v="0"/>
    <n v="0"/>
    <n v="-11.565265773567376"/>
    <n v="-3.4974661736794701"/>
    <n v="0"/>
    <n v="0"/>
    <m/>
    <m/>
    <m/>
    <n v="31981.318185927576"/>
    <n v="0"/>
    <n v="0"/>
    <n v="-17382.859880000007"/>
    <n v="1894.4562299999998"/>
    <n v="0"/>
    <n v="0"/>
    <n v="-17941.190068992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3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27.762"/>
    <n v="27.762"/>
    <n v="27.762"/>
    <n v="27.762"/>
    <m/>
    <n v="581.32000000000005"/>
    <n v="209.4"/>
    <m/>
    <n v="21951.968640000003"/>
    <n v="21951.968640000003"/>
    <n v="16770.191339999998"/>
    <n v="0"/>
    <n v="1708.4153873675125"/>
    <n v="0"/>
    <n v="0"/>
    <n v="0"/>
    <n v="2059.6945618214022"/>
    <n v="10699.622268684656"/>
    <n v="5737.0380046504361"/>
    <n v="76.427813335785601"/>
    <n v="0"/>
    <n v="0"/>
    <n v="0"/>
    <n v="0"/>
    <n v="264.00556087194974"/>
    <m/>
    <n v="50.609135336041092"/>
    <n v="158.22898527722128"/>
    <n v="238.34204396089771"/>
    <n v="0"/>
    <n v="0"/>
    <n v="0"/>
    <n v="0"/>
    <n v="0"/>
    <n v="0"/>
    <n v="0"/>
    <n v="0"/>
    <n v="0"/>
    <n v="0"/>
    <m/>
    <n v="0"/>
    <n v="0"/>
    <n v="0"/>
    <n v="0"/>
    <n v="0"/>
    <n v="959.79573334541874"/>
    <n v="0"/>
    <n v="28.24"/>
    <n v="135.74"/>
    <n v="8486.7999999999993"/>
    <n v="17"/>
    <m/>
    <m/>
    <m/>
    <m/>
    <m/>
    <m/>
    <m/>
    <m/>
    <m/>
    <n v="6696.8337379958548"/>
    <m/>
    <m/>
    <m/>
    <m/>
    <m/>
    <m/>
    <m/>
    <m/>
    <m/>
    <m/>
    <m/>
    <m/>
    <n v="16768.983199999999"/>
    <n v="-5183.0154400000029"/>
    <m/>
    <m/>
    <m/>
    <m/>
    <n v="-5815.5837600000023"/>
    <n v="633.80645999999956"/>
    <n v="31"/>
    <n v="820.19693862601889"/>
    <n v="19.103306676620633"/>
    <n v="28.775518921140616"/>
    <n v="0"/>
    <n v="0"/>
    <n v="0"/>
    <n v="0"/>
    <n v="0"/>
    <n v="67.521808674669501"/>
    <n v="0"/>
    <n v="0"/>
    <n v="633.61446151600649"/>
    <n v="0"/>
    <n v="0"/>
    <n v="0"/>
    <n v="106.00251493123028"/>
    <n v="0"/>
    <n v="-29.781306885716731"/>
    <m/>
    <n v="0"/>
    <n v="0"/>
    <n v="0"/>
    <n v="0"/>
    <n v="-3.8692581242185611"/>
    <n v="-1.1701070837142211"/>
    <n v="0"/>
    <n v="0"/>
    <m/>
    <m/>
    <m/>
    <n v="10699.622268684656"/>
    <n v="0"/>
    <n v="0"/>
    <n v="-5815.5837600000032"/>
    <n v="633.80645999999979"/>
    <n v="0"/>
    <n v="0"/>
    <n v="-6002.377878012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4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2.25"/>
    <n v="445.97"/>
    <n v="1114.04"/>
    <n v="1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05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82"/>
    <n v="13.9"/>
    <n v="168.07"/>
    <n v="1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06"/>
    <s v="Regular"/>
    <s v="Convencional"/>
    <s v="B2"/>
    <s v="Rural"/>
    <s v="Agropecuária rural"/>
    <s v="IRRIG./AQUIC."/>
    <s v="Não se aplica"/>
    <s v="Não se aplica"/>
    <s v="CATIVO"/>
    <x v="1"/>
    <n v="0"/>
    <n v="0"/>
    <n v="100.67100000000001"/>
    <n v="100.67100000000001"/>
    <n v="100.67100000000001"/>
    <n v="100.67100000000001"/>
    <m/>
    <n v="581.32000000000005"/>
    <n v="209.4"/>
    <m/>
    <n v="79602.573120000015"/>
    <n v="79602.573120000015"/>
    <n v="60812.330969999995"/>
    <n v="0"/>
    <n v="6195.082683584571"/>
    <n v="0"/>
    <n v="0"/>
    <n v="0"/>
    <n v="7468.8967377394411"/>
    <n v="38799.138153258158"/>
    <n v="20803.73722952828"/>
    <n v="277.14373590976413"/>
    <n v="0"/>
    <n v="0"/>
    <n v="0"/>
    <n v="0"/>
    <n v="957.34110721634067"/>
    <m/>
    <n v="183.51964063880817"/>
    <n v="573.7724291060855"/>
    <n v="864.27965951975852"/>
    <n v="0"/>
    <n v="0"/>
    <n v="0"/>
    <n v="0"/>
    <n v="0"/>
    <n v="0"/>
    <n v="0"/>
    <n v="0"/>
    <n v="0"/>
    <n v="0"/>
    <m/>
    <n v="0"/>
    <n v="0"/>
    <n v="0"/>
    <n v="0"/>
    <n v="0"/>
    <n v="3480.4263479438318"/>
    <n v="0"/>
    <n v="0"/>
    <n v="0"/>
    <n v="0"/>
    <n v="0"/>
    <m/>
    <m/>
    <m/>
    <m/>
    <m/>
    <n v="7297.6407899999931"/>
    <m/>
    <m/>
    <m/>
    <n v="24284.163577472111"/>
    <m/>
    <m/>
    <m/>
    <m/>
    <m/>
    <m/>
    <m/>
    <m/>
    <m/>
    <m/>
    <m/>
    <m/>
    <n v="53514.15860000001"/>
    <n v="-16537.786749999999"/>
    <m/>
    <m/>
    <m/>
    <m/>
    <n v="-21088.56108000001"/>
    <n v="2298.3189299999985"/>
    <n v="31"/>
    <n v="2974.2110081557403"/>
    <n v="69.272710411428307"/>
    <n v="104.34623821447099"/>
    <n v="0"/>
    <n v="0"/>
    <n v="0"/>
    <n v="0"/>
    <n v="0"/>
    <n v="244.84864206785096"/>
    <n v="0"/>
    <n v="0"/>
    <n v="2297.6227020847837"/>
    <n v="0"/>
    <n v="0"/>
    <n v="0"/>
    <n v="384.38798287738246"/>
    <n v="0"/>
    <n v="-107.99344231294526"/>
    <m/>
    <n v="0"/>
    <n v="0"/>
    <n v="0"/>
    <n v="0"/>
    <n v="-14.030764520683078"/>
    <n v="-4.2430606665439825"/>
    <n v="0"/>
    <n v="0"/>
    <m/>
    <m/>
    <m/>
    <n v="38799.138153258158"/>
    <n v="0"/>
    <n v="0"/>
    <n v="-21088.561080000007"/>
    <n v="2298.3189299999976"/>
    <n v="0"/>
    <n v="0"/>
    <n v="-21765.91684163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7"/>
    <s v="Sistema de Compensação"/>
    <s v="Convencional"/>
    <s v="B2"/>
    <s v="Rural"/>
    <s v="Agropecuária rural"/>
    <s v="IRRIG./AQUIC."/>
    <s v="Não se aplica"/>
    <s v="Não se aplica"/>
    <s v="CATIVO"/>
    <x v="1"/>
    <n v="0"/>
    <n v="0"/>
    <n v="1.5980000000000001"/>
    <n v="1.5980000000000001"/>
    <n v="1.5980000000000001"/>
    <n v="1.5980000000000001"/>
    <m/>
    <n v="581.32000000000005"/>
    <n v="209.4"/>
    <m/>
    <n v="1263.5705600000001"/>
    <n v="1263.5705600000001"/>
    <n v="965.30385999999999"/>
    <n v="0"/>
    <n v="98.337576147730161"/>
    <n v="0"/>
    <n v="0"/>
    <n v="0"/>
    <n v="118.55744938371157"/>
    <n v="615.87768839990201"/>
    <n v="330.22789177405798"/>
    <n v="4.3992380127723285"/>
    <n v="0"/>
    <n v="0"/>
    <n v="0"/>
    <n v="0"/>
    <n v="15.196343428909143"/>
    <m/>
    <n v="2.9130969766945345"/>
    <n v="9.1077702785461998"/>
    <n v="13.719133572851904"/>
    <n v="0"/>
    <n v="0"/>
    <n v="0"/>
    <n v="0"/>
    <n v="0"/>
    <n v="0"/>
    <n v="0"/>
    <n v="0"/>
    <n v="0"/>
    <n v="0"/>
    <m/>
    <n v="0"/>
    <n v="0"/>
    <n v="0"/>
    <n v="0"/>
    <n v="0"/>
    <n v="55.246508964987363"/>
    <n v="0"/>
    <n v="0"/>
    <n v="0"/>
    <n v="0"/>
    <n v="0"/>
    <m/>
    <m/>
    <m/>
    <m/>
    <m/>
    <n v="115.83901999999989"/>
    <m/>
    <m/>
    <m/>
    <n v="385.47440073904534"/>
    <m/>
    <m/>
    <m/>
    <m/>
    <m/>
    <m/>
    <m/>
    <m/>
    <m/>
    <m/>
    <m/>
    <m/>
    <n v="850.52800000000002"/>
    <n v="-261.47029999999995"/>
    <m/>
    <m/>
    <m/>
    <m/>
    <n v="-334.74904000000015"/>
    <n v="36.482339999999979"/>
    <n v="31"/>
    <n v="47.21110539314077"/>
    <n v="1.0995995990649003"/>
    <n v="1.6563388529638612"/>
    <n v="0"/>
    <n v="0"/>
    <n v="0"/>
    <n v="0"/>
    <n v="0"/>
    <n v="3.8866021994857078"/>
    <n v="0"/>
    <n v="0"/>
    <n v="36.471288433923235"/>
    <n v="0"/>
    <n v="0"/>
    <n v="0"/>
    <n v="6.1015783754810968"/>
    <n v="0"/>
    <n v="-1.7142327066989083"/>
    <m/>
    <n v="0"/>
    <n v="0"/>
    <n v="0"/>
    <n v="0"/>
    <n v="-0.22271718473097124"/>
    <n v="-6.7352176348077553E-2"/>
    <n v="0"/>
    <n v="0"/>
    <m/>
    <m/>
    <m/>
    <n v="615.87768839990201"/>
    <n v="0"/>
    <n v="0"/>
    <n v="-334.74904000000015"/>
    <n v="36.482339999999965"/>
    <n v="0"/>
    <n v="0"/>
    <n v="-345.50103915656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8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12.492"/>
    <n v="44.9968"/>
    <n v="112.492"/>
    <n v="44.9968"/>
    <m/>
    <n v="581.32000000000005"/>
    <n v="209.4"/>
    <m/>
    <n v="88949.674240000008"/>
    <n v="88949.674240000008"/>
    <n v="67953.042440000005"/>
    <n v="0"/>
    <n v="6922.5222878663717"/>
    <n v="0"/>
    <n v="0"/>
    <n v="0"/>
    <n v="8345.9102603707652"/>
    <n v="43355.014345107498"/>
    <n v="23246.555695523984"/>
    <n v="309.68653475142975"/>
    <n v="0"/>
    <n v="0"/>
    <n v="0"/>
    <n v="0"/>
    <n v="1069.7541082633588"/>
    <m/>
    <n v="205.06890181622126"/>
    <n v="641.14599134807213"/>
    <n v="965.76519016098644"/>
    <n v="0"/>
    <n v="0"/>
    <n v="0"/>
    <n v="0"/>
    <n v="0"/>
    <n v="0"/>
    <n v="0"/>
    <n v="0"/>
    <n v="0"/>
    <n v="0"/>
    <m/>
    <n v="0"/>
    <n v="0"/>
    <n v="0"/>
    <n v="0"/>
    <n v="0"/>
    <n v="3889.1053106942168"/>
    <n v="0"/>
    <n v="0"/>
    <n v="0"/>
    <n v="0"/>
    <n v="0"/>
    <m/>
    <m/>
    <m/>
    <m/>
    <m/>
    <m/>
    <n v="44033.643496000004"/>
    <m/>
    <m/>
    <n v="27135.661006218201"/>
    <m/>
    <m/>
    <m/>
    <m/>
    <m/>
    <m/>
    <m/>
    <m/>
    <m/>
    <m/>
    <m/>
    <m/>
    <n v="23921.100000000002"/>
    <n v="-7389.9532799999906"/>
    <m/>
    <m/>
    <m/>
    <m/>
    <n v="-23564.824160000011"/>
    <n v="2568.1923599999982"/>
    <n v="31"/>
    <n v="3323.4491038080014"/>
    <n v="77.406857382984185"/>
    <n v="116.5987923952506"/>
    <n v="0"/>
    <n v="0"/>
    <n v="0"/>
    <n v="0"/>
    <n v="0"/>
    <n v="273.59928324439534"/>
    <n v="0"/>
    <n v="0"/>
    <n v="2567.4143795424898"/>
    <n v="0"/>
    <n v="0"/>
    <n v="0"/>
    <n v="429.52362616684559"/>
    <n v="0"/>
    <n v="-120.67425884979639"/>
    <m/>
    <n v="0"/>
    <n v="0"/>
    <n v="0"/>
    <n v="0"/>
    <n v="-15.678286323377051"/>
    <n v="-4.7412897507809362"/>
    <n v="0"/>
    <n v="0"/>
    <m/>
    <m/>
    <m/>
    <n v="43355.014345107498"/>
    <n v="0"/>
    <n v="0"/>
    <n v="-23564.824160000004"/>
    <n v="2568.1923599999973"/>
    <n v="0"/>
    <n v="0"/>
    <n v="-24321.716456070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09"/>
    <s v="Sistema de Compensação"/>
    <s v="Convencional"/>
    <s v="B2"/>
    <s v="Rural"/>
    <s v="Agropecuária rural"/>
    <s v="IRRIG./AQUIC. PR"/>
    <s v="Não se aplica"/>
    <s v="Não se aplica"/>
    <s v="CATIVO"/>
    <x v="1"/>
    <n v="0"/>
    <n v="0"/>
    <n v="2.331"/>
    <n v="0.93240000000000001"/>
    <n v="2.331"/>
    <n v="0.93240000000000001"/>
    <m/>
    <n v="581.32000000000005"/>
    <n v="209.4"/>
    <m/>
    <n v="1843.16832"/>
    <n v="1843.16832"/>
    <n v="1408.0871699999998"/>
    <n v="0"/>
    <n v="143.44486232813455"/>
    <n v="0"/>
    <n v="0"/>
    <n v="0"/>
    <n v="172.93955851904357"/>
    <n v="898.37978201512612"/>
    <n v="481.70288843887926"/>
    <n v="6.4171613315220881"/>
    <n v="0"/>
    <n v="0"/>
    <n v="0"/>
    <n v="0"/>
    <n v="22.166881434785491"/>
    <m/>
    <n v="4.2493298201970955"/>
    <n v="13.285489686665327"/>
    <n v="20.012077821225148"/>
    <n v="0"/>
    <n v="0"/>
    <n v="0"/>
    <n v="0"/>
    <n v="0"/>
    <n v="0"/>
    <n v="0"/>
    <n v="0"/>
    <n v="0"/>
    <n v="0"/>
    <m/>
    <n v="0"/>
    <n v="0"/>
    <n v="0"/>
    <n v="0"/>
    <n v="0"/>
    <n v="80.587992739290073"/>
    <n v="0"/>
    <n v="0"/>
    <n v="0"/>
    <n v="0"/>
    <n v="0"/>
    <m/>
    <m/>
    <m/>
    <m/>
    <m/>
    <m/>
    <n v="912.44197800000006"/>
    <m/>
    <m/>
    <n v="562.29088117816934"/>
    <m/>
    <m/>
    <m/>
    <m/>
    <m/>
    <m/>
    <m/>
    <m/>
    <m/>
    <m/>
    <m/>
    <m/>
    <n v="494.36940000000004"/>
    <n v="-154.47113999999988"/>
    <m/>
    <m/>
    <m/>
    <m/>
    <n v="-488.29788000000019"/>
    <n v="53.216729999999963"/>
    <n v="31"/>
    <n v="68.866762622910869"/>
    <n v="1.603984146070264"/>
    <n v="2.4160987898990989"/>
    <n v="0"/>
    <n v="0"/>
    <n v="0"/>
    <n v="0"/>
    <n v="0"/>
    <n v="5.669380304756686"/>
    <n v="0"/>
    <n v="0"/>
    <n v="53.200609098545158"/>
    <n v="0"/>
    <n v="0"/>
    <n v="0"/>
    <n v="8.9003624488400703"/>
    <n v="0"/>
    <n v="-2.5005484601471721"/>
    <m/>
    <n v="0"/>
    <n v="0"/>
    <n v="0"/>
    <n v="0"/>
    <n v="-0.32487719499868462"/>
    <n v="-9.8246510054672775E-2"/>
    <n v="0"/>
    <n v="0"/>
    <m/>
    <m/>
    <m/>
    <n v="898.37978201512612"/>
    <n v="0"/>
    <n v="0"/>
    <n v="-488.29788000000008"/>
    <n v="53.216729999999984"/>
    <n v="0"/>
    <n v="0"/>
    <n v="-503.9818036758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0"/>
    <s v="Regular"/>
    <s v="Verde"/>
    <s v="A4"/>
    <s v="Rural"/>
    <s v="Agropecuária rural"/>
    <s v="Não se aplica"/>
    <s v="Não se aplica"/>
    <s v="Ponta"/>
    <s v="CATIVO"/>
    <x v="1"/>
    <n v="0"/>
    <n v="0"/>
    <n v="17.277999999999999"/>
    <n v="16.586879999999997"/>
    <n v="17.277999999999999"/>
    <n v="16.586879999999997"/>
    <m/>
    <n v="1614.19"/>
    <n v="209.4"/>
    <m/>
    <n v="31507.988020000001"/>
    <n v="31507.988020000001"/>
    <n v="20943.527699999999"/>
    <n v="0"/>
    <n v="925.02920988236542"/>
    <n v="0"/>
    <n v="0"/>
    <n v="0"/>
    <n v="5380.68003716358"/>
    <n v="20091.491053707698"/>
    <n v="3570.5115857773299"/>
    <n v="47.565728651239226"/>
    <n v="0"/>
    <n v="0"/>
    <n v="0"/>
    <n v="0"/>
    <n v="164.30689722446317"/>
    <m/>
    <n v="22.942493962403294"/>
    <n v="418.03992059060425"/>
    <n v="622.67672484965385"/>
    <n v="0"/>
    <n v="0"/>
    <n v="0"/>
    <n v="0"/>
    <n v="0"/>
    <n v="0"/>
    <n v="0"/>
    <n v="0"/>
    <n v="0"/>
    <n v="0"/>
    <m/>
    <n v="0"/>
    <n v="0"/>
    <n v="0"/>
    <n v="0"/>
    <n v="0"/>
    <n v="264.7756114491695"/>
    <n v="0"/>
    <n v="0"/>
    <n v="0"/>
    <n v="0"/>
    <n v="0"/>
    <m/>
    <m/>
    <m/>
    <m/>
    <m/>
    <n v="837.74110800000176"/>
    <m/>
    <m/>
    <m/>
    <n v="3835.2871972264993"/>
    <m/>
    <m/>
    <m/>
    <m/>
    <m/>
    <m/>
    <m/>
    <m/>
    <m/>
    <m/>
    <m/>
    <m/>
    <n v="20109.568499999998"/>
    <n v="-10138.129999199995"/>
    <m/>
    <m/>
    <m/>
    <m/>
    <n v="-10958.917060000002"/>
    <n v="394.45673999999968"/>
    <n v="31"/>
    <n v="706.5557043147528"/>
    <n v="50.470808443349767"/>
    <n v="75.177025336767429"/>
    <n v="0"/>
    <n v="0"/>
    <n v="0"/>
    <n v="0"/>
    <n v="0"/>
    <n v="176.39180815611053"/>
    <n v="0"/>
    <n v="0"/>
    <n v="394.33724753524757"/>
    <n v="0"/>
    <n v="0"/>
    <n v="0"/>
    <n v="29.242556234583731"/>
    <n v="0"/>
    <n v="-16.125222812590778"/>
    <m/>
    <n v="0"/>
    <n v="0"/>
    <n v="0"/>
    <n v="0"/>
    <n v="-2.4080772952326015"/>
    <n v="-0.5304412834804495"/>
    <n v="0"/>
    <n v="0"/>
    <m/>
    <m/>
    <m/>
    <n v="20091.491053707698"/>
    <n v="0"/>
    <n v="0"/>
    <n v="-10958.91706"/>
    <n v="394.45673999999963"/>
    <n v="0"/>
    <n v="0"/>
    <n v="-11271.119522604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1"/>
    <s v="Sistema de Compensação"/>
    <s v="Verde"/>
    <s v="A4"/>
    <s v="Rural"/>
    <s v="Agropecuária rural"/>
    <s v="Não se aplica"/>
    <s v="Não se aplica"/>
    <s v="Ponta"/>
    <s v="CATIVO"/>
    <x v="1"/>
    <n v="0"/>
    <n v="0"/>
    <n v="0.33600000000000002"/>
    <n v="0.32256000000000001"/>
    <n v="0.33600000000000002"/>
    <n v="0.32256000000000001"/>
    <m/>
    <n v="1614.19"/>
    <n v="209.4"/>
    <m/>
    <n v="612.72623999999996"/>
    <n v="612.72623999999996"/>
    <n v="407.28240000000005"/>
    <n v="0"/>
    <n v="17.988761113582292"/>
    <n v="0"/>
    <n v="0"/>
    <n v="0"/>
    <n v="104.636444755583"/>
    <n v="390.71310302383301"/>
    <n v="69.434650585784411"/>
    <n v="0.92499622796714798"/>
    <n v="0"/>
    <n v="0"/>
    <n v="0"/>
    <n v="0"/>
    <n v="3.1952261527618728"/>
    <m/>
    <n v="0.44615568765872832"/>
    <n v="8.1294949252484692"/>
    <n v="12.109004488336829"/>
    <n v="0"/>
    <n v="0"/>
    <n v="0"/>
    <n v="0"/>
    <n v="0"/>
    <n v="0"/>
    <n v="0"/>
    <n v="0"/>
    <n v="0"/>
    <n v="0"/>
    <m/>
    <n v="0"/>
    <n v="0"/>
    <n v="0"/>
    <n v="0"/>
    <n v="0"/>
    <n v="5.1490106173701218"/>
    <n v="0"/>
    <n v="0"/>
    <n v="0"/>
    <n v="0"/>
    <n v="0"/>
    <m/>
    <m/>
    <m/>
    <m/>
    <m/>
    <n v="16.29129600000001"/>
    <m/>
    <m/>
    <m/>
    <n v="74.583661203154534"/>
    <m/>
    <m/>
    <m/>
    <m/>
    <m/>
    <m/>
    <m/>
    <m/>
    <m/>
    <m/>
    <m/>
    <m/>
    <n v="387.88799999999998"/>
    <n v="-200.35919040000005"/>
    <m/>
    <m/>
    <m/>
    <m/>
    <n v="-213.11472000000003"/>
    <n v="7.670879999999995"/>
    <n v="31"/>
    <n v="13.74017343730506"/>
    <n v="0.98149042927222574"/>
    <n v="1.4619446992217764"/>
    <n v="0"/>
    <n v="0"/>
    <n v="0"/>
    <n v="0"/>
    <n v="0"/>
    <n v="3.4302377324026594"/>
    <n v="0"/>
    <n v="0"/>
    <n v="7.668556266456946"/>
    <n v="0"/>
    <n v="0"/>
    <n v="0"/>
    <n v="0.56867107852877208"/>
    <n v="0"/>
    <n v="-0.31358229338063026"/>
    <m/>
    <n v="0"/>
    <n v="0"/>
    <n v="0"/>
    <n v="0"/>
    <n v="-4.682914522503534E-2"/>
    <n v="-1.0315329971607334E-2"/>
    <n v="0"/>
    <n v="0"/>
    <m/>
    <m/>
    <m/>
    <n v="390.71310302383301"/>
    <n v="0"/>
    <n v="0"/>
    <n v="-213.11471999999998"/>
    <n v="7.6708799999999968"/>
    <n v="0"/>
    <n v="0"/>
    <n v="-219.1860261370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2"/>
    <s v="Regular"/>
    <s v="Verde"/>
    <s v="A4"/>
    <s v="Rural"/>
    <s v="Agropecuária rural"/>
    <s v="Não se aplica"/>
    <s v="Não se aplica"/>
    <s v="Fora ponta"/>
    <s v="CATIVO"/>
    <x v="1"/>
    <n v="0"/>
    <n v="0"/>
    <n v="756.36199999999997"/>
    <n v="726.10751999999991"/>
    <n v="756.36199999999997"/>
    <n v="726.10751999999991"/>
    <m/>
    <n v="79.7"/>
    <n v="209.4"/>
    <m/>
    <n v="218664.2542"/>
    <n v="218664.2542"/>
    <n v="236378.25224"/>
    <n v="0"/>
    <n v="40494.093254140855"/>
    <n v="0"/>
    <n v="0"/>
    <n v="0"/>
    <n v="0"/>
    <n v="0"/>
    <n v="156302.77138799123"/>
    <n v="2082.2380862431187"/>
    <n v="0"/>
    <n v="0"/>
    <n v="0"/>
    <n v="0"/>
    <n v="7192.7013195097479"/>
    <m/>
    <n v="1004.33097687181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90.821335045535"/>
    <n v="0"/>
    <n v="0"/>
    <n v="0"/>
    <n v="0"/>
    <n v="0"/>
    <m/>
    <m/>
    <m/>
    <m/>
    <m/>
    <n v="9455.1300896000175"/>
    <m/>
    <m/>
    <m/>
    <n v="167893.59272303677"/>
    <m/>
    <m/>
    <m/>
    <m/>
    <m/>
    <m/>
    <m/>
    <m/>
    <m/>
    <m/>
    <m/>
    <m/>
    <n v="226923.89720000001"/>
    <n v="17006.183168000018"/>
    <m/>
    <m/>
    <m/>
    <m/>
    <n v="446.25358000000256"/>
    <n v="17267.744459999987"/>
    <n v="31"/>
    <n v="17708.101514801994"/>
    <n v="0"/>
    <n v="0"/>
    <n v="0"/>
    <n v="0"/>
    <n v="0"/>
    <n v="0"/>
    <n v="0"/>
    <n v="0"/>
    <n v="0"/>
    <n v="0"/>
    <n v="17262.513555981917"/>
    <n v="0"/>
    <n v="0"/>
    <n v="0"/>
    <n v="1280.1226020779141"/>
    <n v="0"/>
    <n v="-705.89800769630529"/>
    <m/>
    <n v="0"/>
    <n v="0"/>
    <n v="0"/>
    <n v="0"/>
    <n v="-105.41602958541171"/>
    <n v="-23.220605976145521"/>
    <n v="0"/>
    <n v="0"/>
    <m/>
    <m/>
    <m/>
    <n v="0"/>
    <n v="0"/>
    <n v="0"/>
    <n v="446.25358000000415"/>
    <n v="17267.74445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3"/>
    <s v="Sistema de Compensação"/>
    <s v="Verde"/>
    <s v="A4"/>
    <s v="Rural"/>
    <s v="Agropecuária rural"/>
    <s v="Não se aplica"/>
    <s v="Não se aplica"/>
    <s v="Fora ponta"/>
    <s v="CATIVO"/>
    <x v="1"/>
    <n v="0"/>
    <n v="0"/>
    <n v="21.524000000000001"/>
    <n v="20.663039999999999"/>
    <n v="21.524000000000001"/>
    <n v="20.663039999999999"/>
    <m/>
    <n v="79.7"/>
    <n v="209.4"/>
    <m/>
    <n v="6222.5884000000005"/>
    <n v="6222.5884000000005"/>
    <n v="6726.68048"/>
    <n v="0"/>
    <n v="1152.3514708593609"/>
    <n v="0"/>
    <n v="0"/>
    <n v="0"/>
    <n v="0"/>
    <n v="0"/>
    <n v="4447.9506524060225"/>
    <n v="59.254817889181226"/>
    <n v="0"/>
    <n v="0"/>
    <n v="0"/>
    <n v="0"/>
    <n v="204.68466580966233"/>
    <m/>
    <n v="28.580520896328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.8431682389122"/>
    <n v="0"/>
    <n v="0"/>
    <n v="0"/>
    <n v="0"/>
    <n v="0"/>
    <m/>
    <m/>
    <m/>
    <m/>
    <m/>
    <n v="269.06721920000069"/>
    <m/>
    <m/>
    <m/>
    <n v="4777.7938206449344"/>
    <m/>
    <m/>
    <m/>
    <m/>
    <m/>
    <m/>
    <m/>
    <m/>
    <m/>
    <m/>
    <m/>
    <m/>
    <n v="6456.6632"/>
    <n v="482.94833600000038"/>
    <m/>
    <m/>
    <m/>
    <m/>
    <n v="12.699160000000074"/>
    <n v="491.39291999999966"/>
    <n v="31"/>
    <n v="503.92428097206903"/>
    <n v="0"/>
    <n v="0"/>
    <n v="0"/>
    <n v="0"/>
    <n v="0"/>
    <n v="0"/>
    <n v="0"/>
    <n v="0"/>
    <n v="0"/>
    <n v="0"/>
    <n v="491.24406273577188"/>
    <n v="0"/>
    <n v="0"/>
    <n v="0"/>
    <n v="36.42879849480147"/>
    <n v="0"/>
    <n v="-20.087932389061734"/>
    <m/>
    <n v="0"/>
    <n v="0"/>
    <n v="0"/>
    <n v="0"/>
    <n v="-2.99985274352278"/>
    <n v="-0.66079512591927525"/>
    <n v="0"/>
    <n v="0"/>
    <m/>
    <m/>
    <m/>
    <n v="0"/>
    <n v="0"/>
    <n v="0"/>
    <n v="12.699159999999893"/>
    <n v="491.39291999999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4"/>
    <s v="Regular"/>
    <s v="Verde"/>
    <s v="A4"/>
    <s v="Rural"/>
    <s v="Agropecuária rural"/>
    <s v="Não se aplica"/>
    <s v="Não se aplica"/>
    <s v="Não se aplica"/>
    <s v="CATIVO"/>
    <x v="1"/>
    <n v="21751"/>
    <n v="20880.96"/>
    <n v="0"/>
    <n v="0"/>
    <n v="0"/>
    <n v="0"/>
    <n v="44.35"/>
    <m/>
    <m/>
    <n v="964656.85"/>
    <m/>
    <n v="964656.85"/>
    <n v="630126.47"/>
    <n v="0"/>
    <n v="0"/>
    <n v="0"/>
    <n v="0"/>
    <n v="0"/>
    <n v="285418.00727954338"/>
    <n v="624641.87456126127"/>
    <m/>
    <m/>
    <m/>
    <n v="0"/>
    <n v="0"/>
    <n v="0"/>
    <n v="0"/>
    <m/>
    <n v="0"/>
    <n v="21570.916764317692"/>
    <n v="33002.605098020671"/>
    <n v="0"/>
    <n v="0"/>
    <m/>
    <m/>
    <n v="0"/>
    <n v="0"/>
    <n v="0"/>
    <m/>
    <m/>
    <n v="0"/>
    <m/>
    <n v="0"/>
    <n v="0"/>
    <n v="0"/>
    <n v="0"/>
    <m/>
    <n v="0"/>
    <n v="0"/>
    <n v="1066.17"/>
    <n v="5120.7700000000004"/>
    <n v="660.54"/>
    <n v="121"/>
    <m/>
    <m/>
    <m/>
    <m/>
    <m/>
    <n v="25205.058800000024"/>
    <m/>
    <m/>
    <m/>
    <n v="0"/>
    <m/>
    <m/>
    <m/>
    <m/>
    <m/>
    <m/>
    <m/>
    <m/>
    <m/>
    <m/>
    <m/>
    <m/>
    <n v="604921.41119999997"/>
    <n v="-321149.19480000006"/>
    <m/>
    <m/>
    <m/>
    <m/>
    <n v="-334530.38000000006"/>
    <n v="0"/>
    <n v="31"/>
    <n v="15945.470151000191"/>
    <n v="2604.3005807225782"/>
    <n v="3984.4715253043469"/>
    <n v="0"/>
    <n v="0"/>
    <m/>
    <m/>
    <m/>
    <n v="9356.69804497330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4641.87456126127"/>
    <m/>
    <n v="0"/>
    <n v="0"/>
    <n v="-334530.38"/>
    <m/>
    <n v="0"/>
    <m/>
    <n v="-350417.657314916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15"/>
    <s v="Refaturamento - Regular"/>
    <s v="Verde"/>
    <s v="A4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4.5199999999999996"/>
    <n v="-20.37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16"/>
    <s v="Sistema de Compensação"/>
    <s v="Verde"/>
    <s v="A4"/>
    <s v="Rural"/>
    <s v="Agropecuária rural"/>
    <s v="Não se aplica"/>
    <s v="Não se aplica"/>
    <s v="Não se aplica"/>
    <s v="CATIVO"/>
    <x v="1"/>
    <n v="1317"/>
    <n v="1264.32"/>
    <n v="0"/>
    <n v="0"/>
    <n v="0"/>
    <n v="0"/>
    <n v="44.35"/>
    <m/>
    <m/>
    <n v="58408.950000000004"/>
    <m/>
    <n v="58408.950000000004"/>
    <n v="38153.49"/>
    <n v="0"/>
    <n v="0"/>
    <n v="0"/>
    <n v="0"/>
    <n v="0"/>
    <n v="17281.75787720834"/>
    <n v="37821.403558327482"/>
    <m/>
    <m/>
    <m/>
    <n v="0"/>
    <n v="0"/>
    <n v="0"/>
    <n v="0"/>
    <m/>
    <n v="0"/>
    <n v="1306.0961509174936"/>
    <n v="1998.2727651185335"/>
    <n v="0"/>
    <n v="0"/>
    <m/>
    <m/>
    <n v="0"/>
    <n v="0"/>
    <n v="0"/>
    <m/>
    <m/>
    <n v="0"/>
    <m/>
    <n v="0"/>
    <n v="0"/>
    <n v="0"/>
    <n v="0"/>
    <m/>
    <n v="0"/>
    <n v="0"/>
    <n v="49.43"/>
    <n v="237.55"/>
    <n v="145.51"/>
    <n v="11"/>
    <m/>
    <m/>
    <m/>
    <m/>
    <m/>
    <n v="1526.1396000000018"/>
    <m/>
    <m/>
    <m/>
    <n v="0"/>
    <m/>
    <m/>
    <m/>
    <m/>
    <m/>
    <m/>
    <m/>
    <m/>
    <m/>
    <m/>
    <m/>
    <m/>
    <n v="36627.350399999996"/>
    <n v="-19445.271600000007"/>
    <m/>
    <m/>
    <m/>
    <m/>
    <n v="-20255.460000000003"/>
    <n v="0"/>
    <n v="31"/>
    <n v="965.48131988724344"/>
    <n v="157.68764032971512"/>
    <n v="241.25552842746697"/>
    <n v="0"/>
    <n v="0"/>
    <m/>
    <m/>
    <m/>
    <n v="566.53815113005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21.403558327482"/>
    <m/>
    <n v="0"/>
    <n v="0"/>
    <n v="-20255.460000000006"/>
    <m/>
    <n v="0"/>
    <m/>
    <n v="-21217.41780533056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17"/>
    <s v="Regular"/>
    <s v="Verde"/>
    <s v="A4"/>
    <s v="Rural"/>
    <s v="Agropecuária rural"/>
    <s v="IRRIG./AQUIC. PR"/>
    <s v="Não se aplica"/>
    <s v="Fora ponta"/>
    <s v="CATIVO"/>
    <x v="1"/>
    <n v="0"/>
    <n v="0"/>
    <n v="749.34400000000005"/>
    <n v="224.8032"/>
    <n v="749.34400000000005"/>
    <n v="224.8032"/>
    <m/>
    <n v="79.7"/>
    <n v="209.4"/>
    <m/>
    <n v="216635.3504"/>
    <n v="216635.3504"/>
    <n v="234184.98688000004"/>
    <n v="0"/>
    <n v="40118.363713976811"/>
    <n v="0"/>
    <n v="0"/>
    <n v="0"/>
    <n v="0"/>
    <n v="0"/>
    <n v="154852.49645402984"/>
    <n v="2062.917778124448"/>
    <n v="0"/>
    <n v="0"/>
    <n v="0"/>
    <n v="0"/>
    <n v="7125.9629351642643"/>
    <m/>
    <n v="995.012165514708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483.27444066249"/>
    <n v="0"/>
    <n v="0"/>
    <n v="0"/>
    <n v="0"/>
    <n v="0"/>
    <m/>
    <m/>
    <m/>
    <m/>
    <m/>
    <m/>
    <n v="163929.490816"/>
    <m/>
    <m/>
    <n v="166335.77089469234"/>
    <m/>
    <m/>
    <m/>
    <m/>
    <m/>
    <m/>
    <m/>
    <m/>
    <m/>
    <m/>
    <m/>
    <m/>
    <n v="70254.496000000014"/>
    <n v="5263.8608800000147"/>
    <m/>
    <m/>
    <m/>
    <m/>
    <n v="442.1129600000026"/>
    <n v="17107.523519999988"/>
    <n v="31"/>
    <n v="17543.794666453061"/>
    <n v="0"/>
    <n v="0"/>
    <n v="0"/>
    <n v="0"/>
    <n v="0"/>
    <n v="0"/>
    <n v="0"/>
    <n v="0"/>
    <n v="0"/>
    <n v="0"/>
    <n v="17102.341151583125"/>
    <n v="0"/>
    <n v="0"/>
    <n v="0"/>
    <n v="1268.2448234198346"/>
    <n v="0"/>
    <n v="-699.34824419944925"/>
    <m/>
    <n v="0"/>
    <n v="0"/>
    <n v="0"/>
    <n v="0"/>
    <n v="-104.43791368901475"/>
    <n v="-23.005150661440894"/>
    <n v="0"/>
    <n v="0"/>
    <m/>
    <m/>
    <m/>
    <n v="0"/>
    <n v="0"/>
    <n v="0"/>
    <n v="442.11295999999857"/>
    <n v="17107.52352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8"/>
    <s v="Regular"/>
    <s v="Convencional"/>
    <s v="B1"/>
    <s v="Residencial"/>
    <s v="Residencial"/>
    <s v="Não se aplica"/>
    <s v="Não se aplica"/>
    <s v="Não se aplica"/>
    <s v="CATIVO"/>
    <x v="2"/>
    <n v="0"/>
    <n v="0"/>
    <n v="1390.3620000000001"/>
    <n v="1390.3620000000001"/>
    <n v="1390.3620000000001"/>
    <n v="1390.3620000000001"/>
    <m/>
    <n v="581.32000000000005"/>
    <n v="209.4"/>
    <m/>
    <n v="1099387.04064"/>
    <n v="1099387.04064"/>
    <n v="839875.97334000003"/>
    <n v="0"/>
    <n v="85559.96811508786"/>
    <n v="0"/>
    <n v="0"/>
    <n v="0"/>
    <n v="103152.54846059823"/>
    <n v="535852.90024972754"/>
    <n v="287319.34421950113"/>
    <n v="3827.6178735382732"/>
    <n v="0"/>
    <n v="0"/>
    <n v="0"/>
    <n v="0"/>
    <n v="13221.788762518758"/>
    <m/>
    <n v="2534.5803120844594"/>
    <n v="7924.3414893742511"/>
    <n v="11936.521897758148"/>
    <n v="0"/>
    <n v="0"/>
    <n v="0"/>
    <n v="0"/>
    <n v="0"/>
    <n v="0"/>
    <n v="0"/>
    <n v="0"/>
    <n v="0"/>
    <n v="0"/>
    <m/>
    <n v="0"/>
    <n v="0"/>
    <n v="0"/>
    <n v="0"/>
    <n v="0"/>
    <n v="48067.989172451664"/>
    <n v="0"/>
    <n v="2256.73"/>
    <n v="10820.13"/>
    <n v="423340.15"/>
    <n v="9300"/>
    <m/>
    <m/>
    <m/>
    <m/>
    <m/>
    <m/>
    <m/>
    <m/>
    <m/>
    <n v="335387.33339195279"/>
    <m/>
    <m/>
    <m/>
    <m/>
    <m/>
    <m/>
    <m/>
    <m/>
    <m/>
    <m/>
    <m/>
    <m/>
    <n v="839874.76519999979"/>
    <n v="-259512.30544000026"/>
    <m/>
    <m/>
    <m/>
    <m/>
    <n v="-291253.0317600001"/>
    <n v="31741.964459999981"/>
    <n v="30"/>
    <n v="41076.675166844972"/>
    <n v="956.7218383949139"/>
    <n v="1441.1205258351292"/>
    <n v="0"/>
    <n v="0"/>
    <n v="0"/>
    <n v="0"/>
    <n v="0"/>
    <n v="3381.5919945440255"/>
    <n v="0"/>
    <n v="0"/>
    <n v="31732.348892094102"/>
    <n v="0"/>
    <n v="0"/>
    <n v="0"/>
    <n v="5308.762649118049"/>
    <n v="0"/>
    <n v="-1491.4918739369896"/>
    <m/>
    <n v="0"/>
    <n v="0"/>
    <n v="0"/>
    <n v="0"/>
    <n v="-193.77816670645916"/>
    <n v="-58.600692497913315"/>
    <n v="0"/>
    <n v="0"/>
    <m/>
    <m/>
    <m/>
    <n v="535852.90024972754"/>
    <n v="0"/>
    <n v="0"/>
    <n v="-291253.0317600001"/>
    <n v="31741.964459999988"/>
    <n v="0"/>
    <n v="0"/>
    <n v="-300607.95732402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19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0.80900000000000005"/>
    <n v="-0.80900000000000005"/>
    <n v="-0.80900000000000005"/>
    <n v="-0.80900000000000005"/>
    <m/>
    <n v="581.32000000000005"/>
    <n v="209.4"/>
    <m/>
    <n v="-639.69248000000016"/>
    <n v="-639.69248000000016"/>
    <n v="-488.69263000000001"/>
    <n v="0"/>
    <n v="-49.784167148631859"/>
    <n v="0"/>
    <n v="0"/>
    <n v="0"/>
    <n v="-60.020636139813931"/>
    <n v="-311.79289731884904"/>
    <n v="-167.18045334493922"/>
    <n v="-2.2271486560280436"/>
    <n v="0"/>
    <n v="0"/>
    <n v="0"/>
    <n v="0"/>
    <n v="-7.6932677309058182"/>
    <m/>
    <n v="-1.4747781315055559"/>
    <n v="-4.6108799470237027"/>
    <n v="-6.9454186861309077"/>
    <n v="0"/>
    <n v="0"/>
    <n v="0"/>
    <n v="0"/>
    <n v="0"/>
    <n v="0"/>
    <n v="0"/>
    <n v="0"/>
    <n v="0"/>
    <n v="0"/>
    <m/>
    <n v="0"/>
    <n v="0"/>
    <n v="0"/>
    <n v="0"/>
    <n v="0"/>
    <n v="-27.96897731706807"/>
    <n v="0"/>
    <n v="-0.85"/>
    <n v="-4.04"/>
    <n v="-261.82"/>
    <n v="0"/>
    <m/>
    <m/>
    <m/>
    <m/>
    <m/>
    <m/>
    <m/>
    <m/>
    <m/>
    <n v="-195.14943066200729"/>
    <m/>
    <m/>
    <m/>
    <m/>
    <m/>
    <m/>
    <m/>
    <m/>
    <m/>
    <m/>
    <m/>
    <m/>
    <n v="-489.29669999999999"/>
    <n v="150.3657800000002"/>
    <m/>
    <m/>
    <m/>
    <m/>
    <n v="169.46932000000007"/>
    <n v="-18.469469999999987"/>
    <n v="30"/>
    <n v="-23.900991403661408"/>
    <n v="-0.55668089840018986"/>
    <n v="-0.8385345006556717"/>
    <n v="0"/>
    <n v="0"/>
    <n v="0"/>
    <n v="0"/>
    <n v="0"/>
    <n v="-1.9676227655719245"/>
    <n v="0"/>
    <n v="0"/>
    <n v="-18.463875058225256"/>
    <n v="0"/>
    <n v="0"/>
    <n v="0"/>
    <n v="-3.0889717808286647"/>
    <n v="0"/>
    <n v="0.86784371697085305"/>
    <m/>
    <n v="0"/>
    <n v="0"/>
    <n v="0"/>
    <n v="0"/>
    <n v="0.11275231692575449"/>
    <n v="3.4097566123651113E-2"/>
    <n v="0"/>
    <n v="0"/>
    <m/>
    <m/>
    <m/>
    <n v="-311.79289731884904"/>
    <n v="0"/>
    <n v="0"/>
    <n v="169.4693200000001"/>
    <n v="-18.469470000000001"/>
    <n v="0"/>
    <n v="0"/>
    <n v="174.91260367813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0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43.026000000000003"/>
    <n v="43.026000000000003"/>
    <n v="43.026000000000003"/>
    <n v="43.026000000000003"/>
    <m/>
    <n v="581.32000000000005"/>
    <n v="209.4"/>
    <m/>
    <n v="34021.518720000007"/>
    <n v="34021.518720000007"/>
    <n v="25990.715820000001"/>
    <n v="0"/>
    <n v="2647.7300070915135"/>
    <n v="0"/>
    <n v="0"/>
    <n v="0"/>
    <n v="3192.1481959847147"/>
    <n v="16582.448949370581"/>
    <n v="8891.3549884046424"/>
    <n v="118.44907054915032"/>
    <n v="0"/>
    <n v="0"/>
    <n v="0"/>
    <n v="0"/>
    <n v="409.16012038313193"/>
    <m/>
    <n v="78.434862652852971"/>
    <n v="245.22585982774021"/>
    <n v="369.38638367054193"/>
    <n v="0"/>
    <n v="0"/>
    <n v="0"/>
    <n v="0"/>
    <n v="0"/>
    <n v="0"/>
    <n v="0"/>
    <n v="0"/>
    <n v="0"/>
    <n v="0"/>
    <m/>
    <n v="0"/>
    <n v="0"/>
    <n v="0"/>
    <n v="0"/>
    <n v="0"/>
    <n v="1487.5070680397662"/>
    <n v="0"/>
    <n v="69.23"/>
    <n v="337.32"/>
    <n v="37678.42"/>
    <n v="591"/>
    <m/>
    <m/>
    <m/>
    <m/>
    <m/>
    <m/>
    <m/>
    <m/>
    <m/>
    <n v="10378.862056444408"/>
    <m/>
    <m/>
    <m/>
    <m/>
    <m/>
    <m/>
    <m/>
    <m/>
    <m/>
    <m/>
    <m/>
    <m/>
    <n v="25993.132100000003"/>
    <n v="-8028.4166199999963"/>
    <m/>
    <m/>
    <m/>
    <m/>
    <n v="-9013.0864800000036"/>
    <n v="982.28357999999935"/>
    <n v="30"/>
    <n v="1271.154581129711"/>
    <n v="29.606615988339428"/>
    <n v="44.596768139939343"/>
    <n v="0"/>
    <n v="0"/>
    <n v="0"/>
    <n v="0"/>
    <n v="0"/>
    <n v="104.64639939616518"/>
    <n v="0"/>
    <n v="0"/>
    <n v="981.98601762076578"/>
    <n v="0"/>
    <n v="0"/>
    <n v="0"/>
    <n v="164.28442502093208"/>
    <n v="0"/>
    <n v="-46.155554717413906"/>
    <m/>
    <n v="0"/>
    <n v="0"/>
    <n v="0"/>
    <n v="0"/>
    <n v="-5.9966392930130041"/>
    <n v="-1.8134510260027383"/>
    <n v="0"/>
    <n v="0"/>
    <m/>
    <m/>
    <m/>
    <n v="16582.448949370581"/>
    <n v="0"/>
    <n v="0"/>
    <n v="-9013.0864800000018"/>
    <n v="982.28357999999935"/>
    <n v="0"/>
    <n v="0"/>
    <n v="-9302.583048028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1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38.340000000000003"/>
    <n v="38.340000000000003"/>
    <n v="38.340000000000003"/>
    <n v="38.340000000000003"/>
    <m/>
    <n v="510.28"/>
    <n v="209.4"/>
    <m/>
    <n v="27592.531200000001"/>
    <n v="27592.531200000001"/>
    <n v="20482.378199999999"/>
    <n v="0"/>
    <n v="0"/>
    <n v="0"/>
    <n v="0"/>
    <n v="0"/>
    <n v="2844.4884914715281"/>
    <n v="14776.439657854971"/>
    <n v="7922.989593627899"/>
    <n v="105.54867672696564"/>
    <n v="0"/>
    <n v="0"/>
    <n v="0"/>
    <n v="0"/>
    <n v="0"/>
    <m/>
    <n v="69.892451868878879"/>
    <n v="218.5180929158081"/>
    <n v="329.15618346879978"/>
    <n v="0"/>
    <n v="0"/>
    <n v="0"/>
    <n v="0"/>
    <n v="0"/>
    <n v="0"/>
    <n v="0"/>
    <n v="0"/>
    <n v="0"/>
    <n v="0"/>
    <m/>
    <n v="0"/>
    <n v="0"/>
    <n v="0"/>
    <n v="0"/>
    <n v="0"/>
    <n v="1325.5013477582074"/>
    <n v="0"/>
    <n v="12.73"/>
    <n v="74.95"/>
    <n v="2890.47"/>
    <n v="95"/>
    <m/>
    <m/>
    <m/>
    <m/>
    <m/>
    <m/>
    <m/>
    <n v="13313.565000000001"/>
    <m/>
    <n v="9248.490941386106"/>
    <m/>
    <m/>
    <m/>
    <m/>
    <m/>
    <m/>
    <m/>
    <m/>
    <m/>
    <m/>
    <m/>
    <m/>
    <n v="7168.8132000000005"/>
    <n v="-2488.6794000000009"/>
    <m/>
    <m/>
    <m/>
    <m/>
    <n v="-7985.4551999999994"/>
    <n v="875.30219999999952"/>
    <n v="30"/>
    <n v="1179.1842550753736"/>
    <n v="26.38213305891631"/>
    <n v="39.739694382124128"/>
    <n v="0"/>
    <n v="0"/>
    <n v="0"/>
    <n v="0"/>
    <n v="0"/>
    <n v="93.249266788662226"/>
    <n v="0"/>
    <n v="0"/>
    <n v="875.03704540464241"/>
    <n v="0"/>
    <n v="0"/>
    <n v="0"/>
    <n v="146.39206189984066"/>
    <n v="0"/>
    <n v="0"/>
    <m/>
    <n v="0"/>
    <n v="0"/>
    <n v="0"/>
    <n v="0"/>
    <n v="0"/>
    <n v="-1.6159464588143209"/>
    <n v="0"/>
    <n v="0"/>
    <m/>
    <m/>
    <m/>
    <n v="14776.439657854971"/>
    <n v="0"/>
    <n v="0"/>
    <n v="-7985.4552000000003"/>
    <n v="875.30220000000008"/>
    <n v="0"/>
    <n v="0"/>
    <n v="-8289.430438837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2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75.094999999999999"/>
    <n v="75.094999999999999"/>
    <n v="75.094999999999999"/>
    <n v="75.094999999999999"/>
    <m/>
    <n v="510.28"/>
    <n v="209.4"/>
    <m/>
    <n v="54044.369599999991"/>
    <n v="54044.369599999991"/>
    <n v="40118.001850000001"/>
    <n v="0"/>
    <n v="0"/>
    <n v="0"/>
    <n v="0"/>
    <n v="0"/>
    <n v="5571.3840184416895"/>
    <n v="28942.011896364605"/>
    <n v="15518.437755177023"/>
    <n v="206.73390398569336"/>
    <n v="0"/>
    <n v="0"/>
    <n v="0"/>
    <n v="0"/>
    <n v="0"/>
    <m/>
    <n v="136.895505297169"/>
    <n v="428.00250880314576"/>
    <n v="644.70484083436406"/>
    <n v="0"/>
    <n v="0"/>
    <n v="0"/>
    <n v="0"/>
    <n v="0"/>
    <n v="0"/>
    <n v="0"/>
    <n v="0"/>
    <n v="0"/>
    <n v="0"/>
    <m/>
    <n v="0"/>
    <n v="0"/>
    <n v="0"/>
    <n v="0"/>
    <n v="0"/>
    <n v="2596.205626236374"/>
    <n v="0"/>
    <n v="55.52"/>
    <n v="268.55"/>
    <n v="10798.64"/>
    <n v="285"/>
    <m/>
    <m/>
    <m/>
    <m/>
    <m/>
    <m/>
    <m/>
    <n v="16047.05055"/>
    <m/>
    <n v="18114.643381413396"/>
    <m/>
    <m/>
    <m/>
    <m/>
    <m/>
    <m/>
    <m/>
    <m/>
    <m/>
    <m/>
    <m/>
    <m/>
    <n v="24072.553999999996"/>
    <n v="-8354.2479499999972"/>
    <m/>
    <m/>
    <m/>
    <m/>
    <n v="-15640.786599999998"/>
    <n v="1714.4188499999989"/>
    <n v="30"/>
    <n v="2309.620282600019"/>
    <n v="51.67361194729574"/>
    <n v="77.836524507710237"/>
    <n v="0"/>
    <n v="0"/>
    <n v="0"/>
    <n v="0"/>
    <n v="0"/>
    <n v="182.64354954341616"/>
    <n v="0"/>
    <n v="0"/>
    <n v="1713.8995024690012"/>
    <n v="0"/>
    <n v="0"/>
    <n v="0"/>
    <n v="286.73218279521461"/>
    <n v="0"/>
    <n v="0"/>
    <m/>
    <n v="0"/>
    <n v="0"/>
    <n v="0"/>
    <n v="0"/>
    <n v="0"/>
    <n v="-3.1650886626150623"/>
    <n v="0"/>
    <n v="0"/>
    <m/>
    <m/>
    <m/>
    <n v="28942.011896364605"/>
    <n v="0"/>
    <n v="0"/>
    <n v="-15640.786599999996"/>
    <n v="1714.4188499999982"/>
    <n v="0"/>
    <n v="0"/>
    <n v="-16236.17054784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3"/>
    <s v="Refaturamento - 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-4.4999999999999998E-2"/>
    <n v="-4.4999999999999998E-2"/>
    <n v="-4.4999999999999998E-2"/>
    <n v="-4.4999999999999998E-2"/>
    <m/>
    <n v="510.28"/>
    <n v="209.4"/>
    <m/>
    <n v="-32.385599999999997"/>
    <n v="-32.385599999999997"/>
    <n v="-24.040349999999997"/>
    <n v="0"/>
    <n v="0"/>
    <n v="0"/>
    <n v="0"/>
    <n v="0"/>
    <n v="-3.3386015158116522"/>
    <n v="-17.343239035041044"/>
    <n v="-9.299283560596125"/>
    <n v="-0.1238834233884573"/>
    <n v="0"/>
    <n v="0"/>
    <n v="0"/>
    <n v="0"/>
    <n v="0"/>
    <m/>
    <n v="-8.2033394212299146E-2"/>
    <n v="-0.256476634877709"/>
    <n v="-0.38633354867230013"/>
    <n v="0"/>
    <n v="0"/>
    <n v="0"/>
    <n v="0"/>
    <n v="0"/>
    <n v="0"/>
    <n v="0"/>
    <n v="0"/>
    <n v="0"/>
    <n v="0"/>
    <m/>
    <n v="0"/>
    <n v="0"/>
    <n v="0"/>
    <n v="0"/>
    <n v="0"/>
    <n v="-1.5557527555847503"/>
    <n v="0"/>
    <n v="-0.02"/>
    <n v="-0.08"/>
    <n v="-5.34"/>
    <n v="0"/>
    <m/>
    <m/>
    <m/>
    <m/>
    <m/>
    <m/>
    <m/>
    <n v="-9.6160499999999995"/>
    <m/>
    <n v="-10.855036316180875"/>
    <m/>
    <m/>
    <m/>
    <m/>
    <m/>
    <m/>
    <m/>
    <m/>
    <m/>
    <m/>
    <m/>
    <m/>
    <n v="-16.027000000000001"/>
    <n v="3.374449999999996"/>
    <m/>
    <m/>
    <m/>
    <m/>
    <n v="9.3725999999999985"/>
    <n v="-1.0273499999999993"/>
    <n v="30"/>
    <n v="-1.3840190787269631"/>
    <n v="-3.0964944904831371E-2"/>
    <n v="-4.6642833781835868E-2"/>
    <n v="0"/>
    <n v="0"/>
    <n v="0"/>
    <n v="0"/>
    <n v="0"/>
    <n v="-0.10944749623082384"/>
    <n v="0"/>
    <n v="0"/>
    <n v="-1.0270387856861998"/>
    <n v="0"/>
    <n v="0"/>
    <n v="0"/>
    <n v="-0.17182166889652639"/>
    <n v="0"/>
    <n v="0"/>
    <m/>
    <n v="0"/>
    <n v="0"/>
    <n v="0"/>
    <n v="0"/>
    <n v="0"/>
    <n v="1.8966507732562504E-3"/>
    <n v="0"/>
    <n v="0"/>
    <m/>
    <m/>
    <m/>
    <n v="-17.343239035041044"/>
    <n v="0"/>
    <n v="0"/>
    <n v="9.3725999999999985"/>
    <n v="-1.0273499999999984"/>
    <n v="0"/>
    <n v="0"/>
    <n v="9.729378449340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4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61.445999999999998"/>
    <n v="61.445999999999998"/>
    <n v="61.445999999999998"/>
    <n v="61.445999999999998"/>
    <m/>
    <n v="510.28"/>
    <n v="209.4"/>
    <m/>
    <n v="44221.457279999995"/>
    <n v="44221.457279999995"/>
    <n v="32826.296579999995"/>
    <n v="0"/>
    <n v="0"/>
    <n v="0"/>
    <n v="0"/>
    <n v="0"/>
    <n v="4558.7490831236173"/>
    <n v="23681.614794380712"/>
    <n v="12697.861725875322"/>
    <n v="169.15868518949216"/>
    <n v="0"/>
    <n v="0"/>
    <n v="0"/>
    <n v="0"/>
    <n v="0"/>
    <m/>
    <n v="112.01386535042074"/>
    <n v="350.21029570434905"/>
    <n v="527.5255829270701"/>
    <n v="0"/>
    <n v="0"/>
    <n v="0"/>
    <n v="0"/>
    <n v="0"/>
    <n v="0"/>
    <n v="0"/>
    <n v="0"/>
    <n v="0"/>
    <n v="0"/>
    <m/>
    <n v="0"/>
    <n v="0"/>
    <n v="0"/>
    <n v="0"/>
    <n v="0"/>
    <n v="2124.3285293257904"/>
    <n v="0"/>
    <n v="83.32"/>
    <n v="397.91"/>
    <n v="15769.55"/>
    <n v="706"/>
    <m/>
    <m/>
    <m/>
    <m/>
    <m/>
    <m/>
    <m/>
    <n v="3283.0597799999987"/>
    <m/>
    <n v="14822.190255201112"/>
    <m/>
    <m/>
    <m/>
    <m/>
    <m/>
    <m/>
    <m/>
    <m/>
    <m/>
    <m/>
    <m/>
    <m/>
    <n v="29545.160000000003"/>
    <n v="-10254.058659999995"/>
    <m/>
    <m/>
    <m/>
    <m/>
    <n v="-12797.972879999998"/>
    <n v="1402.812179999999"/>
    <n v="30"/>
    <n v="1889.831918032367"/>
    <n v="42.28160010271705"/>
    <n v="63.689234767970788"/>
    <n v="0"/>
    <n v="0"/>
    <n v="0"/>
    <n v="0"/>
    <n v="0"/>
    <n v="149.44690785331568"/>
    <n v="0"/>
    <n v="0"/>
    <n v="1402.3872272283152"/>
    <n v="0"/>
    <n v="0"/>
    <n v="0"/>
    <n v="234.6167614892438"/>
    <n v="0"/>
    <n v="0"/>
    <m/>
    <n v="0"/>
    <n v="0"/>
    <n v="0"/>
    <n v="0"/>
    <n v="0"/>
    <n v="-2.5898134091889631"/>
    <n v="0"/>
    <n v="0"/>
    <m/>
    <m/>
    <m/>
    <n v="23681.614794380712"/>
    <n v="0"/>
    <n v="0"/>
    <n v="-12797.972879999998"/>
    <n v="1402.812179999999"/>
    <n v="0"/>
    <n v="0"/>
    <n v="-13285.14195995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5"/>
    <s v="Refaturamento - 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-6.0000000000000001E-3"/>
    <n v="-6.0000000000000001E-3"/>
    <n v="-6.0000000000000001E-3"/>
    <n v="-6.0000000000000001E-3"/>
    <m/>
    <n v="510.28"/>
    <n v="209.4"/>
    <m/>
    <n v="-4.3180800000000001"/>
    <n v="-4.3180800000000001"/>
    <n v="-3.2053799999999999"/>
    <n v="0"/>
    <n v="0"/>
    <n v="0"/>
    <n v="0"/>
    <n v="0"/>
    <n v="-0.44514686877488696"/>
    <n v="-2.3124318713388061"/>
    <n v="-1.2399044747461501"/>
    <n v="-1.6517789785127641E-2"/>
    <n v="0"/>
    <n v="0"/>
    <n v="0"/>
    <n v="0"/>
    <n v="0"/>
    <m/>
    <n v="-1.0937785894973221E-2"/>
    <n v="-3.4196884650361206E-2"/>
    <n v="-5.1511139822973354E-2"/>
    <n v="0"/>
    <n v="0"/>
    <n v="0"/>
    <n v="0"/>
    <n v="0"/>
    <n v="0"/>
    <n v="0"/>
    <n v="0"/>
    <n v="0"/>
    <n v="0"/>
    <m/>
    <n v="0"/>
    <n v="0"/>
    <n v="0"/>
    <n v="0"/>
    <n v="0"/>
    <n v="-0.20743370074463341"/>
    <n v="0"/>
    <n v="-0.01"/>
    <n v="-0.06"/>
    <n v="-3.63"/>
    <n v="0"/>
    <m/>
    <m/>
    <m/>
    <m/>
    <m/>
    <m/>
    <m/>
    <n v="-0.32057999999999987"/>
    <m/>
    <n v="-1.4473381754907835"/>
    <m/>
    <m/>
    <m/>
    <m/>
    <m/>
    <m/>
    <m/>
    <m/>
    <m/>
    <m/>
    <m/>
    <m/>
    <n v="-4.8079999999999998"/>
    <n v="-0.95173999999999914"/>
    <m/>
    <m/>
    <m/>
    <m/>
    <n v="1.2496799999999999"/>
    <n v="-0.13697999999999991"/>
    <n v="30"/>
    <n v="-0.18453587716359499"/>
    <n v="-4.1286593206441777E-3"/>
    <n v="-6.2190445042447848E-3"/>
    <n v="0"/>
    <n v="0"/>
    <n v="0"/>
    <n v="0"/>
    <n v="0"/>
    <n v="-1.4592999497443193E-2"/>
    <n v="0"/>
    <n v="0"/>
    <n v="-0.13693850475815994"/>
    <n v="0"/>
    <n v="0"/>
    <n v="0"/>
    <n v="-2.2909555852870189E-2"/>
    <n v="0"/>
    <n v="0"/>
    <m/>
    <n v="0"/>
    <n v="0"/>
    <n v="0"/>
    <n v="0"/>
    <n v="0"/>
    <n v="2.5288676976750052E-4"/>
    <n v="0"/>
    <n v="0"/>
    <m/>
    <m/>
    <m/>
    <n v="-2.3124318713388061"/>
    <n v="0"/>
    <n v="0"/>
    <n v="1.2496799999999999"/>
    <n v="-0.1369800000000001"/>
    <n v="0"/>
    <n v="0"/>
    <n v="1.297250459912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6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1.084"/>
    <n v="11.084"/>
    <n v="11.084"/>
    <n v="11.084"/>
    <m/>
    <n v="510.28"/>
    <n v="209.4"/>
    <m/>
    <n v="7976.9331199999997"/>
    <n v="7976.9331199999997"/>
    <n v="5921.4053199999998"/>
    <n v="0"/>
    <n v="0"/>
    <n v="0"/>
    <n v="0"/>
    <n v="0"/>
    <n v="822.33464891680785"/>
    <n v="4271.832476986554"/>
    <n v="2290.5168663477211"/>
    <n v="30.513863663059126"/>
    <n v="0"/>
    <n v="0"/>
    <n v="0"/>
    <n v="0"/>
    <n v="0"/>
    <m/>
    <n v="20.205736476647193"/>
    <n v="63.17304491076726"/>
    <n v="95.158245632972779"/>
    <n v="0"/>
    <n v="0"/>
    <n v="0"/>
    <n v="0"/>
    <n v="0"/>
    <n v="0"/>
    <n v="0"/>
    <n v="0"/>
    <n v="0"/>
    <n v="0"/>
    <m/>
    <n v="0"/>
    <n v="0"/>
    <n v="0"/>
    <n v="0"/>
    <n v="0"/>
    <n v="383.19918984225274"/>
    <n v="0"/>
    <n v="23.52"/>
    <n v="107.46"/>
    <n v="4293.66"/>
    <n v="192"/>
    <m/>
    <m/>
    <m/>
    <m/>
    <m/>
    <m/>
    <m/>
    <m/>
    <m/>
    <n v="2673.7160561899736"/>
    <m/>
    <m/>
    <m/>
    <m/>
    <m/>
    <m/>
    <m/>
    <m/>
    <m/>
    <m/>
    <m/>
    <m/>
    <n v="5919.2683999999999"/>
    <n v="-2057.6947200000004"/>
    <m/>
    <m/>
    <m/>
    <m/>
    <n v="-2308.5755199999994"/>
    <n v="253.04771999999983"/>
    <n v="30"/>
    <n v="340.89927708021378"/>
    <n v="7.6270099850033546"/>
    <n v="11.488648214174859"/>
    <n v="0"/>
    <n v="0"/>
    <n v="0"/>
    <n v="0"/>
    <n v="0"/>
    <n v="26.958134404943394"/>
    <n v="0"/>
    <n v="0"/>
    <n v="252.97106445657391"/>
    <n v="0"/>
    <n v="0"/>
    <n v="0"/>
    <n v="42.32158617886887"/>
    <n v="0"/>
    <n v="0"/>
    <m/>
    <n v="0"/>
    <n v="0"/>
    <n v="0"/>
    <n v="0"/>
    <n v="0"/>
    <n v="-0.46716615935049077"/>
    <n v="0"/>
    <n v="0"/>
    <m/>
    <m/>
    <m/>
    <n v="4271.832476986554"/>
    <n v="0"/>
    <n v="0"/>
    <n v="-2308.5755199999999"/>
    <n v="253.04772000000003"/>
    <n v="0"/>
    <n v="0"/>
    <n v="-2396.45401627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7"/>
    <s v="Regular"/>
    <s v="Branca"/>
    <s v="B1"/>
    <s v="Residencial"/>
    <s v="Residencial"/>
    <s v="Não se aplica"/>
    <s v="Não se aplica"/>
    <s v="Ponta"/>
    <s v="CATIVO"/>
    <x v="2"/>
    <n v="0"/>
    <n v="0"/>
    <n v="5.3999999999999999E-2"/>
    <n v="5.3999999999999999E-2"/>
    <n v="5.3999999999999999E-2"/>
    <n v="5.3999999999999999E-2"/>
    <m/>
    <n v="1292.1099999999999"/>
    <n v="209.4"/>
    <m/>
    <n v="81.08153999999999"/>
    <n v="81.08153999999999"/>
    <n v="53.826119999999996"/>
    <n v="0"/>
    <n v="3.3230470037405686"/>
    <n v="0"/>
    <n v="0"/>
    <n v="0"/>
    <n v="10.014022375807285"/>
    <n v="52.029735501769508"/>
    <n v="11.15914027271535"/>
    <n v="0.14866010806614877"/>
    <n v="0"/>
    <n v="0"/>
    <n v="0"/>
    <n v="0"/>
    <n v="0.51351848883672946"/>
    <m/>
    <n v="9.8440073054758978E-2"/>
    <n v="0.76943683471715463"/>
    <n v="1.1590006460169007"/>
    <n v="0"/>
    <n v="0"/>
    <n v="0"/>
    <n v="0"/>
    <n v="0"/>
    <n v="0"/>
    <n v="0"/>
    <n v="0"/>
    <n v="0"/>
    <n v="0"/>
    <m/>
    <n v="0"/>
    <n v="0"/>
    <n v="0"/>
    <n v="0"/>
    <n v="0"/>
    <n v="1.8669033067017005"/>
    <n v="0"/>
    <n v="0"/>
    <n v="0"/>
    <n v="0"/>
    <n v="0"/>
    <m/>
    <m/>
    <m/>
    <m/>
    <m/>
    <m/>
    <m/>
    <m/>
    <m/>
    <n v="13.026043579417051"/>
    <m/>
    <m/>
    <m/>
    <m/>
    <m/>
    <m/>
    <m/>
    <m/>
    <m/>
    <m/>
    <m/>
    <m/>
    <n v="49.838999999999999"/>
    <n v="-31.272540000000006"/>
    <m/>
    <m/>
    <m/>
    <m/>
    <n v="-28.488239999999998"/>
    <n v="1.2328199999999991"/>
    <n v="30"/>
    <n v="1.9320109258956251"/>
    <n v="9.2895671397612567E-2"/>
    <n v="0.13992850134550627"/>
    <n v="0"/>
    <n v="0"/>
    <n v="0"/>
    <n v="0"/>
    <n v="0"/>
    <n v="0.32828406476212812"/>
    <n v="0"/>
    <n v="0"/>
    <n v="1.232446542823439"/>
    <n v="0"/>
    <n v="0"/>
    <n v="0"/>
    <n v="0.20618600267583198"/>
    <n v="0"/>
    <n v="-5.7927763555532863E-2"/>
    <m/>
    <n v="0"/>
    <n v="0"/>
    <n v="0"/>
    <n v="0"/>
    <n v="-7.5261126254521082E-3"/>
    <n v="-2.2759809279074977E-3"/>
    <n v="0"/>
    <n v="0"/>
    <m/>
    <m/>
    <m/>
    <n v="52.029735501769508"/>
    <n v="0"/>
    <n v="0"/>
    <n v="-28.488239999999998"/>
    <n v="1.2328199999999985"/>
    <n v="0"/>
    <n v="0"/>
    <n v="-29.18814566834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8"/>
    <s v="Regular"/>
    <s v="Branca"/>
    <s v="B1"/>
    <s v="Residencial"/>
    <s v="Residencial"/>
    <s v="Não se aplica"/>
    <s v="Não se aplica"/>
    <s v="Fora ponta"/>
    <s v="CATIVO"/>
    <x v="2"/>
    <n v="0"/>
    <n v="0"/>
    <n v="0.50700000000000001"/>
    <n v="0.50700000000000001"/>
    <n v="0.50700000000000001"/>
    <n v="0.50700000000000001"/>
    <m/>
    <n v="344.38"/>
    <n v="209.4"/>
    <m/>
    <n v="280.76646"/>
    <n v="280.76646"/>
    <n v="239.88704999999999"/>
    <n v="0"/>
    <n v="31.199719090675341"/>
    <n v="0"/>
    <n v="0"/>
    <n v="0"/>
    <n v="18.807455205739"/>
    <n v="97.700246564064813"/>
    <n v="104.77192811604968"/>
    <n v="1.3957532368432857"/>
    <n v="0"/>
    <n v="0"/>
    <n v="0"/>
    <n v="0"/>
    <n v="4.8213680340781826"/>
    <m/>
    <n v="0.92424290812523713"/>
    <n v="1.4448183764777609"/>
    <n v="2.1763456575206241"/>
    <n v="0"/>
    <n v="0"/>
    <n v="0"/>
    <n v="0"/>
    <n v="0"/>
    <n v="0"/>
    <n v="0"/>
    <n v="0"/>
    <n v="0"/>
    <n v="0"/>
    <m/>
    <n v="0"/>
    <n v="0"/>
    <n v="0"/>
    <n v="0"/>
    <n v="0"/>
    <n v="17.528147712921523"/>
    <n v="0"/>
    <n v="0"/>
    <n v="0"/>
    <n v="0"/>
    <n v="0"/>
    <m/>
    <m/>
    <m/>
    <m/>
    <m/>
    <m/>
    <m/>
    <m/>
    <m/>
    <n v="122.3000758289712"/>
    <m/>
    <m/>
    <m/>
    <m/>
    <m/>
    <m/>
    <m/>
    <m/>
    <m/>
    <m/>
    <m/>
    <m/>
    <n v="241.30649999999997"/>
    <n v="-39.489959999999996"/>
    <m/>
    <m/>
    <m/>
    <m/>
    <n v="-52.454220000000007"/>
    <n v="11.574809999999992"/>
    <n v="30"/>
    <n v="13.924997734144881"/>
    <n v="0.17443585629721392"/>
    <n v="0.26275463030434487"/>
    <n v="0"/>
    <n v="0"/>
    <n v="0"/>
    <n v="0"/>
    <n v="0"/>
    <n v="0.61655422876697585"/>
    <n v="0"/>
    <n v="0"/>
    <n v="11.571303652064515"/>
    <n v="0"/>
    <n v="0"/>
    <n v="0"/>
    <n v="1.9358574695675301"/>
    <n v="0"/>
    <n v="-0.5438773356047264"/>
    <m/>
    <n v="0"/>
    <n v="0"/>
    <n v="0"/>
    <n v="0"/>
    <n v="-7.0661835205633849E-2"/>
    <n v="-2.1368932045353728E-2"/>
    <n v="0"/>
    <n v="0"/>
    <m/>
    <m/>
    <m/>
    <n v="97.700246564064813"/>
    <n v="0"/>
    <n v="0"/>
    <n v="-52.454220000000007"/>
    <n v="11.574809999999985"/>
    <n v="0"/>
    <n v="0"/>
    <n v="-54.80883193128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29"/>
    <s v="Regular"/>
    <s v="Branca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2"/>
    <n v="4.38"/>
    <n v="175.1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30"/>
    <s v="Regular"/>
    <s v="Branca"/>
    <s v="B1"/>
    <s v="Residencial"/>
    <s v="Residencial"/>
    <s v="Não se aplica"/>
    <s v="Não se aplica"/>
    <s v="Intermediário"/>
    <s v="CATIVO"/>
    <x v="2"/>
    <n v="0"/>
    <n v="0"/>
    <n v="4.2999999999999997E-2"/>
    <n v="4.2999999999999997E-2"/>
    <n v="4.2999999999999997E-2"/>
    <n v="4.2999999999999997E-2"/>
    <m/>
    <n v="818.26"/>
    <n v="209.4"/>
    <m/>
    <n v="44.189379999999993"/>
    <n v="44.189379999999993"/>
    <n v="31.604140000000001"/>
    <n v="0"/>
    <n v="2.6461300214971195"/>
    <n v="0"/>
    <n v="0"/>
    <n v="0"/>
    <n v="4.7853288393300453"/>
    <n v="24.858657266073532"/>
    <n v="8.8859820690140747"/>
    <n v="0.11837749346008142"/>
    <n v="0"/>
    <n v="0"/>
    <n v="0"/>
    <n v="0"/>
    <n v="0.40891287074035865"/>
    <m/>
    <n v="7.8387465580641399E-2"/>
    <n v="0.36762202839162916"/>
    <n v="0.55374475309696181"/>
    <n v="0"/>
    <n v="0"/>
    <n v="0"/>
    <n v="0"/>
    <n v="0"/>
    <n v="0"/>
    <n v="0"/>
    <n v="0"/>
    <n v="0"/>
    <n v="0"/>
    <m/>
    <n v="0"/>
    <n v="0"/>
    <n v="0"/>
    <n v="0"/>
    <n v="0"/>
    <n v="1.4866081886698725"/>
    <n v="0"/>
    <n v="0"/>
    <n v="0"/>
    <n v="0"/>
    <n v="0"/>
    <m/>
    <m/>
    <m/>
    <m/>
    <m/>
    <m/>
    <m/>
    <m/>
    <m/>
    <n v="10.372590257683948"/>
    <m/>
    <m/>
    <m/>
    <m/>
    <m/>
    <m/>
    <m/>
    <m/>
    <m/>
    <m/>
    <m/>
    <m/>
    <n v="29.3992"/>
    <n v="-14.820179999999986"/>
    <m/>
    <m/>
    <m/>
    <m/>
    <n v="-13.566929999999999"/>
    <n v="0.98168999999999929"/>
    <n v="30"/>
    <n v="1.3597579603106382"/>
    <n v="4.438375394459132E-2"/>
    <n v="6.6854728420631671E-2"/>
    <n v="0"/>
    <n v="0"/>
    <n v="0"/>
    <n v="0"/>
    <n v="0"/>
    <n v="0.15687474459752337"/>
    <n v="0"/>
    <n v="0"/>
    <n v="0.98139261743347816"/>
    <n v="0"/>
    <n v="0"/>
    <n v="0"/>
    <n v="0.1641851502789029"/>
    <n v="0"/>
    <n v="-4.612766357199849E-2"/>
    <m/>
    <n v="0"/>
    <n v="0"/>
    <n v="0"/>
    <n v="0"/>
    <n v="-5.9930156091563269E-3"/>
    <n v="-1.8123551833337387E-3"/>
    <n v="0"/>
    <n v="0"/>
    <m/>
    <m/>
    <m/>
    <n v="24.858657266073532"/>
    <n v="0"/>
    <n v="0"/>
    <n v="-13.566929999999996"/>
    <n v="0.9816900000000004"/>
    <n v="0"/>
    <n v="0"/>
    <n v="-13.94545066209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1"/>
    <s v="Regular"/>
    <s v="Convencional"/>
    <s v="B3"/>
    <s v="Industrial"/>
    <s v="Não se aplica"/>
    <s v="Não se aplica"/>
    <s v="Não se aplica"/>
    <s v="Não se aplica"/>
    <s v="CATIVO"/>
    <x v="2"/>
    <n v="0"/>
    <n v="0"/>
    <n v="8.1039999999999992"/>
    <n v="8.1039999999999992"/>
    <n v="8.1039999999999992"/>
    <n v="8.1039999999999992"/>
    <m/>
    <n v="581.32000000000005"/>
    <n v="209.4"/>
    <m/>
    <n v="6407.9948800000002"/>
    <n v="6407.9948800000002"/>
    <n v="4895.3832799999991"/>
    <n v="0"/>
    <n v="498.70320219099199"/>
    <n v="0"/>
    <n v="0"/>
    <n v="0"/>
    <n v="601.24503742528066"/>
    <n v="3123.3246475549472"/>
    <n v="1674.6976438904665"/>
    <n v="22.310028069779065"/>
    <n v="0"/>
    <n v="0"/>
    <n v="0"/>
    <n v="0"/>
    <n v="77.065811732089912"/>
    <m/>
    <n v="14.773302815477161"/>
    <n v="46.188592201087857"/>
    <n v="69.574379520896002"/>
    <n v="0"/>
    <n v="0"/>
    <n v="0"/>
    <n v="0"/>
    <n v="0"/>
    <n v="0"/>
    <n v="0"/>
    <n v="0"/>
    <n v="0"/>
    <n v="0"/>
    <m/>
    <n v="0"/>
    <n v="0"/>
    <n v="0"/>
    <n v="0"/>
    <n v="0"/>
    <n v="280.17378513908483"/>
    <n v="0"/>
    <n v="11.57"/>
    <n v="54.4"/>
    <n v="1269.26"/>
    <n v="7"/>
    <m/>
    <m/>
    <m/>
    <m/>
    <m/>
    <m/>
    <m/>
    <m/>
    <m/>
    <n v="1954.8714290295513"/>
    <m/>
    <m/>
    <m/>
    <m/>
    <m/>
    <m/>
    <m/>
    <m/>
    <m/>
    <m/>
    <m/>
    <m/>
    <n v="4892.9669999999996"/>
    <n v="-1515.0578800000012"/>
    <m/>
    <m/>
    <m/>
    <m/>
    <n v="-1697.6259200000004"/>
    <n v="185.01431999999986"/>
    <n v="30"/>
    <n v="239.42352822654084"/>
    <n v="5.5764425224167411"/>
    <n v="8.3998561103999521"/>
    <n v="0"/>
    <n v="0"/>
    <n v="0"/>
    <n v="0"/>
    <n v="0"/>
    <n v="19.710277987879863"/>
    <n v="0"/>
    <n v="0"/>
    <n v="184.95827376002126"/>
    <n v="0"/>
    <n v="0"/>
    <n v="0"/>
    <n v="30.943173438609961"/>
    <n v="0"/>
    <n v="-8.6934554787785032"/>
    <m/>
    <n v="0"/>
    <n v="0"/>
    <n v="0"/>
    <n v="0"/>
    <n v="-1.1294743836419201"/>
    <n v="-0.3415657303659696"/>
    <n v="0"/>
    <n v="0"/>
    <m/>
    <m/>
    <m/>
    <n v="3123.3246475549472"/>
    <n v="0"/>
    <n v="0"/>
    <n v="-1697.6259200000004"/>
    <n v="185.01431999999977"/>
    <n v="0"/>
    <n v="0"/>
    <n v="-1752.152954521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2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2.0299999999999998"/>
    <n v="2.0299999999999998"/>
    <n v="2.0299999999999998"/>
    <n v="2.0299999999999998"/>
    <m/>
    <n v="581.32000000000005"/>
    <n v="209.4"/>
    <m/>
    <n v="1605.1615999999999"/>
    <n v="1605.1615999999999"/>
    <n v="1226.2620999999999"/>
    <n v="0"/>
    <n v="124.9219521776547"/>
    <n v="0"/>
    <n v="0"/>
    <n v="0"/>
    <n v="150.60802393550341"/>
    <n v="782.37278313629599"/>
    <n v="419.50101395578071"/>
    <n v="5.5885188773015182"/>
    <n v="0"/>
    <n v="0"/>
    <n v="0"/>
    <n v="0"/>
    <n v="19.304491339602979"/>
    <m/>
    <n v="3.7006175611326055"/>
    <n v="11.569945973372205"/>
    <n v="17.427935640105982"/>
    <n v="0"/>
    <n v="0"/>
    <n v="0"/>
    <n v="0"/>
    <n v="0"/>
    <n v="0"/>
    <n v="0"/>
    <n v="0"/>
    <n v="0"/>
    <n v="0"/>
    <m/>
    <n v="0"/>
    <n v="0"/>
    <n v="0"/>
    <n v="0"/>
    <n v="0"/>
    <n v="70.181735418600965"/>
    <n v="0"/>
    <n v="2.91"/>
    <n v="13.68"/>
    <n v="375.04"/>
    <n v="2"/>
    <m/>
    <m/>
    <m/>
    <m/>
    <m/>
    <m/>
    <m/>
    <m/>
    <m/>
    <n v="489.68274937438167"/>
    <m/>
    <m/>
    <m/>
    <m/>
    <m/>
    <m/>
    <m/>
    <m/>
    <m/>
    <m/>
    <m/>
    <m/>
    <n v="1226.2620999999999"/>
    <n v="-378.92949999999996"/>
    <m/>
    <m/>
    <m/>
    <m/>
    <n v="-425.2444000000001"/>
    <n v="46.34489999999996"/>
    <n v="30"/>
    <n v="59.974057539471801"/>
    <n v="1.3968630701512819"/>
    <n v="2.1041100572694837"/>
    <n v="0"/>
    <n v="0"/>
    <n v="0"/>
    <n v="0"/>
    <n v="0"/>
    <n v="4.9372981633016195"/>
    <n v="0"/>
    <n v="0"/>
    <n v="46.330860776510804"/>
    <n v="0"/>
    <n v="0"/>
    <n v="0"/>
    <n v="7.7510663968877367"/>
    <n v="0"/>
    <n v="-2.1776548151431712"/>
    <m/>
    <n v="0"/>
    <n v="0"/>
    <n v="0"/>
    <n v="0"/>
    <n v="-0.28292608573459077"/>
    <n v="-8.5560023771336979E-2"/>
    <n v="0"/>
    <n v="0"/>
    <m/>
    <m/>
    <m/>
    <n v="782.37278313629599"/>
    <n v="0"/>
    <n v="0"/>
    <n v="-425.24440000000016"/>
    <n v="46.344899999999939"/>
    <n v="0"/>
    <n v="0"/>
    <n v="-438.9030722702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3"/>
    <s v="Regular"/>
    <s v="Verde"/>
    <s v="A4"/>
    <s v="Industrial"/>
    <s v="Não se aplica"/>
    <s v="Não se aplica"/>
    <s v="Não se aplica"/>
    <s v="Ponta"/>
    <s v="CATIVO"/>
    <x v="2"/>
    <n v="0"/>
    <n v="0"/>
    <n v="5.0819999999999999"/>
    <n v="5.0819999999999999"/>
    <n v="5.0819999999999999"/>
    <n v="5.0819999999999999"/>
    <m/>
    <n v="1614.19"/>
    <n v="209.4"/>
    <m/>
    <n v="9267.4843799999999"/>
    <n v="9267.4843799999999"/>
    <n v="6160.1462999999994"/>
    <n v="0"/>
    <n v="272.08001184293215"/>
    <n v="0"/>
    <n v="0"/>
    <n v="0"/>
    <n v="1582.6262269281929"/>
    <n v="5909.5356832354737"/>
    <n v="1050.1990901099891"/>
    <n v="13.990567948003111"/>
    <n v="0"/>
    <n v="0"/>
    <n v="0"/>
    <n v="0"/>
    <n v="48.32779556052332"/>
    <m/>
    <n v="6.7481047758382653"/>
    <n v="122.95861074438309"/>
    <n v="183.14869288609452"/>
    <n v="0"/>
    <n v="0"/>
    <n v="0"/>
    <n v="0"/>
    <n v="0"/>
    <n v="0"/>
    <n v="0"/>
    <n v="0"/>
    <n v="0"/>
    <n v="0"/>
    <m/>
    <n v="0"/>
    <n v="0"/>
    <n v="0"/>
    <n v="0"/>
    <n v="0"/>
    <n v="77.878785587723087"/>
    <n v="0"/>
    <n v="0"/>
    <n v="0"/>
    <n v="0"/>
    <n v="0"/>
    <m/>
    <m/>
    <m/>
    <m/>
    <m/>
    <m/>
    <m/>
    <m/>
    <m/>
    <n v="1128.0778756977122"/>
    <m/>
    <m/>
    <m/>
    <m/>
    <m/>
    <m/>
    <m/>
    <m/>
    <m/>
    <m/>
    <m/>
    <m/>
    <n v="6157.7219999999998"/>
    <n v="-3109.7923800000008"/>
    <m/>
    <m/>
    <m/>
    <m/>
    <n v="-3223.3601400000002"/>
    <n v="116.02205999999991"/>
    <n v="30"/>
    <n v="207.82012323923936"/>
    <n v="14.845042742742407"/>
    <n v="22.111913575729375"/>
    <n v="0"/>
    <n v="0"/>
    <n v="0"/>
    <n v="0"/>
    <n v="0"/>
    <n v="51.882345702590101"/>
    <n v="0"/>
    <n v="0"/>
    <n v="115.98691353016125"/>
    <n v="0"/>
    <n v="0"/>
    <n v="0"/>
    <n v="8.6011500627476778"/>
    <n v="0"/>
    <n v="-4.7429321873820527"/>
    <m/>
    <n v="0"/>
    <n v="0"/>
    <n v="0"/>
    <n v="0"/>
    <n v="-0.70829082152865652"/>
    <n v="-0.15601936582056108"/>
    <n v="0"/>
    <n v="0"/>
    <m/>
    <m/>
    <m/>
    <n v="5909.5356832354737"/>
    <n v="0"/>
    <n v="0"/>
    <n v="-3223.3601400000007"/>
    <n v="116.02205999999978"/>
    <n v="0"/>
    <n v="0"/>
    <n v="-3315.18864532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4"/>
    <s v="Regular"/>
    <s v="Verde"/>
    <s v="A4"/>
    <s v="Industrial"/>
    <s v="Não se aplica"/>
    <s v="Não se aplica"/>
    <s v="Não se aplica"/>
    <s v="Fora ponta"/>
    <s v="CATIVO"/>
    <x v="2"/>
    <n v="0"/>
    <n v="0"/>
    <n v="210.005"/>
    <n v="210.005"/>
    <n v="210.005"/>
    <n v="210.005"/>
    <m/>
    <n v="79.7"/>
    <n v="209.4"/>
    <m/>
    <n v="60712.445500000002"/>
    <n v="60712.445500000002"/>
    <n v="65630.762600000002"/>
    <n v="0"/>
    <n v="11243.243385886455"/>
    <n v="0"/>
    <n v="0"/>
    <n v="0"/>
    <n v="0"/>
    <n v="0"/>
    <n v="43397.689869844202"/>
    <n v="578.13640730428835"/>
    <n v="0"/>
    <n v="0"/>
    <n v="0"/>
    <n v="0"/>
    <n v="1997.0638934843957"/>
    <m/>
    <n v="278.853944008247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18.208258038132"/>
    <n v="0"/>
    <n v="0"/>
    <n v="0"/>
    <n v="0"/>
    <n v="0"/>
    <m/>
    <m/>
    <m/>
    <m/>
    <m/>
    <m/>
    <m/>
    <m/>
    <m/>
    <n v="46615.898127882334"/>
    <m/>
    <m/>
    <m/>
    <m/>
    <m/>
    <m/>
    <m/>
    <m/>
    <m/>
    <m/>
    <m/>
    <m/>
    <n v="65632.325199999992"/>
    <n v="4919.8496999999988"/>
    <m/>
    <m/>
    <m/>
    <m/>
    <n v="123.90295000000071"/>
    <n v="4794.4141499999969"/>
    <n v="30"/>
    <n v="4916.6799212757833"/>
    <n v="0"/>
    <n v="0"/>
    <n v="0"/>
    <n v="0"/>
    <n v="0"/>
    <n v="0"/>
    <n v="0"/>
    <n v="0"/>
    <n v="0"/>
    <n v="0"/>
    <n v="4792.9617819562336"/>
    <n v="0"/>
    <n v="0"/>
    <n v="0"/>
    <n v="355.42788644772281"/>
    <n v="0"/>
    <n v="-195.99359976606866"/>
    <m/>
    <n v="0"/>
    <n v="0"/>
    <n v="0"/>
    <n v="0"/>
    <n v="-29.268912627927193"/>
    <n v="-6.4472347341886689"/>
    <n v="0"/>
    <n v="0"/>
    <m/>
    <m/>
    <m/>
    <n v="0"/>
    <n v="0"/>
    <n v="0"/>
    <n v="123.90295000000333"/>
    <n v="4794.41414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5"/>
    <s v="Regular"/>
    <s v="Verde"/>
    <s v="A4"/>
    <s v="Industrial"/>
    <s v="Não se aplica"/>
    <s v="Não se aplica"/>
    <s v="Não se aplica"/>
    <s v="Não se aplica"/>
    <s v="CATIVO"/>
    <x v="2"/>
    <n v="1388"/>
    <n v="1388"/>
    <n v="0"/>
    <n v="0"/>
    <n v="0"/>
    <n v="0"/>
    <n v="44.35"/>
    <m/>
    <m/>
    <n v="61557.8"/>
    <m/>
    <n v="61557.8"/>
    <n v="40210.36"/>
    <n v="0"/>
    <n v="0"/>
    <n v="0"/>
    <n v="0"/>
    <n v="0"/>
    <n v="18213.424399062395"/>
    <n v="39860.370644615447"/>
    <m/>
    <m/>
    <m/>
    <n v="0"/>
    <n v="0"/>
    <n v="0"/>
    <n v="0"/>
    <m/>
    <n v="0"/>
    <n v="1376.5083200254221"/>
    <n v="2106.0004540505124"/>
    <n v="0"/>
    <n v="0"/>
    <m/>
    <m/>
    <n v="0"/>
    <n v="0"/>
    <n v="0"/>
    <m/>
    <m/>
    <n v="0"/>
    <m/>
    <n v="0"/>
    <n v="0"/>
    <n v="0"/>
    <n v="0"/>
    <m/>
    <n v="0"/>
    <n v="0"/>
    <n v="278.29000000000002"/>
    <n v="1304.5899999999999"/>
    <n v="28659.86"/>
    <n v="7"/>
    <m/>
    <m/>
    <m/>
    <m/>
    <m/>
    <m/>
    <m/>
    <m/>
    <m/>
    <n v="0"/>
    <m/>
    <m/>
    <m/>
    <m/>
    <m/>
    <m/>
    <m/>
    <m/>
    <m/>
    <m/>
    <m/>
    <m/>
    <n v="40210.36"/>
    <n v="-21347.470000000008"/>
    <m/>
    <m/>
    <m/>
    <m/>
    <n v="-21347.440000000002"/>
    <n v="0"/>
    <n v="30"/>
    <n v="1017.5308063807825"/>
    <n v="166.18864447809005"/>
    <n v="254.26171105339654"/>
    <n v="0"/>
    <n v="0"/>
    <m/>
    <m/>
    <m/>
    <n v="597.080450849294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9860.370644615447"/>
    <m/>
    <n v="0"/>
    <n v="0"/>
    <n v="-21347.440000000002"/>
    <m/>
    <n v="0"/>
    <m/>
    <n v="-22361.25733773638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36"/>
    <s v="Regular"/>
    <s v="Convencional"/>
    <s v="B3"/>
    <s v="Comercial"/>
    <s v="Não se aplica"/>
    <s v="Não se aplica"/>
    <s v="Não se aplica"/>
    <s v="Não se aplica"/>
    <s v="CATIVO"/>
    <x v="2"/>
    <n v="0"/>
    <n v="0"/>
    <n v="306.41300000000001"/>
    <n v="306.41300000000001"/>
    <n v="306.41300000000001"/>
    <n v="306.41300000000001"/>
    <m/>
    <n v="581.32000000000005"/>
    <n v="209.4"/>
    <m/>
    <n v="242286.88736000005"/>
    <n v="242286.88736000005"/>
    <n v="185094.90091"/>
    <n v="0"/>
    <n v="18856.01484365109"/>
    <n v="0"/>
    <n v="0"/>
    <n v="0"/>
    <n v="22733.131250319908"/>
    <n v="118093.1978320896"/>
    <n v="63320.474970065348"/>
    <n v="843.54425357171931"/>
    <n v="0"/>
    <n v="0"/>
    <n v="0"/>
    <n v="0"/>
    <n v="2913.8655688875706"/>
    <m/>
    <n v="558.57996490607161"/>
    <n v="1746.3950027285211"/>
    <n v="2630.6138144294559"/>
    <n v="0"/>
    <n v="0"/>
    <n v="0"/>
    <n v="0"/>
    <n v="0"/>
    <n v="0"/>
    <n v="0"/>
    <n v="0"/>
    <n v="0"/>
    <n v="0"/>
    <m/>
    <n v="0"/>
    <n v="0"/>
    <n v="0"/>
    <n v="0"/>
    <n v="0"/>
    <n v="10593.397091044226"/>
    <n v="0"/>
    <n v="508"/>
    <n v="2402.17"/>
    <n v="95691.29"/>
    <n v="814"/>
    <m/>
    <m/>
    <m/>
    <m/>
    <m/>
    <m/>
    <m/>
    <m/>
    <m/>
    <n v="73913.872061109578"/>
    <m/>
    <m/>
    <m/>
    <m/>
    <m/>
    <m/>
    <m/>
    <m/>
    <m/>
    <m/>
    <m/>
    <m/>
    <n v="185093.08869999999"/>
    <n v="-57193.828660000087"/>
    <m/>
    <m/>
    <m/>
    <m/>
    <n v="-64187.395240000027"/>
    <n v="6995.408789999995"/>
    <n v="30"/>
    <n v="9052.6260555873014"/>
    <n v="210.84581473609092"/>
    <n v="317.5993472798591"/>
    <n v="0"/>
    <n v="0"/>
    <n v="0"/>
    <n v="0"/>
    <n v="0"/>
    <n v="745.24745916834217"/>
    <n v="0"/>
    <n v="0"/>
    <n v="6993.2896764103352"/>
    <n v="0"/>
    <n v="0"/>
    <n v="0"/>
    <n v="1169.9642895909183"/>
    <n v="0"/>
    <n v="-328.70036693224756"/>
    <m/>
    <n v="0"/>
    <n v="0"/>
    <n v="0"/>
    <n v="0"/>
    <n v="-42.705532368567674"/>
    <n v="-12.91463229746148"/>
    <n v="0"/>
    <n v="0"/>
    <m/>
    <m/>
    <m/>
    <n v="118093.1978320896"/>
    <n v="0"/>
    <n v="0"/>
    <n v="-64187.395240000027"/>
    <n v="6995.4087899999868"/>
    <n v="0"/>
    <n v="0"/>
    <n v="-66249.067528836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7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24.893999999999998"/>
    <n v="24.893999999999998"/>
    <n v="24.893999999999998"/>
    <n v="24.893999999999998"/>
    <m/>
    <n v="581.32000000000005"/>
    <n v="209.4"/>
    <m/>
    <n v="19684.183680000002"/>
    <n v="19684.183680000002"/>
    <n v="15037.718579999997"/>
    <n v="0"/>
    <n v="1531.924668724402"/>
    <n v="0"/>
    <n v="0"/>
    <n v="0"/>
    <n v="1846.9143585470058"/>
    <n v="9594.2798341847047"/>
    <n v="5144.3636657217758"/>
    <n v="68.532309818494582"/>
    <n v="0"/>
    <n v="0"/>
    <n v="0"/>
    <n v="0"/>
    <n v="236.73202335373227"/>
    <m/>
    <n v="45.380873678243887"/>
    <n v="141.88287441434861"/>
    <n v="213.71971912551643"/>
    <n v="0"/>
    <n v="0"/>
    <n v="0"/>
    <n v="0"/>
    <n v="0"/>
    <n v="0"/>
    <n v="0"/>
    <n v="0"/>
    <n v="0"/>
    <n v="0"/>
    <m/>
    <n v="0"/>
    <n v="0"/>
    <n v="0"/>
    <n v="0"/>
    <n v="0"/>
    <n v="860.64242438948395"/>
    <n v="0"/>
    <n v="41.43"/>
    <n v="195.96"/>
    <n v="18469.41"/>
    <n v="67"/>
    <m/>
    <m/>
    <m/>
    <m/>
    <m/>
    <m/>
    <m/>
    <m/>
    <m/>
    <n v="6005.0060901112593"/>
    <m/>
    <m/>
    <m/>
    <m/>
    <m/>
    <m/>
    <m/>
    <m/>
    <m/>
    <m/>
    <m/>
    <m/>
    <n v="15035.302299999999"/>
    <n v="-4648.9113800000014"/>
    <m/>
    <m/>
    <m/>
    <m/>
    <n v="-5214.7951200000016"/>
    <n v="568.33001999999954"/>
    <n v="30"/>
    <n v="735.46511743232259"/>
    <n v="17.129807521352717"/>
    <n v="25.80281564811159"/>
    <n v="0"/>
    <n v="0"/>
    <n v="0"/>
    <n v="0"/>
    <n v="0"/>
    <n v="60.546354914891936"/>
    <n v="0"/>
    <n v="0"/>
    <n v="568.15785624160617"/>
    <n v="0"/>
    <n v="0"/>
    <n v="0"/>
    <n v="95.051747233558331"/>
    <n v="0"/>
    <n v="-26.704698999100401"/>
    <m/>
    <n v="0"/>
    <n v="0"/>
    <n v="0"/>
    <n v="0"/>
    <n v="-3.4695379203334085"/>
    <n v="-1.0492272077653553"/>
    <n v="0"/>
    <n v="0"/>
    <m/>
    <m/>
    <m/>
    <n v="9594.2798341847047"/>
    <n v="0"/>
    <n v="0"/>
    <n v="-5214.7951200000025"/>
    <n v="568.33001999999942"/>
    <n v="0"/>
    <n v="0"/>
    <n v="-5382.2921581749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8"/>
    <s v="Regular"/>
    <s v="Verde"/>
    <s v="A4"/>
    <s v="Comercial"/>
    <s v="Não se aplica"/>
    <s v="Não se aplica"/>
    <s v="Não se aplica"/>
    <s v="Ponta"/>
    <s v="CATIVO"/>
    <x v="2"/>
    <n v="0"/>
    <n v="0"/>
    <n v="15.167"/>
    <n v="15.167"/>
    <n v="15.167"/>
    <n v="15.167"/>
    <m/>
    <n v="1614.19"/>
    <n v="209.4"/>
    <m/>
    <n v="27658.38953"/>
    <n v="27658.38953"/>
    <n v="18384.679049999999"/>
    <n v="0"/>
    <n v="812.01053514792443"/>
    <n v="0"/>
    <n v="0"/>
    <n v="0"/>
    <n v="4723.2766595474031"/>
    <n v="17636.742957031176"/>
    <n v="3134.271861412476"/>
    <n v="41.754219611838487"/>
    <n v="0"/>
    <n v="0"/>
    <n v="0"/>
    <n v="0"/>
    <n v="144.23212815160511"/>
    <m/>
    <n v="20.139414627142656"/>
    <n v="366.96443312870099"/>
    <n v="546.59902105537105"/>
    <n v="0"/>
    <n v="0"/>
    <n v="0"/>
    <n v="0"/>
    <n v="0"/>
    <n v="0"/>
    <n v="0"/>
    <n v="0"/>
    <n v="0"/>
    <n v="0"/>
    <m/>
    <n v="0"/>
    <n v="0"/>
    <n v="0"/>
    <n v="0"/>
    <n v="0"/>
    <n v="232.42572629063284"/>
    <n v="0"/>
    <n v="0"/>
    <n v="0"/>
    <n v="0"/>
    <n v="0"/>
    <m/>
    <m/>
    <m/>
    <m/>
    <m/>
    <m/>
    <m/>
    <m/>
    <m/>
    <n v="3366.6975877031091"/>
    <m/>
    <m/>
    <m/>
    <m/>
    <m/>
    <m/>
    <m/>
    <m/>
    <m/>
    <m/>
    <m/>
    <m/>
    <n v="18388.315500000001"/>
    <n v="-9270.104029999995"/>
    <m/>
    <m/>
    <m/>
    <m/>
    <n v="-9619.9730900000013"/>
    <n v="346.26260999999977"/>
    <n v="30"/>
    <n v="620.22979322501669"/>
    <n v="44.304361133249529"/>
    <n v="65.992009681835384"/>
    <n v="0"/>
    <n v="0"/>
    <n v="0"/>
    <n v="0"/>
    <n v="0"/>
    <n v="154.84052287902068"/>
    <n v="0"/>
    <n v="0"/>
    <n v="346.15771694450223"/>
    <n v="0"/>
    <n v="0"/>
    <n v="0"/>
    <n v="25.669744785850867"/>
    <n v="0"/>
    <n v="-14.155067391976331"/>
    <m/>
    <n v="0"/>
    <n v="0"/>
    <n v="0"/>
    <n v="0"/>
    <n v="-2.1138620405598374"/>
    <n v="-0.46563276690288546"/>
    <n v="0"/>
    <n v="0"/>
    <m/>
    <m/>
    <m/>
    <n v="17636.742957031176"/>
    <n v="0"/>
    <n v="0"/>
    <n v="-9619.9730900000031"/>
    <n v="346.26260999999977"/>
    <n v="0"/>
    <n v="0"/>
    <n v="-9894.0311262499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39"/>
    <s v="Regular"/>
    <s v="Verde"/>
    <s v="A4"/>
    <s v="Comercial"/>
    <s v="Não se aplica"/>
    <s v="Não se aplica"/>
    <s v="Não se aplica"/>
    <s v="Fora ponta"/>
    <s v="CATIVO"/>
    <x v="2"/>
    <n v="0"/>
    <n v="0"/>
    <n v="233.68600000000001"/>
    <n v="233.68600000000001"/>
    <n v="233.68600000000001"/>
    <n v="233.68600000000001"/>
    <m/>
    <n v="79.7"/>
    <n v="209.4"/>
    <m/>
    <n v="67558.622600000002"/>
    <n v="67558.622600000002"/>
    <n v="73031.548720000006"/>
    <n v="0"/>
    <n v="12511.076278537474"/>
    <n v="0"/>
    <n v="0"/>
    <n v="0"/>
    <n v="0"/>
    <n v="0"/>
    <n v="48291.386180921472"/>
    <n v="643.32937062122301"/>
    <n v="0"/>
    <n v="0"/>
    <n v="0"/>
    <n v="0"/>
    <n v="2222.260770042592"/>
    <m/>
    <n v="310.298625078028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81.1062355081972"/>
    <n v="0"/>
    <n v="0"/>
    <n v="0"/>
    <n v="0"/>
    <n v="0"/>
    <m/>
    <m/>
    <m/>
    <m/>
    <m/>
    <m/>
    <m/>
    <m/>
    <m/>
    <n v="51872.492416429668"/>
    <m/>
    <m/>
    <m/>
    <m/>
    <m/>
    <m/>
    <m/>
    <m/>
    <m/>
    <m/>
    <m/>
    <m/>
    <n v="73032.798800000004"/>
    <n v="5474.1462000000174"/>
    <m/>
    <m/>
    <m/>
    <m/>
    <n v="137.8747400000008"/>
    <n v="5335.0513799999962"/>
    <n v="30"/>
    <n v="5471.1043264838954"/>
    <n v="0"/>
    <n v="0"/>
    <n v="0"/>
    <n v="0"/>
    <n v="0"/>
    <n v="0"/>
    <n v="0"/>
    <n v="0"/>
    <n v="0"/>
    <n v="0"/>
    <n v="5333.4352371525601"/>
    <n v="0"/>
    <n v="0"/>
    <n v="0"/>
    <n v="395.50735016986528"/>
    <n v="0"/>
    <n v="-218.09461848495812"/>
    <m/>
    <n v="0"/>
    <n v="0"/>
    <n v="0"/>
    <n v="0"/>
    <n v="-32.569391759099744"/>
    <n v="-7.174250594479247"/>
    <n v="0"/>
    <n v="0"/>
    <m/>
    <m/>
    <m/>
    <n v="0"/>
    <n v="0"/>
    <n v="0"/>
    <n v="137.87474000000293"/>
    <n v="5335.051379999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0"/>
    <s v="Regular"/>
    <s v="Verde"/>
    <s v="A4"/>
    <s v="Comercial"/>
    <s v="Não se aplica"/>
    <s v="Não se aplica"/>
    <s v="Não se aplica"/>
    <s v="Não se aplica"/>
    <s v="CATIVO"/>
    <x v="2"/>
    <n v="3167"/>
    <n v="3167"/>
    <n v="0"/>
    <n v="0"/>
    <n v="0"/>
    <n v="0"/>
    <n v="44.35"/>
    <m/>
    <m/>
    <n v="140456.45000000001"/>
    <m/>
    <n v="140456.45000000001"/>
    <n v="91747.989999999991"/>
    <n v="0"/>
    <n v="0"/>
    <n v="0"/>
    <n v="0"/>
    <n v="0"/>
    <n v="41557.57570016614"/>
    <n v="90949.419186957573"/>
    <m/>
    <m/>
    <m/>
    <n v="0"/>
    <n v="0"/>
    <n v="0"/>
    <n v="0"/>
    <m/>
    <n v="0"/>
    <n v="3140.7794304902823"/>
    <n v="4805.2618429236109"/>
    <n v="0"/>
    <n v="0"/>
    <m/>
    <m/>
    <n v="0"/>
    <n v="0"/>
    <n v="0"/>
    <m/>
    <m/>
    <n v="0"/>
    <m/>
    <n v="0"/>
    <n v="0"/>
    <n v="0"/>
    <n v="0"/>
    <m/>
    <n v="0"/>
    <n v="0"/>
    <n v="511.69"/>
    <n v="2399.2600000000002"/>
    <n v="91718.77"/>
    <n v="36"/>
    <m/>
    <m/>
    <m/>
    <m/>
    <m/>
    <m/>
    <m/>
    <m/>
    <m/>
    <n v="0"/>
    <m/>
    <m/>
    <m/>
    <m/>
    <m/>
    <m/>
    <m/>
    <m/>
    <m/>
    <m/>
    <m/>
    <m/>
    <n v="91747.989999999991"/>
    <n v="-48708.490000000049"/>
    <m/>
    <m/>
    <m/>
    <m/>
    <n v="-48708.460000000006"/>
    <n v="0"/>
    <n v="30"/>
    <n v="2321.7003341555828"/>
    <n v="379.19267799863928"/>
    <n v="580.14901938480398"/>
    <n v="0"/>
    <n v="0"/>
    <m/>
    <m/>
    <m/>
    <n v="1362.35863677213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949.419186957573"/>
    <m/>
    <n v="0"/>
    <n v="0"/>
    <n v="-48708.460000000021"/>
    <m/>
    <n v="0"/>
    <m/>
    <n v="-51021.68731167948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41"/>
    <s v="Sistema de Compensação"/>
    <s v="Verde"/>
    <s v="A4"/>
    <s v="Comercial"/>
    <s v="Não se aplica"/>
    <s v="Não se aplica"/>
    <s v="Não se aplica"/>
    <s v="Não se aplica"/>
    <s v="CATIVO"/>
    <x v="2"/>
    <n v="162"/>
    <n v="162"/>
    <n v="0"/>
    <n v="0"/>
    <n v="0"/>
    <n v="0"/>
    <n v="44.35"/>
    <m/>
    <m/>
    <n v="7184.7"/>
    <m/>
    <n v="7184.7"/>
    <n v="4693.1399999999994"/>
    <n v="0"/>
    <n v="0"/>
    <n v="0"/>
    <n v="0"/>
    <n v="0"/>
    <n v="2125.7743174698185"/>
    <n v="4652.2910982908516"/>
    <m/>
    <m/>
    <m/>
    <n v="0"/>
    <n v="0"/>
    <n v="0"/>
    <n v="0"/>
    <m/>
    <n v="0"/>
    <n v="160.65875204907664"/>
    <n v="245.80120573212031"/>
    <n v="0"/>
    <n v="0"/>
    <m/>
    <m/>
    <n v="0"/>
    <n v="0"/>
    <n v="0"/>
    <m/>
    <m/>
    <n v="0"/>
    <m/>
    <n v="0"/>
    <n v="0"/>
    <n v="0"/>
    <n v="0"/>
    <m/>
    <n v="0"/>
    <n v="0"/>
    <n v="12.5"/>
    <n v="58.62"/>
    <n v="2485.6799999999998"/>
    <n v="1"/>
    <m/>
    <m/>
    <m/>
    <m/>
    <m/>
    <m/>
    <m/>
    <m/>
    <m/>
    <n v="0"/>
    <m/>
    <m/>
    <m/>
    <m/>
    <m/>
    <m/>
    <m/>
    <m/>
    <m/>
    <m/>
    <m/>
    <m/>
    <n v="4693.1399999999994"/>
    <n v="-2491.5900000000011"/>
    <m/>
    <m/>
    <m/>
    <m/>
    <n v="-2491.5600000000004"/>
    <n v="0"/>
    <n v="30"/>
    <n v="118.76080016836204"/>
    <n v="19.396657352630115"/>
    <n v="29.676078667615457"/>
    <n v="0"/>
    <n v="0"/>
    <m/>
    <m/>
    <m/>
    <n v="69.68806414811660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52.2910982908516"/>
    <m/>
    <n v="0"/>
    <n v="0"/>
    <n v="-2491.5600000000004"/>
    <m/>
    <n v="0"/>
    <m/>
    <n v="-2609.887383799203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42"/>
    <s v="Regular"/>
    <s v="Convencional"/>
    <s v="B2"/>
    <s v="Rural"/>
    <s v="Não se aplica"/>
    <s v="Não se aplica"/>
    <s v="Não se aplica"/>
    <s v="Não se aplica"/>
    <s v="CATIVO"/>
    <x v="2"/>
    <n v="0"/>
    <n v="0"/>
    <n v="3814.7640000000001"/>
    <n v="3814.7640000000001"/>
    <n v="3814.7640000000001"/>
    <n v="3814.7640000000001"/>
    <m/>
    <n v="581.32000000000005"/>
    <n v="209.4"/>
    <m/>
    <n v="3016410.1900800006"/>
    <n v="3016410.1900800006"/>
    <n v="2304384.48948"/>
    <n v="0"/>
    <n v="234752.59407735901"/>
    <n v="0"/>
    <n v="0"/>
    <n v="0"/>
    <n v="283021.70828586048"/>
    <n v="1470230.3092059849"/>
    <n v="788323.82561675378"/>
    <n v="10501.911638645444"/>
    <n v="0"/>
    <n v="0"/>
    <n v="0"/>
    <n v="0"/>
    <n v="36276.886010162176"/>
    <m/>
    <n v="6954.1786453086033"/>
    <n v="21742.174079391752"/>
    <n v="32750.473632607522"/>
    <n v="0"/>
    <n v="0"/>
    <n v="0"/>
    <n v="0"/>
    <n v="0"/>
    <n v="0"/>
    <n v="0"/>
    <n v="0"/>
    <n v="0"/>
    <n v="0"/>
    <m/>
    <n v="0"/>
    <n v="0"/>
    <n v="0"/>
    <n v="0"/>
    <n v="0"/>
    <n v="131885.10233123344"/>
    <n v="0"/>
    <n v="4344.13"/>
    <n v="20702.8"/>
    <n v="271362.81"/>
    <n v="14063"/>
    <m/>
    <m/>
    <m/>
    <m/>
    <m/>
    <n v="276532.24235999968"/>
    <m/>
    <m/>
    <m/>
    <n v="920208.92794798722"/>
    <m/>
    <m/>
    <m/>
    <m/>
    <m/>
    <m/>
    <m/>
    <m/>
    <m/>
    <m/>
    <m/>
    <m/>
    <n v="2027850.1208000001"/>
    <n v="-626653.43859999953"/>
    <m/>
    <m/>
    <m/>
    <m/>
    <n v="-799116.76272000035"/>
    <n v="87091.062119999944"/>
    <n v="30"/>
    <n v="112702.89440172701"/>
    <n v="2624.9768241096463"/>
    <n v="3954.0311815318055"/>
    <n v="0"/>
    <n v="0"/>
    <n v="0"/>
    <n v="0"/>
    <n v="0"/>
    <n v="9278.1415224774391"/>
    <n v="0"/>
    <n v="0"/>
    <n v="87064.679694209481"/>
    <n v="0"/>
    <n v="0"/>
    <n v="0"/>
    <n v="14565.758153919742"/>
    <n v="0"/>
    <n v="-4092.2360557806969"/>
    <m/>
    <n v="0"/>
    <n v="0"/>
    <n v="0"/>
    <n v="0"/>
    <n v="-531.67302784296044"/>
    <n v="-160.78389089755728"/>
    <n v="0"/>
    <n v="0"/>
    <m/>
    <m/>
    <m/>
    <n v="1470230.3092059849"/>
    <n v="0"/>
    <n v="0"/>
    <n v="-799116.76272000046"/>
    <n v="87091.0621199999"/>
    <n v="0"/>
    <n v="0"/>
    <n v="-824784.0589092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3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4.6349999999999998"/>
    <n v="-4.6349999999999998"/>
    <n v="-4.6349999999999998"/>
    <n v="-4.6349999999999998"/>
    <m/>
    <n v="581.32000000000005"/>
    <n v="209.4"/>
    <m/>
    <n v="-3664.9872"/>
    <n v="-3664.9872"/>
    <n v="-2799.8644499999996"/>
    <n v="0"/>
    <n v="-285.22820115439879"/>
    <n v="0"/>
    <n v="0"/>
    <n v="0"/>
    <n v="-343.87595612860019"/>
    <n v="-1786.3536206092276"/>
    <n v="-957.82620674140082"/>
    <n v="-12.759992609011102"/>
    <n v="0"/>
    <n v="0"/>
    <n v="0"/>
    <n v="0"/>
    <n v="-44.077003625152614"/>
    <m/>
    <n v="-8.4494396038668125"/>
    <n v="-26.417093392404027"/>
    <n v="-39.792355513246918"/>
    <n v="0"/>
    <n v="0"/>
    <n v="0"/>
    <n v="0"/>
    <n v="0"/>
    <n v="0"/>
    <n v="0"/>
    <n v="0"/>
    <n v="0"/>
    <n v="0"/>
    <m/>
    <n v="0"/>
    <n v="0"/>
    <n v="0"/>
    <n v="0"/>
    <n v="0"/>
    <n v="-160.24253382522929"/>
    <n v="0"/>
    <n v="-3.02"/>
    <n v="-14.52"/>
    <n v="-152.72999999999999"/>
    <n v="0"/>
    <m/>
    <m/>
    <m/>
    <m/>
    <m/>
    <n v="-335.99114999999961"/>
    <m/>
    <m/>
    <m/>
    <n v="-1118.0687405666301"/>
    <m/>
    <m/>
    <m/>
    <m/>
    <m/>
    <m/>
    <m/>
    <m/>
    <m/>
    <m/>
    <m/>
    <m/>
    <n v="-2466.5311999999999"/>
    <n v="758.70354999999927"/>
    <m/>
    <m/>
    <m/>
    <m/>
    <n v="970.93980000000033"/>
    <n v="-105.81704999999992"/>
    <n v="30"/>
    <n v="-136.93584073667603"/>
    <n v="-3.1893893251976309"/>
    <n v="-4.8042118795290918"/>
    <n v="0"/>
    <n v="0"/>
    <n v="0"/>
    <n v="0"/>
    <n v="0"/>
    <n v="-11.273092111774872"/>
    <n v="0"/>
    <n v="0"/>
    <n v="-105.78499492567846"/>
    <n v="0"/>
    <n v="0"/>
    <n v="0"/>
    <n v="-17.697631896342216"/>
    <n v="0"/>
    <n v="4.9721330385165743"/>
    <m/>
    <n v="0"/>
    <n v="0"/>
    <n v="0"/>
    <n v="0"/>
    <n v="0.64599133368464123"/>
    <n v="0.19535502964539297"/>
    <n v="0"/>
    <n v="0"/>
    <m/>
    <m/>
    <m/>
    <n v="-1786.3536206092276"/>
    <n v="0"/>
    <n v="0"/>
    <n v="970.93980000000033"/>
    <n v="-105.81704999999988"/>
    <n v="0"/>
    <n v="0"/>
    <n v="1002.125980282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4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15.532"/>
    <n v="115.532"/>
    <n v="115.532"/>
    <n v="115.532"/>
    <m/>
    <n v="581.32000000000005"/>
    <n v="209.4"/>
    <m/>
    <n v="91353.463040000002"/>
    <n v="91353.463040000002"/>
    <n v="69789.415240000002"/>
    <n v="0"/>
    <n v="7109.5975265954694"/>
    <n v="0"/>
    <n v="0"/>
    <n v="0"/>
    <n v="8571.4513405500402"/>
    <n v="44526.64649325249"/>
    <n v="23874.773962728701"/>
    <n v="318.05554824256109"/>
    <n v="0"/>
    <n v="0"/>
    <n v="0"/>
    <n v="0"/>
    <n v="1098.6632972645375"/>
    <m/>
    <n v="210.61071333634101"/>
    <n v="658.47241290425507"/>
    <n v="991.86416767129288"/>
    <n v="0"/>
    <n v="0"/>
    <n v="0"/>
    <n v="0"/>
    <n v="0"/>
    <n v="0"/>
    <n v="0"/>
    <n v="0"/>
    <n v="0"/>
    <n v="0"/>
    <m/>
    <n v="0"/>
    <n v="0"/>
    <n v="0"/>
    <n v="0"/>
    <n v="0"/>
    <n v="3994.2050524048309"/>
    <n v="0"/>
    <n v="125.31"/>
    <n v="600.17999999999995"/>
    <n v="6392.1"/>
    <n v="522"/>
    <m/>
    <m/>
    <m/>
    <m/>
    <m/>
    <n v="8374.9146799999908"/>
    <m/>
    <m/>
    <m/>
    <n v="27868.979015133533"/>
    <m/>
    <m/>
    <m/>
    <m/>
    <m/>
    <m/>
    <m/>
    <m/>
    <m/>
    <m/>
    <m/>
    <m/>
    <n v="61413.437400000003"/>
    <n v="-18979.534799999987"/>
    <m/>
    <m/>
    <m/>
    <m/>
    <n v="-24201.643360000009"/>
    <n v="2637.5955599999979"/>
    <n v="30"/>
    <n v="3413.2624707636787"/>
    <n v="79.498711438777264"/>
    <n v="119.74977494406801"/>
    <n v="0"/>
    <n v="0"/>
    <n v="0"/>
    <n v="0"/>
    <n v="0"/>
    <n v="280.99306965643518"/>
    <n v="0"/>
    <n v="0"/>
    <n v="2636.7965552866226"/>
    <n v="0"/>
    <n v="0"/>
    <n v="0"/>
    <n v="441.13113446563329"/>
    <n v="0"/>
    <n v="-123.93537739069961"/>
    <m/>
    <n v="0"/>
    <n v="0"/>
    <n v="0"/>
    <n v="0"/>
    <n v="-16.101978589698547"/>
    <n v="-4.8694190474631398"/>
    <n v="0"/>
    <n v="0"/>
    <m/>
    <m/>
    <m/>
    <n v="44526.64649325249"/>
    <n v="0"/>
    <n v="0"/>
    <n v="-24201.643360000002"/>
    <n v="2637.5955599999979"/>
    <n v="0"/>
    <n v="0"/>
    <n v="-24978.990022425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5"/>
    <s v="Regular"/>
    <s v="Verde"/>
    <s v="A4"/>
    <s v="Rural"/>
    <s v="Não se aplica"/>
    <s v="Não se aplica"/>
    <s v="Não se aplica"/>
    <s v="Ponta"/>
    <s v="CATIVO"/>
    <x v="2"/>
    <n v="0"/>
    <n v="0"/>
    <n v="14.518000000000001"/>
    <n v="13.937279999999999"/>
    <n v="14.518000000000001"/>
    <n v="13.937279999999999"/>
    <m/>
    <n v="1614.19"/>
    <n v="209.4"/>
    <m/>
    <n v="26474.879620000003"/>
    <n v="26474.879620000003"/>
    <n v="17597.993699999999"/>
    <n v="0"/>
    <n v="777.2643864493682"/>
    <n v="0"/>
    <n v="0"/>
    <n v="0"/>
    <n v="4521.1663838141485"/>
    <n v="16882.061993154784"/>
    <n v="3000.1555273941012"/>
    <n v="39.967545350080513"/>
    <n v="0"/>
    <n v="0"/>
    <n v="0"/>
    <n v="0"/>
    <n v="138.06039668391924"/>
    <m/>
    <n v="19.277643670920888"/>
    <n v="351.26192656177761"/>
    <n v="523.20990226688718"/>
    <n v="0"/>
    <n v="0"/>
    <n v="0"/>
    <n v="0"/>
    <n v="0"/>
    <n v="0"/>
    <n v="0"/>
    <n v="0"/>
    <n v="0"/>
    <n v="0"/>
    <m/>
    <n v="0"/>
    <n v="0"/>
    <n v="0"/>
    <n v="0"/>
    <n v="0"/>
    <n v="222.4801670922007"/>
    <n v="0"/>
    <n v="0"/>
    <n v="0"/>
    <n v="0"/>
    <n v="0"/>
    <m/>
    <m/>
    <m/>
    <m/>
    <m/>
    <n v="703.91974800000139"/>
    <m/>
    <m/>
    <m/>
    <n v="3222.6356944863019"/>
    <m/>
    <m/>
    <m/>
    <m/>
    <m/>
    <m/>
    <m/>
    <m/>
    <m/>
    <m/>
    <m/>
    <m/>
    <n v="16897.370999999999"/>
    <n v="-8518.5434351999975"/>
    <m/>
    <m/>
    <m/>
    <m/>
    <n v="-9208.3318600000021"/>
    <n v="331.44593999999978"/>
    <n v="30"/>
    <n v="593.68999393689046"/>
    <n v="42.408565631470765"/>
    <n v="63.168193878874263"/>
    <n v="0"/>
    <n v="0"/>
    <n v="0"/>
    <n v="0"/>
    <n v="0"/>
    <n v="148.21485535423199"/>
    <n v="0"/>
    <n v="0"/>
    <n v="331.34553534649422"/>
    <n v="0"/>
    <n v="0"/>
    <n v="0"/>
    <n v="24.571329518097343"/>
    <n v="0"/>
    <n v="-13.549368259821449"/>
    <m/>
    <n v="0"/>
    <n v="0"/>
    <n v="0"/>
    <n v="0"/>
    <n v="-2.0234093165983893"/>
    <n v="-0.44570821585653775"/>
    <n v="0"/>
    <n v="0"/>
    <m/>
    <m/>
    <m/>
    <n v="16882.061993154784"/>
    <n v="0"/>
    <n v="0"/>
    <n v="-9208.3318600000021"/>
    <n v="331.44593999999961"/>
    <n v="0"/>
    <n v="0"/>
    <n v="-9470.662879336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6"/>
    <s v="Regular"/>
    <s v="Verde"/>
    <s v="A4"/>
    <s v="Rural"/>
    <s v="Não se aplica"/>
    <s v="Não se aplica"/>
    <s v="Não se aplica"/>
    <s v="Fora ponta"/>
    <s v="CATIVO"/>
    <x v="2"/>
    <n v="0"/>
    <n v="0"/>
    <n v="139.83799999999999"/>
    <n v="134.24448000000001"/>
    <n v="139.83799999999999"/>
    <n v="134.24448000000001"/>
    <m/>
    <n v="79.7"/>
    <n v="209.4"/>
    <m/>
    <n v="40427.165800000002"/>
    <n v="40427.165800000002"/>
    <n v="43702.171759999997"/>
    <n v="0"/>
    <n v="7486.6439779795246"/>
    <n v="0"/>
    <n v="0"/>
    <n v="0"/>
    <n v="0"/>
    <n v="0"/>
    <n v="28897.626989925353"/>
    <n v="384.96911466211316"/>
    <n v="0"/>
    <n v="0"/>
    <n v="0"/>
    <n v="0"/>
    <n v="1329.8036748509367"/>
    <m/>
    <n v="185.68309241315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42.9385318803661"/>
    <n v="0"/>
    <n v="0"/>
    <n v="0"/>
    <n v="0"/>
    <n v="0"/>
    <m/>
    <m/>
    <m/>
    <m/>
    <m/>
    <n v="1748.086870399995"/>
    <m/>
    <m/>
    <m/>
    <n v="31040.565521805718"/>
    <m/>
    <m/>
    <m/>
    <m/>
    <m/>
    <m/>
    <m/>
    <m/>
    <m/>
    <m/>
    <m/>
    <m/>
    <n v="41952.684800000003"/>
    <n v="3142.575632"/>
    <m/>
    <m/>
    <m/>
    <m/>
    <n v="82.504420000000479"/>
    <n v="3192.5015399999975"/>
    <n v="30"/>
    <n v="3273.9157964398983"/>
    <n v="0"/>
    <n v="0"/>
    <n v="0"/>
    <n v="0"/>
    <n v="0"/>
    <n v="0"/>
    <n v="0"/>
    <n v="0"/>
    <n v="0"/>
    <n v="0"/>
    <n v="3191.5344380619281"/>
    <n v="0"/>
    <n v="0"/>
    <n v="0"/>
    <n v="236.67210202174556"/>
    <n v="0"/>
    <n v="-130.50809744571598"/>
    <m/>
    <n v="0"/>
    <n v="0"/>
    <n v="0"/>
    <n v="0"/>
    <n v="-19.489565505888322"/>
    <n v="-4.2930806921715146"/>
    <n v="0"/>
    <n v="0"/>
    <m/>
    <m/>
    <m/>
    <n v="0"/>
    <n v="0"/>
    <n v="0"/>
    <n v="82.504420000001119"/>
    <n v="3192.501539999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47"/>
    <s v="Regular"/>
    <s v="Verde"/>
    <s v="A4"/>
    <s v="Rural"/>
    <s v="Não se aplica"/>
    <s v="Não se aplica"/>
    <s v="Não se aplica"/>
    <s v="Não se aplica"/>
    <s v="CATIVO"/>
    <x v="2"/>
    <n v="1086"/>
    <n v="1042.56"/>
    <n v="0"/>
    <n v="0"/>
    <n v="0"/>
    <n v="0"/>
    <n v="44.35"/>
    <m/>
    <m/>
    <n v="48164.1"/>
    <m/>
    <n v="48164.1"/>
    <n v="31461.42"/>
    <n v="0"/>
    <n v="0"/>
    <n v="0"/>
    <n v="0"/>
    <n v="0"/>
    <n v="14250.561165260635"/>
    <n v="31187.581066320156"/>
    <m/>
    <m/>
    <m/>
    <n v="0"/>
    <n v="0"/>
    <n v="0"/>
    <n v="0"/>
    <m/>
    <n v="0"/>
    <n v="1077.0086711438103"/>
    <n v="1647.7784532412509"/>
    <n v="0"/>
    <n v="0"/>
    <m/>
    <m/>
    <n v="0"/>
    <n v="0"/>
    <n v="0"/>
    <m/>
    <m/>
    <n v="0"/>
    <m/>
    <n v="0"/>
    <n v="0"/>
    <n v="0"/>
    <n v="0"/>
    <m/>
    <n v="0"/>
    <n v="0"/>
    <n v="181.16"/>
    <n v="849.6"/>
    <n v="109.55"/>
    <n v="15"/>
    <m/>
    <m/>
    <m/>
    <m/>
    <m/>
    <n v="1258.4568000000015"/>
    <m/>
    <m/>
    <m/>
    <n v="0"/>
    <m/>
    <m/>
    <m/>
    <m/>
    <m/>
    <m/>
    <m/>
    <m/>
    <m/>
    <m/>
    <m/>
    <m/>
    <n v="30202.963199999998"/>
    <n v="-16034.602800000008"/>
    <m/>
    <m/>
    <m/>
    <m/>
    <n v="-16702.680000000004"/>
    <n v="0"/>
    <n v="30"/>
    <n v="796.13721594346498"/>
    <n v="130.02944373429796"/>
    <n v="198.93963847549639"/>
    <n v="0"/>
    <n v="0"/>
    <m/>
    <m/>
    <m/>
    <n v="467.16813373367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187.581066320156"/>
    <m/>
    <n v="0"/>
    <n v="0"/>
    <n v="-16702.68"/>
    <m/>
    <n v="0"/>
    <m/>
    <n v="-17495.91172102429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48"/>
    <s v="Sistema de Compensação"/>
    <s v="Verde"/>
    <s v="A4"/>
    <s v="Rural"/>
    <s v="Não se aplica"/>
    <s v="Não se aplica"/>
    <s v="Não se aplica"/>
    <s v="Não se aplica"/>
    <s v="CATIVO"/>
    <x v="2"/>
    <n v="520"/>
    <n v="499.2"/>
    <n v="0"/>
    <n v="0"/>
    <n v="0"/>
    <n v="0"/>
    <n v="44.35"/>
    <m/>
    <m/>
    <n v="23062"/>
    <m/>
    <n v="23062"/>
    <n v="15064.4"/>
    <n v="0"/>
    <n v="0"/>
    <n v="0"/>
    <n v="0"/>
    <n v="0"/>
    <n v="6823.4731178043558"/>
    <n v="14933.280068587919"/>
    <m/>
    <m/>
    <m/>
    <n v="0"/>
    <n v="0"/>
    <n v="0"/>
    <n v="0"/>
    <m/>
    <n v="0"/>
    <n v="515.69475966370283"/>
    <n v="788.99152457223795"/>
    <n v="0"/>
    <n v="0"/>
    <m/>
    <m/>
    <n v="0"/>
    <n v="0"/>
    <n v="0"/>
    <m/>
    <m/>
    <n v="0"/>
    <m/>
    <n v="0"/>
    <n v="0"/>
    <n v="0"/>
    <n v="0"/>
    <m/>
    <n v="0"/>
    <n v="0"/>
    <n v="26.98"/>
    <n v="126.65"/>
    <n v="22.07"/>
    <n v="8"/>
    <m/>
    <m/>
    <m/>
    <m/>
    <m/>
    <n v="602.57600000000025"/>
    <m/>
    <m/>
    <m/>
    <n v="0"/>
    <m/>
    <m/>
    <m/>
    <m/>
    <m/>
    <m/>
    <m/>
    <m/>
    <m/>
    <m/>
    <m/>
    <m/>
    <n v="14461.823999999999"/>
    <n v="-7677.7259999999969"/>
    <m/>
    <m/>
    <m/>
    <m/>
    <n v="-7997.6000000000013"/>
    <n v="0"/>
    <n v="30"/>
    <n v="381.20750671326186"/>
    <n v="62.260875452886808"/>
    <n v="95.256548809629976"/>
    <n v="0"/>
    <n v="0"/>
    <m/>
    <m/>
    <m/>
    <n v="223.690082450744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933.280068587919"/>
    <m/>
    <n v="0"/>
    <n v="0"/>
    <n v="-7997.6"/>
    <m/>
    <n v="0"/>
    <m/>
    <n v="-8377.416293676455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49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39.74600000000001"/>
    <n v="239.74600000000001"/>
    <n v="239.74600000000001"/>
    <n v="239.74600000000001"/>
    <m/>
    <n v="581.32000000000005"/>
    <n v="209.4"/>
    <m/>
    <n v="189571.95712000001"/>
    <n v="189571.95712000001"/>
    <n v="144823.36622"/>
    <n v="0"/>
    <n v="14753.467165903452"/>
    <n v="0"/>
    <n v="0"/>
    <n v="0"/>
    <n v="17787.030200217341"/>
    <n v="92399.381904332229"/>
    <n v="49543.689700415081"/>
    <n v="660.01233830420188"/>
    <n v="0"/>
    <n v="0"/>
    <n v="0"/>
    <n v="0"/>
    <n v="2279.8889560120474"/>
    <m/>
    <n v="437.04840286270826"/>
    <n v="1366.4277178975829"/>
    <n v="2058.2649546664284"/>
    <n v="0"/>
    <n v="0"/>
    <n v="0"/>
    <n v="0"/>
    <n v="0"/>
    <n v="0"/>
    <n v="0"/>
    <n v="0"/>
    <n v="0"/>
    <n v="0"/>
    <m/>
    <n v="0"/>
    <n v="0"/>
    <n v="0"/>
    <n v="0"/>
    <n v="0"/>
    <n v="8288.5666697871475"/>
    <n v="0"/>
    <n v="384.19"/>
    <n v="1812.91"/>
    <n v="66271.460000000006"/>
    <n v="477"/>
    <m/>
    <m/>
    <m/>
    <m/>
    <m/>
    <m/>
    <m/>
    <m/>
    <m/>
    <n v="57832.256370202231"/>
    <m/>
    <m/>
    <m/>
    <m/>
    <m/>
    <m/>
    <m/>
    <m/>
    <m/>
    <m/>
    <m/>
    <m/>
    <n v="144825.7825"/>
    <n v="-44746.204620000033"/>
    <m/>
    <m/>
    <m/>
    <m/>
    <n v="-50221.992080000018"/>
    <n v="5473.4011799999962"/>
    <n v="30"/>
    <n v="7083.0248270237353"/>
    <n v="164.97159291452658"/>
    <n v="248.49850728577849"/>
    <n v="0"/>
    <n v="0"/>
    <n v="0"/>
    <n v="0"/>
    <n v="0"/>
    <n v="583.10220958567152"/>
    <n v="0"/>
    <n v="0"/>
    <n v="5471.743126958303"/>
    <n v="0"/>
    <n v="0"/>
    <n v="0"/>
    <n v="915.41239625036906"/>
    <n v="0"/>
    <n v="-257.18425187749563"/>
    <m/>
    <n v="0"/>
    <n v="0"/>
    <n v="0"/>
    <n v="0"/>
    <n v="-33.413988842622985"/>
    <n v="-10.104765250779792"/>
    <n v="0"/>
    <n v="0"/>
    <m/>
    <m/>
    <m/>
    <n v="92399.381904332229"/>
    <n v="0"/>
    <n v="0"/>
    <n v="-50221.992080000011"/>
    <n v="5473.4011800000007"/>
    <n v="0"/>
    <n v="0"/>
    <n v="-51835.10146034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0"/>
    <s v="Sistema de Compensação"/>
    <s v="Convencional"/>
    <s v="B3"/>
    <s v="Poder público"/>
    <s v="Não se aplica"/>
    <s v="Não se aplica"/>
    <s v="Não se aplica"/>
    <s v="Não se aplica"/>
    <s v="CATIVO"/>
    <x v="2"/>
    <n v="0"/>
    <n v="0"/>
    <n v="4.0659999999999998"/>
    <n v="4.0659999999999998"/>
    <n v="4.0659999999999998"/>
    <n v="4.0659999999999998"/>
    <m/>
    <n v="581.32000000000005"/>
    <n v="209.4"/>
    <m/>
    <n v="3215.0675200000001"/>
    <n v="3215.0675200000001"/>
    <n v="2456.1486199999999"/>
    <n v="0"/>
    <n v="250.21313180016946"/>
    <n v="0"/>
    <n v="0"/>
    <n v="0"/>
    <n v="301.66119473978171"/>
    <n v="1567.0579981439307"/>
    <n v="840.24193238630767"/>
    <n v="11.193555544388165"/>
    <n v="0"/>
    <n v="0"/>
    <n v="0"/>
    <n v="0"/>
    <n v="38.666040289076705"/>
    <m/>
    <n v="7.4121729081601853"/>
    <n v="23.174088831394773"/>
    <n v="34.907382420034942"/>
    <n v="0"/>
    <n v="0"/>
    <n v="0"/>
    <n v="0"/>
    <n v="0"/>
    <n v="0"/>
    <n v="0"/>
    <n v="0"/>
    <n v="0"/>
    <n v="0"/>
    <m/>
    <n v="0"/>
    <n v="0"/>
    <n v="0"/>
    <n v="0"/>
    <n v="0"/>
    <n v="140.57090453794657"/>
    <n v="0"/>
    <n v="5.89"/>
    <n v="27.67"/>
    <n v="909.95"/>
    <n v="2"/>
    <m/>
    <m/>
    <m/>
    <m/>
    <m/>
    <m/>
    <m/>
    <m/>
    <m/>
    <n v="980.81283692425427"/>
    <m/>
    <m/>
    <m/>
    <m/>
    <m/>
    <m/>
    <m/>
    <m/>
    <m/>
    <m/>
    <m/>
    <m/>
    <n v="2458.5648999999999"/>
    <n v="-756.53262000000086"/>
    <m/>
    <m/>
    <m/>
    <m/>
    <n v="-851.74568000000022"/>
    <n v="92.826779999999928"/>
    <n v="30"/>
    <n v="120.1253783031982"/>
    <n v="2.7978547996232059"/>
    <n v="4.2144391590432164"/>
    <n v="0"/>
    <n v="0"/>
    <n v="0"/>
    <n v="0"/>
    <n v="0"/>
    <n v="9.8891893261006771"/>
    <n v="0"/>
    <n v="0"/>
    <n v="92.798660057779671"/>
    <n v="0"/>
    <n v="0"/>
    <n v="0"/>
    <n v="15.525042349628336"/>
    <n v="0"/>
    <n v="-4.3617460484591675"/>
    <m/>
    <n v="0"/>
    <n v="0"/>
    <n v="0"/>
    <n v="0"/>
    <n v="-0.566688406205337"/>
    <n v="-0.17137293431244238"/>
    <n v="0"/>
    <n v="0"/>
    <m/>
    <m/>
    <m/>
    <n v="1567.0579981439307"/>
    <n v="0"/>
    <n v="0"/>
    <n v="-851.74568000000022"/>
    <n v="92.826779999999985"/>
    <n v="0"/>
    <n v="0"/>
    <n v="-879.10339500036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1"/>
    <s v="Regular"/>
    <s v="Verde"/>
    <s v="A4"/>
    <s v="Poder público"/>
    <s v="Não se aplica"/>
    <s v="Não se aplica"/>
    <s v="Não se aplica"/>
    <s v="Ponta"/>
    <s v="CATIVO"/>
    <x v="2"/>
    <n v="0"/>
    <n v="0"/>
    <n v="0.24"/>
    <n v="0.24"/>
    <n v="0.24"/>
    <n v="0.24"/>
    <m/>
    <n v="1614.19"/>
    <n v="209.4"/>
    <m/>
    <n v="437.66160000000002"/>
    <n v="437.66160000000002"/>
    <n v="290.916"/>
    <n v="0"/>
    <n v="12.849115081130208"/>
    <n v="0"/>
    <n v="0"/>
    <n v="0"/>
    <n v="74.740317682559279"/>
    <n v="279.08078787416639"/>
    <n v="49.596178989845995"/>
    <n v="0.6607115914051056"/>
    <n v="0"/>
    <n v="0"/>
    <n v="0"/>
    <n v="0"/>
    <n v="2.2823043948299087"/>
    <m/>
    <n v="0.3186826340419488"/>
    <n v="5.8067820894631916"/>
    <n v="8.6492889202405916"/>
    <n v="0"/>
    <n v="0"/>
    <n v="0"/>
    <n v="0"/>
    <n v="0"/>
    <n v="0"/>
    <n v="0"/>
    <n v="0"/>
    <n v="0"/>
    <n v="0"/>
    <m/>
    <n v="0"/>
    <n v="0"/>
    <n v="0"/>
    <n v="0"/>
    <n v="0"/>
    <n v="3.6778647266929441"/>
    <n v="0"/>
    <n v="0"/>
    <n v="0"/>
    <n v="0"/>
    <n v="0"/>
    <m/>
    <m/>
    <m/>
    <m/>
    <m/>
    <m/>
    <m/>
    <m/>
    <m/>
    <n v="53.274043716538941"/>
    <m/>
    <m/>
    <m/>
    <m/>
    <m/>
    <m/>
    <m/>
    <m/>
    <m/>
    <m/>
    <m/>
    <m/>
    <n v="290.916"/>
    <n v="-146.7756"/>
    <m/>
    <m/>
    <m/>
    <m/>
    <n v="-152.22480000000002"/>
    <n v="5.4791999999999961"/>
    <n v="30"/>
    <n v="9.814409598075116"/>
    <n v="0.70106459233730423"/>
    <n v="1.0442462137298403"/>
    <n v="0"/>
    <n v="0"/>
    <n v="0"/>
    <n v="0"/>
    <n v="0"/>
    <n v="2.4501698088590445"/>
    <n v="0"/>
    <n v="0"/>
    <n v="5.4775401903264012"/>
    <n v="0"/>
    <n v="0"/>
    <n v="0"/>
    <n v="0.40619362752055155"/>
    <n v="0"/>
    <n v="-0.22398735241473666"/>
    <m/>
    <n v="0"/>
    <n v="0"/>
    <n v="0"/>
    <n v="0"/>
    <n v="-3.3449389446453814E-2"/>
    <n v="-7.3680928368624055E-3"/>
    <n v="0"/>
    <n v="0"/>
    <m/>
    <m/>
    <m/>
    <n v="279.08078787416639"/>
    <n v="0"/>
    <n v="0"/>
    <n v="-152.22480000000002"/>
    <n v="5.4791999999999987"/>
    <n v="0"/>
    <n v="0"/>
    <n v="-156.5614472407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2"/>
    <s v="Regular"/>
    <s v="Verde"/>
    <s v="A4"/>
    <s v="Poder público"/>
    <s v="Não se aplica"/>
    <s v="Não se aplica"/>
    <s v="Não se aplica"/>
    <s v="Fora ponta"/>
    <s v="CATIVO"/>
    <x v="2"/>
    <n v="0"/>
    <n v="0"/>
    <n v="4.7460000000000004"/>
    <n v="4.7460000000000004"/>
    <n v="4.7460000000000004"/>
    <n v="4.7460000000000004"/>
    <m/>
    <n v="79.7"/>
    <n v="209.4"/>
    <m/>
    <n v="1372.0686000000001"/>
    <n v="1372.0686000000001"/>
    <n v="1483.2199200000002"/>
    <n v="0"/>
    <n v="254.09125072934989"/>
    <n v="0"/>
    <n v="0"/>
    <n v="0"/>
    <n v="0"/>
    <n v="0"/>
    <n v="980.7644395242047"/>
    <n v="13.065571720035965"/>
    <n v="0"/>
    <n v="0"/>
    <n v="0"/>
    <n v="0"/>
    <n v="45.132569407761451"/>
    <m/>
    <n v="6.3019490881795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729774970352977"/>
    <n v="0"/>
    <n v="0"/>
    <n v="0"/>
    <n v="0"/>
    <n v="0"/>
    <m/>
    <m/>
    <m/>
    <m/>
    <m/>
    <m/>
    <m/>
    <m/>
    <m/>
    <n v="1053.4942144945576"/>
    <m/>
    <m/>
    <m/>
    <m/>
    <m/>
    <m/>
    <m/>
    <m/>
    <m/>
    <m/>
    <m/>
    <m/>
    <n v="1484.47"/>
    <n v="112.37139999999999"/>
    <m/>
    <m/>
    <m/>
    <m/>
    <n v="2.8001400000000163"/>
    <n v="108.35117999999993"/>
    <n v="30"/>
    <n v="111.11432064176938"/>
    <n v="0"/>
    <n v="0"/>
    <n v="0"/>
    <n v="0"/>
    <n v="0"/>
    <n v="0"/>
    <n v="0"/>
    <n v="0"/>
    <n v="0"/>
    <n v="0"/>
    <n v="108.31835726370457"/>
    <n v="0"/>
    <n v="0"/>
    <n v="0"/>
    <n v="8.0324789842189119"/>
    <n v="0"/>
    <n v="-4.4293498940014331"/>
    <m/>
    <n v="0"/>
    <n v="0"/>
    <n v="0"/>
    <n v="0"/>
    <n v="-0.66146167630362385"/>
    <n v="-0.14570403584895431"/>
    <n v="0"/>
    <n v="0"/>
    <m/>
    <m/>
    <m/>
    <n v="0"/>
    <n v="0"/>
    <n v="0"/>
    <n v="2.8001400000000558"/>
    <n v="108.35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3"/>
    <s v="Regular"/>
    <s v="Verde"/>
    <s v="A4"/>
    <s v="Poder público"/>
    <s v="Não se aplica"/>
    <s v="Não se aplica"/>
    <s v="Não se aplica"/>
    <s v="Não se aplica"/>
    <s v="CATIVO"/>
    <x v="2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13.6"/>
    <n v="63.82"/>
    <n v="1807.34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0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5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90.375"/>
    <n v="490.375"/>
    <n v="490.375"/>
    <n v="490.375"/>
    <m/>
    <n v="319.73"/>
    <n v="115.17"/>
    <m/>
    <n v="213264.08750000002"/>
    <n v="213264.08750000002"/>
    <n v="162917.28625"/>
    <n v="0"/>
    <n v="16597.158258381591"/>
    <n v="0"/>
    <n v="0"/>
    <n v="0"/>
    <n v="20009.815446086159"/>
    <n v="103946.22139987886"/>
    <n v="55734.997707000759"/>
    <n v="742.4918568725102"/>
    <n v="0"/>
    <n v="0"/>
    <n v="0"/>
    <n v="0"/>
    <n v="2564.7989987003916"/>
    <m/>
    <n v="491.66486950602086"/>
    <n v="1537.1855867885799"/>
    <n v="2315.4793924799692"/>
    <n v="0"/>
    <n v="0"/>
    <n v="0"/>
    <n v="0"/>
    <n v="0"/>
    <n v="0"/>
    <n v="0"/>
    <n v="0"/>
    <n v="0"/>
    <n v="0"/>
    <m/>
    <n v="0"/>
    <n v="0"/>
    <n v="0"/>
    <n v="0"/>
    <n v="0"/>
    <n v="9324.3609252428832"/>
    <n v="0"/>
    <n v="469.39"/>
    <n v="2201.29"/>
    <n v="58700.59"/>
    <n v="41"/>
    <m/>
    <m/>
    <m/>
    <m/>
    <m/>
    <m/>
    <m/>
    <m/>
    <m/>
    <n v="65059.358632243646"/>
    <m/>
    <m/>
    <m/>
    <m/>
    <m/>
    <m/>
    <m/>
    <m/>
    <m/>
    <m/>
    <m/>
    <m/>
    <n v="162918.9474"/>
    <n v="-50345.170100000047"/>
    <m/>
    <m/>
    <m/>
    <m/>
    <n v="-56501.007500000014"/>
    <n v="6154.2062499999984"/>
    <n v="30"/>
    <n v="7968.1665794359578"/>
    <n v="185.58753714975001"/>
    <n v="279.55252863716078"/>
    <n v="0"/>
    <n v="0"/>
    <n v="0"/>
    <n v="0"/>
    <n v="0"/>
    <n v="655.97052845118378"/>
    <n v="0"/>
    <n v="0"/>
    <n v="6155.5284331550793"/>
    <n v="0"/>
    <n v="0"/>
    <n v="0"/>
    <n v="1029.8083997071772"/>
    <n v="0"/>
    <n v="-289.32370147132315"/>
    <m/>
    <n v="0"/>
    <n v="0"/>
    <n v="0"/>
    <n v="0"/>
    <n v="-37.589622468302878"/>
    <n v="-11.367523724767352"/>
    <n v="0"/>
    <n v="0"/>
    <m/>
    <m/>
    <m/>
    <n v="103946.22139987886"/>
    <n v="0"/>
    <n v="0"/>
    <n v="-56501.007500000007"/>
    <n v="6154.2062499999956"/>
    <n v="0"/>
    <n v="0"/>
    <n v="-58312.75947560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5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78.88"/>
    <n v="74.147199999999998"/>
    <n v="78.88"/>
    <n v="74.147199999999998"/>
    <m/>
    <n v="581.32000000000005"/>
    <n v="209.4"/>
    <m/>
    <n v="62371.993600000002"/>
    <n v="62371.993600000002"/>
    <n v="47649.041599999997"/>
    <n v="0"/>
    <n v="4854.1101417602968"/>
    <n v="0"/>
    <n v="0"/>
    <n v="0"/>
    <n v="5852.1975014938471"/>
    <n v="30400.771001867502"/>
    <n v="16300.610827996052"/>
    <n v="217.1538763751447"/>
    <n v="0"/>
    <n v="0"/>
    <n v="0"/>
    <n v="0"/>
    <n v="750.11737776742996"/>
    <m/>
    <n v="143.79542523258127"/>
    <n v="449.57504353674858"/>
    <n v="677.19978487268963"/>
    <n v="0"/>
    <n v="0"/>
    <n v="0"/>
    <n v="0"/>
    <n v="0"/>
    <n v="0"/>
    <n v="0"/>
    <n v="0"/>
    <n v="0"/>
    <n v="0"/>
    <m/>
    <n v="0"/>
    <n v="0"/>
    <n v="0"/>
    <n v="0"/>
    <n v="0"/>
    <n v="2727.0617191227802"/>
    <n v="0"/>
    <n v="128.05000000000001"/>
    <n v="600.65"/>
    <n v="24892.7"/>
    <n v="21"/>
    <m/>
    <m/>
    <m/>
    <m/>
    <n v="2858.9424959999983"/>
    <m/>
    <m/>
    <m/>
    <m/>
    <n v="19027.672547118833"/>
    <m/>
    <m/>
    <m/>
    <m/>
    <m/>
    <m/>
    <m/>
    <m/>
    <m/>
    <m/>
    <m/>
    <m/>
    <n v="44791.790500000003"/>
    <n v="-13837.913484000004"/>
    <m/>
    <m/>
    <m/>
    <m/>
    <n v="-16523.782400000004"/>
    <n v="1800.8303999999987"/>
    <n v="30"/>
    <n v="2330.4205215337643"/>
    <n v="54.278107868735503"/>
    <n v="81.759705082471442"/>
    <n v="0"/>
    <n v="0"/>
    <n v="0"/>
    <n v="0"/>
    <n v="0"/>
    <n v="191.84930005972001"/>
    <n v="0"/>
    <n v="0"/>
    <n v="1800.2848758872769"/>
    <n v="0"/>
    <n v="0"/>
    <n v="0"/>
    <n v="301.18429427906676"/>
    <n v="0"/>
    <n v="-84.617444245563092"/>
    <m/>
    <n v="0"/>
    <n v="0"/>
    <n v="0"/>
    <n v="0"/>
    <n v="-10.993699331401103"/>
    <n v="-3.324618066543394"/>
    <n v="0"/>
    <n v="0"/>
    <m/>
    <m/>
    <m/>
    <n v="30400.771001867502"/>
    <n v="0"/>
    <n v="0"/>
    <n v="-16523.782400000004"/>
    <n v="1800.8303999999989"/>
    <n v="0"/>
    <n v="0"/>
    <n v="-17054.51937964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6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23.54"/>
    <n v="23.54"/>
    <n v="23.54"/>
    <n v="23.54"/>
    <m/>
    <n v="581.32000000000005"/>
    <n v="209.4"/>
    <m/>
    <n v="18613.5488"/>
    <n v="18613.5488"/>
    <n v="14219.807799999999"/>
    <n v="0"/>
    <n v="1448.6023420009813"/>
    <n v="0"/>
    <n v="0"/>
    <n v="0"/>
    <n v="1746.4595484934732"/>
    <n v="9072.4410418859152"/>
    <n v="4864.5585559207284"/>
    <n v="64.804795256984107"/>
    <n v="0"/>
    <n v="0"/>
    <n v="0"/>
    <n v="0"/>
    <n v="223.85602272623356"/>
    <m/>
    <n v="42.912579994611598"/>
    <n v="134.1657774449171"/>
    <n v="202.09537190546547"/>
    <n v="0"/>
    <n v="0"/>
    <n v="0"/>
    <n v="0"/>
    <n v="0"/>
    <n v="0"/>
    <n v="0"/>
    <n v="0"/>
    <n v="0"/>
    <n v="0"/>
    <m/>
    <n v="0"/>
    <n v="0"/>
    <n v="0"/>
    <n v="0"/>
    <n v="0"/>
    <n v="813.83155258811166"/>
    <n v="0"/>
    <n v="39.64"/>
    <n v="186.19"/>
    <n v="7447.88"/>
    <n v="17"/>
    <m/>
    <m/>
    <m/>
    <m/>
    <m/>
    <m/>
    <m/>
    <m/>
    <m/>
    <n v="5678.3901085088401"/>
    <m/>
    <m/>
    <m/>
    <m/>
    <m/>
    <m/>
    <m/>
    <m/>
    <m/>
    <m/>
    <m/>
    <m/>
    <n v="14219.807799999999"/>
    <n v="-4393.7710000000006"/>
    <m/>
    <m/>
    <m/>
    <m/>
    <n v="-4931.1592000000019"/>
    <n v="537.41819999999962"/>
    <n v="30"/>
    <n v="695.46271649219852"/>
    <n v="16.198106734660684"/>
    <n v="24.399384604987006"/>
    <n v="0"/>
    <n v="0"/>
    <n v="0"/>
    <n v="0"/>
    <n v="0"/>
    <n v="57.25320136163532"/>
    <n v="0"/>
    <n v="0"/>
    <n v="537.25540033451398"/>
    <n v="0"/>
    <n v="0"/>
    <n v="0"/>
    <n v="89.8818241294274"/>
    <n v="0"/>
    <n v="-25.252213964763769"/>
    <m/>
    <n v="0"/>
    <n v="0"/>
    <n v="0"/>
    <n v="0"/>
    <n v="-3.2808276148730044"/>
    <n v="-0.99215909338781927"/>
    <n v="0"/>
    <n v="0"/>
    <m/>
    <m/>
    <m/>
    <n v="9072.4410418859152"/>
    <n v="0"/>
    <n v="0"/>
    <n v="-4931.1592000000019"/>
    <n v="537.41820000000007"/>
    <n v="0"/>
    <n v="0"/>
    <n v="-5089.54597105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57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8.19"/>
    <n v="416"/>
    <n v="1170.94"/>
    <n v="13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58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47"/>
    <n v="30.76"/>
    <n v="156.16"/>
    <n v="1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59"/>
    <s v="Regular"/>
    <s v="Convencional"/>
    <s v="B2"/>
    <s v="Rural"/>
    <s v="Agropecuária rural"/>
    <s v="IRRIG./AQUIC."/>
    <s v="Não se aplica"/>
    <s v="Não se aplica"/>
    <s v="CATIVO"/>
    <x v="2"/>
    <n v="0"/>
    <n v="0"/>
    <n v="59.588000000000001"/>
    <n v="59.588000000000001"/>
    <n v="59.588000000000001"/>
    <n v="59.588000000000001"/>
    <m/>
    <n v="581.32000000000005"/>
    <n v="209.4"/>
    <m/>
    <n v="47117.423360000008"/>
    <n v="47117.423360000008"/>
    <n v="35995.32316"/>
    <n v="0"/>
    <n v="3666.9208307202407"/>
    <n v="0"/>
    <n v="0"/>
    <n v="0"/>
    <n v="4420.9019360929942"/>
    <n v="22965.531724889461"/>
    <n v="12313.904640195598"/>
    <n v="164.04367628603097"/>
    <n v="0"/>
    <n v="0"/>
    <n v="0"/>
    <n v="0"/>
    <n v="566.65814282968586"/>
    <m/>
    <n v="108.6267976516107"/>
    <n v="339.62066042428722"/>
    <n v="511.57429996188938"/>
    <n v="0"/>
    <n v="0"/>
    <n v="0"/>
    <n v="0"/>
    <n v="0"/>
    <n v="0"/>
    <n v="0"/>
    <n v="0"/>
    <n v="0"/>
    <n v="0"/>
    <m/>
    <n v="0"/>
    <n v="0"/>
    <n v="0"/>
    <n v="0"/>
    <n v="0"/>
    <n v="2060.0932266618693"/>
    <n v="0"/>
    <n v="0"/>
    <n v="0"/>
    <n v="0"/>
    <n v="0"/>
    <m/>
    <m/>
    <m/>
    <m/>
    <m/>
    <n v="4319.5341199999957"/>
    <m/>
    <m/>
    <m/>
    <n v="14373.997866857468"/>
    <m/>
    <m/>
    <m/>
    <m/>
    <m/>
    <m/>
    <m/>
    <m/>
    <m/>
    <m/>
    <m/>
    <m/>
    <n v="31676.852200000001"/>
    <n v="-9787.4876000000004"/>
    <m/>
    <m/>
    <m/>
    <m/>
    <n v="-12482.494240000005"/>
    <n v="1360.394039999999"/>
    <n v="30"/>
    <n v="1760.460167813817"/>
    <n v="41.0030919330909"/>
    <n v="61.763403986489664"/>
    <n v="0"/>
    <n v="0"/>
    <n v="0"/>
    <n v="0"/>
    <n v="0"/>
    <n v="144.92794234227404"/>
    <n v="0"/>
    <n v="0"/>
    <n v="1359.9819369215384"/>
    <n v="0"/>
    <n v="0"/>
    <n v="0"/>
    <n v="227.52243569347138"/>
    <n v="0"/>
    <n v="-63.922214347167937"/>
    <m/>
    <n v="0"/>
    <n v="0"/>
    <n v="0"/>
    <n v="0"/>
    <n v="-8.3049259097302865"/>
    <n v="-2.5115028061509577"/>
    <n v="0"/>
    <n v="0"/>
    <m/>
    <m/>
    <m/>
    <n v="22965.531724889461"/>
    <n v="0"/>
    <n v="0"/>
    <n v="-12482.494240000007"/>
    <n v="1360.3940399999992"/>
    <n v="0"/>
    <n v="0"/>
    <n v="-12883.42673420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0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4.5460000000000003"/>
    <n v="4.5460000000000003"/>
    <n v="4.5460000000000003"/>
    <n v="4.5460000000000003"/>
    <m/>
    <n v="581.32000000000005"/>
    <n v="209.4"/>
    <m/>
    <n v="3594.6131200000004"/>
    <n v="3594.6131200000004"/>
    <n v="2746.1022199999998"/>
    <n v="0"/>
    <n v="279.75132738897457"/>
    <n v="0"/>
    <n v="0"/>
    <n v="0"/>
    <n v="337.27294424177273"/>
    <n v="1752.0525478510353"/>
    <n v="939.43429036599969"/>
    <n v="12.514978727198377"/>
    <n v="0"/>
    <n v="0"/>
    <n v="0"/>
    <n v="0"/>
    <n v="43.230649078736526"/>
    <m/>
    <n v="8.2871957797580436"/>
    <n v="25.909839603423674"/>
    <n v="39.028273605872812"/>
    <n v="0"/>
    <n v="0"/>
    <n v="0"/>
    <n v="0"/>
    <n v="0"/>
    <n v="0"/>
    <n v="0"/>
    <n v="0"/>
    <n v="0"/>
    <n v="0"/>
    <m/>
    <n v="0"/>
    <n v="0"/>
    <n v="0"/>
    <n v="0"/>
    <n v="0"/>
    <n v="157.16560059751725"/>
    <n v="0"/>
    <n v="0"/>
    <n v="0"/>
    <n v="0"/>
    <n v="0"/>
    <m/>
    <m/>
    <m/>
    <m/>
    <m/>
    <n v="329.53953999999965"/>
    <m/>
    <m/>
    <m/>
    <n v="1096.5998909635168"/>
    <m/>
    <m/>
    <m/>
    <m/>
    <m/>
    <m/>
    <m/>
    <m/>
    <m/>
    <m/>
    <m/>
    <m/>
    <n v="2418.6890000000003"/>
    <n v="-744.67510000000038"/>
    <m/>
    <m/>
    <m/>
    <m/>
    <n v="-952.29608000000042"/>
    <n v="103.78517999999994"/>
    <n v="30"/>
    <n v="134.30643624356571"/>
    <n v="3.1281475452747394"/>
    <n v="4.7119627193827966"/>
    <n v="0"/>
    <n v="0"/>
    <n v="0"/>
    <n v="0"/>
    <n v="0"/>
    <n v="11.056629285896122"/>
    <n v="0"/>
    <n v="0"/>
    <n v="103.75374043843249"/>
    <n v="0"/>
    <n v="0"/>
    <n v="0"/>
    <n v="17.357806817857977"/>
    <n v="0"/>
    <n v="-4.8766595022861452"/>
    <m/>
    <n v="0"/>
    <n v="0"/>
    <n v="0"/>
    <n v="0"/>
    <n v="-0.63358718509824286"/>
    <n v="-0.19160387589384165"/>
    <n v="0"/>
    <n v="0"/>
    <m/>
    <m/>
    <m/>
    <n v="1752.0525478510353"/>
    <n v="0"/>
    <n v="0"/>
    <n v="-952.2960800000003"/>
    <n v="103.78517999999997"/>
    <n v="0"/>
    <n v="0"/>
    <n v="-982.8834317933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1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50.892000000000003"/>
    <n v="20.3568"/>
    <n v="50.892000000000003"/>
    <n v="20.3568"/>
    <m/>
    <n v="581.32000000000005"/>
    <n v="209.4"/>
    <m/>
    <n v="40241.322240000009"/>
    <n v="40241.322240000009"/>
    <n v="30742.330440000002"/>
    <n v="0"/>
    <n v="3131.7871873030563"/>
    <n v="0"/>
    <n v="0"/>
    <n v="0"/>
    <n v="3775.7357409485917"/>
    <n v="19614.047132695752"/>
    <n v="10516.869754796846"/>
    <n v="140.10389295745264"/>
    <n v="0"/>
    <n v="0"/>
    <n v="0"/>
    <n v="0"/>
    <n v="483.9626469236822"/>
    <m/>
    <n v="92.774299961162853"/>
    <n v="290.05797560436372"/>
    <n v="436.91748797846003"/>
    <n v="0"/>
    <n v="0"/>
    <n v="0"/>
    <n v="0"/>
    <n v="0"/>
    <n v="0"/>
    <n v="0"/>
    <n v="0"/>
    <n v="0"/>
    <n v="0"/>
    <m/>
    <n v="0"/>
    <n v="0"/>
    <n v="0"/>
    <n v="0"/>
    <n v="0"/>
    <n v="1759.4526497159807"/>
    <n v="0"/>
    <n v="0"/>
    <n v="0"/>
    <n v="0"/>
    <n v="0"/>
    <m/>
    <m/>
    <m/>
    <m/>
    <m/>
    <m/>
    <n v="19921.062696000001"/>
    <m/>
    <m/>
    <n v="12276.322404512826"/>
    <m/>
    <m/>
    <m/>
    <m/>
    <m/>
    <m/>
    <m/>
    <m/>
    <m/>
    <m/>
    <m/>
    <m/>
    <n v="10822.968800000001"/>
    <n v="-3342.3404799999989"/>
    <m/>
    <m/>
    <m/>
    <m/>
    <n v="-10660.856160000005"/>
    <n v="1161.8643599999994"/>
    <n v="30"/>
    <n v="1503.5466681274884"/>
    <n v="35.019288357703942"/>
    <n v="52.749935485004244"/>
    <n v="0"/>
    <n v="0"/>
    <n v="0"/>
    <n v="0"/>
    <n v="0"/>
    <n v="123.77782173731293"/>
    <n v="0"/>
    <n v="0"/>
    <n v="1161.5123973587124"/>
    <n v="0"/>
    <n v="0"/>
    <n v="0"/>
    <n v="194.31885274404476"/>
    <n v="0"/>
    <n v="-54.593698942003357"/>
    <m/>
    <n v="0"/>
    <n v="0"/>
    <n v="0"/>
    <n v="0"/>
    <n v="-7.0929430321205018"/>
    <n v="-2.1449855811679299"/>
    <n v="0"/>
    <n v="0"/>
    <m/>
    <m/>
    <m/>
    <n v="19614.047132695752"/>
    <n v="0"/>
    <n v="0"/>
    <n v="-10660.856160000003"/>
    <n v="1161.8643599999996"/>
    <n v="0"/>
    <n v="0"/>
    <n v="-11003.27840097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2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1.8109999999999999"/>
    <n v="0.72440000000000004"/>
    <n v="1.8109999999999999"/>
    <n v="0.72440000000000004"/>
    <m/>
    <n v="581.32000000000005"/>
    <n v="209.4"/>
    <m/>
    <n v="1431.9939200000001"/>
    <n v="1431.9939200000001"/>
    <n v="1093.9707699999999"/>
    <n v="0"/>
    <n v="111.4451504402624"/>
    <n v="0"/>
    <n v="0"/>
    <n v="0"/>
    <n v="134.36016322522005"/>
    <n v="697.96901983242958"/>
    <n v="374.24450062754624"/>
    <n v="4.9856195501443592"/>
    <n v="0"/>
    <n v="0"/>
    <n v="0"/>
    <n v="0"/>
    <n v="17.221888579320687"/>
    <m/>
    <n v="3.3013883759660834"/>
    <n v="10.321759683634022"/>
    <n v="15.547779036567457"/>
    <n v="0"/>
    <n v="0"/>
    <n v="0"/>
    <n v="0"/>
    <n v="0"/>
    <n v="0"/>
    <n v="0"/>
    <n v="0"/>
    <n v="0"/>
    <n v="0"/>
    <m/>
    <n v="0"/>
    <n v="0"/>
    <n v="0"/>
    <n v="0"/>
    <n v="0"/>
    <n v="62.610405341421846"/>
    <n v="0"/>
    <n v="0"/>
    <n v="0"/>
    <n v="0"/>
    <n v="0"/>
    <m/>
    <m/>
    <m/>
    <m/>
    <m/>
    <m/>
    <n v="708.8942179999998"/>
    <m/>
    <m/>
    <n v="436.85490596896807"/>
    <m/>
    <m/>
    <m/>
    <m/>
    <m/>
    <m/>
    <m/>
    <m/>
    <m/>
    <m/>
    <m/>
    <m/>
    <n v="382.73760000000004"/>
    <n v="-121.36613999999997"/>
    <m/>
    <m/>
    <m/>
    <m/>
    <n v="-379.36828000000014"/>
    <n v="41.345129999999969"/>
    <n v="30"/>
    <n v="53.503949854179041"/>
    <n v="1.2461670049477682"/>
    <n v="1.8771149328645489"/>
    <n v="0"/>
    <n v="0"/>
    <n v="0"/>
    <n v="0"/>
    <n v="0"/>
    <n v="4.4046536816449304"/>
    <n v="0"/>
    <n v="0"/>
    <n v="41.332605352837959"/>
    <n v="0"/>
    <n v="0"/>
    <n v="0"/>
    <n v="6.9148676082579854"/>
    <n v="0"/>
    <n v="-1.9427255518346129"/>
    <m/>
    <n v="0"/>
    <n v="0"/>
    <n v="0"/>
    <n v="0"/>
    <n v="-0.25240351786469972"/>
    <n v="-7.6329656674823276E-2"/>
    <n v="0"/>
    <n v="0"/>
    <m/>
    <m/>
    <m/>
    <n v="697.96901983242958"/>
    <n v="0"/>
    <n v="0"/>
    <n v="-379.36828000000014"/>
    <n v="41.345129999999926"/>
    <n v="0"/>
    <n v="0"/>
    <n v="-391.55343048343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3"/>
    <s v="Regular"/>
    <s v="Verde"/>
    <s v="A4"/>
    <s v="Rural"/>
    <s v="Agropecuária rural"/>
    <s v="Não se aplica"/>
    <s v="Não se aplica"/>
    <s v="Ponta"/>
    <s v="CATIVO"/>
    <x v="2"/>
    <n v="0"/>
    <n v="0"/>
    <n v="14.289"/>
    <n v="13.71744"/>
    <n v="14.289"/>
    <n v="13.71744"/>
    <m/>
    <n v="1614.19"/>
    <n v="209.4"/>
    <m/>
    <n v="26057.27751"/>
    <n v="26057.27751"/>
    <n v="17320.411349999998"/>
    <n v="0"/>
    <n v="765.00418914278976"/>
    <n v="0"/>
    <n v="0"/>
    <n v="0"/>
    <n v="4449.8516640253729"/>
    <n v="16615.772408058183"/>
    <n v="2952.832506607956"/>
    <n v="39.337116373281475"/>
    <n v="0"/>
    <n v="0"/>
    <n v="0"/>
    <n v="0"/>
    <n v="135.8826979071857"/>
    <m/>
    <n v="18.973567324272526"/>
    <n v="345.7212886514148"/>
    <n v="514.95703908882422"/>
    <n v="0"/>
    <n v="0"/>
    <n v="0"/>
    <n v="0"/>
    <n v="0"/>
    <n v="0"/>
    <n v="0"/>
    <n v="0"/>
    <n v="0"/>
    <n v="0"/>
    <m/>
    <n v="0"/>
    <n v="0"/>
    <n v="0"/>
    <n v="0"/>
    <n v="0"/>
    <n v="218.97087116548116"/>
    <n v="0"/>
    <n v="0"/>
    <n v="0"/>
    <n v="0"/>
    <n v="0"/>
    <m/>
    <m/>
    <m/>
    <m/>
    <m/>
    <n v="692.81645399999979"/>
    <m/>
    <m/>
    <m/>
    <n v="3171.8033777734372"/>
    <m/>
    <m/>
    <m/>
    <m/>
    <m/>
    <m/>
    <m/>
    <m/>
    <m/>
    <m/>
    <m/>
    <m/>
    <n v="16630.698"/>
    <n v="-8384.3184095999968"/>
    <m/>
    <m/>
    <m/>
    <m/>
    <n v="-9063.0840300000018"/>
    <n v="326.21786999999978"/>
    <n v="30"/>
    <n v="584.32541144539391"/>
    <n v="41.739633166282204"/>
    <n v="62.171808949940328"/>
    <n v="0"/>
    <n v="0"/>
    <n v="0"/>
    <n v="0"/>
    <n v="0"/>
    <n v="145.87698499494491"/>
    <n v="0"/>
    <n v="0"/>
    <n v="326.11904908155793"/>
    <n v="0"/>
    <n v="0"/>
    <n v="0"/>
    <n v="24.183753098504837"/>
    <n v="0"/>
    <n v="-13.335646994392391"/>
    <m/>
    <n v="0"/>
    <n v="0"/>
    <n v="0"/>
    <n v="0"/>
    <n v="-1.9914930241682498"/>
    <n v="-0.43867782727469518"/>
    <n v="0"/>
    <n v="0"/>
    <m/>
    <m/>
    <m/>
    <n v="16615.772408058183"/>
    <n v="0"/>
    <n v="0"/>
    <n v="-9063.08403"/>
    <n v="326.21786999999995"/>
    <n v="0"/>
    <n v="0"/>
    <n v="-9321.277165094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4"/>
    <s v="Sistema de Compensação"/>
    <s v="Verde"/>
    <s v="A4"/>
    <s v="Rural"/>
    <s v="Agropecuária rural"/>
    <s v="Não se aplica"/>
    <s v="Não se aplica"/>
    <s v="Ponta"/>
    <s v="CATIVO"/>
    <x v="2"/>
    <n v="0"/>
    <n v="0"/>
    <n v="0.126"/>
    <n v="0.12096"/>
    <n v="0.126"/>
    <n v="0.12096"/>
    <m/>
    <n v="1614.19"/>
    <n v="209.4"/>
    <m/>
    <n v="229.77234000000001"/>
    <n v="229.77234000000001"/>
    <n v="152.73089999999999"/>
    <n v="0"/>
    <n v="6.7457854175933587"/>
    <n v="0"/>
    <n v="0"/>
    <n v="0"/>
    <n v="39.238666783343625"/>
    <n v="146.51741363393737"/>
    <n v="26.037993969669152"/>
    <n v="0.34687358548768044"/>
    <n v="0"/>
    <n v="0"/>
    <n v="0"/>
    <n v="0"/>
    <n v="1.1982098072857021"/>
    <m/>
    <n v="0.16730838287202313"/>
    <n v="3.0485605969681759"/>
    <n v="4.540876683126311"/>
    <n v="0"/>
    <n v="0"/>
    <n v="0"/>
    <n v="0"/>
    <n v="0"/>
    <n v="0"/>
    <n v="0"/>
    <n v="0"/>
    <n v="0"/>
    <n v="0"/>
    <m/>
    <n v="0"/>
    <n v="0"/>
    <n v="0"/>
    <n v="0"/>
    <n v="0"/>
    <n v="1.9308789815137957"/>
    <n v="0"/>
    <n v="0"/>
    <n v="0"/>
    <n v="0"/>
    <n v="0"/>
    <m/>
    <m/>
    <m/>
    <m/>
    <m/>
    <n v="6.1092360000000028"/>
    <m/>
    <m/>
    <m/>
    <n v="27.968872951182949"/>
    <m/>
    <m/>
    <m/>
    <m/>
    <m/>
    <m/>
    <m/>
    <m/>
    <m/>
    <m/>
    <m/>
    <m/>
    <n v="145.458"/>
    <n v="-75.153446399999979"/>
    <m/>
    <m/>
    <m/>
    <m/>
    <n v="-79.918020000000013"/>
    <n v="2.8765799999999979"/>
    <n v="30"/>
    <n v="5.1525650389894082"/>
    <n v="0.36805891097708443"/>
    <n v="0.54822926220816637"/>
    <n v="0"/>
    <n v="0"/>
    <n v="0"/>
    <n v="0"/>
    <n v="0"/>
    <n v="1.2863391496509919"/>
    <n v="0"/>
    <n v="0"/>
    <n v="2.8757085999213565"/>
    <n v="0"/>
    <n v="0"/>
    <n v="0"/>
    <n v="0.21325165444828964"/>
    <n v="0"/>
    <n v="-0.1175933600177359"/>
    <m/>
    <n v="0"/>
    <n v="0"/>
    <n v="0"/>
    <n v="0"/>
    <n v="-1.7560929459388142E-2"/>
    <n v="-3.8682487393527643E-3"/>
    <n v="0"/>
    <n v="0"/>
    <m/>
    <m/>
    <m/>
    <n v="146.51741363393737"/>
    <n v="0"/>
    <n v="0"/>
    <n v="-79.918020000000013"/>
    <n v="2.8765800000000006"/>
    <n v="0"/>
    <n v="0"/>
    <n v="-82.194759801377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5"/>
    <s v="Regular"/>
    <s v="Verde"/>
    <s v="A4"/>
    <s v="Rural"/>
    <s v="Agropecuária rural"/>
    <s v="Não se aplica"/>
    <s v="Não se aplica"/>
    <s v="Fora ponta"/>
    <s v="CATIVO"/>
    <x v="2"/>
    <n v="0"/>
    <n v="0"/>
    <n v="420.74400000000003"/>
    <n v="403.91424000000001"/>
    <n v="420.74400000000003"/>
    <n v="403.91424000000001"/>
    <m/>
    <n v="79.7"/>
    <n v="209.4"/>
    <m/>
    <n v="121637.09040000002"/>
    <n v="121637.09040000002"/>
    <n v="131490.91488"/>
    <n v="0"/>
    <n v="22525.783648729368"/>
    <n v="0"/>
    <n v="0"/>
    <n v="0"/>
    <n v="0"/>
    <n v="0"/>
    <n v="86947.061387099035"/>
    <n v="1158.2934908922907"/>
    <n v="0"/>
    <n v="0"/>
    <n v="0"/>
    <n v="0"/>
    <n v="4001.1078345763135"/>
    <m/>
    <n v="558.682525738940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47.6646523654008"/>
    <n v="0"/>
    <n v="0"/>
    <n v="0"/>
    <n v="0"/>
    <n v="0"/>
    <m/>
    <m/>
    <m/>
    <m/>
    <m/>
    <n v="5259.6365952000069"/>
    <m/>
    <m/>
    <m/>
    <n v="93394.72603946444"/>
    <m/>
    <m/>
    <m/>
    <m/>
    <m/>
    <m/>
    <m/>
    <m/>
    <m/>
    <m/>
    <m/>
    <m/>
    <n v="126229.9532"/>
    <n v="9458.316416000016"/>
    <m/>
    <m/>
    <m/>
    <m/>
    <n v="248.23896000000144"/>
    <n v="9605.5855199999933"/>
    <n v="30"/>
    <n v="9850.5444003583252"/>
    <n v="0"/>
    <n v="0"/>
    <n v="0"/>
    <n v="0"/>
    <n v="0"/>
    <n v="0"/>
    <n v="0"/>
    <n v="0"/>
    <n v="0"/>
    <n v="0"/>
    <n v="9602.6757076611975"/>
    <n v="0"/>
    <n v="0"/>
    <n v="0"/>
    <n v="712.0980484062793"/>
    <n v="0"/>
    <n v="-392.67222751827285"/>
    <m/>
    <n v="0"/>
    <n v="0"/>
    <n v="0"/>
    <n v="0"/>
    <n v="-58.640124638578072"/>
    <n v="-12.917003552303527"/>
    <n v="0"/>
    <n v="0"/>
    <m/>
    <m/>
    <m/>
    <n v="0"/>
    <n v="0"/>
    <n v="0"/>
    <n v="248.23896000000241"/>
    <n v="9605.585519999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6"/>
    <s v="Sistema de Compensação"/>
    <s v="Verde"/>
    <s v="A4"/>
    <s v="Rural"/>
    <s v="Agropecuária rural"/>
    <s v="Não se aplica"/>
    <s v="Não se aplica"/>
    <s v="Fora ponta"/>
    <s v="CATIVO"/>
    <x v="2"/>
    <n v="0"/>
    <n v="0"/>
    <n v="9.5749999999999993"/>
    <n v="9.1920000000000002"/>
    <n v="9.5749999999999993"/>
    <n v="9.1920000000000002"/>
    <m/>
    <n v="79.7"/>
    <n v="209.4"/>
    <m/>
    <n v="2768.1324999999997"/>
    <n v="2768.1324999999997"/>
    <n v="2992.3789999999999"/>
    <n v="0"/>
    <n v="512.62615375759049"/>
    <n v="0"/>
    <n v="0"/>
    <n v="0"/>
    <n v="0"/>
    <n v="0"/>
    <n v="1978.6808909490642"/>
    <n v="26.359639532099525"/>
    <n v="0"/>
    <n v="0"/>
    <n v="0"/>
    <n v="0"/>
    <n v="91.05443575206823"/>
    <m/>
    <n v="12.7141092539652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6.73147815868725"/>
    <n v="0"/>
    <n v="0"/>
    <n v="0"/>
    <n v="0"/>
    <n v="0"/>
    <m/>
    <m/>
    <m/>
    <m/>
    <m/>
    <n v="119.69515999999972"/>
    <m/>
    <m/>
    <m/>
    <n v="2125.4123691077516"/>
    <m/>
    <m/>
    <m/>
    <m/>
    <m/>
    <m/>
    <m/>
    <m/>
    <m/>
    <m/>
    <m/>
    <m/>
    <n v="2872.0587999999998"/>
    <n v="214.62159999999949"/>
    <m/>
    <m/>
    <m/>
    <m/>
    <n v="5.6492500000000323"/>
    <n v="218.59724999999983"/>
    <n v="30"/>
    <n v="224.17185422354441"/>
    <n v="0"/>
    <n v="0"/>
    <n v="0"/>
    <n v="0"/>
    <n v="0"/>
    <n v="0"/>
    <n v="0"/>
    <n v="0"/>
    <n v="0"/>
    <n v="0"/>
    <n v="218.53103050989694"/>
    <n v="0"/>
    <n v="0"/>
    <n v="0"/>
    <n v="16.205433264622002"/>
    <n v="0"/>
    <n v="-8.9361620807128475"/>
    <m/>
    <n v="0"/>
    <n v="0"/>
    <n v="0"/>
    <n v="0"/>
    <n v="-1.3344912664574764"/>
    <n v="-0.29395620380398846"/>
    <n v="0"/>
    <n v="0"/>
    <m/>
    <m/>
    <m/>
    <n v="0"/>
    <n v="0"/>
    <n v="0"/>
    <n v="5.6492500000000518"/>
    <n v="218.5972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67"/>
    <s v="Regular"/>
    <s v="Verde"/>
    <s v="A4"/>
    <s v="Rural"/>
    <s v="Agropecuária rural"/>
    <s v="Não se aplica"/>
    <s v="Não se aplica"/>
    <s v="Não se aplica"/>
    <s v="CATIVO"/>
    <x v="2"/>
    <n v="20482"/>
    <n v="19662.72"/>
    <n v="0"/>
    <n v="0"/>
    <n v="0"/>
    <n v="0"/>
    <n v="44.35"/>
    <m/>
    <m/>
    <n v="908376.70000000007"/>
    <m/>
    <n v="908376.70000000007"/>
    <n v="593363.53999999992"/>
    <n v="0"/>
    <n v="0"/>
    <n v="0"/>
    <n v="0"/>
    <n v="0"/>
    <n v="268766.10845936311"/>
    <n v="588198.9276246496"/>
    <m/>
    <m/>
    <m/>
    <n v="0"/>
    <n v="0"/>
    <n v="0"/>
    <n v="0"/>
    <m/>
    <n v="0"/>
    <n v="20312.423206599928"/>
    <n v="31077.16231978573"/>
    <n v="0"/>
    <n v="0"/>
    <m/>
    <m/>
    <n v="0"/>
    <n v="0"/>
    <n v="0"/>
    <m/>
    <m/>
    <n v="0"/>
    <m/>
    <n v="0"/>
    <n v="0"/>
    <n v="0"/>
    <n v="0"/>
    <m/>
    <n v="0"/>
    <n v="0"/>
    <n v="1386.69"/>
    <n v="6503.1"/>
    <n v="710.48"/>
    <n v="123"/>
    <m/>
    <m/>
    <m/>
    <m/>
    <m/>
    <n v="23734.541599999964"/>
    <m/>
    <m/>
    <m/>
    <n v="0"/>
    <m/>
    <m/>
    <m/>
    <m/>
    <m/>
    <m/>
    <m/>
    <m/>
    <m/>
    <m/>
    <m/>
    <m/>
    <n v="569628.99840000004"/>
    <n v="-302412.66360000009"/>
    <m/>
    <m/>
    <m/>
    <m/>
    <n v="-315013.16000000003"/>
    <n v="0"/>
    <n v="30"/>
    <n v="15015.177216348064"/>
    <n v="2452.3600981269738"/>
    <n v="3752.0089090746951"/>
    <n v="0"/>
    <n v="0"/>
    <m/>
    <m/>
    <m/>
    <n v="8810.80820914643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8198.9276246496"/>
    <m/>
    <n v="0"/>
    <n v="0"/>
    <n v="-315013.16000000015"/>
    <m/>
    <n v="0"/>
    <m/>
    <n v="-329973.5394751561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68"/>
    <s v="Sistema de Compensação"/>
    <s v="Verde"/>
    <s v="A4"/>
    <s v="Rural"/>
    <s v="Agropecuária rural"/>
    <s v="Não se aplica"/>
    <s v="Não se aplica"/>
    <s v="Não se aplica"/>
    <s v="CATIVO"/>
    <x v="2"/>
    <n v="1243"/>
    <n v="1193.28"/>
    <n v="0"/>
    <n v="0"/>
    <n v="0"/>
    <n v="0"/>
    <n v="44.35"/>
    <m/>
    <m/>
    <n v="55127.05"/>
    <m/>
    <n v="55127.05"/>
    <n v="36009.71"/>
    <n v="0"/>
    <n v="0"/>
    <n v="0"/>
    <n v="0"/>
    <n v="0"/>
    <n v="16310.725164290028"/>
    <n v="35696.28293318228"/>
    <m/>
    <m/>
    <m/>
    <n v="0"/>
    <n v="0"/>
    <n v="0"/>
    <n v="0"/>
    <m/>
    <n v="0"/>
    <n v="1232.708819734582"/>
    <n v="1885.9932020063304"/>
    <n v="0"/>
    <n v="0"/>
    <m/>
    <m/>
    <n v="0"/>
    <n v="0"/>
    <n v="0"/>
    <m/>
    <m/>
    <n v="0"/>
    <m/>
    <n v="0"/>
    <n v="0"/>
    <n v="0"/>
    <n v="0"/>
    <m/>
    <n v="0"/>
    <n v="0"/>
    <n v="70.459999999999994"/>
    <n v="330.68"/>
    <n v="100.72"/>
    <n v="12"/>
    <m/>
    <m/>
    <m/>
    <m/>
    <m/>
    <n v="1440.3884000000007"/>
    <m/>
    <m/>
    <m/>
    <n v="0"/>
    <m/>
    <m/>
    <m/>
    <m/>
    <m/>
    <m/>
    <m/>
    <m/>
    <m/>
    <m/>
    <m/>
    <m/>
    <n v="34569.321599999996"/>
    <n v="-18352.676400000011"/>
    <m/>
    <m/>
    <m/>
    <m/>
    <n v="-19117.340000000004"/>
    <n v="0"/>
    <n v="30"/>
    <n v="911.23255931650419"/>
    <n v="148.82743882295813"/>
    <n v="227.69978878917323"/>
    <n v="0"/>
    <n v="0"/>
    <m/>
    <m/>
    <m/>
    <n v="534.705331704373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696.28293318228"/>
    <m/>
    <n v="0"/>
    <n v="0"/>
    <n v="-19117.340000000004"/>
    <m/>
    <n v="0"/>
    <m/>
    <n v="-20025.24702507660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69"/>
    <s v="Regular"/>
    <s v="Verde"/>
    <s v="A4"/>
    <s v="Rural"/>
    <s v="Agropecuária rural"/>
    <s v="IRRIG./AQUIC. PR"/>
    <s v="Não se aplica"/>
    <s v="Fora ponta"/>
    <s v="CATIVO"/>
    <x v="2"/>
    <n v="0"/>
    <n v="0"/>
    <n v="397.20800000000003"/>
    <n v="119.16240000000001"/>
    <n v="397.20800000000003"/>
    <n v="119.16240000000001"/>
    <m/>
    <n v="79.7"/>
    <n v="209.4"/>
    <m/>
    <n v="114832.8328"/>
    <n v="114832.8328"/>
    <n v="124135.44416000001"/>
    <n v="0"/>
    <n v="21265.713763106534"/>
    <n v="0"/>
    <n v="0"/>
    <n v="0"/>
    <n v="0"/>
    <n v="0"/>
    <n v="82083.329434161467"/>
    <n v="1093.4997074951634"/>
    <n v="0"/>
    <n v="0"/>
    <n v="0"/>
    <n v="0"/>
    <n v="3777.2898502566604"/>
    <m/>
    <n v="527.4303820938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86.9887181677122"/>
    <n v="0"/>
    <n v="0"/>
    <n v="0"/>
    <n v="0"/>
    <n v="0"/>
    <m/>
    <m/>
    <m/>
    <m/>
    <m/>
    <m/>
    <n v="86894.810912000015"/>
    <m/>
    <m/>
    <n v="88170.318152329186"/>
    <m/>
    <m/>
    <m/>
    <m/>
    <m/>
    <m/>
    <m/>
    <m/>
    <m/>
    <m/>
    <m/>
    <m/>
    <n v="37239.883199999997"/>
    <n v="2790.0033599999952"/>
    <m/>
    <m/>
    <m/>
    <m/>
    <n v="234.35272000000137"/>
    <n v="9068.2586399999946"/>
    <n v="30"/>
    <n v="9299.5147647441627"/>
    <n v="0"/>
    <n v="0"/>
    <n v="0"/>
    <n v="0"/>
    <n v="0"/>
    <n v="0"/>
    <n v="0"/>
    <n v="0"/>
    <n v="0"/>
    <n v="0"/>
    <n v="9065.5115996631939"/>
    <n v="0"/>
    <n v="0"/>
    <n v="0"/>
    <n v="672.26399333409699"/>
    <n v="0"/>
    <n v="-370.70653449146994"/>
    <m/>
    <n v="0"/>
    <n v="0"/>
    <n v="0"/>
    <n v="0"/>
    <n v="-55.359854513529172"/>
    <n v="-12.194439248101844"/>
    <n v="0"/>
    <n v="0"/>
    <m/>
    <m/>
    <m/>
    <n v="0"/>
    <n v="0"/>
    <n v="0"/>
    <n v="234.35272000000259"/>
    <n v="9068.25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0"/>
    <s v="Regular"/>
    <s v="Convencional"/>
    <s v="B1"/>
    <s v="Residencial"/>
    <s v="Residencial"/>
    <s v="Não se aplica"/>
    <s v="Não se aplica"/>
    <s v="Não se aplica"/>
    <s v="CATIVO"/>
    <x v="3"/>
    <n v="0"/>
    <n v="0"/>
    <n v="1369.684"/>
    <n v="1369.684"/>
    <n v="1369.684"/>
    <n v="1369.684"/>
    <m/>
    <n v="581.32000000000005"/>
    <n v="209.4"/>
    <m/>
    <n v="1083036.5324800001"/>
    <n v="1083036.5324800001"/>
    <n v="827385.01387999998"/>
    <n v="0"/>
    <n v="84287.487264285126"/>
    <n v="0"/>
    <n v="0"/>
    <n v="0"/>
    <n v="101618.42396851038"/>
    <n v="527883.48921047023"/>
    <n v="283046.2200980343"/>
    <n v="3770.6920640087947"/>
    <n v="0"/>
    <n v="0"/>
    <n v="0"/>
    <n v="0"/>
    <n v="13025.14921970087"/>
    <m/>
    <n v="2496.8850559617499"/>
    <n v="7806.4876259075554"/>
    <n v="11758.997339548239"/>
    <n v="0"/>
    <n v="0"/>
    <n v="0"/>
    <n v="0"/>
    <n v="0"/>
    <n v="0"/>
    <n v="0"/>
    <n v="0"/>
    <n v="0"/>
    <n v="0"/>
    <m/>
    <n v="0"/>
    <n v="0"/>
    <n v="0"/>
    <n v="0"/>
    <n v="0"/>
    <n v="47353.103495118739"/>
    <n v="0"/>
    <n v="4554.09"/>
    <n v="20897.330000000002"/>
    <n v="435248.97"/>
    <n v="9295"/>
    <m/>
    <m/>
    <m/>
    <m/>
    <m/>
    <m/>
    <m/>
    <m/>
    <m/>
    <n v="330399.32359315304"/>
    <m/>
    <m/>
    <m/>
    <m/>
    <m/>
    <m/>
    <m/>
    <m/>
    <m/>
    <m/>
    <m/>
    <m/>
    <n v="827382.59759999998"/>
    <n v="-255653.9648800001"/>
    <m/>
    <m/>
    <m/>
    <m/>
    <n v="-286921.40432000009"/>
    <n v="31269.885719999977"/>
    <n v="31"/>
    <n v="40465.767008322058"/>
    <n v="942.49310215620062"/>
    <n v="1419.6876254586678"/>
    <n v="0"/>
    <n v="0"/>
    <n v="0"/>
    <n v="0"/>
    <n v="0"/>
    <n v="3331.2996539426676"/>
    <n v="0"/>
    <n v="0"/>
    <n v="31260.413158529205"/>
    <n v="0"/>
    <n v="0"/>
    <n v="0"/>
    <n v="5229.808683130439"/>
    <n v="0"/>
    <n v="-1469.309831440667"/>
    <m/>
    <n v="0"/>
    <n v="0"/>
    <n v="0"/>
    <n v="0"/>
    <n v="-190.89622306073579"/>
    <n v="-57.72916039370466"/>
    <n v="0"/>
    <n v="0"/>
    <m/>
    <m/>
    <m/>
    <n v="527883.48921047023"/>
    <n v="0"/>
    <n v="0"/>
    <n v="-286921.40432000003"/>
    <n v="31269.885719999962"/>
    <n v="0"/>
    <n v="0"/>
    <n v="-296137.19982235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1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1.863"/>
    <n v="-1.863"/>
    <n v="-1.863"/>
    <n v="-1.863"/>
    <m/>
    <n v="581.32000000000005"/>
    <n v="209.4"/>
    <m/>
    <n v="-1473.1113600000001"/>
    <n v="-1473.1113600000001"/>
    <n v="-1125.3824099999999"/>
    <n v="0"/>
    <n v="-114.64512162904961"/>
    <n v="0"/>
    <n v="0"/>
    <n v="0"/>
    <n v="-138.2181027546024"/>
    <n v="-718.0100960506993"/>
    <n v="-384.99033940867957"/>
    <n v="-5.1287737282821322"/>
    <n v="0"/>
    <n v="0"/>
    <n v="0"/>
    <n v="0"/>
    <n v="-17.716387864867169"/>
    <m/>
    <n v="-3.3961825203891847"/>
    <n v="-10.618132683937153"/>
    <n v="-15.994208915033227"/>
    <n v="0"/>
    <n v="0"/>
    <n v="0"/>
    <n v="0"/>
    <n v="0"/>
    <n v="0"/>
    <n v="0"/>
    <n v="0"/>
    <n v="0"/>
    <n v="0"/>
    <m/>
    <n v="0"/>
    <n v="0"/>
    <n v="0"/>
    <n v="0"/>
    <n v="0"/>
    <n v="-64.408164081208668"/>
    <n v="0"/>
    <n v="-3.43"/>
    <n v="-15.82"/>
    <n v="-644.6"/>
    <n v="0"/>
    <m/>
    <m/>
    <m/>
    <m/>
    <m/>
    <m/>
    <m/>
    <m/>
    <m/>
    <n v="-449.39850348988824"/>
    <m/>
    <m/>
    <m/>
    <m/>
    <m/>
    <m/>
    <m/>
    <m/>
    <m/>
    <m/>
    <m/>
    <m/>
    <n v="-1123.5702000000001"/>
    <n v="349.51116000000002"/>
    <m/>
    <m/>
    <m/>
    <m/>
    <n v="390.26124000000016"/>
    <n v="-42.532289999999968"/>
    <n v="31"/>
    <n v="-55.040231131052451"/>
    <n v="-1.2819487190600185"/>
    <n v="-1.9310133185680058"/>
    <n v="0"/>
    <n v="0"/>
    <n v="0"/>
    <n v="0"/>
    <n v="0"/>
    <n v="-4.5311263439561174"/>
    <n v="0"/>
    <n v="0"/>
    <n v="-42.519405727408639"/>
    <n v="0"/>
    <n v="0"/>
    <n v="0"/>
    <n v="-7.1134170923161975"/>
    <n v="0"/>
    <n v="1.9985078426658731"/>
    <m/>
    <n v="0"/>
    <n v="0"/>
    <n v="0"/>
    <n v="0"/>
    <n v="0.25965088557810034"/>
    <n v="7.8521342012808582E-2"/>
    <n v="0"/>
    <n v="0"/>
    <m/>
    <m/>
    <m/>
    <n v="-718.0100960506993"/>
    <n v="0"/>
    <n v="0"/>
    <n v="390.26124000000016"/>
    <n v="-42.532289999999932"/>
    <n v="0"/>
    <n v="0"/>
    <n v="402.79626780267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2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42.192999999999998"/>
    <n v="42.192999999999998"/>
    <n v="42.192999999999998"/>
    <n v="42.192999999999998"/>
    <m/>
    <n v="581.32000000000005"/>
    <n v="209.4"/>
    <m/>
    <n v="33362.848960000003"/>
    <n v="33362.848960000003"/>
    <n v="25487.525509999999"/>
    <n v="0"/>
    <n v="2596.4689301634407"/>
    <n v="0"/>
    <n v="0"/>
    <n v="0"/>
    <n v="3130.3469723698008"/>
    <n v="16261.406324566373"/>
    <n v="8719.214917160718"/>
    <n v="116.15585073398175"/>
    <n v="0"/>
    <n v="0"/>
    <n v="0"/>
    <n v="0"/>
    <n v="401.23862221274311"/>
    <m/>
    <n v="76.916333377767501"/>
    <n v="240.47819234211502"/>
    <n v="362.23492042511913"/>
    <n v="0"/>
    <n v="0"/>
    <n v="0"/>
    <n v="0"/>
    <n v="0"/>
    <n v="0"/>
    <n v="0"/>
    <n v="0"/>
    <n v="0"/>
    <n v="0"/>
    <m/>
    <n v="0"/>
    <n v="0"/>
    <n v="0"/>
    <n v="0"/>
    <n v="0"/>
    <n v="1458.7083559197195"/>
    <n v="0"/>
    <n v="140.38999999999999"/>
    <n v="648.61"/>
    <n v="38991.589999999997"/>
    <n v="635"/>
    <m/>
    <m/>
    <m/>
    <m/>
    <m/>
    <m/>
    <m/>
    <m/>
    <m/>
    <n v="10177.923273080438"/>
    <m/>
    <m/>
    <m/>
    <m/>
    <m/>
    <m/>
    <m/>
    <m/>
    <m/>
    <m/>
    <m/>
    <m/>
    <n v="25485.713299999996"/>
    <n v="-7877.165660000006"/>
    <m/>
    <m/>
    <m/>
    <m/>
    <n v="-8838.589640000002"/>
    <n v="963.26618999999926"/>
    <n v="31"/>
    <n v="1246.5445368290311"/>
    <n v="29.033420452656657"/>
    <n v="43.733357461266678"/>
    <n v="0"/>
    <n v="0"/>
    <n v="0"/>
    <n v="0"/>
    <n v="0"/>
    <n v="102.62040463260337"/>
    <n v="0"/>
    <n v="0"/>
    <n v="962.9743885435073"/>
    <n v="0"/>
    <n v="0"/>
    <n v="0"/>
    <n v="161.1038150166919"/>
    <n v="0"/>
    <n v="-45.261965327751568"/>
    <m/>
    <n v="0"/>
    <n v="0"/>
    <n v="0"/>
    <n v="0"/>
    <n v="-5.880542037142618"/>
    <n v="-1.7783419128000162"/>
    <n v="0"/>
    <n v="0"/>
    <m/>
    <m/>
    <m/>
    <n v="16261.406324566373"/>
    <n v="0"/>
    <n v="0"/>
    <n v="-8838.589640000002"/>
    <n v="963.26618999999846"/>
    <n v="0"/>
    <n v="0"/>
    <n v="-9122.481442511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3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38.64"/>
    <n v="38.64"/>
    <n v="38.64"/>
    <n v="38.64"/>
    <m/>
    <n v="510.28"/>
    <n v="209.4"/>
    <m/>
    <n v="27808.4352"/>
    <n v="27808.4352"/>
    <n v="20642.647199999999"/>
    <n v="0"/>
    <n v="0"/>
    <n v="0"/>
    <n v="0"/>
    <n v="0"/>
    <n v="2866.7458349102722"/>
    <n v="14892.06125142191"/>
    <n v="7984.9848173652063"/>
    <n v="106.37456621622201"/>
    <n v="0"/>
    <n v="0"/>
    <n v="0"/>
    <n v="0"/>
    <n v="0"/>
    <m/>
    <n v="70.439341163627532"/>
    <n v="220.22793714832613"/>
    <n v="331.73174045994841"/>
    <n v="0"/>
    <n v="0"/>
    <n v="0"/>
    <n v="0"/>
    <n v="0"/>
    <n v="0"/>
    <n v="0"/>
    <n v="0"/>
    <n v="0"/>
    <n v="0"/>
    <m/>
    <n v="0"/>
    <n v="0"/>
    <n v="0"/>
    <n v="0"/>
    <n v="0"/>
    <n v="1335.873032795439"/>
    <n v="0"/>
    <n v="30.31"/>
    <n v="147.88"/>
    <n v="2965.61"/>
    <n v="84"/>
    <m/>
    <m/>
    <m/>
    <m/>
    <m/>
    <m/>
    <m/>
    <n v="13417.74"/>
    <m/>
    <n v="9320.8578501606462"/>
    <m/>
    <m/>
    <m/>
    <m/>
    <m/>
    <m/>
    <m/>
    <m/>
    <m/>
    <m/>
    <m/>
    <m/>
    <n v="7224.9071999999996"/>
    <n v="-2508.1524000000027"/>
    <m/>
    <m/>
    <m/>
    <m/>
    <n v="-8047.9391999999989"/>
    <n v="882.15119999999945"/>
    <n v="31"/>
    <n v="1188.411048933549"/>
    <n v="26.588566024948534"/>
    <n v="40.050646607336375"/>
    <n v="0"/>
    <n v="0"/>
    <n v="0"/>
    <n v="0"/>
    <n v="0"/>
    <n v="93.978916763534016"/>
    <n v="0"/>
    <n v="0"/>
    <n v="881.88397064254968"/>
    <n v="0"/>
    <n v="0"/>
    <n v="0"/>
    <n v="147.53753969248396"/>
    <n v="0"/>
    <n v="0"/>
    <m/>
    <n v="0"/>
    <n v="0"/>
    <n v="0"/>
    <n v="0"/>
    <n v="0"/>
    <n v="-1.6285907973026923"/>
    <n v="0"/>
    <n v="0"/>
    <m/>
    <m/>
    <m/>
    <n v="14892.06125142191"/>
    <n v="0"/>
    <n v="0"/>
    <n v="-8047.9391999999989"/>
    <n v="882.15120000000024"/>
    <n v="0"/>
    <n v="0"/>
    <n v="-8354.2929618333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4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76.423000000000002"/>
    <n v="76.423000000000002"/>
    <n v="76.423000000000002"/>
    <n v="76.423000000000002"/>
    <m/>
    <n v="510.28"/>
    <n v="209.4"/>
    <m/>
    <n v="55000.104640000005"/>
    <n v="55000.104640000005"/>
    <n v="40827.459289999999"/>
    <n v="0"/>
    <n v="0"/>
    <n v="0"/>
    <n v="0"/>
    <n v="0"/>
    <n v="5669.9098587305316"/>
    <n v="29453.830150554262"/>
    <n v="15792.869945587505"/>
    <n v="210.38984145813495"/>
    <n v="0"/>
    <n v="0"/>
    <n v="0"/>
    <n v="0"/>
    <n v="0"/>
    <m/>
    <n v="139.31640190858974"/>
    <n v="435.57141927242571"/>
    <n v="656.10597311518211"/>
    <n v="0"/>
    <n v="0"/>
    <n v="0"/>
    <n v="0"/>
    <n v="0"/>
    <n v="0"/>
    <n v="0"/>
    <n v="0"/>
    <n v="0"/>
    <n v="0"/>
    <m/>
    <n v="0"/>
    <n v="0"/>
    <n v="0"/>
    <n v="0"/>
    <n v="0"/>
    <n v="2642.1176186678531"/>
    <n v="0"/>
    <n v="113.27"/>
    <n v="522.04999999999995"/>
    <n v="11131.27"/>
    <n v="292"/>
    <m/>
    <m/>
    <m/>
    <m/>
    <m/>
    <m/>
    <m/>
    <n v="16330.830870000002"/>
    <m/>
    <n v="18434.98756425536"/>
    <m/>
    <m/>
    <m/>
    <m/>
    <m/>
    <m/>
    <m/>
    <m/>
    <m/>
    <m/>
    <m/>
    <m/>
    <n v="24495.666799999999"/>
    <n v="-8504.5788299999986"/>
    <m/>
    <m/>
    <m/>
    <m/>
    <n v="-15917.382439999998"/>
    <n v="1744.7370899999987"/>
    <n v="31"/>
    <n v="2350.464223412233"/>
    <n v="52.587421876931671"/>
    <n v="79.213006357983204"/>
    <n v="0"/>
    <n v="0"/>
    <n v="0"/>
    <n v="0"/>
    <n v="0"/>
    <n v="185.87346676551624"/>
    <n v="0"/>
    <n v="0"/>
    <n v="1744.2085581888077"/>
    <n v="0"/>
    <n v="0"/>
    <n v="0"/>
    <n v="291.80283115731618"/>
    <n v="0"/>
    <n v="0"/>
    <m/>
    <n v="0"/>
    <n v="0"/>
    <n v="0"/>
    <n v="0"/>
    <n v="0"/>
    <n v="-3.2210609343236172"/>
    <n v="0"/>
    <n v="0"/>
    <m/>
    <m/>
    <m/>
    <n v="29453.830150554262"/>
    <n v="0"/>
    <n v="0"/>
    <n v="-15917.382440000001"/>
    <n v="1744.7370899999987"/>
    <n v="0"/>
    <n v="0"/>
    <n v="-16523.295316309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5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62.133000000000003"/>
    <n v="62.133000000000003"/>
    <n v="62.133000000000003"/>
    <n v="62.133000000000003"/>
    <m/>
    <n v="510.28"/>
    <n v="209.4"/>
    <m/>
    <n v="44715.877439999997"/>
    <n v="44715.877439999997"/>
    <n v="33193.312590000001"/>
    <n v="0"/>
    <n v="0"/>
    <n v="0"/>
    <n v="0"/>
    <n v="0"/>
    <n v="4609.7183995983423"/>
    <n v="23946.388243649006"/>
    <n v="12839.830788233758"/>
    <n v="171.0499721198893"/>
    <n v="0"/>
    <n v="0"/>
    <n v="0"/>
    <n v="0"/>
    <n v="0"/>
    <m/>
    <n v="113.26624183539518"/>
    <n v="354.12583899681545"/>
    <n v="533.42360843680058"/>
    <n v="0"/>
    <n v="0"/>
    <n v="0"/>
    <n v="0"/>
    <n v="0"/>
    <n v="0"/>
    <n v="0"/>
    <n v="0"/>
    <n v="0"/>
    <n v="0"/>
    <m/>
    <n v="0"/>
    <n v="0"/>
    <n v="0"/>
    <n v="0"/>
    <n v="0"/>
    <n v="2148.0796880610515"/>
    <n v="0"/>
    <n v="165.4"/>
    <n v="760.7"/>
    <n v="16153.82"/>
    <n v="719"/>
    <m/>
    <m/>
    <m/>
    <m/>
    <m/>
    <m/>
    <m/>
    <n v="3319.7661899999985"/>
    <m/>
    <n v="14987.910476294808"/>
    <m/>
    <m/>
    <m/>
    <m/>
    <m/>
    <m/>
    <m/>
    <m/>
    <m/>
    <m/>
    <m/>
    <m/>
    <n v="29872.103999999999"/>
    <n v="-10372.09143"/>
    <m/>
    <m/>
    <m/>
    <m/>
    <n v="-12941.061239999999"/>
    <n v="1418.4963899999991"/>
    <n v="31"/>
    <n v="1910.9612759676056"/>
    <n v="42.754331594930818"/>
    <n v="64.401315363706885"/>
    <n v="0"/>
    <n v="0"/>
    <n v="0"/>
    <n v="0"/>
    <n v="0"/>
    <n v="151.11780629577333"/>
    <n v="0"/>
    <n v="0"/>
    <n v="1418.0666860231249"/>
    <n v="0"/>
    <n v="0"/>
    <n v="0"/>
    <n v="237.23990563439702"/>
    <n v="0"/>
    <n v="0"/>
    <m/>
    <n v="0"/>
    <n v="0"/>
    <n v="0"/>
    <n v="0"/>
    <n v="0"/>
    <n v="-2.6187689443273285"/>
    <n v="0"/>
    <n v="0"/>
    <m/>
    <m/>
    <m/>
    <n v="23946.388243649006"/>
    <n v="0"/>
    <n v="0"/>
    <n v="-12941.061239999999"/>
    <n v="1418.4963900000002"/>
    <n v="0"/>
    <n v="0"/>
    <n v="-13433.67713761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6"/>
    <s v="Refaturamento - 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-0.05"/>
    <n v="-0.05"/>
    <n v="-0.05"/>
    <n v="-0.05"/>
    <m/>
    <n v="510.28"/>
    <n v="209.4"/>
    <m/>
    <n v="-35.984000000000002"/>
    <n v="-35.984000000000002"/>
    <n v="-26.711500000000001"/>
    <n v="0"/>
    <n v="0"/>
    <n v="0"/>
    <n v="0"/>
    <n v="0"/>
    <n v="-3.7095572397907248"/>
    <n v="-19.270265594490052"/>
    <n v="-10.332537289551251"/>
    <n v="-0.137648248209397"/>
    <n v="0"/>
    <n v="0"/>
    <n v="0"/>
    <n v="0"/>
    <n v="0"/>
    <m/>
    <n v="-9.1148215791443499E-2"/>
    <n v="-0.28497403875301003"/>
    <n v="-0.42925949852477796"/>
    <n v="0"/>
    <n v="0"/>
    <n v="0"/>
    <n v="0"/>
    <n v="0"/>
    <n v="0"/>
    <n v="0"/>
    <n v="0"/>
    <n v="0"/>
    <n v="0"/>
    <m/>
    <n v="0"/>
    <n v="0"/>
    <n v="0"/>
    <n v="0"/>
    <n v="0"/>
    <n v="-1.7286141728719451"/>
    <n v="0"/>
    <n v="-0.06"/>
    <n v="-0.31"/>
    <n v="-12.29"/>
    <n v="0"/>
    <m/>
    <m/>
    <m/>
    <m/>
    <m/>
    <m/>
    <m/>
    <n v="-2.6714999999999991"/>
    <m/>
    <n v="-12.061151462423195"/>
    <m/>
    <m/>
    <m/>
    <m/>
    <m/>
    <m/>
    <m/>
    <m/>
    <m/>
    <m/>
    <m/>
    <m/>
    <n v="-24.040000000000003"/>
    <n v="8.3154999999999966"/>
    <m/>
    <m/>
    <m/>
    <m/>
    <n v="10.414"/>
    <n v="-1.1414999999999993"/>
    <n v="31"/>
    <n v="-1.5377989763632911"/>
    <n v="-3.4405494338701492E-2"/>
    <n v="-5.1825370868706533E-2"/>
    <n v="0"/>
    <n v="0"/>
    <n v="0"/>
    <n v="0"/>
    <n v="0"/>
    <n v="-0.12160832914536002"/>
    <n v="0"/>
    <n v="0"/>
    <n v="-1.1411542063179994"/>
    <n v="0"/>
    <n v="0"/>
    <n v="0"/>
    <n v="-0.19091296544058478"/>
    <n v="0"/>
    <n v="0"/>
    <m/>
    <n v="0"/>
    <n v="0"/>
    <n v="0"/>
    <n v="0"/>
    <n v="0"/>
    <n v="2.1073897480624881E-3"/>
    <n v="0"/>
    <n v="0"/>
    <m/>
    <m/>
    <m/>
    <n v="-19.270265594490052"/>
    <n v="0"/>
    <n v="0"/>
    <n v="10.413999999999998"/>
    <n v="-1.1414999999999988"/>
    <n v="0"/>
    <n v="0"/>
    <n v="10.81042049926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7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1.08"/>
    <n v="11.08"/>
    <n v="11.08"/>
    <n v="11.08"/>
    <m/>
    <n v="510.28"/>
    <n v="209.4"/>
    <m/>
    <n v="7974.0544"/>
    <n v="7974.0544"/>
    <n v="5919.2683999999999"/>
    <n v="0"/>
    <n v="0"/>
    <n v="0"/>
    <n v="0"/>
    <n v="0"/>
    <n v="822.03788433762463"/>
    <n v="4270.2908557389947"/>
    <n v="2289.6902633645573"/>
    <n v="30.502851803202375"/>
    <n v="0"/>
    <n v="0"/>
    <n v="0"/>
    <n v="0"/>
    <n v="0"/>
    <m/>
    <n v="20.198444619383878"/>
    <n v="63.150246987667018"/>
    <n v="95.123904873090794"/>
    <n v="0"/>
    <n v="0"/>
    <n v="0"/>
    <n v="0"/>
    <n v="0"/>
    <n v="0"/>
    <n v="0"/>
    <n v="0"/>
    <n v="0"/>
    <n v="0"/>
    <m/>
    <n v="0"/>
    <n v="0"/>
    <n v="0"/>
    <n v="0"/>
    <n v="0"/>
    <n v="383.06090070842299"/>
    <n v="0"/>
    <n v="44.45"/>
    <n v="205.89"/>
    <n v="4351.5"/>
    <n v="192"/>
    <m/>
    <m/>
    <m/>
    <m/>
    <m/>
    <m/>
    <m/>
    <m/>
    <m/>
    <n v="2672.7511640729804"/>
    <m/>
    <m/>
    <m/>
    <m/>
    <m/>
    <m/>
    <m/>
    <m/>
    <m/>
    <m/>
    <m/>
    <m/>
    <n v="5919.2683999999999"/>
    <n v="-2054.8160000000007"/>
    <m/>
    <m/>
    <m/>
    <m/>
    <n v="-2307.7423999999996"/>
    <n v="252.95639999999983"/>
    <n v="31"/>
    <n v="340.77625316210515"/>
    <n v="7.6242575454562598"/>
    <n v="11.484502184505359"/>
    <n v="0"/>
    <n v="0"/>
    <n v="0"/>
    <n v="0"/>
    <n v="0"/>
    <n v="26.948405738611768"/>
    <n v="0"/>
    <n v="0"/>
    <n v="252.87977212006854"/>
    <n v="0"/>
    <n v="0"/>
    <n v="0"/>
    <n v="42.306313141633609"/>
    <n v="0"/>
    <n v="0"/>
    <m/>
    <n v="0"/>
    <n v="0"/>
    <n v="0"/>
    <n v="0"/>
    <n v="0"/>
    <n v="-0.46699756817064753"/>
    <n v="0"/>
    <n v="0"/>
    <m/>
    <m/>
    <m/>
    <n v="4270.2908557389947"/>
    <n v="0"/>
    <n v="0"/>
    <n v="-2307.7424000000001"/>
    <n v="252.95640000000003"/>
    <n v="0"/>
    <n v="0"/>
    <n v="-2395.589182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8"/>
    <s v="Regular"/>
    <s v="Branca"/>
    <s v="B1"/>
    <s v="Residencial"/>
    <s v="Residencial"/>
    <s v="Não se aplica"/>
    <s v="Não se aplica"/>
    <s v="Ponta"/>
    <s v="CATIVO"/>
    <x v="3"/>
    <n v="0"/>
    <n v="0"/>
    <n v="5.6000000000000001E-2"/>
    <n v="5.6000000000000001E-2"/>
    <n v="5.6000000000000001E-2"/>
    <n v="5.6000000000000001E-2"/>
    <m/>
    <n v="1292.1099999999999"/>
    <n v="209.4"/>
    <m/>
    <n v="84.084559999999996"/>
    <n v="84.084559999999996"/>
    <n v="55.819679999999998"/>
    <n v="0"/>
    <n v="3.4461228186939232"/>
    <n v="0"/>
    <n v="0"/>
    <n v="0"/>
    <n v="10.384912093429776"/>
    <n v="53.956762742575791"/>
    <n v="11.5724417642974"/>
    <n v="0.15416603799452466"/>
    <n v="0"/>
    <n v="0"/>
    <n v="0"/>
    <n v="0"/>
    <n v="0.53253769212697877"/>
    <m/>
    <n v="0.10208600168641672"/>
    <n v="0.79793449526223437"/>
    <n v="1.2019265958693783"/>
    <n v="0"/>
    <n v="0"/>
    <n v="0"/>
    <n v="0"/>
    <n v="0"/>
    <n v="0"/>
    <n v="0"/>
    <n v="0"/>
    <n v="0"/>
    <n v="0"/>
    <m/>
    <n v="0"/>
    <n v="0"/>
    <n v="0"/>
    <n v="0"/>
    <n v="0"/>
    <n v="1.9360478736165785"/>
    <n v="0"/>
    <n v="0"/>
    <n v="0"/>
    <n v="0"/>
    <n v="0"/>
    <m/>
    <m/>
    <m/>
    <m/>
    <m/>
    <m/>
    <m/>
    <m/>
    <m/>
    <n v="13.508489637913978"/>
    <m/>
    <m/>
    <m/>
    <m/>
    <m/>
    <m/>
    <m/>
    <m/>
    <m/>
    <m/>
    <m/>
    <m/>
    <n v="59.806799999999996"/>
    <n v="-24.307760000000016"/>
    <m/>
    <m/>
    <m/>
    <m/>
    <n v="-29.543359999999996"/>
    <n v="1.2784799999999992"/>
    <n v="31"/>
    <n v="2.0035668861139797"/>
    <n v="9.6336251819746366E-2"/>
    <n v="0.14511103843237705"/>
    <n v="0"/>
    <n v="0"/>
    <n v="0"/>
    <n v="0"/>
    <n v="0"/>
    <n v="0.34044273382739298"/>
    <n v="0"/>
    <n v="0"/>
    <n v="1.2780927110761588"/>
    <n v="0"/>
    <n v="0"/>
    <n v="0"/>
    <n v="0.21382252129345503"/>
    <n v="0"/>
    <n v="-6.0073236279811759E-2"/>
    <m/>
    <n v="0"/>
    <n v="0"/>
    <n v="0"/>
    <n v="0"/>
    <n v="-7.804857537505927E-3"/>
    <n v="-2.3602765178299956E-3"/>
    <n v="0"/>
    <n v="0"/>
    <m/>
    <m/>
    <m/>
    <n v="53.956762742575791"/>
    <n v="0"/>
    <n v="0"/>
    <n v="-29.54336"/>
    <n v="1.2784800000000001"/>
    <n v="0"/>
    <n v="0"/>
    <n v="-30.269188100510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79"/>
    <s v="Regular"/>
    <s v="Branca"/>
    <s v="B1"/>
    <s v="Residencial"/>
    <s v="Residencial"/>
    <s v="Não se aplica"/>
    <s v="Não se aplica"/>
    <s v="Fora ponta"/>
    <s v="CATIVO"/>
    <x v="3"/>
    <n v="0"/>
    <n v="0"/>
    <n v="0.50900000000000001"/>
    <n v="0.50900000000000001"/>
    <n v="0.50900000000000001"/>
    <n v="0.50900000000000001"/>
    <m/>
    <n v="344.38"/>
    <n v="209.4"/>
    <m/>
    <n v="281.87402000000003"/>
    <n v="281.87402000000003"/>
    <n v="240.83335"/>
    <n v="0"/>
    <n v="31.322794905628694"/>
    <n v="0"/>
    <n v="0"/>
    <n v="0"/>
    <n v="18.881646350534815"/>
    <n v="98.085651875954611"/>
    <n v="105.18522960763173"/>
    <n v="1.4012591667716616"/>
    <n v="0"/>
    <n v="0"/>
    <n v="0"/>
    <n v="0"/>
    <n v="4.8403872373684322"/>
    <m/>
    <n v="0.92788883675689482"/>
    <n v="1.450517857252821"/>
    <n v="2.18493084749112"/>
    <n v="0"/>
    <n v="0"/>
    <n v="0"/>
    <n v="0"/>
    <n v="0"/>
    <n v="0"/>
    <n v="0"/>
    <n v="0"/>
    <n v="0"/>
    <n v="0"/>
    <m/>
    <n v="0"/>
    <n v="0"/>
    <n v="0"/>
    <n v="0"/>
    <n v="0"/>
    <n v="17.597292279836399"/>
    <n v="0"/>
    <n v="0"/>
    <n v="0"/>
    <n v="0"/>
    <n v="0"/>
    <m/>
    <m/>
    <m/>
    <m/>
    <m/>
    <m/>
    <m/>
    <m/>
    <m/>
    <n v="122.78252188746812"/>
    <m/>
    <m/>
    <m/>
    <m/>
    <m/>
    <m/>
    <m/>
    <m/>
    <m/>
    <m/>
    <m/>
    <m/>
    <n v="241.30649999999997"/>
    <n v="-40.597520000000031"/>
    <m/>
    <m/>
    <m/>
    <m/>
    <n v="-52.661140000000003"/>
    <n v="11.620469999999992"/>
    <n v="31"/>
    <n v="13.97992869167598"/>
    <n v="0.17512396618398784"/>
    <n v="0.2637911377217188"/>
    <n v="0"/>
    <n v="0"/>
    <n v="0"/>
    <n v="0"/>
    <n v="0"/>
    <n v="0.6189863953498822"/>
    <n v="0"/>
    <n v="0"/>
    <n v="11.616949820317231"/>
    <n v="0"/>
    <n v="0"/>
    <n v="0"/>
    <n v="1.943493988185157"/>
    <n v="0"/>
    <n v="-0.54602280832900263"/>
    <m/>
    <n v="0"/>
    <n v="0"/>
    <n v="0"/>
    <n v="0"/>
    <n v="-7.0940580117687446E-2"/>
    <n v="-2.1453227635276129E-2"/>
    <n v="0"/>
    <n v="0"/>
    <m/>
    <m/>
    <m/>
    <n v="98.085651875954611"/>
    <n v="0"/>
    <n v="0"/>
    <n v="-52.661140000000017"/>
    <n v="11.620469999999983"/>
    <n v="0"/>
    <n v="0"/>
    <n v="-55.025040341267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0"/>
    <s v="Regular"/>
    <s v="Branca"/>
    <s v="B1"/>
    <s v="Residencial"/>
    <s v="Residencial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87"/>
    <n v="8.56"/>
    <n v="182.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181"/>
    <s v="Regular"/>
    <s v="Branca"/>
    <s v="B1"/>
    <s v="Residencial"/>
    <s v="Residencial"/>
    <s v="Não se aplica"/>
    <s v="Não se aplica"/>
    <s v="Intermediário"/>
    <s v="CATIVO"/>
    <x v="3"/>
    <n v="0"/>
    <n v="0"/>
    <n v="4.2999999999999997E-2"/>
    <n v="4.2999999999999997E-2"/>
    <n v="4.2999999999999997E-2"/>
    <n v="4.2999999999999997E-2"/>
    <m/>
    <n v="818.26"/>
    <n v="209.4"/>
    <m/>
    <n v="44.189379999999993"/>
    <n v="44.189379999999993"/>
    <n v="31.604140000000001"/>
    <n v="0"/>
    <n v="2.6461300214971195"/>
    <n v="0"/>
    <n v="0"/>
    <n v="0"/>
    <n v="4.7853288393300453"/>
    <n v="24.858657266073532"/>
    <n v="8.8859820690140747"/>
    <n v="0.11837749346008142"/>
    <n v="0"/>
    <n v="0"/>
    <n v="0"/>
    <n v="0"/>
    <n v="0.40891287074035865"/>
    <m/>
    <n v="7.8387465580641399E-2"/>
    <n v="0.36762202839162916"/>
    <n v="0.55374475309696181"/>
    <n v="0"/>
    <n v="0"/>
    <n v="0"/>
    <n v="0"/>
    <n v="0"/>
    <n v="0"/>
    <n v="0"/>
    <n v="0"/>
    <n v="0"/>
    <n v="0"/>
    <m/>
    <n v="0"/>
    <n v="0"/>
    <n v="0"/>
    <n v="0"/>
    <n v="0"/>
    <n v="1.4866081886698725"/>
    <n v="0"/>
    <n v="0"/>
    <n v="0"/>
    <n v="0"/>
    <n v="0"/>
    <m/>
    <m/>
    <m/>
    <m/>
    <m/>
    <m/>
    <m/>
    <m/>
    <m/>
    <n v="10.372590257683948"/>
    <m/>
    <m/>
    <m/>
    <m/>
    <m/>
    <m/>
    <m/>
    <m/>
    <m/>
    <m/>
    <m/>
    <m/>
    <n v="29.3992"/>
    <n v="-14.820179999999986"/>
    <m/>
    <m/>
    <m/>
    <m/>
    <n v="-13.566929999999999"/>
    <n v="0.98168999999999929"/>
    <n v="31"/>
    <n v="1.3597579603106382"/>
    <n v="4.438375394459132E-2"/>
    <n v="6.6854728420631671E-2"/>
    <n v="0"/>
    <n v="0"/>
    <n v="0"/>
    <n v="0"/>
    <n v="0"/>
    <n v="0.15687474459752337"/>
    <n v="0"/>
    <n v="0"/>
    <n v="0.98139261743347816"/>
    <n v="0"/>
    <n v="0"/>
    <n v="0"/>
    <n v="0.1641851502789029"/>
    <n v="0"/>
    <n v="-4.612766357199849E-2"/>
    <m/>
    <n v="0"/>
    <n v="0"/>
    <n v="0"/>
    <n v="0"/>
    <n v="-5.9930156091563269E-3"/>
    <n v="-1.8123551833337387E-3"/>
    <n v="0"/>
    <n v="0"/>
    <m/>
    <m/>
    <m/>
    <n v="24.858657266073532"/>
    <n v="0"/>
    <n v="0"/>
    <n v="-13.566929999999996"/>
    <n v="0.9816900000000004"/>
    <n v="0"/>
    <n v="0"/>
    <n v="-13.94545066209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2"/>
    <s v="Regular"/>
    <s v="Convencional"/>
    <s v="B3"/>
    <s v="Industrial"/>
    <s v="Não se aplica"/>
    <s v="Não se aplica"/>
    <s v="Não se aplica"/>
    <s v="Não se aplica"/>
    <s v="CATIVO"/>
    <x v="3"/>
    <n v="0"/>
    <n v="0"/>
    <n v="6.6239999999999997"/>
    <n v="6.6239999999999997"/>
    <n v="6.6239999999999997"/>
    <n v="6.6239999999999997"/>
    <m/>
    <n v="581.32000000000005"/>
    <n v="209.4"/>
    <m/>
    <n v="5237.7292799999996"/>
    <n v="5237.7292799999996"/>
    <n v="4001.3596799999996"/>
    <n v="0"/>
    <n v="407.62709912550974"/>
    <n v="0"/>
    <n v="0"/>
    <n v="0"/>
    <n v="491.44214312747516"/>
    <n v="2552.9247859580419"/>
    <n v="1368.8545401197496"/>
    <n v="18.235639922780916"/>
    <n v="0"/>
    <n v="0"/>
    <n v="0"/>
    <n v="0"/>
    <n v="62.991601297305479"/>
    <m/>
    <n v="12.075315628050435"/>
    <n v="37.753360653998769"/>
    <n v="56.868298364562584"/>
    <n v="0"/>
    <n v="0"/>
    <n v="0"/>
    <n v="0"/>
    <n v="0"/>
    <n v="0"/>
    <n v="0"/>
    <n v="0"/>
    <n v="0"/>
    <n v="0"/>
    <m/>
    <n v="0"/>
    <n v="0"/>
    <n v="0"/>
    <n v="0"/>
    <n v="0"/>
    <n v="229.00680562207526"/>
    <n v="0"/>
    <n v="18.93"/>
    <n v="86.27"/>
    <n v="1070.56"/>
    <n v="6"/>
    <m/>
    <m/>
    <m/>
    <m/>
    <m/>
    <m/>
    <m/>
    <m/>
    <m/>
    <n v="1597.8613457418248"/>
    <m/>
    <m/>
    <m/>
    <m/>
    <m/>
    <m/>
    <m/>
    <m/>
    <m/>
    <m/>
    <m/>
    <m/>
    <n v="3998.9433999999997"/>
    <n v="-1238.8158800000006"/>
    <m/>
    <m/>
    <m/>
    <m/>
    <n v="-1387.5955200000005"/>
    <n v="151.22591999999989"/>
    <n v="31"/>
    <n v="195.69859957707422"/>
    <n v="4.5580398899911714"/>
    <n v="6.8658251326862327"/>
    <n v="0"/>
    <n v="0"/>
    <n v="0"/>
    <n v="0"/>
    <n v="0"/>
    <n v="16.110671445177331"/>
    <n v="0"/>
    <n v="0"/>
    <n v="151.1801092530086"/>
    <n v="0"/>
    <n v="0"/>
    <n v="0"/>
    <n v="25.292149661568686"/>
    <n v="0"/>
    <n v="-7.1058056628120312"/>
    <m/>
    <n v="0"/>
    <n v="0"/>
    <n v="0"/>
    <n v="0"/>
    <n v="-0.9232031487221235"/>
    <n v="-0.2791869938233198"/>
    <n v="0"/>
    <n v="0"/>
    <m/>
    <m/>
    <m/>
    <n v="2552.9247859580419"/>
    <n v="0"/>
    <n v="0"/>
    <n v="-1387.5955200000003"/>
    <n v="151.22591999999986"/>
    <n v="0"/>
    <n v="0"/>
    <n v="-1432.1645077428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3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1.552"/>
    <n v="1.552"/>
    <n v="1.552"/>
    <n v="1.552"/>
    <m/>
    <n v="581.32000000000005"/>
    <n v="209.4"/>
    <m/>
    <n v="1227.1974400000001"/>
    <n v="1227.1974400000001"/>
    <n v="937.51664000000005"/>
    <n v="0"/>
    <n v="95.506832403803017"/>
    <n v="0"/>
    <n v="0"/>
    <n v="0"/>
    <n v="115.14465672310411"/>
    <n v="598.14904405297113"/>
    <n v="320.72195746767079"/>
    <n v="4.2726016244196829"/>
    <n v="0"/>
    <n v="0"/>
    <n v="0"/>
    <n v="0"/>
    <n v="14.758901753233411"/>
    <m/>
    <n v="2.8292406181664065"/>
    <n v="8.8455941628934305"/>
    <n v="13.324214834209108"/>
    <n v="0"/>
    <n v="0"/>
    <n v="0"/>
    <n v="0"/>
    <n v="0"/>
    <n v="0"/>
    <n v="0"/>
    <n v="0"/>
    <n v="0"/>
    <n v="0"/>
    <m/>
    <n v="0"/>
    <n v="0"/>
    <n v="0"/>
    <n v="0"/>
    <n v="0"/>
    <n v="53.656183925945172"/>
    <n v="0"/>
    <n v="4.43"/>
    <n v="20.2"/>
    <n v="376.78"/>
    <n v="3"/>
    <m/>
    <m/>
    <m/>
    <m/>
    <m/>
    <m/>
    <m/>
    <m/>
    <m/>
    <n v="374.37814139361598"/>
    <m/>
    <m/>
    <m/>
    <m/>
    <m/>
    <m/>
    <m/>
    <m/>
    <m/>
    <m/>
    <m/>
    <m/>
    <n v="936.30849999999998"/>
    <n v="-290.91894000000013"/>
    <m/>
    <m/>
    <m/>
    <m/>
    <n v="-325.1129600000001"/>
    <n v="35.432159999999975"/>
    <n v="31"/>
    <n v="45.852087340522075"/>
    <n v="1.0679465442732958"/>
    <n v="1.6086595117646496"/>
    <n v="0"/>
    <n v="0"/>
    <n v="0"/>
    <n v="0"/>
    <n v="0"/>
    <n v="3.7747225366719732"/>
    <n v="0"/>
    <n v="0"/>
    <n v="35.421426564110732"/>
    <n v="0"/>
    <n v="0"/>
    <n v="0"/>
    <n v="5.9259384472757546"/>
    <n v="0"/>
    <n v="-1.6648868340405016"/>
    <m/>
    <n v="0"/>
    <n v="0"/>
    <n v="0"/>
    <n v="0"/>
    <n v="-0.21630605175373496"/>
    <n v="-6.5413377779860227E-2"/>
    <n v="0"/>
    <n v="0"/>
    <m/>
    <m/>
    <m/>
    <n v="598.14904405297113"/>
    <n v="0"/>
    <n v="0"/>
    <n v="-325.11296000000004"/>
    <n v="35.432159999999953"/>
    <n v="0"/>
    <n v="0"/>
    <n v="-335.55545229723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4"/>
    <s v="Regular"/>
    <s v="Verde"/>
    <s v="A4"/>
    <s v="Industrial"/>
    <s v="Não se aplica"/>
    <s v="Não se aplica"/>
    <s v="Não se aplica"/>
    <s v="Ponta"/>
    <s v="CATIVO"/>
    <x v="3"/>
    <n v="0"/>
    <n v="0"/>
    <n v="6.1609999999999996"/>
    <n v="6.1609999999999996"/>
    <n v="6.1609999999999996"/>
    <n v="6.1609999999999996"/>
    <m/>
    <n v="1614.19"/>
    <n v="209.4"/>
    <m/>
    <n v="11235.137989999999"/>
    <n v="11235.137989999999"/>
    <n v="7468.0561499999985"/>
    <n v="0"/>
    <n v="329.84749172851338"/>
    <n v="0"/>
    <n v="0"/>
    <n v="0"/>
    <n v="1918.6462385093655"/>
    <n v="7164.2363920530797"/>
    <n v="1273.175244818505"/>
    <n v="16.961017144361897"/>
    <n v="0"/>
    <n v="0"/>
    <n v="0"/>
    <n v="0"/>
    <n v="58.588655735612782"/>
    <m/>
    <n v="8.1808487847185258"/>
    <n v="149.06493522159468"/>
    <n v="222.03445432334283"/>
    <n v="0"/>
    <n v="0"/>
    <n v="0"/>
    <n v="0"/>
    <n v="0"/>
    <n v="0"/>
    <n v="0"/>
    <n v="0"/>
    <n v="0"/>
    <n v="0"/>
    <m/>
    <n v="0"/>
    <n v="0"/>
    <n v="0"/>
    <n v="0"/>
    <n v="0"/>
    <n v="94.413852421480115"/>
    <n v="0"/>
    <n v="0"/>
    <n v="0"/>
    <n v="0"/>
    <n v="0"/>
    <m/>
    <m/>
    <m/>
    <m/>
    <m/>
    <m/>
    <m/>
    <m/>
    <m/>
    <n v="1367.5890972399852"/>
    <m/>
    <m/>
    <m/>
    <m/>
    <m/>
    <m/>
    <m/>
    <m/>
    <m/>
    <m/>
    <m/>
    <m/>
    <n v="7466.8440000000001"/>
    <n v="-3768.3239899999999"/>
    <m/>
    <m/>
    <m/>
    <m/>
    <n v="-3907.7374700000005"/>
    <n v="140.65562999999989"/>
    <n v="31"/>
    <n v="251.9440730572519"/>
    <n v="17.996912305792222"/>
    <n v="26.806670511623139"/>
    <n v="0"/>
    <n v="0"/>
    <n v="0"/>
    <n v="0"/>
    <n v="0"/>
    <n v="62.897900801585592"/>
    <n v="0"/>
    <n v="0"/>
    <n v="140.61302130250374"/>
    <n v="0"/>
    <n v="0"/>
    <n v="0"/>
    <n v="10.427328913142162"/>
    <n v="0"/>
    <n v="-5.7499419926132873"/>
    <m/>
    <n v="0"/>
    <n v="0"/>
    <n v="0"/>
    <n v="0"/>
    <n v="-0.85867370158167233"/>
    <n v="-0.18914508319962131"/>
    <n v="0"/>
    <n v="0"/>
    <m/>
    <m/>
    <m/>
    <n v="7164.2363920530797"/>
    <n v="0"/>
    <n v="0"/>
    <n v="-3907.73747"/>
    <n v="140.65562999999997"/>
    <n v="0"/>
    <n v="0"/>
    <n v="-4019.0628185419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5"/>
    <s v="Regular"/>
    <s v="Verde"/>
    <s v="A4"/>
    <s v="Industrial"/>
    <s v="Não se aplica"/>
    <s v="Não se aplica"/>
    <s v="Não se aplica"/>
    <s v="Fora ponta"/>
    <s v="CATIVO"/>
    <x v="3"/>
    <n v="0"/>
    <n v="0"/>
    <n v="257.59699999999998"/>
    <n v="257.59699999999998"/>
    <n v="257.59699999999998"/>
    <n v="257.59699999999998"/>
    <m/>
    <n v="79.7"/>
    <n v="209.4"/>
    <m/>
    <n v="74471.292699999991"/>
    <n v="74471.292699999991"/>
    <n v="80504.214439999996"/>
    <n v="0"/>
    <n v="13791.222906474575"/>
    <n v="0"/>
    <n v="0"/>
    <n v="0"/>
    <n v="0"/>
    <n v="0"/>
    <n v="53232.612163530663"/>
    <n v="709.15551587992081"/>
    <n v="0"/>
    <n v="0"/>
    <n v="0"/>
    <n v="0"/>
    <n v="2449.6448549791667"/>
    <m/>
    <n v="342.04871033876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47.5288333413428"/>
    <n v="0"/>
    <n v="0"/>
    <n v="0"/>
    <n v="0"/>
    <n v="0"/>
    <m/>
    <m/>
    <m/>
    <m/>
    <m/>
    <m/>
    <m/>
    <m/>
    <m/>
    <n v="57180.140996872004"/>
    <m/>
    <m/>
    <m/>
    <m/>
    <m/>
    <m/>
    <m/>
    <m/>
    <m/>
    <m/>
    <m/>
    <m/>
    <n v="80505.152000000002"/>
    <n v="6033.8293000000122"/>
    <m/>
    <m/>
    <m/>
    <m/>
    <n v="151.98223000000087"/>
    <n v="5880.9395099999956"/>
    <n v="31"/>
    <n v="6030.9135386341804"/>
    <n v="0"/>
    <n v="0"/>
    <n v="0"/>
    <n v="0"/>
    <n v="0"/>
    <n v="0"/>
    <n v="0"/>
    <n v="0"/>
    <n v="0"/>
    <n v="0"/>
    <n v="5879.1580016979569"/>
    <n v="0"/>
    <n v="0"/>
    <n v="0"/>
    <n v="435.97608278504777"/>
    <n v="0"/>
    <n v="-240.41029174991309"/>
    <m/>
    <n v="0"/>
    <n v="0"/>
    <n v="0"/>
    <n v="0"/>
    <n v="-35.901926555159207"/>
    <n v="-7.908327543738551"/>
    <n v="0"/>
    <n v="0"/>
    <m/>
    <m/>
    <m/>
    <n v="0"/>
    <n v="0"/>
    <n v="0"/>
    <n v="151.98223000000144"/>
    <n v="5880.93950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6"/>
    <s v="Regular"/>
    <s v="Verde"/>
    <s v="A4"/>
    <s v="Industrial"/>
    <s v="Não se aplica"/>
    <s v="Não se aplica"/>
    <s v="Não se aplica"/>
    <s v="Não se aplica"/>
    <s v="CATIVO"/>
    <x v="3"/>
    <n v="1655"/>
    <n v="1655"/>
    <n v="0"/>
    <n v="0"/>
    <n v="0"/>
    <n v="0"/>
    <n v="44.35"/>
    <m/>
    <m/>
    <n v="73399.25"/>
    <m/>
    <n v="73399.25"/>
    <n v="47945.35"/>
    <n v="0"/>
    <n v="0"/>
    <n v="0"/>
    <n v="0"/>
    <n v="0"/>
    <n v="21717.01540378117"/>
    <n v="47528.035602909629"/>
    <m/>
    <m/>
    <m/>
    <n v="0"/>
    <n v="0"/>
    <n v="0"/>
    <n v="0"/>
    <m/>
    <n v="0"/>
    <n v="1641.2977446989003"/>
    <n v="2511.1172560904884"/>
    <n v="0"/>
    <n v="0"/>
    <m/>
    <m/>
    <n v="0"/>
    <n v="0"/>
    <n v="0"/>
    <m/>
    <m/>
    <n v="0"/>
    <m/>
    <n v="0"/>
    <n v="0"/>
    <n v="0"/>
    <n v="0"/>
    <m/>
    <n v="0"/>
    <n v="0"/>
    <n v="686.39"/>
    <n v="3122.11"/>
    <n v="38336.910000000003"/>
    <n v="7"/>
    <m/>
    <m/>
    <m/>
    <m/>
    <m/>
    <m/>
    <m/>
    <m/>
    <m/>
    <n v="0"/>
    <m/>
    <m/>
    <m/>
    <m/>
    <m/>
    <m/>
    <m/>
    <m/>
    <m/>
    <m/>
    <m/>
    <m/>
    <n v="47945.35"/>
    <n v="-25453.929999999986"/>
    <m/>
    <m/>
    <m/>
    <m/>
    <n v="-25453.900000000005"/>
    <n v="0"/>
    <n v="31"/>
    <n v="1213.2661992508656"/>
    <n v="198.15720937409174"/>
    <n v="303.17228515372608"/>
    <n v="0"/>
    <n v="0"/>
    <m/>
    <m/>
    <m/>
    <n v="711.936704723044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528.035602909629"/>
    <m/>
    <n v="0"/>
    <n v="0"/>
    <n v="-25453.9"/>
    <m/>
    <n v="0"/>
    <m/>
    <n v="-26662.73839622025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87"/>
    <s v="Regular"/>
    <s v="Convencional"/>
    <s v="B3"/>
    <s v="Comercial"/>
    <s v="Não se aplica"/>
    <s v="Não se aplica"/>
    <s v="Não se aplica"/>
    <s v="Não se aplica"/>
    <s v="CATIVO"/>
    <x v="3"/>
    <n v="0"/>
    <n v="0"/>
    <n v="330.22"/>
    <n v="330.22"/>
    <n v="330.22"/>
    <n v="330.22"/>
    <m/>
    <n v="581.32000000000005"/>
    <n v="209.4"/>
    <m/>
    <n v="261111.55840000004"/>
    <n v="261111.55840000004"/>
    <n v="199475.99540000001"/>
    <n v="0"/>
    <n v="20321.047806948347"/>
    <n v="0"/>
    <n v="0"/>
    <n v="0"/>
    <n v="24499.399834473865"/>
    <n v="127268.54209225009"/>
    <n v="68240.209275112284"/>
    <n v="909.0840904741417"/>
    <n v="0"/>
    <n v="0"/>
    <n v="0"/>
    <n v="0"/>
    <n v="3140.2606552530524"/>
    <m/>
    <n v="601.9792763730095"/>
    <n v="1882.0825415403795"/>
    <n v="2835.001432057044"/>
    <n v="0"/>
    <n v="0"/>
    <n v="0"/>
    <n v="0"/>
    <n v="0"/>
    <n v="0"/>
    <n v="0"/>
    <n v="0"/>
    <n v="0"/>
    <n v="0"/>
    <m/>
    <n v="0"/>
    <n v="0"/>
    <n v="0"/>
    <n v="0"/>
    <n v="0"/>
    <n v="11416.459443315474"/>
    <n v="0"/>
    <n v="1114.92"/>
    <n v="5086.83"/>
    <n v="108235.72"/>
    <n v="816"/>
    <m/>
    <m/>
    <m/>
    <m/>
    <m/>
    <m/>
    <m/>
    <m/>
    <m/>
    <n v="79656.668718427754"/>
    <m/>
    <m/>
    <m/>
    <m/>
    <m/>
    <m/>
    <m/>
    <m/>
    <m/>
    <m/>
    <m/>
    <m/>
    <n v="199475.99540000001"/>
    <n v="-61635.593000000052"/>
    <m/>
    <m/>
    <m/>
    <m/>
    <n v="-69174.485600000029"/>
    <n v="7538.9225999999953"/>
    <n v="31"/>
    <n v="9755.9769855587801"/>
    <n v="227.22764681052035"/>
    <n v="342.27547936528526"/>
    <n v="0"/>
    <n v="0"/>
    <n v="0"/>
    <n v="0"/>
    <n v="0"/>
    <n v="803.15004900761414"/>
    <n v="0"/>
    <n v="0"/>
    <n v="7536.6388402065932"/>
    <n v="0"/>
    <n v="0"/>
    <n v="0"/>
    <n v="1260.8655889557995"/>
    <n v="0"/>
    <n v="-354.23900150570626"/>
    <m/>
    <n v="0"/>
    <n v="0"/>
    <n v="0"/>
    <n v="0"/>
    <n v="-46.023572429199703"/>
    <n v="-13.91804485210389"/>
    <n v="0"/>
    <n v="0"/>
    <m/>
    <m/>
    <m/>
    <n v="127268.54209225009"/>
    <n v="0"/>
    <n v="0"/>
    <n v="-69174.485600000044"/>
    <n v="7538.9225999999908"/>
    <n v="0"/>
    <n v="0"/>
    <n v="-71396.34114535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8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0.1"/>
    <n v="-0.1"/>
    <n v="-0.1"/>
    <n v="-0.1"/>
    <m/>
    <n v="581.32000000000005"/>
    <n v="209.4"/>
    <m/>
    <n v="-79.072000000000003"/>
    <n v="-79.072000000000003"/>
    <n v="-60.406999999999996"/>
    <n v="0"/>
    <n v="-6.1537907476677205"/>
    <n v="0"/>
    <n v="0"/>
    <n v="0"/>
    <n v="-7.4191144795814497"/>
    <n v="-38.540531188980104"/>
    <n v="-20.665074579102502"/>
    <n v="-0.275296496418794"/>
    <n v="0"/>
    <n v="0"/>
    <n v="0"/>
    <n v="0"/>
    <n v="-0.95096016451246212"/>
    <m/>
    <n v="-0.182296431582887"/>
    <n v="-0.56994807750602006"/>
    <n v="-0.85851899704955592"/>
    <n v="0"/>
    <n v="0"/>
    <n v="0"/>
    <n v="0"/>
    <n v="0"/>
    <n v="0"/>
    <n v="0"/>
    <n v="0"/>
    <n v="0"/>
    <n v="0"/>
    <m/>
    <n v="0"/>
    <n v="0"/>
    <n v="0"/>
    <n v="0"/>
    <n v="0"/>
    <n v="-3.4572283457438902"/>
    <n v="0"/>
    <n v="-0.16"/>
    <n v="-0.79"/>
    <n v="-31.21"/>
    <n v="0"/>
    <m/>
    <m/>
    <m/>
    <m/>
    <m/>
    <m/>
    <m/>
    <m/>
    <m/>
    <n v="-24.122302924846391"/>
    <m/>
    <m/>
    <m/>
    <m/>
    <m/>
    <m/>
    <m/>
    <m/>
    <m/>
    <m/>
    <m/>
    <m/>
    <n v="-60.406999999999996"/>
    <n v="18.635000000000005"/>
    <m/>
    <m/>
    <m/>
    <m/>
    <n v="20.948000000000008"/>
    <n v="-2.2829999999999986"/>
    <n v="31"/>
    <n v="-2.9543870709099522"/>
    <n v="-6.8810988677402984E-2"/>
    <n v="-0.10365074173741307"/>
    <n v="0"/>
    <n v="0"/>
    <n v="0"/>
    <n v="0"/>
    <n v="0"/>
    <n v="-0.24321665829072003"/>
    <n v="0"/>
    <n v="0"/>
    <n v="-2.2823084126359987"/>
    <n v="0"/>
    <n v="0"/>
    <n v="0"/>
    <n v="-0.38182593088116956"/>
    <n v="0"/>
    <n v="0.10727363621395014"/>
    <m/>
    <n v="0"/>
    <n v="0"/>
    <n v="0"/>
    <n v="0"/>
    <n v="1.3937245602689163E-2"/>
    <n v="4.2147794961249763E-3"/>
    <n v="0"/>
    <n v="0"/>
    <m/>
    <m/>
    <m/>
    <n v="-38.540531188980104"/>
    <n v="0"/>
    <n v="0"/>
    <n v="20.948000000000008"/>
    <n v="-2.2829999999999977"/>
    <n v="0"/>
    <n v="0"/>
    <n v="21.62084099853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89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9.084"/>
    <n v="19.084"/>
    <n v="19.084"/>
    <n v="19.084"/>
    <m/>
    <n v="581.32000000000005"/>
    <n v="209.4"/>
    <m/>
    <n v="15090.100480000001"/>
    <n v="15090.100480000001"/>
    <n v="11528.07188"/>
    <n v="0"/>
    <n v="1174.3894262849076"/>
    <n v="0"/>
    <n v="0"/>
    <n v="0"/>
    <n v="1415.8638072833237"/>
    <n v="7355.0749721049624"/>
    <n v="3943.7228326759209"/>
    <n v="52.537583376562651"/>
    <n v="0"/>
    <n v="0"/>
    <n v="0"/>
    <n v="0"/>
    <n v="181.48123779555826"/>
    <m/>
    <n v="34.789451003278153"/>
    <n v="108.76889111124886"/>
    <n v="163.83976539693725"/>
    <n v="0"/>
    <n v="0"/>
    <n v="0"/>
    <n v="0"/>
    <n v="0"/>
    <n v="0"/>
    <n v="0"/>
    <n v="0"/>
    <n v="0"/>
    <n v="0"/>
    <m/>
    <n v="0"/>
    <n v="0"/>
    <n v="0"/>
    <n v="0"/>
    <n v="0"/>
    <n v="659.77745750176393"/>
    <n v="0"/>
    <n v="64.31"/>
    <n v="294.68"/>
    <n v="18326.3"/>
    <n v="70"/>
    <m/>
    <m/>
    <m/>
    <m/>
    <m/>
    <m/>
    <m/>
    <m/>
    <m/>
    <n v="4603.5002901776852"/>
    <m/>
    <m/>
    <m/>
    <m/>
    <m/>
    <m/>
    <m/>
    <m/>
    <m/>
    <m/>
    <m/>
    <m/>
    <n v="11525.655599999998"/>
    <n v="-3564.4748800000034"/>
    <m/>
    <m/>
    <m/>
    <m/>
    <n v="-3997.7163200000014"/>
    <n v="435.68771999999967"/>
    <n v="31"/>
    <n v="563.81522861245321"/>
    <n v="13.131889079195588"/>
    <n v="19.7807075531679"/>
    <n v="0"/>
    <n v="0"/>
    <n v="0"/>
    <n v="0"/>
    <n v="0"/>
    <n v="46.415467068200996"/>
    <n v="0"/>
    <n v="0"/>
    <n v="435.55573746745404"/>
    <n v="0"/>
    <n v="0"/>
    <n v="0"/>
    <n v="72.867660649362392"/>
    <n v="0"/>
    <n v="-20.472100735070171"/>
    <m/>
    <n v="0"/>
    <n v="0"/>
    <n v="0"/>
    <n v="0"/>
    <n v="-2.6597839508172001"/>
    <n v="-0.80434851904048799"/>
    <n v="0"/>
    <n v="0"/>
    <m/>
    <m/>
    <m/>
    <n v="7355.0749721049624"/>
    <n v="0"/>
    <n v="0"/>
    <n v="-3997.7163200000023"/>
    <n v="435.68771999999944"/>
    <n v="0"/>
    <n v="0"/>
    <n v="-4126.121296160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0"/>
    <s v="Regular"/>
    <s v="Verde"/>
    <s v="A4"/>
    <s v="Comercial"/>
    <s v="Não se aplica"/>
    <s v="Não se aplica"/>
    <s v="Não se aplica"/>
    <s v="Ponta"/>
    <s v="CATIVO"/>
    <x v="3"/>
    <n v="0"/>
    <n v="0"/>
    <n v="52.167999999999999"/>
    <n v="52.167999999999999"/>
    <n v="52.167999999999999"/>
    <n v="52.167999999999999"/>
    <m/>
    <n v="1614.19"/>
    <n v="209.4"/>
    <m/>
    <n v="95133.043120000002"/>
    <n v="95133.043120000002"/>
    <n v="63235.441200000001"/>
    <n v="0"/>
    <n v="2792.9693148016695"/>
    <n v="0"/>
    <n v="0"/>
    <n v="0"/>
    <n v="16246.053720265636"/>
    <n v="60662.860590914643"/>
    <n v="10780.556106426193"/>
    <n v="143.61667625175645"/>
    <n v="0"/>
    <n v="0"/>
    <n v="0"/>
    <n v="0"/>
    <n v="496.0968986228612"/>
    <m/>
    <n v="69.270981886251604"/>
    <n v="1262.2008668463159"/>
    <n v="1880.0671016296299"/>
    <n v="0"/>
    <n v="0"/>
    <n v="0"/>
    <n v="0"/>
    <n v="0"/>
    <n v="0"/>
    <n v="0"/>
    <n v="0"/>
    <n v="0"/>
    <n v="0"/>
    <m/>
    <n v="0"/>
    <n v="0"/>
    <n v="0"/>
    <n v="0"/>
    <n v="0"/>
    <n v="799.44519609215627"/>
    <n v="0"/>
    <n v="0"/>
    <n v="0"/>
    <n v="0"/>
    <n v="0"/>
    <m/>
    <m/>
    <m/>
    <m/>
    <m/>
    <m/>
    <m/>
    <m/>
    <m/>
    <n v="11580.001302518349"/>
    <m/>
    <m/>
    <m/>
    <m/>
    <m/>
    <m/>
    <m/>
    <m/>
    <m/>
    <m/>
    <m/>
    <m/>
    <n v="63237.8655"/>
    <n v="-31895.207619999986"/>
    <m/>
    <m/>
    <m/>
    <m/>
    <n v="-33088.597360000007"/>
    <n v="1190.9954399999992"/>
    <n v="31"/>
    <n v="2133.3254996349206"/>
    <n v="152.3880735543853"/>
    <n v="226.98431865774296"/>
    <n v="0"/>
    <n v="0"/>
    <n v="0"/>
    <n v="0"/>
    <n v="0"/>
    <n v="532.58524411899452"/>
    <n v="0"/>
    <n v="0"/>
    <n v="1190.6346527039477"/>
    <n v="0"/>
    <n v="0"/>
    <n v="0"/>
    <n v="88.292954835383853"/>
    <n v="0"/>
    <n v="-48.687384169882989"/>
    <m/>
    <n v="0"/>
    <n v="0"/>
    <n v="0"/>
    <n v="0"/>
    <n v="-7.2707822860108422"/>
    <n v="-1.601577779639328"/>
    <n v="0"/>
    <n v="0"/>
    <m/>
    <m/>
    <m/>
    <n v="60662.860590914643"/>
    <n v="0"/>
    <n v="0"/>
    <n v="-33088.59736"/>
    <n v="1190.9954399999988"/>
    <n v="0"/>
    <n v="0"/>
    <n v="-34031.239915224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1"/>
    <s v="Regular"/>
    <s v="Verde"/>
    <s v="A4"/>
    <s v="Comercial"/>
    <s v="Não se aplica"/>
    <s v="Não se aplica"/>
    <s v="Não se aplica"/>
    <s v="Fora ponta"/>
    <s v="CATIVO"/>
    <x v="3"/>
    <n v="0"/>
    <n v="0"/>
    <n v="531.15800000000002"/>
    <n v="531.15800000000002"/>
    <n v="531.15800000000002"/>
    <n v="531.15800000000002"/>
    <m/>
    <n v="79.7"/>
    <n v="209.4"/>
    <m/>
    <n v="153557.77780000001"/>
    <n v="153557.77780000001"/>
    <n v="165997.49816000002"/>
    <n v="0"/>
    <n v="28437.126117762331"/>
    <n v="0"/>
    <n v="0"/>
    <n v="0"/>
    <n v="0"/>
    <n v="0"/>
    <n v="109764.19683286926"/>
    <n v="1462.2593644481378"/>
    <n v="0"/>
    <n v="0"/>
    <n v="0"/>
    <n v="0"/>
    <n v="5051.1009906211029"/>
    <m/>
    <n v="705.295127218555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39.6969687532119"/>
    <n v="0"/>
    <n v="0"/>
    <n v="0"/>
    <n v="0"/>
    <n v="0"/>
    <m/>
    <m/>
    <m/>
    <m/>
    <m/>
    <m/>
    <m/>
    <m/>
    <m/>
    <n v="117903.89380162247"/>
    <m/>
    <m/>
    <m/>
    <m/>
    <m/>
    <m/>
    <m/>
    <m/>
    <m/>
    <m/>
    <m/>
    <m/>
    <n v="165998.12319999997"/>
    <n v="12440.315399999963"/>
    <m/>
    <m/>
    <m/>
    <m/>
    <n v="313.38322000000181"/>
    <n v="12126.337139999992"/>
    <n v="31"/>
    <n v="12435.579503464192"/>
    <n v="0"/>
    <n v="0"/>
    <n v="0"/>
    <n v="0"/>
    <n v="0"/>
    <n v="0"/>
    <n v="0"/>
    <n v="0"/>
    <n v="0"/>
    <n v="0"/>
    <n v="12122.663718389114"/>
    <n v="0"/>
    <n v="0"/>
    <n v="0"/>
    <n v="898.97081169400462"/>
    <n v="0"/>
    <n v="-495.71947555794395"/>
    <m/>
    <n v="0"/>
    <n v="0"/>
    <n v="0"/>
    <n v="0"/>
    <n v="-74.02879499833125"/>
    <n v="-16.306756062675618"/>
    <n v="0"/>
    <n v="0"/>
    <m/>
    <m/>
    <m/>
    <n v="0"/>
    <n v="0"/>
    <n v="0"/>
    <n v="313.38322000000335"/>
    <n v="12126.33713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2"/>
    <s v="Regular"/>
    <s v="Verde"/>
    <s v="A4"/>
    <s v="Comercial"/>
    <s v="Não se aplica"/>
    <s v="Não se aplica"/>
    <s v="Não se aplica"/>
    <s v="Não se aplica"/>
    <s v="CATIVO"/>
    <x v="3"/>
    <n v="4629"/>
    <n v="4629"/>
    <n v="0"/>
    <n v="0"/>
    <n v="0"/>
    <n v="0"/>
    <n v="44.35"/>
    <m/>
    <m/>
    <n v="205296.15"/>
    <m/>
    <n v="205296.15"/>
    <n v="134102.13"/>
    <n v="0"/>
    <n v="0"/>
    <n v="0"/>
    <n v="0"/>
    <n v="0"/>
    <n v="60742.032812146856"/>
    <n v="132934.91045671824"/>
    <m/>
    <m/>
    <m/>
    <n v="0"/>
    <n v="0"/>
    <n v="0"/>
    <n v="0"/>
    <m/>
    <n v="0"/>
    <n v="4590.6750816986159"/>
    <n v="7023.5418600863268"/>
    <n v="0"/>
    <n v="0"/>
    <m/>
    <m/>
    <n v="0"/>
    <n v="0"/>
    <n v="0"/>
    <m/>
    <m/>
    <n v="0"/>
    <m/>
    <n v="0"/>
    <n v="0"/>
    <n v="0"/>
    <n v="0"/>
    <m/>
    <n v="0"/>
    <n v="0"/>
    <n v="2130.7600000000002"/>
    <n v="9692.31"/>
    <n v="204087.83"/>
    <n v="36"/>
    <m/>
    <m/>
    <m/>
    <m/>
    <m/>
    <m/>
    <m/>
    <m/>
    <m/>
    <n v="0"/>
    <m/>
    <m/>
    <m/>
    <m/>
    <m/>
    <m/>
    <m/>
    <m/>
    <m/>
    <m/>
    <m/>
    <m/>
    <n v="134102.13"/>
    <n v="-71194.050000000017"/>
    <m/>
    <m/>
    <m/>
    <m/>
    <n v="-71194.020000000019"/>
    <n v="0"/>
    <n v="31"/>
    <n v="3393.4799011070863"/>
    <n v="554.24152398348633"/>
    <n v="847.96647007649426"/>
    <n v="0"/>
    <n v="0"/>
    <m/>
    <m/>
    <m/>
    <n v="1991.27190704710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934.91045671824"/>
    <m/>
    <n v="0"/>
    <n v="0"/>
    <n v="-71194.01999999999"/>
    <m/>
    <n v="0"/>
    <m/>
    <n v="-74575.11542966983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93"/>
    <s v="Sistema de Compensação"/>
    <s v="Verde"/>
    <s v="A4"/>
    <s v="Comercial"/>
    <s v="Não se aplica"/>
    <s v="Não se aplica"/>
    <s v="Não se aplica"/>
    <s v="Não se aplica"/>
    <s v="CATIVO"/>
    <x v="3"/>
    <n v="127"/>
    <n v="127"/>
    <n v="0"/>
    <n v="0"/>
    <n v="0"/>
    <n v="0"/>
    <n v="44.35"/>
    <m/>
    <m/>
    <n v="5632.45"/>
    <m/>
    <n v="5632.45"/>
    <n v="3679.19"/>
    <n v="0"/>
    <n v="0"/>
    <n v="0"/>
    <n v="0"/>
    <n v="0"/>
    <n v="1666.5020883868331"/>
    <n v="3647.1664782897419"/>
    <m/>
    <m/>
    <m/>
    <n v="0"/>
    <n v="0"/>
    <n v="0"/>
    <n v="0"/>
    <m/>
    <n v="0"/>
    <n v="125.9485278409428"/>
    <n v="192.69600696283504"/>
    <n v="0"/>
    <n v="0"/>
    <m/>
    <m/>
    <n v="0"/>
    <n v="0"/>
    <n v="0"/>
    <m/>
    <m/>
    <n v="0"/>
    <m/>
    <n v="0"/>
    <n v="0"/>
    <n v="0"/>
    <n v="0"/>
    <m/>
    <n v="0"/>
    <n v="0"/>
    <n v="19.649999999999999"/>
    <n v="89.42"/>
    <n v="2912.58"/>
    <n v="1"/>
    <m/>
    <m/>
    <m/>
    <m/>
    <m/>
    <m/>
    <m/>
    <m/>
    <m/>
    <n v="0"/>
    <m/>
    <m/>
    <m/>
    <m/>
    <m/>
    <m/>
    <m/>
    <m/>
    <m/>
    <m/>
    <m/>
    <m/>
    <n v="3679.19"/>
    <n v="-1953.2900000000004"/>
    <m/>
    <m/>
    <m/>
    <m/>
    <n v="-1953.2600000000002"/>
    <n v="0"/>
    <n v="31"/>
    <n v="93.102602601123408"/>
    <n v="15.206021504839669"/>
    <n v="23.264580190044256"/>
    <n v="0"/>
    <n v="0"/>
    <m/>
    <m/>
    <m/>
    <n v="54.6320009062394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47.1664782897419"/>
    <m/>
    <n v="0"/>
    <n v="0"/>
    <n v="-1953.2599999999998"/>
    <m/>
    <n v="0"/>
    <m/>
    <n v="-2046.022825570980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194"/>
    <s v="Regular"/>
    <s v="Convencional"/>
    <s v="B2"/>
    <s v="Rural"/>
    <s v="Não se aplica"/>
    <s v="Não se aplica"/>
    <s v="Não se aplica"/>
    <s v="Não se aplica"/>
    <s v="CATIVO"/>
    <x v="3"/>
    <n v="0"/>
    <n v="0"/>
    <n v="3795.7730000000001"/>
    <n v="3795.7730000000001"/>
    <n v="3795.7730000000001"/>
    <n v="3795.7730000000001"/>
    <m/>
    <n v="581.32000000000005"/>
    <n v="209.4"/>
    <m/>
    <n v="3001393.6265600002"/>
    <n v="3001393.6265600002"/>
    <n v="2292912.5961099998"/>
    <n v="0"/>
    <n v="233583.92767646944"/>
    <n v="0"/>
    <n v="0"/>
    <n v="0"/>
    <n v="281612.74425504316"/>
    <n v="1462911.0769278856"/>
    <n v="784399.32130343642"/>
    <n v="10449.630081010551"/>
    <n v="0"/>
    <n v="0"/>
    <n v="0"/>
    <n v="0"/>
    <n v="36096.28916531962"/>
    <m/>
    <n v="6919.5587299866975"/>
    <n v="21633.935239992581"/>
    <n v="32587.432289877841"/>
    <n v="0"/>
    <n v="0"/>
    <n v="0"/>
    <n v="0"/>
    <n v="0"/>
    <n v="0"/>
    <n v="0"/>
    <n v="0"/>
    <n v="0"/>
    <n v="0"/>
    <m/>
    <n v="0"/>
    <n v="0"/>
    <n v="0"/>
    <n v="0"/>
    <n v="0"/>
    <n v="131228.54009609323"/>
    <n v="0"/>
    <n v="8885.34"/>
    <n v="40712.81"/>
    <n v="282142.31"/>
    <n v="13996"/>
    <m/>
    <m/>
    <m/>
    <m/>
    <m/>
    <n v="275155.58476999972"/>
    <m/>
    <m/>
    <m/>
    <n v="915627.86139952962"/>
    <m/>
    <m/>
    <m/>
    <m/>
    <m/>
    <m/>
    <m/>
    <m/>
    <m/>
    <m/>
    <m/>
    <m/>
    <n v="2017755.4166000001"/>
    <n v="-623533.25545000006"/>
    <m/>
    <m/>
    <m/>
    <m/>
    <n v="-795138.52804000035"/>
    <n v="86657.497589999941"/>
    <n v="31"/>
    <n v="112141.8267530906"/>
    <n v="2611.9089292499229"/>
    <n v="3934.3468691684538"/>
    <n v="0"/>
    <n v="0"/>
    <n v="0"/>
    <n v="0"/>
    <n v="0"/>
    <n v="9231.9522469014628"/>
    <n v="0"/>
    <n v="0"/>
    <n v="86631.24650356581"/>
    <n v="0"/>
    <n v="0"/>
    <n v="0"/>
    <n v="14493.245591386105"/>
    <n v="0"/>
    <n v="-4071.8637195273186"/>
    <m/>
    <n v="0"/>
    <n v="0"/>
    <n v="0"/>
    <n v="0"/>
    <n v="-529.02620553056477"/>
    <n v="-159.98346212344859"/>
    <n v="0"/>
    <n v="0"/>
    <m/>
    <m/>
    <m/>
    <n v="1462911.0769278856"/>
    <n v="0"/>
    <n v="0"/>
    <n v="-795138.52804000024"/>
    <n v="86657.497589999926"/>
    <n v="0"/>
    <n v="0"/>
    <n v="-820678.0449952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5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5.1879999999999997"/>
    <n v="-5.1879999999999997"/>
    <n v="-5.1879999999999997"/>
    <n v="-5.1879999999999997"/>
    <m/>
    <n v="581.32000000000005"/>
    <n v="209.4"/>
    <m/>
    <n v="-4102.2553600000001"/>
    <n v="-4102.2553600000001"/>
    <n v="-3133.9151599999996"/>
    <n v="0"/>
    <n v="-319.25866398900126"/>
    <n v="0"/>
    <n v="0"/>
    <n v="0"/>
    <n v="-384.90365920068558"/>
    <n v="-1999.4827580842875"/>
    <n v="-1072.1040691638377"/>
    <n v="-14.282382234207033"/>
    <n v="0"/>
    <n v="0"/>
    <n v="0"/>
    <n v="0"/>
    <n v="-49.335813334906526"/>
    <m/>
    <n v="-9.4575388705201764"/>
    <n v="-29.568906261012319"/>
    <n v="-44.53996556693096"/>
    <n v="0"/>
    <n v="0"/>
    <n v="0"/>
    <n v="0"/>
    <n v="0"/>
    <n v="0"/>
    <n v="0"/>
    <n v="0"/>
    <n v="0"/>
    <n v="0"/>
    <m/>
    <n v="0"/>
    <n v="0"/>
    <n v="0"/>
    <n v="0"/>
    <n v="0"/>
    <n v="-179.361006577193"/>
    <n v="0"/>
    <n v="-6.11"/>
    <n v="-28.52"/>
    <n v="-384.76"/>
    <n v="0"/>
    <m/>
    <m/>
    <m/>
    <m/>
    <m/>
    <n v="-376.07811999999956"/>
    <m/>
    <m/>
    <m/>
    <n v="-1251.4650757410307"/>
    <m/>
    <m/>
    <m/>
    <m/>
    <m/>
    <m/>
    <m/>
    <m/>
    <m/>
    <m/>
    <m/>
    <m/>
    <n v="-2758.9002"/>
    <n v="851.13959999999906"/>
    <m/>
    <m/>
    <m/>
    <m/>
    <n v="1086.7822400000002"/>
    <n v="-118.44203999999991"/>
    <n v="31"/>
    <n v="-153.27360123880817"/>
    <n v="-3.5699140925836694"/>
    <n v="-5.3774004813369842"/>
    <n v="0"/>
    <n v="0"/>
    <n v="0"/>
    <n v="0"/>
    <n v="0"/>
    <n v="-12.618080232122566"/>
    <n v="0"/>
    <n v="0"/>
    <n v="-118.40616044755552"/>
    <n v="0"/>
    <n v="0"/>
    <n v="0"/>
    <n v="-19.809129294115081"/>
    <n v="0"/>
    <n v="5.565356246779686"/>
    <m/>
    <n v="0"/>
    <n v="0"/>
    <n v="0"/>
    <n v="0"/>
    <n v="0.72306430186750958"/>
    <n v="0.21866276025896347"/>
    <n v="0"/>
    <n v="0"/>
    <m/>
    <m/>
    <m/>
    <n v="-1999.4827580842875"/>
    <n v="0"/>
    <n v="0"/>
    <n v="1086.7822400000002"/>
    <n v="-118.44203999999991"/>
    <n v="0"/>
    <n v="0"/>
    <n v="1121.6892310039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6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07.767"/>
    <n v="107.767"/>
    <n v="107.767"/>
    <n v="107.767"/>
    <m/>
    <n v="581.32000000000005"/>
    <n v="209.4"/>
    <m/>
    <n v="85213.522240000006"/>
    <n v="85213.522240000006"/>
    <n v="65098.811689999995"/>
    <n v="0"/>
    <n v="6631.7556750390713"/>
    <n v="0"/>
    <n v="0"/>
    <n v="0"/>
    <n v="7995.3571012105403"/>
    <n v="41533.974246428181"/>
    <n v="22270.130921661392"/>
    <n v="296.67877529564174"/>
    <n v="0"/>
    <n v="0"/>
    <n v="0"/>
    <n v="0"/>
    <n v="1024.8212404901449"/>
    <m/>
    <n v="196.45539542392982"/>
    <n v="614.21594468591263"/>
    <n v="925.20016755039489"/>
    <n v="0"/>
    <n v="0"/>
    <n v="0"/>
    <n v="0"/>
    <n v="0"/>
    <n v="0"/>
    <n v="0"/>
    <n v="0"/>
    <n v="0"/>
    <n v="0"/>
    <m/>
    <n v="0"/>
    <n v="0"/>
    <n v="0"/>
    <n v="0"/>
    <n v="0"/>
    <n v="3725.7512713578176"/>
    <n v="0"/>
    <n v="245.89"/>
    <n v="1128.2"/>
    <n v="7359.02"/>
    <n v="585"/>
    <m/>
    <m/>
    <m/>
    <m/>
    <m/>
    <n v="7812.0298299999904"/>
    <m/>
    <m/>
    <m/>
    <n v="25995.88219301921"/>
    <m/>
    <m/>
    <m/>
    <m/>
    <m/>
    <m/>
    <m/>
    <m/>
    <m/>
    <m/>
    <m/>
    <m/>
    <n v="57288.376600000003"/>
    <n v="-17701.320349999995"/>
    <m/>
    <m/>
    <m/>
    <m/>
    <n v="-22575.031160000006"/>
    <n v="2460.3206099999984"/>
    <n v="31"/>
    <n v="3183.8543147075179"/>
    <n v="74.155538167976829"/>
    <n v="111.70129484815777"/>
    <n v="0"/>
    <n v="0"/>
    <n v="0"/>
    <n v="0"/>
    <n v="0"/>
    <n v="262.10729614016054"/>
    <n v="0"/>
    <n v="0"/>
    <n v="2459.5753070454339"/>
    <n v="0"/>
    <n v="0"/>
    <n v="0"/>
    <n v="411.48235093271023"/>
    <n v="0"/>
    <n v="-115.60557953868647"/>
    <m/>
    <n v="0"/>
    <n v="0"/>
    <n v="0"/>
    <n v="0"/>
    <n v="-15.019751468649929"/>
    <n v="-4.5421414195890009"/>
    <n v="0"/>
    <n v="0"/>
    <m/>
    <m/>
    <m/>
    <n v="41533.974246428181"/>
    <n v="0"/>
    <n v="0"/>
    <n v="-22575.031160000006"/>
    <n v="2460.3206099999952"/>
    <n v="0"/>
    <n v="0"/>
    <n v="-23300.131718889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7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0.03"/>
    <n v="0.03"/>
    <n v="0.03"/>
    <n v="0.03"/>
    <m/>
    <n v="581.32000000000005"/>
    <n v="209.4"/>
    <m/>
    <n v="23.721600000000002"/>
    <n v="23.721600000000002"/>
    <n v="18.1221"/>
    <n v="0"/>
    <n v="1.8461372243003158"/>
    <n v="0"/>
    <n v="0"/>
    <n v="0"/>
    <n v="2.2257343438744348"/>
    <n v="11.56215935669403"/>
    <n v="6.1995223737307494"/>
    <n v="8.25889489256382E-2"/>
    <n v="0"/>
    <n v="0"/>
    <n v="0"/>
    <n v="0"/>
    <n v="0.28528804935373858"/>
    <m/>
    <n v="5.4688929474866095E-2"/>
    <n v="0.17098442325180602"/>
    <n v="0.25755569911486675"/>
    <n v="0"/>
    <n v="0"/>
    <n v="0"/>
    <n v="0"/>
    <n v="0"/>
    <n v="0"/>
    <n v="0"/>
    <n v="0"/>
    <n v="0"/>
    <n v="0"/>
    <m/>
    <n v="0"/>
    <n v="0"/>
    <n v="0"/>
    <n v="0"/>
    <n v="0"/>
    <n v="1.037168503723167"/>
    <n v="0"/>
    <n v="0.03"/>
    <n v="0.17"/>
    <n v="6.55"/>
    <n v="1"/>
    <m/>
    <m/>
    <m/>
    <m/>
    <m/>
    <n v="2.1746999999999979"/>
    <m/>
    <m/>
    <m/>
    <n v="7.2366908774539169"/>
    <m/>
    <m/>
    <m/>
    <m/>
    <m/>
    <m/>
    <m/>
    <m/>
    <m/>
    <m/>
    <m/>
    <m/>
    <n v="15.947400000000002"/>
    <n v="-4.9580999999999982"/>
    <m/>
    <m/>
    <m/>
    <m/>
    <n v="-6.2844000000000024"/>
    <n v="0.68489999999999951"/>
    <n v="31"/>
    <n v="0.88631612127298531"/>
    <n v="2.0643296603220895E-2"/>
    <n v="3.1095222521223931E-2"/>
    <n v="0"/>
    <n v="0"/>
    <n v="0"/>
    <n v="0"/>
    <n v="0"/>
    <n v="7.2964997487215744E-2"/>
    <n v="0"/>
    <n v="0"/>
    <n v="0.68469252379080014"/>
    <n v="0"/>
    <n v="0"/>
    <n v="0"/>
    <n v="0.11454777926435078"/>
    <n v="0"/>
    <n v="-3.2182090864184776E-2"/>
    <m/>
    <n v="0"/>
    <n v="0"/>
    <n v="0"/>
    <n v="0"/>
    <n v="-4.1811736808067268E-3"/>
    <n v="-1.2644338488374957E-3"/>
    <n v="0"/>
    <n v="0"/>
    <m/>
    <m/>
    <m/>
    <n v="11.56215935669403"/>
    <n v="0"/>
    <n v="0"/>
    <n v="-6.2844000000000033"/>
    <n v="0.68489999999999984"/>
    <n v="0"/>
    <n v="0"/>
    <n v="-6.48625229956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8"/>
    <s v="Regular"/>
    <s v="Verde"/>
    <s v="A4"/>
    <s v="Rural"/>
    <s v="Não se aplica"/>
    <s v="Não se aplica"/>
    <s v="Não se aplica"/>
    <s v="Ponta"/>
    <s v="CATIVO"/>
    <x v="3"/>
    <n v="0"/>
    <n v="0"/>
    <n v="24.757999999999999"/>
    <n v="23.767679999999999"/>
    <n v="24.757999999999999"/>
    <n v="23.767679999999999"/>
    <m/>
    <n v="1614.19"/>
    <n v="209.4"/>
    <m/>
    <n v="45148.441220000001"/>
    <n v="45148.441220000001"/>
    <n v="30010.409699999997"/>
    <n v="0"/>
    <n v="1325.4932965775904"/>
    <n v="0"/>
    <n v="0"/>
    <n v="0"/>
    <n v="7710.0866049366778"/>
    <n v="28789.50894245255"/>
    <n v="5116.259164294197"/>
    <n v="68.157906583365019"/>
    <n v="0"/>
    <n v="0"/>
    <n v="0"/>
    <n v="0"/>
    <n v="235.43871752999533"/>
    <m/>
    <n v="32.87476939004403"/>
    <n v="599.01796237887379"/>
    <n v="892.24622953048572"/>
    <n v="0"/>
    <n v="0"/>
    <n v="0"/>
    <n v="0"/>
    <n v="0"/>
    <n v="0"/>
    <n v="0"/>
    <n v="0"/>
    <n v="0"/>
    <n v="0"/>
    <m/>
    <n v="0"/>
    <n v="0"/>
    <n v="0"/>
    <n v="0"/>
    <n v="0"/>
    <n v="379.40239543109959"/>
    <n v="0"/>
    <n v="0"/>
    <n v="0"/>
    <n v="0"/>
    <n v="0"/>
    <m/>
    <m/>
    <m/>
    <m/>
    <m/>
    <n v="1200.4163880000006"/>
    <m/>
    <m/>
    <m/>
    <n v="5495.6615597252967"/>
    <m/>
    <m/>
    <m/>
    <m/>
    <m/>
    <m/>
    <m/>
    <m/>
    <m/>
    <m/>
    <m/>
    <m/>
    <n v="28812.805499999995"/>
    <n v="-14529.728071200007"/>
    <m/>
    <m/>
    <m/>
    <m/>
    <n v="-15703.256660000001"/>
    <n v="565.22513999999956"/>
    <n v="31"/>
    <n v="1012.4381367880924"/>
    <n v="72.320654904529079"/>
    <n v="107.72269899801404"/>
    <n v="0"/>
    <n v="0"/>
    <n v="0"/>
    <n v="0"/>
    <n v="0"/>
    <n v="252.75543386555"/>
    <n v="0"/>
    <n v="0"/>
    <n v="565.05391680042067"/>
    <n v="0"/>
    <n v="0"/>
    <n v="0"/>
    <n v="41.902257625640914"/>
    <n v="0"/>
    <n v="-23.106161962850365"/>
    <m/>
    <n v="0"/>
    <n v="0"/>
    <n v="0"/>
    <n v="0"/>
    <n v="-3.4505832663137426"/>
    <n v="-0.76008017689599683"/>
    <n v="0"/>
    <n v="0"/>
    <m/>
    <m/>
    <m/>
    <n v="28789.50894245255"/>
    <n v="0"/>
    <n v="0"/>
    <n v="-15703.256660000003"/>
    <n v="565.22513999999956"/>
    <n v="0"/>
    <n v="0"/>
    <n v="-16150.617961607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199"/>
    <s v="Refaturamento - Regular"/>
    <s v="Verde"/>
    <s v="A4"/>
    <s v="Rural"/>
    <s v="Não se aplica"/>
    <s v="Não se aplica"/>
    <s v="Não se aplica"/>
    <s v="Ponta"/>
    <s v="CATIVO"/>
    <x v="3"/>
    <n v="0"/>
    <n v="0"/>
    <n v="-0.17499999999999999"/>
    <n v="-0.16800000000000001"/>
    <n v="-0.17499999999999999"/>
    <n v="-0.16800000000000001"/>
    <m/>
    <n v="1614.19"/>
    <n v="209.4"/>
    <m/>
    <n v="-319.12824999999998"/>
    <n v="-319.12824999999998"/>
    <n v="-212.12624999999997"/>
    <n v="0"/>
    <n v="-9.3691464133241098"/>
    <n v="0"/>
    <n v="0"/>
    <n v="0"/>
    <n v="-54.498148310199475"/>
    <n v="-203.49640782491301"/>
    <n v="-36.163880513429376"/>
    <n v="-0.48176886873288949"/>
    <n v="0"/>
    <n v="0"/>
    <n v="0"/>
    <n v="0"/>
    <n v="-1.6641802878968084"/>
    <m/>
    <n v="-0.23237275398892099"/>
    <n v="-4.2341119402335776"/>
    <n v="-6.3067731710087642"/>
    <n v="0"/>
    <n v="0"/>
    <n v="0"/>
    <n v="0"/>
    <n v="0"/>
    <n v="0"/>
    <n v="0"/>
    <n v="0"/>
    <n v="0"/>
    <n v="0"/>
    <m/>
    <n v="0"/>
    <n v="0"/>
    <n v="0"/>
    <n v="0"/>
    <n v="0"/>
    <n v="-2.6817763632136051"/>
    <n v="0"/>
    <n v="0"/>
    <n v="0"/>
    <n v="0"/>
    <n v="0"/>
    <m/>
    <m/>
    <m/>
    <m/>
    <m/>
    <n v="-8.4850499999999744"/>
    <m/>
    <m/>
    <m/>
    <n v="-38.845656876642984"/>
    <m/>
    <m/>
    <m/>
    <m/>
    <m/>
    <m/>
    <m/>
    <m/>
    <m/>
    <m/>
    <m/>
    <m/>
    <n v="-206.06549999999999"/>
    <n v="100.26762000000002"/>
    <m/>
    <m/>
    <m/>
    <m/>
    <n v="110.99725000000001"/>
    <n v="-3.9952499999999969"/>
    <n v="31"/>
    <n v="-7.1563403319297123"/>
    <n v="-0.51119293191261672"/>
    <n v="-0.76142953084467546"/>
    <n v="0"/>
    <n v="0"/>
    <n v="0"/>
    <n v="0"/>
    <n v="0"/>
    <n v="-1.7865821522930432"/>
    <n v="0"/>
    <n v="0"/>
    <n v="-3.9940397221129942"/>
    <n v="0"/>
    <n v="0"/>
    <n v="0"/>
    <n v="-0.29618285340040185"/>
    <n v="0"/>
    <n v="0.1633241111357453"/>
    <m/>
    <n v="0"/>
    <n v="0"/>
    <n v="0"/>
    <n v="0"/>
    <n v="2.4390179804705703E-2"/>
    <n v="5.3725676935455213E-3"/>
    <n v="0"/>
    <n v="0"/>
    <m/>
    <m/>
    <m/>
    <n v="-203.49640782491301"/>
    <n v="0"/>
    <n v="0"/>
    <n v="110.99725000000001"/>
    <n v="-3.9952499999999986"/>
    <n v="0"/>
    <n v="0"/>
    <n v="114.1593886130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0"/>
    <s v="Sistema de Compensação"/>
    <s v="Verde"/>
    <s v="A4"/>
    <s v="Rural"/>
    <s v="Não se aplica"/>
    <s v="Não se aplica"/>
    <s v="Não se aplica"/>
    <s v="Ponta"/>
    <s v="CATIVO"/>
    <x v="3"/>
    <n v="0"/>
    <n v="0"/>
    <n v="1.589"/>
    <n v="1.5254399999999999"/>
    <n v="1.589"/>
    <n v="1.5254399999999999"/>
    <m/>
    <n v="1614.19"/>
    <n v="209.4"/>
    <m/>
    <n v="2897.68451"/>
    <n v="2897.68451"/>
    <n v="1926.10635"/>
    <n v="0"/>
    <n v="85.071849432982916"/>
    <n v="0"/>
    <n v="0"/>
    <n v="0"/>
    <n v="494.84318665661124"/>
    <n v="1847.7473830502101"/>
    <n v="328.36803506193871"/>
    <n v="4.3744613280946369"/>
    <n v="0"/>
    <n v="0"/>
    <n v="0"/>
    <n v="0"/>
    <n v="15.110757014103022"/>
    <m/>
    <n v="2.1099446062194027"/>
    <n v="38.445736417320887"/>
    <n v="57.265500392759584"/>
    <n v="0"/>
    <n v="0"/>
    <n v="0"/>
    <n v="0"/>
    <n v="0"/>
    <n v="0"/>
    <n v="0"/>
    <n v="0"/>
    <n v="0"/>
    <n v="0"/>
    <m/>
    <n v="0"/>
    <n v="0"/>
    <n v="0"/>
    <n v="0"/>
    <n v="0"/>
    <n v="24.350529377979534"/>
    <n v="0"/>
    <n v="0"/>
    <n v="0"/>
    <n v="0"/>
    <n v="0"/>
    <m/>
    <m/>
    <m/>
    <m/>
    <m/>
    <n v="77.04425400000008"/>
    <m/>
    <m/>
    <m/>
    <n v="352.71856443991823"/>
    <m/>
    <m/>
    <m/>
    <m/>
    <m/>
    <m/>
    <m/>
    <m/>
    <m/>
    <m/>
    <m/>
    <m/>
    <n v="1854.5894999999998"/>
    <n v="-927.21762960000046"/>
    <m/>
    <m/>
    <m/>
    <m/>
    <n v="-1007.8550300000002"/>
    <n v="36.276869999999974"/>
    <n v="31"/>
    <n v="64.979570213921988"/>
    <n v="4.6416318217665662"/>
    <n v="6.9137801400696546"/>
    <n v="0"/>
    <n v="0"/>
    <n v="0"/>
    <n v="0"/>
    <n v="0"/>
    <n v="16.22216594282088"/>
    <n v="0"/>
    <n v="0"/>
    <n v="36.265880676786026"/>
    <n v="0"/>
    <n v="0"/>
    <n v="0"/>
    <n v="2.68934030887565"/>
    <n v="0"/>
    <n v="-1.4829829291125662"/>
    <m/>
    <n v="0"/>
    <n v="0"/>
    <n v="0"/>
    <n v="0"/>
    <n v="-0.22146283262673094"/>
    <n v="-4.8782914657393484E-2"/>
    <n v="0"/>
    <n v="0"/>
    <m/>
    <m/>
    <m/>
    <n v="1847.7473830502101"/>
    <n v="0"/>
    <n v="0"/>
    <n v="-1007.8550299999999"/>
    <n v="36.276869999999974"/>
    <n v="0"/>
    <n v="0"/>
    <n v="-1036.5672486062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1"/>
    <s v="Regular"/>
    <s v="Verde"/>
    <s v="A4"/>
    <s v="Rural"/>
    <s v="Não se aplica"/>
    <s v="Não se aplica"/>
    <s v="Não se aplica"/>
    <s v="Fora ponta"/>
    <s v="CATIVO"/>
    <x v="3"/>
    <n v="0"/>
    <n v="0"/>
    <n v="243.429"/>
    <n v="233.69184000000001"/>
    <n v="243.429"/>
    <n v="233.69184000000001"/>
    <m/>
    <n v="79.7"/>
    <n v="209.4"/>
    <m/>
    <n v="70375.323900000003"/>
    <n v="70375.323900000003"/>
    <n v="76076.431079999995"/>
    <n v="0"/>
    <n v="13032.696812851857"/>
    <n v="0"/>
    <n v="0"/>
    <n v="0"/>
    <n v="0"/>
    <n v="0"/>
    <n v="50304.784397163428"/>
    <n v="670.1515082673061"/>
    <n v="0"/>
    <n v="0"/>
    <n v="0"/>
    <n v="0"/>
    <n v="2314.9128188710411"/>
    <m/>
    <n v="323.23581217582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0.4122189755694"/>
    <n v="0"/>
    <n v="0"/>
    <n v="0"/>
    <n v="0"/>
    <n v="0"/>
    <m/>
    <m/>
    <m/>
    <m/>
    <m/>
    <n v="3043.0572431999963"/>
    <m/>
    <m/>
    <m/>
    <n v="54035.196616139001"/>
    <m/>
    <m/>
    <m/>
    <m/>
    <m/>
    <m/>
    <m/>
    <m/>
    <m/>
    <m/>
    <m/>
    <m/>
    <n v="73032.798800000004"/>
    <n v="5472.4578560000082"/>
    <m/>
    <m/>
    <m/>
    <m/>
    <n v="143.62311000000082"/>
    <n v="5557.4840699999959"/>
    <n v="31"/>
    <n v="5699.2094309956155"/>
    <n v="0"/>
    <n v="0"/>
    <n v="0"/>
    <n v="0"/>
    <n v="0"/>
    <n v="0"/>
    <n v="0"/>
    <n v="0"/>
    <n v="0"/>
    <n v="0"/>
    <n v="5555.8005457956824"/>
    <n v="0"/>
    <n v="0"/>
    <n v="0"/>
    <n v="411.99711897375118"/>
    <n v="0"/>
    <n v="-227.18757171236211"/>
    <m/>
    <n v="0"/>
    <n v="0"/>
    <n v="0"/>
    <n v="0"/>
    <n v="-33.927297598169844"/>
    <n v="-7.4733644632690357"/>
    <n v="0"/>
    <n v="0"/>
    <m/>
    <m/>
    <m/>
    <n v="0"/>
    <n v="0"/>
    <n v="0"/>
    <n v="143.62311000000045"/>
    <n v="5557.48406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2"/>
    <s v="Refaturamento - Regular"/>
    <s v="Verde"/>
    <s v="A4"/>
    <s v="Rural"/>
    <s v="Não se aplica"/>
    <s v="Não se aplica"/>
    <s v="Não se aplica"/>
    <s v="Fora ponta"/>
    <s v="CATIVO"/>
    <x v="3"/>
    <n v="0"/>
    <n v="0"/>
    <n v="-1.2749999999999999"/>
    <n v="-1.224"/>
    <n v="-1.2749999999999999"/>
    <n v="-1.224"/>
    <m/>
    <n v="79.7"/>
    <n v="209.4"/>
    <m/>
    <n v="-368.60250000000002"/>
    <n v="-368.60250000000002"/>
    <n v="-398.46299999999997"/>
    <n v="0"/>
    <n v="-68.260923868504221"/>
    <n v="0"/>
    <n v="0"/>
    <n v="0"/>
    <n v="0"/>
    <n v="0"/>
    <n v="-263.47970088355686"/>
    <n v="-3.5100303293396236"/>
    <n v="0"/>
    <n v="0"/>
    <n v="0"/>
    <n v="0"/>
    <n v="-12.12474209753389"/>
    <m/>
    <n v="-1.69300149334785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9.538656360556264"/>
    <n v="0"/>
    <n v="0"/>
    <n v="0"/>
    <n v="0"/>
    <n v="0"/>
    <m/>
    <m/>
    <m/>
    <m/>
    <m/>
    <n v="-15.938519999999979"/>
    <m/>
    <m/>
    <m/>
    <n v="-283.01835724411313"/>
    <m/>
    <m/>
    <m/>
    <m/>
    <m/>
    <m/>
    <m/>
    <m/>
    <m/>
    <m/>
    <m/>
    <m/>
    <n v="-381.27439999999996"/>
    <n v="-27.445999999999913"/>
    <m/>
    <m/>
    <m/>
    <m/>
    <n v="-0.7522500000000043"/>
    <n v="-29.108249999999977"/>
    <n v="31"/>
    <n v="-29.850560222978402"/>
    <n v="0"/>
    <n v="0"/>
    <n v="0"/>
    <n v="0"/>
    <n v="0"/>
    <n v="0"/>
    <n v="0"/>
    <n v="0"/>
    <n v="0"/>
    <n v="0"/>
    <n v="-29.099432261108973"/>
    <n v="0"/>
    <n v="0"/>
    <n v="0"/>
    <n v="-2.1579036462029322"/>
    <n v="0"/>
    <n v="1.1899328097032793"/>
    <m/>
    <n v="0"/>
    <n v="0"/>
    <n v="0"/>
    <n v="0"/>
    <n v="0.17769988143428606"/>
    <n v="3.9142993195831366E-2"/>
    <n v="0"/>
    <n v="0"/>
    <m/>
    <m/>
    <m/>
    <n v="0"/>
    <n v="0"/>
    <n v="0"/>
    <n v="-0.75225000000000364"/>
    <n v="-29.108249999999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3"/>
    <s v="Sistema de Compensação"/>
    <s v="Verde"/>
    <s v="A4"/>
    <s v="Rural"/>
    <s v="Não se aplica"/>
    <s v="Não se aplica"/>
    <s v="Não se aplica"/>
    <s v="Fora ponta"/>
    <s v="CATIVO"/>
    <x v="3"/>
    <n v="0"/>
    <n v="0"/>
    <n v="3.4660000000000002"/>
    <n v="3.3273600000000001"/>
    <n v="3.4660000000000002"/>
    <n v="3.3273600000000001"/>
    <m/>
    <n v="79.7"/>
    <n v="209.4"/>
    <m/>
    <n v="1002.0206000000001"/>
    <n v="1002.0206000000001"/>
    <n v="1083.1943200000001"/>
    <n v="0"/>
    <n v="185.56263696332209"/>
    <n v="0"/>
    <n v="0"/>
    <n v="0"/>
    <n v="0"/>
    <n v="0"/>
    <n v="716.25148491169273"/>
    <n v="9.5417765658754004"/>
    <n v="0"/>
    <n v="0"/>
    <n v="0"/>
    <n v="0"/>
    <n v="32.960279302001936"/>
    <m/>
    <n v="4.6023083732891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114496427990602"/>
    <n v="0"/>
    <n v="0"/>
    <n v="0"/>
    <n v="0"/>
    <n v="0"/>
    <m/>
    <m/>
    <m/>
    <m/>
    <m/>
    <n v="43.327772800000027"/>
    <m/>
    <m/>
    <m/>
    <n v="769.36598133968334"/>
    <m/>
    <m/>
    <m/>
    <m/>
    <m/>
    <m/>
    <m/>
    <m/>
    <m/>
    <m/>
    <m/>
    <m/>
    <n v="1040.6915999999999"/>
    <n v="78.721823999999856"/>
    <m/>
    <m/>
    <m/>
    <m/>
    <n v="2.044940000000012"/>
    <n v="79.128779999999949"/>
    <n v="31"/>
    <n v="81.14669939830867"/>
    <n v="0"/>
    <n v="0"/>
    <n v="0"/>
    <n v="0"/>
    <n v="0"/>
    <n v="0"/>
    <n v="0"/>
    <n v="0"/>
    <n v="0"/>
    <n v="0"/>
    <n v="79.10480958196365"/>
    <n v="0"/>
    <n v="0"/>
    <n v="0"/>
    <n v="5.8661129707759656"/>
    <n v="0"/>
    <n v="-3.2347506811228186"/>
    <m/>
    <n v="0"/>
    <n v="0"/>
    <n v="0"/>
    <n v="0"/>
    <n v="-0.48306493258920113"/>
    <n v="-0.10640754071902148"/>
    <n v="0"/>
    <n v="0"/>
    <m/>
    <m/>
    <m/>
    <n v="0"/>
    <n v="0"/>
    <n v="0"/>
    <n v="2.0449399999999969"/>
    <n v="79.12877999999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4"/>
    <s v="Regular"/>
    <s v="Verde"/>
    <s v="A4"/>
    <s v="Rural"/>
    <s v="Não se aplica"/>
    <s v="Não se aplica"/>
    <s v="Não se aplica"/>
    <s v="Não se aplica"/>
    <s v="CATIVO"/>
    <x v="3"/>
    <n v="1823"/>
    <n v="1750.08"/>
    <n v="0"/>
    <n v="0"/>
    <n v="0"/>
    <n v="0"/>
    <n v="44.35"/>
    <m/>
    <m/>
    <n v="80850.05"/>
    <m/>
    <n v="80850.05"/>
    <n v="52812.31"/>
    <n v="0"/>
    <n v="0"/>
    <n v="0"/>
    <n v="0"/>
    <n v="0"/>
    <n v="23921.522103379502"/>
    <n v="52352.633778914955"/>
    <m/>
    <m/>
    <m/>
    <n v="0"/>
    <n v="0"/>
    <n v="0"/>
    <n v="0"/>
    <m/>
    <n v="0"/>
    <n v="1807.9068208979429"/>
    <n v="2766.0222101830573"/>
    <n v="0"/>
    <n v="0"/>
    <m/>
    <m/>
    <n v="0"/>
    <n v="0"/>
    <n v="0"/>
    <m/>
    <m/>
    <n v="0"/>
    <m/>
    <n v="0"/>
    <n v="0"/>
    <n v="0"/>
    <n v="0"/>
    <m/>
    <n v="0"/>
    <n v="0"/>
    <n v="641.74"/>
    <n v="2919.19"/>
    <n v="111.31"/>
    <n v="15"/>
    <m/>
    <m/>
    <m/>
    <m/>
    <m/>
    <n v="2112.4924000000019"/>
    <m/>
    <m/>
    <m/>
    <n v="0"/>
    <m/>
    <m/>
    <m/>
    <m/>
    <m/>
    <m/>
    <m/>
    <m/>
    <m/>
    <m/>
    <m/>
    <m/>
    <n v="50699.817599999995"/>
    <n v="-26916.260399999985"/>
    <m/>
    <m/>
    <m/>
    <m/>
    <n v="-28037.740000000005"/>
    <n v="0"/>
    <n v="31"/>
    <n v="1336.4255475736027"/>
    <n v="218.2722614434856"/>
    <n v="333.94747784606852"/>
    <n v="0"/>
    <n v="0"/>
    <m/>
    <m/>
    <m/>
    <n v="784.205808284052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352.633778914955"/>
    <m/>
    <n v="0"/>
    <n v="0"/>
    <n v="-28037.740000000005"/>
    <m/>
    <n v="0"/>
    <m/>
    <n v="-29369.28827571572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05"/>
    <s v="Refaturamento - Regular"/>
    <s v="Verde"/>
    <s v="A4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71"/>
    <n v="-3.45"/>
    <n v="8.1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06"/>
    <s v="Sistema de Compensação"/>
    <s v="Verde"/>
    <s v="A4"/>
    <s v="Rural"/>
    <s v="Não se aplica"/>
    <s v="Não se aplica"/>
    <s v="Não se aplica"/>
    <s v="Não se aplica"/>
    <s v="CATIVO"/>
    <x v="3"/>
    <n v="811"/>
    <n v="778.56"/>
    <n v="0"/>
    <n v="0"/>
    <n v="0"/>
    <n v="0"/>
    <n v="44.35"/>
    <m/>
    <m/>
    <n v="35967.85"/>
    <m/>
    <n v="35967.85"/>
    <n v="23494.67"/>
    <n v="0"/>
    <n v="0"/>
    <n v="0"/>
    <n v="0"/>
    <n v="0"/>
    <n v="10641.993651037177"/>
    <n v="23290.173337740005"/>
    <m/>
    <m/>
    <m/>
    <n v="0"/>
    <n v="0"/>
    <n v="0"/>
    <n v="0"/>
    <m/>
    <n v="0"/>
    <n v="804.28548093704421"/>
    <n v="1230.5233200540097"/>
    <n v="0"/>
    <n v="0"/>
    <m/>
    <m/>
    <n v="0"/>
    <n v="0"/>
    <n v="0"/>
    <m/>
    <m/>
    <n v="0"/>
    <m/>
    <n v="0"/>
    <n v="0"/>
    <n v="0"/>
    <n v="0"/>
    <m/>
    <n v="0"/>
    <n v="0"/>
    <n v="114.03"/>
    <n v="518.83000000000004"/>
    <n v="38.69"/>
    <n v="8"/>
    <m/>
    <m/>
    <m/>
    <m/>
    <m/>
    <n v="939.78680000000156"/>
    <m/>
    <m/>
    <m/>
    <n v="0"/>
    <m/>
    <m/>
    <m/>
    <m/>
    <m/>
    <m/>
    <m/>
    <m/>
    <m/>
    <m/>
    <m/>
    <m/>
    <n v="22554.883199999997"/>
    <n v="-11974.282800000008"/>
    <m/>
    <m/>
    <m/>
    <m/>
    <n v="-12473.180000000002"/>
    <n v="0"/>
    <n v="31"/>
    <n v="594.53709220087694"/>
    <n v="97.103019215944528"/>
    <n v="148.56357900886519"/>
    <n v="0"/>
    <n v="0"/>
    <m/>
    <m/>
    <m/>
    <n v="348.870493976066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290.173337740005"/>
    <m/>
    <n v="0"/>
    <n v="0"/>
    <n v="-12473.18"/>
    <m/>
    <n v="0"/>
    <m/>
    <n v="-13065.54733494539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07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30.042"/>
    <n v="230.042"/>
    <n v="230.042"/>
    <n v="230.042"/>
    <m/>
    <n v="581.32000000000005"/>
    <n v="209.4"/>
    <m/>
    <n v="181898.81024000002"/>
    <n v="181898.81024000002"/>
    <n v="138961.47093999997"/>
    <n v="0"/>
    <n v="14156.303311749776"/>
    <n v="0"/>
    <n v="0"/>
    <n v="0"/>
    <n v="17067.079331118759"/>
    <n v="88659.408757753597"/>
    <n v="47538.350863258973"/>
    <n v="633.29756629172209"/>
    <n v="0"/>
    <n v="0"/>
    <n v="0"/>
    <n v="0"/>
    <n v="2187.6077816477577"/>
    <m/>
    <n v="419.35835714190489"/>
    <n v="1311.1199564563985"/>
    <n v="1974.9542711927395"/>
    <n v="0"/>
    <n v="0"/>
    <n v="0"/>
    <n v="0"/>
    <n v="0"/>
    <n v="0"/>
    <n v="0"/>
    <n v="0"/>
    <n v="0"/>
    <n v="0"/>
    <m/>
    <n v="0"/>
    <n v="0"/>
    <n v="0"/>
    <n v="0"/>
    <n v="0"/>
    <n v="7953.0772311161591"/>
    <n v="0"/>
    <n v="750.14"/>
    <n v="3421.76"/>
    <n v="66890.039999999994"/>
    <n v="478"/>
    <m/>
    <m/>
    <m/>
    <m/>
    <m/>
    <m/>
    <m/>
    <m/>
    <m/>
    <n v="55491.428094375129"/>
    <m/>
    <m/>
    <m/>
    <m/>
    <m/>
    <m/>
    <m/>
    <m/>
    <m/>
    <m/>
    <m/>
    <m/>
    <n v="138960.26279999997"/>
    <n v="-42938.577440000081"/>
    <m/>
    <m/>
    <m/>
    <m/>
    <n v="-48189.198160000014"/>
    <n v="5251.8588599999966"/>
    <n v="31"/>
    <n v="6796.3311056626553"/>
    <n v="158.29417457327145"/>
    <n v="238.44023930757953"/>
    <n v="0"/>
    <n v="0"/>
    <n v="0"/>
    <n v="0"/>
    <n v="0"/>
    <n v="559.500465065139"/>
    <n v="0"/>
    <n v="0"/>
    <n v="5250.2679185961024"/>
    <n v="0"/>
    <n v="0"/>
    <n v="0"/>
    <n v="878.36000791766037"/>
    <n v="0"/>
    <n v="-246.77441821929278"/>
    <m/>
    <n v="0"/>
    <n v="0"/>
    <n v="0"/>
    <n v="0"/>
    <n v="-32.061518529337718"/>
    <n v="-9.6957630484758397"/>
    <n v="0"/>
    <n v="0"/>
    <m/>
    <m/>
    <m/>
    <n v="88659.408757753597"/>
    <n v="0"/>
    <n v="0"/>
    <n v="-48189.198160000029"/>
    <n v="5251.858859999993"/>
    <n v="0"/>
    <n v="0"/>
    <n v="-49737.015049846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8"/>
    <s v="Sistema de Compensação"/>
    <s v="Convencional"/>
    <s v="B3"/>
    <s v="Poder público"/>
    <s v="Não se aplica"/>
    <s v="Não se aplica"/>
    <s v="Não se aplica"/>
    <s v="Não se aplica"/>
    <s v="CATIVO"/>
    <x v="3"/>
    <n v="0"/>
    <n v="0"/>
    <n v="3.6070000000000002"/>
    <n v="3.6070000000000002"/>
    <n v="3.6070000000000002"/>
    <n v="3.6070000000000002"/>
    <m/>
    <n v="581.32000000000005"/>
    <n v="209.4"/>
    <m/>
    <n v="2852.1270400000003"/>
    <n v="2852.1270400000003"/>
    <n v="2178.88049"/>
    <n v="0"/>
    <n v="221.96723226837466"/>
    <n v="0"/>
    <n v="0"/>
    <n v="0"/>
    <n v="267.60745927850292"/>
    <n v="1390.1569599865122"/>
    <n v="745.3892400682272"/>
    <n v="9.9299446258259003"/>
    <n v="0"/>
    <n v="0"/>
    <n v="0"/>
    <n v="0"/>
    <n v="34.301133133964505"/>
    <m/>
    <n v="6.5754322871947339"/>
    <n v="20.558027155642144"/>
    <n v="30.966780223577484"/>
    <n v="0"/>
    <n v="0"/>
    <n v="0"/>
    <n v="0"/>
    <n v="0"/>
    <n v="0"/>
    <n v="0"/>
    <n v="0"/>
    <n v="0"/>
    <n v="0"/>
    <m/>
    <n v="0"/>
    <n v="0"/>
    <n v="0"/>
    <n v="0"/>
    <n v="0"/>
    <n v="124.70222643098212"/>
    <n v="0"/>
    <n v="9.93"/>
    <n v="45.19"/>
    <n v="729.19"/>
    <n v="2"/>
    <m/>
    <m/>
    <m/>
    <m/>
    <m/>
    <m/>
    <m/>
    <m/>
    <m/>
    <n v="870.09146649920933"/>
    <m/>
    <m/>
    <m/>
    <m/>
    <m/>
    <m/>
    <m/>
    <m/>
    <m/>
    <m/>
    <m/>
    <m/>
    <n v="2180.6926999999996"/>
    <n v="-671.46434000000136"/>
    <m/>
    <m/>
    <m/>
    <m/>
    <n v="-755.59436000000028"/>
    <n v="82.347809999999953"/>
    <n v="31"/>
    <n v="106.56474164772203"/>
    <n v="2.4820123615939274"/>
    <n v="3.7386822544684897"/>
    <n v="0"/>
    <n v="0"/>
    <n v="0"/>
    <n v="0"/>
    <n v="0"/>
    <n v="8.7728248645462372"/>
    <n v="0"/>
    <n v="0"/>
    <n v="82.322864443780531"/>
    <n v="0"/>
    <n v="0"/>
    <n v="0"/>
    <n v="13.7724613268838"/>
    <n v="0"/>
    <n v="-3.869360058237163"/>
    <m/>
    <n v="0"/>
    <n v="0"/>
    <n v="0"/>
    <n v="0"/>
    <n v="-0.50271644888898948"/>
    <n v="-0.15202709642522816"/>
    <n v="0"/>
    <n v="0"/>
    <m/>
    <m/>
    <m/>
    <n v="1390.1569599865122"/>
    <n v="0"/>
    <n v="0"/>
    <n v="-755.59436000000028"/>
    <n v="82.347809999999868"/>
    <n v="0"/>
    <n v="0"/>
    <n v="-779.8637348170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09"/>
    <s v="Regular"/>
    <s v="Verde"/>
    <s v="A4"/>
    <s v="Poder público"/>
    <s v="Não se aplica"/>
    <s v="Não se aplica"/>
    <s v="Não se aplica"/>
    <s v="Ponta"/>
    <s v="CATIVO"/>
    <x v="3"/>
    <n v="0"/>
    <n v="0"/>
    <n v="0.254"/>
    <n v="0.254"/>
    <n v="0.254"/>
    <n v="0.254"/>
    <m/>
    <n v="1614.19"/>
    <n v="209.4"/>
    <m/>
    <n v="463.19186000000002"/>
    <n v="463.19186000000002"/>
    <n v="307.8861"/>
    <n v="0"/>
    <n v="13.598646794196137"/>
    <n v="0"/>
    <n v="0"/>
    <n v="0"/>
    <n v="79.100169547375245"/>
    <n v="295.36050050015945"/>
    <n v="52.489289430920351"/>
    <n v="0.69925310090373682"/>
    <n v="0"/>
    <n v="0"/>
    <n v="0"/>
    <n v="0"/>
    <n v="2.4154388178616535"/>
    <m/>
    <n v="0.33727245436106246"/>
    <n v="6.1455110446818786"/>
    <n v="9.1538307739212925"/>
    <n v="0"/>
    <n v="0"/>
    <n v="0"/>
    <n v="0"/>
    <n v="0"/>
    <n v="0"/>
    <n v="0"/>
    <n v="0"/>
    <n v="0"/>
    <n v="0"/>
    <m/>
    <n v="0"/>
    <n v="0"/>
    <n v="0"/>
    <n v="0"/>
    <n v="0"/>
    <n v="3.8924068357500325"/>
    <n v="0"/>
    <n v="0"/>
    <n v="0"/>
    <n v="0"/>
    <n v="0"/>
    <m/>
    <m/>
    <m/>
    <m/>
    <m/>
    <m/>
    <m/>
    <m/>
    <m/>
    <n v="56.381696266670382"/>
    <m/>
    <m/>
    <m/>
    <m/>
    <m/>
    <m/>
    <m/>
    <m/>
    <m/>
    <m/>
    <m/>
    <m/>
    <n v="303.03749999999997"/>
    <n v="-160.18436000000003"/>
    <m/>
    <m/>
    <m/>
    <m/>
    <n v="-161.10458000000003"/>
    <n v="5.7988199999999956"/>
    <n v="31"/>
    <n v="10.386916824629452"/>
    <n v="0.74196002689031282"/>
    <n v="1.1051605761974148"/>
    <n v="0"/>
    <n v="0"/>
    <n v="0"/>
    <n v="0"/>
    <n v="0"/>
    <n v="2.5930963810424856"/>
    <n v="0"/>
    <n v="0"/>
    <n v="5.7970633680954364"/>
    <n v="0"/>
    <n v="0"/>
    <n v="0"/>
    <n v="0.42988825579258405"/>
    <n v="0"/>
    <n v="-0.23705328130559522"/>
    <m/>
    <n v="0"/>
    <n v="0"/>
    <n v="0"/>
    <n v="0"/>
    <n v="-3.5400603830830324E-2"/>
    <n v="-7.7978982523460028E-3"/>
    <n v="0"/>
    <n v="0"/>
    <m/>
    <m/>
    <m/>
    <n v="295.36050050015945"/>
    <n v="0"/>
    <n v="0"/>
    <n v="-161.10458000000006"/>
    <n v="5.7988199999999921"/>
    <n v="0"/>
    <n v="0"/>
    <n v="-165.6941983297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0"/>
    <s v="Regular"/>
    <s v="Verde"/>
    <s v="A4"/>
    <s v="Poder público"/>
    <s v="Não se aplica"/>
    <s v="Não se aplica"/>
    <s v="Não se aplica"/>
    <s v="Fora ponta"/>
    <s v="CATIVO"/>
    <x v="3"/>
    <n v="0"/>
    <n v="0"/>
    <n v="6.1980000000000004"/>
    <n v="6.1980000000000004"/>
    <n v="6.1980000000000004"/>
    <n v="6.1980000000000004"/>
    <m/>
    <n v="79.7"/>
    <n v="209.4"/>
    <m/>
    <n v="1791.8418000000001"/>
    <n v="1791.8418000000001"/>
    <n v="1936.9989600000001"/>
    <n v="0"/>
    <n v="331.82839697018761"/>
    <n v="0"/>
    <n v="0"/>
    <n v="0"/>
    <n v="0"/>
    <n v="0"/>
    <n v="1280.821322412773"/>
    <n v="17.062876848036854"/>
    <n v="0"/>
    <n v="0"/>
    <n v="0"/>
    <n v="0"/>
    <n v="58.940510996482402"/>
    <m/>
    <n v="8.22997902413332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98085656684529"/>
    <n v="0"/>
    <n v="0"/>
    <n v="0"/>
    <n v="0"/>
    <n v="0"/>
    <m/>
    <m/>
    <m/>
    <m/>
    <m/>
    <m/>
    <m/>
    <m/>
    <m/>
    <n v="1375.8021789796182"/>
    <m/>
    <m/>
    <m/>
    <m/>
    <m/>
    <m/>
    <m/>
    <m/>
    <m/>
    <m/>
    <m/>
    <m/>
    <n v="1937.624"/>
    <n v="145.7521999999999"/>
    <m/>
    <m/>
    <m/>
    <m/>
    <n v="3.6568200000000215"/>
    <n v="141.50033999999991"/>
    <n v="31"/>
    <n v="145.10884098982046"/>
    <n v="0"/>
    <n v="0"/>
    <n v="0"/>
    <n v="0"/>
    <n v="0"/>
    <n v="0"/>
    <n v="0"/>
    <n v="0"/>
    <n v="0"/>
    <n v="0"/>
    <n v="141.45747541517926"/>
    <n v="0"/>
    <n v="0"/>
    <n v="0"/>
    <n v="10.489950430718238"/>
    <n v="0"/>
    <n v="-5.7844733761105545"/>
    <m/>
    <n v="0"/>
    <n v="0"/>
    <n v="0"/>
    <n v="0"/>
    <n v="-0.86383048245467364"/>
    <n v="-0.19028099751197125"/>
    <n v="0"/>
    <n v="0"/>
    <m/>
    <m/>
    <m/>
    <n v="0"/>
    <n v="0"/>
    <n v="0"/>
    <n v="3.6568200000000388"/>
    <n v="141.5003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1"/>
    <s v="Regular"/>
    <s v="Verde"/>
    <s v="A4"/>
    <s v="Poder público"/>
    <s v="Não se aplica"/>
    <s v="Não se aplica"/>
    <s v="Não se aplica"/>
    <s v="Não se aplica"/>
    <s v="CATIVO"/>
    <x v="3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30.5"/>
    <n v="138.78"/>
    <n v="2368.9299999999998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12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470.59"/>
    <n v="470.59"/>
    <n v="470.59"/>
    <n v="470.59"/>
    <m/>
    <n v="319.73"/>
    <n v="115.17"/>
    <m/>
    <n v="204659.59099999999"/>
    <n v="204659.59099999999"/>
    <n v="156344.11569999997"/>
    <n v="0"/>
    <n v="15927.518133697256"/>
    <n v="0"/>
    <n v="0"/>
    <n v="0"/>
    <n v="19202.485956204302"/>
    <n v="99752.337147222002"/>
    <n v="53486.275953989265"/>
    <n v="712.53478037345815"/>
    <n v="0"/>
    <n v="0"/>
    <n v="0"/>
    <n v="0"/>
    <n v="2461.3178909985563"/>
    <m/>
    <n v="471.82782756225004"/>
    <n v="1475.1652618645687"/>
    <n v="2222.0575015185291"/>
    <n v="0"/>
    <n v="0"/>
    <n v="0"/>
    <n v="0"/>
    <n v="0"/>
    <n v="0"/>
    <n v="0"/>
    <n v="0"/>
    <n v="0"/>
    <n v="0"/>
    <m/>
    <n v="0"/>
    <n v="0"/>
    <n v="0"/>
    <n v="0"/>
    <n v="0"/>
    <n v="8948.1539797298956"/>
    <n v="0"/>
    <n v="883.55"/>
    <n v="4019.78"/>
    <n v="57017.52"/>
    <n v="41"/>
    <m/>
    <m/>
    <m/>
    <m/>
    <m/>
    <m/>
    <m/>
    <m/>
    <m/>
    <n v="62434.429933719162"/>
    <m/>
    <m/>
    <m/>
    <m/>
    <m/>
    <m/>
    <m/>
    <m/>
    <m/>
    <m/>
    <m/>
    <m/>
    <n v="156344.11569999997"/>
    <n v="-48315.505300000048"/>
    <m/>
    <m/>
    <m/>
    <m/>
    <n v="-54221.37980000001"/>
    <n v="5905.9044999999987"/>
    <n v="31"/>
    <n v="7646.6775643472211"/>
    <n v="178.0996973893466"/>
    <n v="268.27351404814954"/>
    <n v="0"/>
    <n v="0"/>
    <n v="0"/>
    <n v="0"/>
    <n v="0"/>
    <n v="629.50429973763312"/>
    <n v="0"/>
    <n v="0"/>
    <n v="5907.1733374630639"/>
    <n v="0"/>
    <n v="0"/>
    <n v="0"/>
    <n v="988.25905647351647"/>
    <n v="0"/>
    <n v="-277.65045256260964"/>
    <m/>
    <n v="0"/>
    <n v="0"/>
    <n v="0"/>
    <n v="0"/>
    <n v="-36.073006244931548"/>
    <n v="-10.908881956947823"/>
    <n v="0"/>
    <n v="0"/>
    <m/>
    <m/>
    <m/>
    <n v="99752.337147222002"/>
    <n v="0"/>
    <n v="0"/>
    <n v="-54221.37980000001"/>
    <n v="5905.9044999999969"/>
    <n v="0"/>
    <n v="0"/>
    <n v="-55960.03361024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3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80.733999999999995"/>
    <n v="75.889960000000002"/>
    <n v="80.733999999999995"/>
    <n v="75.889960000000002"/>
    <m/>
    <n v="581.32000000000005"/>
    <n v="209.4"/>
    <m/>
    <n v="63837.98848"/>
    <n v="63837.98848"/>
    <n v="48768.987379999991"/>
    <n v="0"/>
    <n v="4968.2014222220569"/>
    <n v="0"/>
    <n v="0"/>
    <n v="0"/>
    <n v="5989.747883945287"/>
    <n v="31115.312450111192"/>
    <n v="16683.741310692611"/>
    <n v="222.25787341874914"/>
    <n v="0"/>
    <n v="0"/>
    <n v="0"/>
    <n v="0"/>
    <n v="767.74817921749104"/>
    <m/>
    <n v="147.17520107412798"/>
    <n v="460.14188089371021"/>
    <n v="693.11672707798846"/>
    <n v="0"/>
    <n v="0"/>
    <n v="0"/>
    <n v="0"/>
    <n v="0"/>
    <n v="0"/>
    <n v="0"/>
    <n v="0"/>
    <n v="0"/>
    <n v="0"/>
    <m/>
    <n v="0"/>
    <n v="0"/>
    <n v="0"/>
    <n v="0"/>
    <n v="0"/>
    <n v="2791.158732652872"/>
    <n v="0"/>
    <n v="264.11"/>
    <n v="1201.8499999999999"/>
    <n v="26464.28"/>
    <n v="21"/>
    <m/>
    <m/>
    <m/>
    <m/>
    <n v="2926.1392427999954"/>
    <m/>
    <m/>
    <m/>
    <m/>
    <n v="19474.900043345482"/>
    <m/>
    <m/>
    <m/>
    <m/>
    <m/>
    <m/>
    <m/>
    <m/>
    <m/>
    <m/>
    <m/>
    <m/>
    <n v="45842.872299999995"/>
    <n v="-14164.866871200022"/>
    <m/>
    <m/>
    <m/>
    <m/>
    <n v="-16912.158320000006"/>
    <n v="1843.1572199999987"/>
    <n v="31"/>
    <n v="2385.1948578284391"/>
    <n v="55.553863598814473"/>
    <n v="83.681389834282982"/>
    <n v="0"/>
    <n v="0"/>
    <n v="0"/>
    <n v="0"/>
    <n v="0"/>
    <n v="196.35853690443037"/>
    <n v="0"/>
    <n v="0"/>
    <n v="1842.598873857547"/>
    <n v="0"/>
    <n v="0"/>
    <n v="0"/>
    <n v="308.26334703760358"/>
    <n v="0"/>
    <n v="-86.606297460970382"/>
    <m/>
    <n v="0"/>
    <n v="0"/>
    <n v="0"/>
    <n v="0"/>
    <n v="-11.252095864874946"/>
    <n v="-3.4027600784015419"/>
    <n v="0"/>
    <n v="0"/>
    <m/>
    <m/>
    <m/>
    <n v="31115.312450111192"/>
    <n v="0"/>
    <n v="0"/>
    <n v="-16912.158320000002"/>
    <n v="1843.1572199999973"/>
    <n v="0"/>
    <n v="0"/>
    <n v="-17455.369771755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25.518000000000001"/>
    <n v="25.518000000000001"/>
    <n v="25.518000000000001"/>
    <n v="25.518000000000001"/>
    <m/>
    <n v="581.32000000000005"/>
    <n v="209.4"/>
    <m/>
    <n v="20177.592960000002"/>
    <n v="20177.592960000002"/>
    <n v="15414.65826"/>
    <n v="0"/>
    <n v="1570.3243229898487"/>
    <n v="0"/>
    <n v="0"/>
    <n v="0"/>
    <n v="1893.2096328995942"/>
    <n v="9834.7727488039418"/>
    <n v="5273.3137310953762"/>
    <n v="70.250159956147854"/>
    <n v="0"/>
    <n v="0"/>
    <n v="0"/>
    <n v="0"/>
    <n v="242.66601478029006"/>
    <m/>
    <n v="46.518403411321103"/>
    <n v="145.43935041798619"/>
    <n v="219.07687766710569"/>
    <n v="0"/>
    <n v="0"/>
    <n v="0"/>
    <n v="0"/>
    <n v="0"/>
    <n v="0"/>
    <n v="0"/>
    <n v="0"/>
    <n v="0"/>
    <n v="0"/>
    <m/>
    <n v="0"/>
    <n v="0"/>
    <n v="0"/>
    <n v="0"/>
    <n v="0"/>
    <n v="882.21552926692584"/>
    <n v="0"/>
    <n v="86.36"/>
    <n v="393.12"/>
    <n v="8364.57"/>
    <n v="17"/>
    <m/>
    <m/>
    <m/>
    <m/>
    <m/>
    <m/>
    <m/>
    <m/>
    <m/>
    <n v="6155.529260362302"/>
    <m/>
    <m/>
    <m/>
    <m/>
    <m/>
    <m/>
    <m/>
    <m/>
    <m/>
    <m/>
    <m/>
    <m/>
    <n v="15415.866399999999"/>
    <n v="-4761.7565600000016"/>
    <m/>
    <m/>
    <m/>
    <m/>
    <n v="-5345.5106400000022"/>
    <n v="582.5759399999996"/>
    <n v="31"/>
    <n v="753.9004927547976"/>
    <n v="17.559188090699706"/>
    <n v="26.449596276553052"/>
    <n v="0"/>
    <n v="0"/>
    <n v="0"/>
    <n v="0"/>
    <n v="0"/>
    <n v="62.064026862625951"/>
    <n v="0"/>
    <n v="0"/>
    <n v="582.39946073645388"/>
    <n v="0"/>
    <n v="0"/>
    <n v="0"/>
    <n v="97.43434104225696"/>
    <n v="0"/>
    <n v="-27.37408648907558"/>
    <m/>
    <n v="0"/>
    <n v="0"/>
    <n v="0"/>
    <n v="0"/>
    <n v="-3.5565063328941733"/>
    <n v="-1.0755274318211718"/>
    <n v="0"/>
    <n v="0"/>
    <m/>
    <m/>
    <m/>
    <n v="9834.7727488039418"/>
    <n v="0"/>
    <n v="0"/>
    <n v="-5345.5106400000022"/>
    <n v="582.57593999999972"/>
    <n v="0"/>
    <n v="0"/>
    <n v="-5517.2062060057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5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92.25"/>
    <n v="1331.89"/>
    <n v="1220.94"/>
    <n v="13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16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3.42"/>
    <n v="61.55"/>
    <n v="216.53"/>
    <n v="2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17"/>
    <s v="Regular"/>
    <s v="Convencional"/>
    <s v="B2"/>
    <s v="Rural"/>
    <s v="Agropecuária rural"/>
    <s v="IRRIG./AQUIC."/>
    <s v="Não se aplica"/>
    <s v="Não se aplica"/>
    <s v="CATIVO"/>
    <x v="3"/>
    <n v="0"/>
    <n v="0"/>
    <n v="97.298000000000002"/>
    <n v="97.298000000000002"/>
    <n v="97.298000000000002"/>
    <n v="97.298000000000002"/>
    <m/>
    <n v="581.32000000000005"/>
    <n v="209.4"/>
    <m/>
    <n v="76935.474560000002"/>
    <n v="76935.474560000002"/>
    <n v="58774.802859999996"/>
    <n v="0"/>
    <n v="5987.5153216657382"/>
    <n v="0"/>
    <n v="0"/>
    <n v="0"/>
    <n v="7218.6500063431586"/>
    <n v="37499.166036253861"/>
    <n v="20106.704263975153"/>
    <n v="267.8579850855582"/>
    <n v="0"/>
    <n v="0"/>
    <n v="0"/>
    <n v="0"/>
    <n v="925.2652208673353"/>
    <m/>
    <n v="177.3707820015174"/>
    <n v="554.54808045180744"/>
    <n v="835.32181374927688"/>
    <n v="0"/>
    <n v="0"/>
    <n v="0"/>
    <n v="0"/>
    <n v="0"/>
    <n v="0"/>
    <n v="0"/>
    <n v="0"/>
    <n v="0"/>
    <n v="0"/>
    <m/>
    <n v="0"/>
    <n v="0"/>
    <n v="0"/>
    <n v="0"/>
    <n v="0"/>
    <n v="3363.81403584189"/>
    <n v="0"/>
    <n v="0"/>
    <n v="0"/>
    <n v="0"/>
    <n v="0"/>
    <m/>
    <m/>
    <m/>
    <m/>
    <m/>
    <n v="7053.1320199999927"/>
    <m/>
    <m/>
    <m/>
    <n v="23470.518299817042"/>
    <m/>
    <m/>
    <m/>
    <m/>
    <m/>
    <m/>
    <m/>
    <m/>
    <m/>
    <m/>
    <m/>
    <m/>
    <n v="51722.733999999997"/>
    <n v="-15982.109299999996"/>
    <m/>
    <m/>
    <m/>
    <m/>
    <n v="-20381.985040000007"/>
    <n v="2221.3133399999983"/>
    <n v="31"/>
    <n v="2874.5595322539448"/>
    <n v="66.951715763339507"/>
    <n v="100.85009869566818"/>
    <n v="0"/>
    <n v="0"/>
    <n v="0"/>
    <n v="0"/>
    <n v="0"/>
    <n v="236.64494418370487"/>
    <n v="0"/>
    <n v="0"/>
    <n v="2220.640439326573"/>
    <n v="0"/>
    <n v="0"/>
    <n v="0"/>
    <n v="371.50899422876046"/>
    <n v="0"/>
    <n v="-104.37510256344831"/>
    <m/>
    <n v="0"/>
    <n v="0"/>
    <n v="0"/>
    <n v="0"/>
    <n v="-13.560661226504408"/>
    <n v="-4.10089615413969"/>
    <n v="0"/>
    <n v="0"/>
    <m/>
    <m/>
    <m/>
    <n v="37499.166036253861"/>
    <n v="0"/>
    <n v="0"/>
    <n v="-20381.985040000007"/>
    <n v="2221.3133400000006"/>
    <n v="0"/>
    <n v="0"/>
    <n v="-21036.645874753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8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3.4820000000000002"/>
    <n v="3.4820000000000002"/>
    <n v="3.4820000000000002"/>
    <n v="3.4820000000000002"/>
    <m/>
    <n v="581.32000000000005"/>
    <n v="209.4"/>
    <m/>
    <n v="2753.2870400000002"/>
    <n v="2753.2870400000002"/>
    <n v="2103.37174"/>
    <n v="0"/>
    <n v="214.27499383379001"/>
    <n v="0"/>
    <n v="0"/>
    <n v="0"/>
    <n v="258.33356617902609"/>
    <n v="1341.9812960002871"/>
    <n v="719.5578968443491"/>
    <n v="9.585824005302408"/>
    <n v="0"/>
    <n v="0"/>
    <n v="0"/>
    <n v="0"/>
    <n v="33.112432928323933"/>
    <m/>
    <n v="6.3475617477161252"/>
    <n v="19.845592058759618"/>
    <n v="29.89363147726554"/>
    <n v="0"/>
    <n v="0"/>
    <n v="0"/>
    <n v="0"/>
    <n v="0"/>
    <n v="0"/>
    <n v="0"/>
    <n v="0"/>
    <n v="0"/>
    <n v="0"/>
    <m/>
    <n v="0"/>
    <n v="0"/>
    <n v="0"/>
    <n v="0"/>
    <n v="0"/>
    <n v="120.38069099880225"/>
    <n v="0"/>
    <n v="0"/>
    <n v="0"/>
    <n v="0"/>
    <n v="0"/>
    <m/>
    <m/>
    <m/>
    <m/>
    <m/>
    <n v="252.41017999999974"/>
    <m/>
    <m/>
    <m/>
    <n v="839.93858784315137"/>
    <m/>
    <m/>
    <m/>
    <m/>
    <m/>
    <m/>
    <m/>
    <m/>
    <m/>
    <m/>
    <m/>
    <m/>
    <n v="1849.8984"/>
    <n v="-573.08130000000028"/>
    <m/>
    <m/>
    <m/>
    <m/>
    <n v="-729.40936000000033"/>
    <n v="79.494059999999948"/>
    <n v="31"/>
    <n v="102.87175780908433"/>
    <n v="2.3959986257471755"/>
    <n v="3.6091188272967223"/>
    <n v="0"/>
    <n v="0"/>
    <n v="0"/>
    <n v="0"/>
    <n v="0"/>
    <n v="8.4688040416828585"/>
    <n v="0"/>
    <n v="0"/>
    <n v="79.469978927985494"/>
    <n v="0"/>
    <n v="0"/>
    <n v="0"/>
    <n v="13.295178913282328"/>
    <n v="0"/>
    <n v="-3.7352680129696978"/>
    <m/>
    <n v="0"/>
    <n v="0"/>
    <n v="0"/>
    <n v="0"/>
    <n v="-0.48529489188563701"/>
    <n v="-0.14675862205507162"/>
    <n v="0"/>
    <n v="0"/>
    <m/>
    <m/>
    <m/>
    <n v="1341.9812960002871"/>
    <n v="0"/>
    <n v="0"/>
    <n v="-729.40936000000033"/>
    <n v="79.49405999999999"/>
    <n v="0"/>
    <n v="0"/>
    <n v="-752.8376835689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19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96.813000000000002"/>
    <n v="38.725200000000001"/>
    <n v="96.813000000000002"/>
    <n v="38.725200000000001"/>
    <m/>
    <n v="581.32000000000005"/>
    <n v="209.4"/>
    <m/>
    <n v="76551.975360000011"/>
    <n v="76551.975360000011"/>
    <n v="58481.828909999997"/>
    <n v="0"/>
    <n v="5957.6694365395497"/>
    <n v="0"/>
    <n v="0"/>
    <n v="0"/>
    <n v="7182.6673011171888"/>
    <n v="37312.244459987305"/>
    <n v="20006.478652266505"/>
    <n v="266.52279707792707"/>
    <n v="0"/>
    <n v="0"/>
    <n v="0"/>
    <n v="0"/>
    <n v="920.6530640694499"/>
    <m/>
    <n v="176.4866443083404"/>
    <n v="551.78383227590314"/>
    <n v="831.15799661358665"/>
    <n v="0"/>
    <n v="0"/>
    <n v="0"/>
    <n v="0"/>
    <n v="0"/>
    <n v="0"/>
    <n v="0"/>
    <n v="0"/>
    <n v="0"/>
    <n v="0"/>
    <m/>
    <n v="0"/>
    <n v="0"/>
    <n v="0"/>
    <n v="0"/>
    <n v="0"/>
    <n v="3347.0464783650323"/>
    <n v="0"/>
    <n v="0"/>
    <n v="0"/>
    <n v="0"/>
    <n v="0"/>
    <m/>
    <m/>
    <m/>
    <m/>
    <m/>
    <m/>
    <n v="37896.287093999992"/>
    <m/>
    <m/>
    <n v="23353.525130631537"/>
    <m/>
    <m/>
    <m/>
    <m/>
    <m/>
    <m/>
    <m/>
    <m/>
    <m/>
    <m/>
    <m/>
    <m/>
    <n v="20588.093400000002"/>
    <n v="-6358.8670199999942"/>
    <m/>
    <m/>
    <m/>
    <m/>
    <n v="-20280.387240000007"/>
    <n v="2210.2407899999985"/>
    <n v="31"/>
    <n v="2860.2307549600519"/>
    <n v="66.61798246825424"/>
    <n v="100.34739259824164"/>
    <n v="0"/>
    <n v="0"/>
    <n v="0"/>
    <n v="0"/>
    <n v="0"/>
    <n v="235.46534339099526"/>
    <n v="0"/>
    <n v="0"/>
    <n v="2209.5712435252899"/>
    <n v="0"/>
    <n v="0"/>
    <n v="0"/>
    <n v="369.65713846398694"/>
    <n v="0"/>
    <n v="-103.85482542781119"/>
    <m/>
    <n v="0"/>
    <n v="0"/>
    <n v="0"/>
    <n v="0"/>
    <n v="-13.493065585331351"/>
    <n v="-4.0804544735835009"/>
    <n v="0"/>
    <n v="0"/>
    <m/>
    <m/>
    <m/>
    <n v="37312.244459987305"/>
    <n v="0"/>
    <n v="0"/>
    <n v="-20280.387240000011"/>
    <n v="2210.2407899999962"/>
    <n v="0"/>
    <n v="0"/>
    <n v="-20931.784795910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0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3.4580000000000002"/>
    <n v="1.3832"/>
    <n v="3.4580000000000002"/>
    <n v="1.3832"/>
    <m/>
    <n v="581.32000000000005"/>
    <n v="209.4"/>
    <m/>
    <n v="2734.3097600000006"/>
    <n v="2734.3097600000006"/>
    <n v="2088.8740600000001"/>
    <n v="0"/>
    <n v="212.79808405434977"/>
    <n v="0"/>
    <n v="0"/>
    <n v="0"/>
    <n v="256.55297870392656"/>
    <n v="1332.731568514932"/>
    <n v="714.59827894536454"/>
    <n v="9.5197528461618983"/>
    <n v="0"/>
    <n v="0"/>
    <n v="0"/>
    <n v="0"/>
    <n v="32.884202488840941"/>
    <m/>
    <n v="6.303810604136233"/>
    <n v="19.708804520158175"/>
    <n v="29.687586917973647"/>
    <n v="0"/>
    <n v="0"/>
    <n v="0"/>
    <n v="0"/>
    <n v="0"/>
    <n v="0"/>
    <n v="0"/>
    <n v="0"/>
    <n v="0"/>
    <n v="0"/>
    <m/>
    <n v="0"/>
    <n v="0"/>
    <n v="0"/>
    <n v="0"/>
    <n v="0"/>
    <n v="119.55095619582372"/>
    <n v="0"/>
    <n v="0"/>
    <n v="0"/>
    <n v="0"/>
    <n v="0"/>
    <m/>
    <m/>
    <m/>
    <m/>
    <m/>
    <m/>
    <n v="1353.5926040000002"/>
    <m/>
    <m/>
    <n v="834.14923514118823"/>
    <m/>
    <m/>
    <m/>
    <m/>
    <m/>
    <m/>
    <m/>
    <m/>
    <m/>
    <m/>
    <m/>
    <m/>
    <n v="733.58040000000005"/>
    <n v="-228.94931999999994"/>
    <m/>
    <m/>
    <m/>
    <m/>
    <n v="-724.38184000000035"/>
    <n v="78.946139999999943"/>
    <n v="31"/>
    <n v="102.16270491206569"/>
    <n v="2.379483988464596"/>
    <n v="3.5842426492797443"/>
    <n v="0"/>
    <n v="0"/>
    <n v="0"/>
    <n v="0"/>
    <n v="0"/>
    <n v="8.4104320436931062"/>
    <n v="0"/>
    <n v="0"/>
    <n v="78.922224908952785"/>
    <n v="0"/>
    <n v="0"/>
    <n v="0"/>
    <n v="13.203540689870863"/>
    <n v="0"/>
    <n v="-3.7095223402783688"/>
    <m/>
    <n v="0"/>
    <n v="0"/>
    <n v="0"/>
    <n v="0"/>
    <n v="-0.48194995294099385"/>
    <n v="-0.14574707497600237"/>
    <n v="0"/>
    <n v="0"/>
    <m/>
    <m/>
    <m/>
    <n v="1332.731568514932"/>
    <n v="0"/>
    <n v="0"/>
    <n v="-724.38184000000047"/>
    <n v="78.9461399999999"/>
    <n v="0"/>
    <n v="0"/>
    <n v="-747.64868172928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1"/>
    <s v="Regular"/>
    <s v="Verde"/>
    <s v="A4"/>
    <s v="Rural"/>
    <s v="Agropecuária rural"/>
    <s v="Não se aplica"/>
    <s v="Não se aplica"/>
    <s v="Ponta"/>
    <s v="CATIVO"/>
    <x v="3"/>
    <n v="0"/>
    <n v="0"/>
    <n v="16.465"/>
    <n v="15.8064"/>
    <n v="16.465"/>
    <n v="15.8064"/>
    <m/>
    <n v="1614.19"/>
    <n v="209.4"/>
    <m/>
    <n v="30025.409350000002"/>
    <n v="30025.409350000002"/>
    <n v="19958.049749999998"/>
    <n v="0"/>
    <n v="881.50283254503699"/>
    <n v="0"/>
    <n v="0"/>
    <n v="0"/>
    <n v="5127.4972110139106"/>
    <n v="19146.104884783959"/>
    <n v="3402.5045294492265"/>
    <n v="45.327568135354433"/>
    <n v="0"/>
    <n v="0"/>
    <n v="0"/>
    <n v="0"/>
    <n v="156.57559108697689"/>
    <m/>
    <n v="21.862956539586197"/>
    <n v="398.36944626254774"/>
    <n v="593.37725863233891"/>
    <n v="0"/>
    <n v="0"/>
    <n v="0"/>
    <n v="0"/>
    <n v="0"/>
    <n v="0"/>
    <n v="0"/>
    <n v="0"/>
    <n v="0"/>
    <n v="0"/>
    <m/>
    <n v="0"/>
    <n v="0"/>
    <n v="0"/>
    <n v="0"/>
    <n v="0"/>
    <n v="252.31684468749719"/>
    <n v="0"/>
    <n v="0"/>
    <n v="0"/>
    <n v="0"/>
    <n v="0"/>
    <m/>
    <m/>
    <m/>
    <m/>
    <m/>
    <n v="798.32198999999969"/>
    <m/>
    <m/>
    <m/>
    <n v="3654.8213741367235"/>
    <m/>
    <m/>
    <m/>
    <m/>
    <m/>
    <m/>
    <m/>
    <m/>
    <m/>
    <m/>
    <m/>
    <m/>
    <n v="19164.091499999999"/>
    <n v="-9660.3314759999994"/>
    <m/>
    <m/>
    <m/>
    <m/>
    <n v="-10443.255550000002"/>
    <n v="375.89594999999974"/>
    <n v="31"/>
    <n v="673.30939180127461"/>
    <n v="48.095952136807114"/>
    <n v="71.639641287757627"/>
    <n v="0"/>
    <n v="0"/>
    <n v="0"/>
    <n v="0"/>
    <n v="0"/>
    <n v="168.0918579286008"/>
    <n v="0"/>
    <n v="0"/>
    <n v="375.78208014051734"/>
    <n v="0"/>
    <n v="0"/>
    <n v="0"/>
    <n v="27.866575321357828"/>
    <n v="0"/>
    <n v="-15.366465656285982"/>
    <m/>
    <n v="0"/>
    <n v="0"/>
    <n v="0"/>
    <n v="0"/>
    <n v="-2.294767488482762"/>
    <n v="-0.5054818689955809"/>
    <n v="0"/>
    <n v="0"/>
    <m/>
    <m/>
    <m/>
    <n v="19146.104884783959"/>
    <n v="0"/>
    <n v="0"/>
    <n v="-10443.255550000002"/>
    <n v="375.89594999999963"/>
    <n v="0"/>
    <n v="0"/>
    <n v="-10740.767620076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2"/>
    <s v="Refaturamento - Regular"/>
    <s v="Verde"/>
    <s v="A4"/>
    <s v="Rural"/>
    <s v="Agropecuária rural"/>
    <s v="Não se aplica"/>
    <s v="Não se aplica"/>
    <s v="Ponta"/>
    <s v="CATIVO"/>
    <x v="3"/>
    <n v="0"/>
    <n v="0"/>
    <n v="5.0000000000000001E-3"/>
    <n v="4.7999999999999996E-3"/>
    <n v="5.0000000000000001E-3"/>
    <n v="4.7999999999999996E-3"/>
    <m/>
    <n v="1614.19"/>
    <n v="209.4"/>
    <m/>
    <n v="9.1179500000000004"/>
    <n v="9.1179500000000004"/>
    <n v="6.0607499999999996"/>
    <n v="0"/>
    <n v="0.26768989752354599"/>
    <n v="0"/>
    <n v="0"/>
    <n v="0"/>
    <n v="1.5570899517199852"/>
    <n v="5.8141830807118007"/>
    <n v="1.0332537289551251"/>
    <n v="1.37648248209397E-2"/>
    <n v="0"/>
    <n v="0"/>
    <n v="0"/>
    <n v="0"/>
    <n v="4.7548008225623106E-2"/>
    <m/>
    <n v="6.6392215425406E-3"/>
    <n v="0.12097462686381651"/>
    <n v="0.180193519171679"/>
    <n v="0"/>
    <n v="0"/>
    <n v="0"/>
    <n v="0"/>
    <n v="0"/>
    <n v="0"/>
    <n v="0"/>
    <n v="0"/>
    <n v="0"/>
    <n v="0"/>
    <m/>
    <n v="0"/>
    <n v="0"/>
    <n v="0"/>
    <n v="0"/>
    <n v="0"/>
    <n v="7.6622181806103001E-2"/>
    <n v="0"/>
    <n v="0"/>
    <n v="0"/>
    <n v="0"/>
    <n v="0"/>
    <m/>
    <m/>
    <m/>
    <m/>
    <m/>
    <n v="0.24243000000000064"/>
    <m/>
    <m/>
    <m/>
    <n v="1.1098759107612282"/>
    <m/>
    <m/>
    <m/>
    <m/>
    <m/>
    <m/>
    <m/>
    <m/>
    <m/>
    <m/>
    <m/>
    <m/>
    <n v="0"/>
    <n v="-8.7832319999999999"/>
    <m/>
    <m/>
    <m/>
    <m/>
    <n v="-3.1713500000000003"/>
    <n v="0.11414999999999992"/>
    <n v="31"/>
    <n v="0.20446686662656433"/>
    <n v="1.4605512340360491E-2"/>
    <n v="2.1755129452704997E-2"/>
    <n v="0"/>
    <n v="0"/>
    <n v="0"/>
    <n v="0"/>
    <n v="0"/>
    <n v="5.1045204351229945E-2"/>
    <n v="0"/>
    <n v="0"/>
    <n v="0.1141154206317998"/>
    <n v="0"/>
    <n v="0"/>
    <n v="0"/>
    <n v="8.4623672400114952E-3"/>
    <n v="0"/>
    <n v="-4.6664031753069768E-3"/>
    <m/>
    <n v="0"/>
    <n v="0"/>
    <n v="0"/>
    <n v="0"/>
    <n v="-6.9686228013445678E-4"/>
    <n v="-1.5350193410130011E-4"/>
    <n v="0"/>
    <n v="0"/>
    <m/>
    <m/>
    <m/>
    <n v="5.8141830807118007"/>
    <n v="0"/>
    <n v="0"/>
    <n v="-3.1713500000000003"/>
    <n v="0.11414999999999975"/>
    <n v="0"/>
    <n v="0"/>
    <n v="-3.2616968175149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3"/>
    <s v="Sistema de Compensação"/>
    <s v="Verde"/>
    <s v="A4"/>
    <s v="Rural"/>
    <s v="Agropecuária rural"/>
    <s v="Não se aplica"/>
    <s v="Não se aplica"/>
    <s v="Ponta"/>
    <s v="CATIVO"/>
    <x v="3"/>
    <n v="0"/>
    <n v="0"/>
    <n v="0.41599999999999998"/>
    <n v="0.39935999999999999"/>
    <n v="0.41599999999999998"/>
    <n v="0.39935999999999999"/>
    <m/>
    <n v="1614.19"/>
    <n v="209.4"/>
    <m/>
    <n v="758.61343999999997"/>
    <n v="758.61343999999997"/>
    <n v="504.25439999999992"/>
    <n v="0"/>
    <n v="22.271799473959025"/>
    <n v="0"/>
    <n v="0"/>
    <n v="0"/>
    <n v="129.54988398310275"/>
    <n v="483.74003231522175"/>
    <n v="85.966710249066395"/>
    <n v="1.145233425102183"/>
    <n v="0"/>
    <n v="0"/>
    <n v="0"/>
    <n v="0"/>
    <n v="3.9559942843718421"/>
    <m/>
    <n v="0.55238323233937792"/>
    <n v="10.065088955069532"/>
    <n v="14.992100795083692"/>
    <n v="0"/>
    <n v="0"/>
    <n v="0"/>
    <n v="0"/>
    <n v="0"/>
    <n v="0"/>
    <n v="0"/>
    <n v="0"/>
    <n v="0"/>
    <n v="0"/>
    <m/>
    <n v="0"/>
    <n v="0"/>
    <n v="0"/>
    <n v="0"/>
    <n v="0"/>
    <n v="6.3749655262677694"/>
    <n v="0"/>
    <n v="0"/>
    <n v="0"/>
    <n v="0"/>
    <n v="0"/>
    <m/>
    <m/>
    <m/>
    <m/>
    <m/>
    <n v="20.170175999999984"/>
    <m/>
    <m/>
    <m/>
    <n v="92.341675775334167"/>
    <m/>
    <m/>
    <m/>
    <m/>
    <m/>
    <m/>
    <m/>
    <m/>
    <m/>
    <m/>
    <m/>
    <m/>
    <n v="484.86"/>
    <n v="-243.43890239999996"/>
    <m/>
    <m/>
    <m/>
    <m/>
    <n v="-263.85632000000004"/>
    <n v="9.4972799999999928"/>
    <n v="31"/>
    <n v="17.011643303330231"/>
    <n v="1.2151786267179947"/>
    <n v="1.8100267704650559"/>
    <n v="0"/>
    <n v="0"/>
    <n v="0"/>
    <n v="0"/>
    <n v="0"/>
    <n v="4.2469610020223456"/>
    <n v="0"/>
    <n v="0"/>
    <n v="9.4944029965657535"/>
    <n v="0"/>
    <n v="0"/>
    <n v="0"/>
    <n v="0.70406895436895578"/>
    <n v="0"/>
    <n v="-0.38824474418554189"/>
    <m/>
    <n v="0"/>
    <n v="0"/>
    <n v="0"/>
    <n v="0"/>
    <n v="-5.797894170718676E-2"/>
    <n v="-1.2771360917228192E-2"/>
    <n v="0"/>
    <n v="0"/>
    <m/>
    <m/>
    <m/>
    <n v="483.74003231522175"/>
    <n v="0"/>
    <n v="0"/>
    <n v="-263.85631999999998"/>
    <n v="9.4972799999999893"/>
    <n v="0"/>
    <n v="0"/>
    <n v="-271.3731752172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4"/>
    <s v="Regular"/>
    <s v="Verde"/>
    <s v="A4"/>
    <s v="Rural"/>
    <s v="Agropecuária rural"/>
    <s v="Não se aplica"/>
    <s v="Não se aplica"/>
    <s v="Fora ponta"/>
    <s v="CATIVO"/>
    <x v="3"/>
    <n v="0"/>
    <n v="0"/>
    <n v="983.31600000000003"/>
    <n v="943.98335999999995"/>
    <n v="983.31600000000003"/>
    <n v="943.98335999999995"/>
    <m/>
    <n v="79.7"/>
    <n v="209.4"/>
    <m/>
    <n v="284276.6556"/>
    <n v="284276.6556"/>
    <n v="307305.91631999996"/>
    <n v="0"/>
    <n v="52644.751854652633"/>
    <n v="0"/>
    <n v="0"/>
    <n v="0"/>
    <n v="0"/>
    <n v="0"/>
    <n v="203202.98474824755"/>
    <n v="2707.0344967254287"/>
    <n v="0"/>
    <n v="0"/>
    <n v="0"/>
    <n v="0"/>
    <n v="9350.9434512773623"/>
    <m/>
    <n v="1305.69055406497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68.763464969996"/>
    <n v="0"/>
    <n v="0"/>
    <n v="0"/>
    <n v="0"/>
    <n v="0"/>
    <m/>
    <m/>
    <m/>
    <m/>
    <m/>
    <n v="12292.236652800024"/>
    <m/>
    <m/>
    <m/>
    <n v="218271.74821321754"/>
    <m/>
    <m/>
    <m/>
    <m/>
    <m/>
    <m/>
    <m/>
    <m/>
    <m/>
    <m/>
    <m/>
    <m/>
    <n v="295012.62959999999"/>
    <n v="22107.010223999969"/>
    <m/>
    <m/>
    <m/>
    <m/>
    <n v="580.15644000000339"/>
    <n v="22449.104279999985"/>
    <n v="31"/>
    <n v="23021.594883308397"/>
    <n v="0"/>
    <n v="0"/>
    <n v="0"/>
    <n v="0"/>
    <n v="0"/>
    <n v="0"/>
    <n v="0"/>
    <n v="0"/>
    <n v="0"/>
    <n v="0"/>
    <n v="22442.303790795791"/>
    <n v="0"/>
    <n v="0"/>
    <n v="0"/>
    <n v="1664.2362209958283"/>
    <n v="0"/>
    <n v="-917.70978094603925"/>
    <m/>
    <n v="0"/>
    <n v="0"/>
    <n v="0"/>
    <n v="0"/>
    <n v="-137.04716597053812"/>
    <n v="-30.188181566550611"/>
    <n v="0"/>
    <n v="0"/>
    <m/>
    <m/>
    <m/>
    <n v="0"/>
    <n v="0"/>
    <n v="0"/>
    <n v="580.15644000000611"/>
    <n v="22449.10427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5"/>
    <s v="Refaturamento - Regular"/>
    <s v="Verde"/>
    <s v="A4"/>
    <s v="Rural"/>
    <s v="Agropecuária rural"/>
    <s v="Não se aplica"/>
    <s v="Não se aplica"/>
    <s v="Fora ponta"/>
    <s v="CATIVO"/>
    <x v="3"/>
    <n v="0"/>
    <n v="0"/>
    <n v="0.96"/>
    <n v="0.92159999999999997"/>
    <n v="0.96"/>
    <n v="0.92159999999999997"/>
    <m/>
    <n v="79.7"/>
    <n v="209.4"/>
    <m/>
    <n v="277.536"/>
    <n v="277.536"/>
    <n v="300.01920000000001"/>
    <n v="0"/>
    <n v="51.396460324520831"/>
    <n v="0"/>
    <n v="0"/>
    <n v="0"/>
    <n v="0"/>
    <n v="0"/>
    <n v="198.38471595938398"/>
    <n v="2.6428463656204224"/>
    <n v="0"/>
    <n v="0"/>
    <n v="0"/>
    <n v="0"/>
    <n v="9.1292175793196346"/>
    <m/>
    <n v="1.2747305361677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711458906771776"/>
    <n v="0"/>
    <n v="0"/>
    <n v="0"/>
    <n v="0"/>
    <n v="0"/>
    <m/>
    <m/>
    <m/>
    <m/>
    <m/>
    <n v="12.000767999999997"/>
    <m/>
    <m/>
    <m/>
    <n v="213.09617486615576"/>
    <m/>
    <m/>
    <m/>
    <m/>
    <m/>
    <m/>
    <m/>
    <m/>
    <m/>
    <m/>
    <m/>
    <m/>
    <n v="287.51840000000004"/>
    <n v="21.053840000000037"/>
    <m/>
    <m/>
    <m/>
    <m/>
    <n v="0.56640000000000323"/>
    <n v="21.916799999999984"/>
    <n v="31"/>
    <n v="22.475715932595676"/>
    <n v="0"/>
    <n v="0"/>
    <n v="0"/>
    <n v="0"/>
    <n v="0"/>
    <n v="0"/>
    <n v="0"/>
    <n v="0"/>
    <n v="0"/>
    <n v="0"/>
    <n v="21.910160761305605"/>
    <n v="0"/>
    <n v="0"/>
    <n v="0"/>
    <n v="1.6247745100822062"/>
    <n v="0"/>
    <n v="-0.89594940965894665"/>
    <m/>
    <n v="0"/>
    <n v="0"/>
    <n v="0"/>
    <n v="0"/>
    <n v="-0.13379755778581526"/>
    <n v="-2.9472371347449622E-2"/>
    <n v="0"/>
    <n v="0"/>
    <m/>
    <m/>
    <m/>
    <n v="0"/>
    <n v="0"/>
    <n v="0"/>
    <n v="0.56640000000000157"/>
    <n v="21.916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6"/>
    <s v="Sistema de Compensação"/>
    <s v="Verde"/>
    <s v="A4"/>
    <s v="Rural"/>
    <s v="Agropecuária rural"/>
    <s v="Não se aplica"/>
    <s v="Não se aplica"/>
    <s v="Fora ponta"/>
    <s v="CATIVO"/>
    <x v="3"/>
    <n v="0"/>
    <n v="0"/>
    <n v="36.027999999999999"/>
    <n v="34.586880000000001"/>
    <n v="36.027999999999999"/>
    <n v="34.586880000000001"/>
    <m/>
    <n v="79.7"/>
    <n v="209.4"/>
    <m/>
    <n v="10415.694800000001"/>
    <n v="10415.694800000001"/>
    <n v="11259.47056"/>
    <n v="0"/>
    <n v="1928.8663255956631"/>
    <n v="0"/>
    <n v="0"/>
    <n v="0"/>
    <n v="0"/>
    <n v="0"/>
    <n v="7445.2130693590489"/>
    <n v="99.183821729763096"/>
    <n v="0"/>
    <n v="0"/>
    <n v="0"/>
    <n v="0"/>
    <n v="342.61192807054982"/>
    <m/>
    <n v="47.839574746930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2.10879322205574"/>
    <n v="0"/>
    <n v="0"/>
    <n v="0"/>
    <n v="0"/>
    <n v="0"/>
    <m/>
    <m/>
    <m/>
    <m/>
    <m/>
    <n v="450.37882239999931"/>
    <m/>
    <m/>
    <m/>
    <n v="7997.3218625811041"/>
    <m/>
    <m/>
    <m/>
    <m/>
    <m/>
    <m/>
    <m/>
    <m/>
    <m/>
    <m/>
    <m/>
    <m/>
    <n v="10810.066800000001"/>
    <n v="810.96979199999987"/>
    <m/>
    <m/>
    <m/>
    <m/>
    <n v="21.256520000000123"/>
    <n v="822.5192399999994"/>
    <n v="31"/>
    <n v="843.49488918703355"/>
    <n v="0"/>
    <n v="0"/>
    <n v="0"/>
    <n v="0"/>
    <n v="0"/>
    <n v="0"/>
    <n v="0"/>
    <n v="0"/>
    <n v="0"/>
    <n v="0"/>
    <n v="822.27007490449705"/>
    <n v="0"/>
    <n v="0"/>
    <n v="0"/>
    <n v="60.97643338462683"/>
    <n v="0"/>
    <n v="-33.624234719992273"/>
    <m/>
    <n v="0"/>
    <n v="0"/>
    <n v="0"/>
    <n v="0"/>
    <n v="-5.0213108457368207"/>
    <n v="-1.1060735363603271"/>
    <n v="0"/>
    <n v="0"/>
    <m/>
    <m/>
    <m/>
    <n v="0"/>
    <n v="0"/>
    <n v="0"/>
    <n v="21.256520000000364"/>
    <n v="822.51923999999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27"/>
    <s v="Regular"/>
    <s v="Verde"/>
    <s v="A4"/>
    <s v="Rural"/>
    <s v="Agropecuária rural"/>
    <s v="Não se aplica"/>
    <s v="Não se aplica"/>
    <s v="Não se aplica"/>
    <s v="CATIVO"/>
    <x v="3"/>
    <n v="25012"/>
    <n v="24011.52"/>
    <n v="0"/>
    <n v="0"/>
    <n v="0"/>
    <n v="0"/>
    <n v="44.35"/>
    <m/>
    <m/>
    <n v="1109282.2"/>
    <m/>
    <n v="1109282.2"/>
    <n v="724597.64"/>
    <n v="0"/>
    <n v="0"/>
    <n v="0"/>
    <n v="0"/>
    <n v="0"/>
    <n v="328209.05696638953"/>
    <n v="718290.77129907894"/>
    <m/>
    <m/>
    <m/>
    <n v="0"/>
    <n v="0"/>
    <n v="0"/>
    <n v="0"/>
    <m/>
    <n v="0"/>
    <n v="24804.917939824107"/>
    <n v="37950.492331924645"/>
    <n v="0"/>
    <n v="0"/>
    <m/>
    <m/>
    <n v="0"/>
    <n v="0"/>
    <n v="0"/>
    <m/>
    <m/>
    <n v="0"/>
    <m/>
    <n v="0"/>
    <n v="0"/>
    <n v="0"/>
    <n v="0"/>
    <m/>
    <n v="0"/>
    <n v="0"/>
    <n v="4225.6000000000004"/>
    <n v="19222.490000000002"/>
    <n v="815.75"/>
    <n v="122"/>
    <m/>
    <m/>
    <m/>
    <m/>
    <m/>
    <n v="28983.905599999987"/>
    <m/>
    <m/>
    <m/>
    <n v="0"/>
    <m/>
    <m/>
    <m/>
    <m/>
    <m/>
    <m/>
    <m/>
    <m/>
    <m/>
    <m/>
    <m/>
    <m/>
    <n v="695613.73439999996"/>
    <n v="-369297.20760000008"/>
    <m/>
    <m/>
    <m/>
    <m/>
    <n v="-384684.56000000006"/>
    <n v="0"/>
    <n v="31"/>
    <n v="18336.081072907837"/>
    <n v="2994.7481092838534"/>
    <n v="4581.8399977432055"/>
    <n v="0"/>
    <n v="0"/>
    <m/>
    <m/>
    <m/>
    <n v="10759.4929658807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718290.77129907894"/>
    <m/>
    <n v="0"/>
    <n v="0"/>
    <n v="-384684.55999999994"/>
    <m/>
    <n v="0"/>
    <m/>
    <n v="-402953.7237258375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28"/>
    <s v="Refaturamento - Regular"/>
    <s v="Verde"/>
    <s v="A4"/>
    <s v="Rural"/>
    <s v="Agropecuária rural"/>
    <s v="Não se aplica"/>
    <s v="Não se aplica"/>
    <s v="Não se aplica"/>
    <s v="CATIVO"/>
    <x v="3"/>
    <n v="-562"/>
    <n v="-539.52"/>
    <n v="0"/>
    <n v="0"/>
    <n v="0"/>
    <n v="0"/>
    <n v="44.35"/>
    <m/>
    <m/>
    <n v="-24924.7"/>
    <m/>
    <n v="-24924.7"/>
    <n v="-16281.14"/>
    <n v="0"/>
    <n v="0"/>
    <n v="0"/>
    <n v="0"/>
    <n v="0"/>
    <n v="-7374.599792703938"/>
    <n v="-16139.429612589251"/>
    <m/>
    <m/>
    <m/>
    <n v="0"/>
    <n v="0"/>
    <n v="0"/>
    <n v="0"/>
    <m/>
    <n v="0"/>
    <n v="-557.34702871346349"/>
    <n v="-852.71776309538029"/>
    <n v="0"/>
    <n v="0"/>
    <m/>
    <m/>
    <n v="0"/>
    <n v="0"/>
    <n v="0"/>
    <m/>
    <m/>
    <n v="0"/>
    <m/>
    <n v="0"/>
    <n v="0"/>
    <n v="0"/>
    <n v="0"/>
    <m/>
    <n v="0"/>
    <n v="0"/>
    <n v="-51"/>
    <n v="-244.47"/>
    <n v="5.3"/>
    <n v="0"/>
    <m/>
    <m/>
    <m/>
    <m/>
    <m/>
    <n v="-651.24560000000054"/>
    <m/>
    <m/>
    <m/>
    <n v="0"/>
    <m/>
    <m/>
    <m/>
    <m/>
    <m/>
    <m/>
    <m/>
    <m/>
    <m/>
    <m/>
    <m/>
    <m/>
    <n v="-15629.894399999999"/>
    <n v="8297.7876000000051"/>
    <m/>
    <m/>
    <m/>
    <m/>
    <n v="8643.5600000000013"/>
    <n v="0"/>
    <n v="31"/>
    <n v="-411.99734379394795"/>
    <n v="-67.289638470235218"/>
    <n v="-102.95034698271547"/>
    <n v="0"/>
    <n v="0"/>
    <m/>
    <m/>
    <m/>
    <n v="-241.75735834099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6139.429612589251"/>
    <m/>
    <n v="0"/>
    <n v="0"/>
    <n v="8643.5600000000013"/>
    <m/>
    <n v="0"/>
    <m/>
    <n v="9054.053763550322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29"/>
    <s v="Sistema de Compensação"/>
    <s v="Verde"/>
    <s v="A4"/>
    <s v="Rural"/>
    <s v="Agropecuária rural"/>
    <s v="Não se aplica"/>
    <s v="Não se aplica"/>
    <s v="Não se aplica"/>
    <s v="CATIVO"/>
    <x v="3"/>
    <n v="2051"/>
    <n v="1968.96"/>
    <n v="0"/>
    <n v="0"/>
    <n v="0"/>
    <n v="0"/>
    <n v="44.35"/>
    <m/>
    <m/>
    <n v="90961.85"/>
    <m/>
    <n v="90961.85"/>
    <n v="59417.47"/>
    <n v="0"/>
    <n v="0"/>
    <n v="0"/>
    <n v="0"/>
    <n v="0"/>
    <n v="26913.352624262949"/>
    <n v="58900.302732065044"/>
    <m/>
    <m/>
    <m/>
    <n v="0"/>
    <n v="0"/>
    <n v="0"/>
    <n v="0"/>
    <m/>
    <n v="0"/>
    <n v="2034.0191385966432"/>
    <n v="3111.9646478801155"/>
    <n v="0"/>
    <n v="0"/>
    <m/>
    <m/>
    <n v="0"/>
    <n v="0"/>
    <n v="0"/>
    <m/>
    <m/>
    <n v="0"/>
    <m/>
    <n v="0"/>
    <n v="0"/>
    <n v="0"/>
    <n v="0"/>
    <m/>
    <n v="0"/>
    <n v="0"/>
    <n v="226.85"/>
    <n v="1032.06"/>
    <n v="337.62"/>
    <n v="13"/>
    <m/>
    <m/>
    <m/>
    <m/>
    <m/>
    <n v="2376.6987999999988"/>
    <m/>
    <m/>
    <m/>
    <n v="0"/>
    <m/>
    <m/>
    <m/>
    <m/>
    <m/>
    <m/>
    <m/>
    <m/>
    <m/>
    <m/>
    <m/>
    <m/>
    <n v="57040.771199999996"/>
    <n v="-30282.634799999993"/>
    <m/>
    <m/>
    <m/>
    <m/>
    <n v="-31544.380000000005"/>
    <n v="0"/>
    <n v="31"/>
    <n v="1503.5703774401918"/>
    <n v="245.57126068052094"/>
    <n v="375.71381078567538"/>
    <n v="0"/>
    <n v="0"/>
    <m/>
    <m/>
    <m/>
    <n v="882.285305973993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58900.302732065044"/>
    <m/>
    <n v="0"/>
    <n v="0"/>
    <n v="-31544.380000000005"/>
    <m/>
    <n v="0"/>
    <m/>
    <n v="-33042.46311217386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30"/>
    <s v="Regular"/>
    <s v="Verde"/>
    <s v="A4"/>
    <s v="Rural"/>
    <s v="Agropecuária rural"/>
    <s v="IRRIG./AQUIC. PR"/>
    <s v="Não se aplica"/>
    <s v="Fora ponta"/>
    <s v="CATIVO"/>
    <x v="3"/>
    <n v="0"/>
    <n v="0"/>
    <n v="1059.308"/>
    <n v="317.79239999999999"/>
    <n v="1059.308"/>
    <n v="317.79239999999999"/>
    <m/>
    <n v="79.7"/>
    <n v="209.4"/>
    <m/>
    <n v="306245.94280000002"/>
    <n v="306245.94280000002"/>
    <n v="331054.93615999998"/>
    <n v="0"/>
    <n v="56713.209993174489"/>
    <n v="0"/>
    <n v="0"/>
    <n v="0"/>
    <n v="0"/>
    <n v="0"/>
    <n v="218906.7882223991"/>
    <n v="2916.2378102839984"/>
    <n v="0"/>
    <n v="0"/>
    <n v="0"/>
    <n v="0"/>
    <n v="10073.597099493671"/>
    <m/>
    <n v="1406.59609875711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33.298032931873"/>
    <n v="0"/>
    <n v="0"/>
    <n v="0"/>
    <n v="0"/>
    <n v="0"/>
    <m/>
    <m/>
    <m/>
    <m/>
    <m/>
    <m/>
    <n v="231738.45531200001"/>
    <m/>
    <m/>
    <n v="235140.08625533097"/>
    <m/>
    <m/>
    <m/>
    <m/>
    <m/>
    <m/>
    <m/>
    <m/>
    <m/>
    <m/>
    <m/>
    <m/>
    <n v="99315.730800000005"/>
    <n v="7441.9179600000061"/>
    <m/>
    <m/>
    <m/>
    <m/>
    <n v="624.99172000000362"/>
    <n v="24184.001639999984"/>
    <n v="31"/>
    <n v="24800.735097006196"/>
    <n v="0"/>
    <n v="0"/>
    <n v="0"/>
    <n v="0"/>
    <n v="0"/>
    <n v="0"/>
    <n v="0"/>
    <n v="0"/>
    <n v="0"/>
    <n v="0"/>
    <n v="24176.67559972615"/>
    <n v="0"/>
    <n v="0"/>
    <n v="0"/>
    <n v="1792.8506632564186"/>
    <n v="0"/>
    <n v="-988.63164296562172"/>
    <m/>
    <n v="0"/>
    <n v="0"/>
    <n v="0"/>
    <n v="0"/>
    <n v="-147.63835764893338"/>
    <n v="-32.521165361795966"/>
    <n v="0"/>
    <n v="0"/>
    <m/>
    <m/>
    <m/>
    <n v="0"/>
    <n v="0"/>
    <n v="0"/>
    <n v="624.99171999999089"/>
    <n v="24184.00163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1"/>
    <s v="Refaturamento - Regular"/>
    <s v="Verde"/>
    <s v="A4"/>
    <s v="Rural"/>
    <s v="Agropecuária rural"/>
    <s v="IRRIG./AQUIC. PR"/>
    <s v="Não se aplica"/>
    <s v="Fora ponta"/>
    <s v="CATIVO"/>
    <x v="3"/>
    <n v="0"/>
    <n v="0"/>
    <n v="2.1880000000000002"/>
    <n v="0.65639999999999998"/>
    <n v="2.1880000000000002"/>
    <n v="0.65639999999999998"/>
    <m/>
    <n v="79.7"/>
    <n v="209.4"/>
    <m/>
    <n v="632.55080000000009"/>
    <n v="632.55080000000009"/>
    <n v="683.79376000000002"/>
    <n v="0"/>
    <n v="117.14109915630374"/>
    <n v="0"/>
    <n v="0"/>
    <n v="0"/>
    <n v="0"/>
    <n v="0"/>
    <n v="452.15183179076274"/>
    <n v="6.0234873416432135"/>
    <n v="0"/>
    <n v="0"/>
    <n v="0"/>
    <n v="0"/>
    <n v="20.80700839953267"/>
    <m/>
    <n v="2.9053233470157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529866758350678"/>
    <n v="0"/>
    <n v="0"/>
    <n v="0"/>
    <n v="0"/>
    <n v="0"/>
    <m/>
    <m/>
    <m/>
    <m/>
    <m/>
    <m/>
    <n v="478.65563200000003"/>
    <m/>
    <m/>
    <n v="485.68169854911343"/>
    <m/>
    <m/>
    <m/>
    <m/>
    <m/>
    <m/>
    <m/>
    <m/>
    <m/>
    <m/>
    <m/>
    <m/>
    <n v="206.26320000000001"/>
    <n v="16.467960000000005"/>
    <m/>
    <m/>
    <m/>
    <m/>
    <n v="1.2909200000000076"/>
    <n v="49.952039999999968"/>
    <n v="31"/>
    <n v="51.22590256304079"/>
    <n v="0"/>
    <n v="0"/>
    <n v="0"/>
    <n v="0"/>
    <n v="0"/>
    <n v="0"/>
    <n v="0"/>
    <n v="0"/>
    <n v="0"/>
    <n v="0"/>
    <n v="49.936908068475645"/>
    <n v="0"/>
    <n v="0"/>
    <n v="0"/>
    <n v="3.7031319042290249"/>
    <n v="0"/>
    <n v="-2.0420180295143524"/>
    <m/>
    <n v="0"/>
    <n v="0"/>
    <n v="0"/>
    <n v="0"/>
    <n v="-0.30494693378683735"/>
    <n v="-6.7172446362729232E-2"/>
    <n v="0"/>
    <n v="0"/>
    <m/>
    <m/>
    <m/>
    <n v="0"/>
    <n v="0"/>
    <n v="0"/>
    <n v="1.2909199999999998"/>
    <n v="49.95203999999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2"/>
    <s v="Regular"/>
    <s v="Convencional"/>
    <s v="B1"/>
    <s v="Residencial"/>
    <s v="Residencial"/>
    <s v="Não se aplica"/>
    <s v="Não se aplica"/>
    <s v="Não se aplica"/>
    <s v="CATIVO"/>
    <x v="4"/>
    <n v="0"/>
    <n v="0"/>
    <n v="1628.123"/>
    <n v="1628.123"/>
    <n v="1628.123"/>
    <n v="1628.123"/>
    <m/>
    <n v="581.32000000000005"/>
    <n v="209.4"/>
    <m/>
    <n v="1287389.4185600001"/>
    <n v="1287389.4185600001"/>
    <n v="983500.26061"/>
    <n v="0"/>
    <n v="100191.28253465012"/>
    <n v="0"/>
    <n v="0"/>
    <n v="0"/>
    <n v="120792.30923839589"/>
    <n v="627487.25260995852"/>
    <n v="336452.832189521"/>
    <n v="4482.1655763885619"/>
    <n v="0"/>
    <n v="0"/>
    <n v="0"/>
    <n v="0"/>
    <n v="15482.801159265233"/>
    <m/>
    <n v="2968.0101307802474"/>
    <n v="9279.4557379333382"/>
    <n v="13977.745250333142"/>
    <n v="0"/>
    <n v="0"/>
    <n v="0"/>
    <n v="0"/>
    <n v="0"/>
    <n v="0"/>
    <n v="0"/>
    <n v="0"/>
    <n v="0"/>
    <n v="0"/>
    <m/>
    <n v="0"/>
    <n v="0"/>
    <n v="0"/>
    <n v="0"/>
    <n v="0"/>
    <n v="56287.929859575794"/>
    <n v="0"/>
    <n v="3410.5"/>
    <n v="16169.04"/>
    <n v="517258.36"/>
    <n v="9297"/>
    <m/>
    <m/>
    <m/>
    <m/>
    <m/>
    <m/>
    <m/>
    <m/>
    <m/>
    <n v="392740.76204909681"/>
    <m/>
    <m/>
    <m/>
    <m/>
    <m/>
    <m/>
    <m/>
    <m/>
    <m/>
    <m/>
    <m/>
    <m/>
    <n v="983498.44839999988"/>
    <n v="-303891.00016000029"/>
    <m/>
    <m/>
    <m/>
    <m/>
    <n v="-341059.20604000014"/>
    <n v="37170.048089999975"/>
    <n v="30"/>
    <n v="48101.055410511093"/>
    <n v="1120.3275331841942"/>
    <n v="1687.5615658974202"/>
    <n v="0"/>
    <n v="0"/>
    <n v="0"/>
    <n v="0"/>
    <n v="0"/>
    <n v="3959.8663534626248"/>
    <n v="0"/>
    <n v="0"/>
    <n v="37158.788197061629"/>
    <n v="0"/>
    <n v="0"/>
    <n v="0"/>
    <n v="6216.5958006404326"/>
    <n v="0"/>
    <n v="-1746.546744135645"/>
    <m/>
    <n v="0"/>
    <n v="0"/>
    <n v="0"/>
    <n v="0"/>
    <n v="-226.9155012238698"/>
    <n v="-68.621794375695117"/>
    <n v="0"/>
    <n v="0"/>
    <m/>
    <m/>
    <m/>
    <n v="627487.25260995852"/>
    <n v="0"/>
    <n v="0"/>
    <n v="-341059.20604000019"/>
    <n v="37170.048089999997"/>
    <n v="0"/>
    <n v="0"/>
    <n v="-352013.88509055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3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1.169"/>
    <n v="-1.169"/>
    <n v="-1.169"/>
    <n v="-1.169"/>
    <m/>
    <n v="581.32000000000005"/>
    <n v="209.4"/>
    <m/>
    <n v="-924.3516800000001"/>
    <n v="-924.3516800000001"/>
    <n v="-706.15782999999999"/>
    <n v="0"/>
    <n v="-71.937813840235648"/>
    <n v="0"/>
    <n v="0"/>
    <n v="0"/>
    <n v="-86.729448266307145"/>
    <n v="-450.5388095991774"/>
    <n v="-241.57472182970824"/>
    <n v="-3.2182160431357021"/>
    <n v="0"/>
    <n v="0"/>
    <n v="0"/>
    <n v="0"/>
    <n v="-11.116724323150681"/>
    <m/>
    <n v="-2.1310452852039492"/>
    <n v="-6.6626930260453747"/>
    <n v="-10.036087075509309"/>
    <n v="0"/>
    <n v="0"/>
    <n v="0"/>
    <n v="0"/>
    <n v="0"/>
    <n v="0"/>
    <n v="0"/>
    <n v="0"/>
    <n v="0"/>
    <n v="0"/>
    <m/>
    <n v="0"/>
    <n v="0"/>
    <n v="0"/>
    <n v="0"/>
    <n v="0"/>
    <n v="-40.414999361746077"/>
    <n v="0"/>
    <n v="-3.53"/>
    <n v="-16.2"/>
    <n v="-412.24"/>
    <n v="0"/>
    <m/>
    <m/>
    <m/>
    <m/>
    <m/>
    <m/>
    <m/>
    <m/>
    <m/>
    <n v="-281.98972119145429"/>
    <m/>
    <m/>
    <m/>
    <m/>
    <m/>
    <m/>
    <m/>
    <m/>
    <m/>
    <m/>
    <m/>
    <m/>
    <n v="-706.76189999999997"/>
    <n v="217.55978000000016"/>
    <m/>
    <m/>
    <m/>
    <m/>
    <n v="244.8821200000001"/>
    <n v="-26.688269999999982"/>
    <n v="30"/>
    <n v="-34.536784858937267"/>
    <n v="-0.80440045763884083"/>
    <n v="-1.2116771709103578"/>
    <n v="0"/>
    <n v="0"/>
    <n v="0"/>
    <n v="0"/>
    <n v="0"/>
    <n v="-2.8432027354185152"/>
    <n v="0"/>
    <n v="0"/>
    <n v="-26.68018534371484"/>
    <n v="0"/>
    <n v="0"/>
    <n v="0"/>
    <n v="-4.4635451320008741"/>
    <n v="0"/>
    <n v="1.2540288073410721"/>
    <m/>
    <n v="0"/>
    <n v="0"/>
    <n v="0"/>
    <n v="0"/>
    <n v="0.16292640109543477"/>
    <n v="4.9270772309701449E-2"/>
    <n v="0"/>
    <n v="0"/>
    <m/>
    <m/>
    <m/>
    <n v="-450.5388095991774"/>
    <n v="0"/>
    <n v="0"/>
    <n v="244.88212000000016"/>
    <n v="-26.688270000000017"/>
    <n v="0"/>
    <n v="0"/>
    <n v="252.74763127285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4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47.335999999999999"/>
    <n v="47.335999999999999"/>
    <n v="47.335999999999999"/>
    <n v="47.335999999999999"/>
    <m/>
    <n v="581.32000000000005"/>
    <n v="209.4"/>
    <m/>
    <n v="37429.521919999999"/>
    <n v="37429.521919999999"/>
    <n v="28594.257519999999"/>
    <n v="0"/>
    <n v="2912.9583883159917"/>
    <n v="0"/>
    <n v="0"/>
    <n v="0"/>
    <n v="3511.9120300546747"/>
    <n v="18243.545843615619"/>
    <n v="9782.0197027639588"/>
    <n v="130.31434954480034"/>
    <n v="0"/>
    <n v="0"/>
    <n v="0"/>
    <n v="0"/>
    <n v="450.14650347361902"/>
    <m/>
    <n v="86.29183885407538"/>
    <n v="269.79062196824964"/>
    <n v="406.38855244337776"/>
    <n v="0"/>
    <n v="0"/>
    <n v="0"/>
    <n v="0"/>
    <n v="0"/>
    <n v="0"/>
    <n v="0"/>
    <n v="0"/>
    <n v="0"/>
    <n v="0"/>
    <m/>
    <n v="0"/>
    <n v="0"/>
    <n v="0"/>
    <n v="0"/>
    <n v="0"/>
    <n v="1636.5136097413276"/>
    <n v="0"/>
    <n v="99.28"/>
    <n v="477.3"/>
    <n v="48776.54"/>
    <n v="665"/>
    <m/>
    <m/>
    <m/>
    <m/>
    <m/>
    <m/>
    <m/>
    <m/>
    <m/>
    <n v="11418.533312505286"/>
    <m/>
    <m/>
    <m/>
    <m/>
    <m/>
    <m/>
    <m/>
    <m/>
    <m/>
    <m/>
    <m/>
    <m/>
    <n v="28596.673800000004"/>
    <n v="-8832.8781200000012"/>
    <m/>
    <m/>
    <m/>
    <m/>
    <n v="-9915.9452800000035"/>
    <n v="1080.6808799999992"/>
    <n v="30"/>
    <n v="1398.4886638859352"/>
    <n v="32.572369600335492"/>
    <n v="49.064115108821852"/>
    <n v="0"/>
    <n v="0"/>
    <n v="0"/>
    <n v="0"/>
    <n v="0"/>
    <n v="115.12903736849557"/>
    <n v="0"/>
    <n v="0"/>
    <n v="1080.3535102053775"/>
    <n v="0"/>
    <n v="0"/>
    <n v="0"/>
    <n v="180.74112264191058"/>
    <n v="0"/>
    <n v="-50.779048438234895"/>
    <m/>
    <n v="0"/>
    <n v="0"/>
    <n v="0"/>
    <n v="0"/>
    <n v="-6.5973345784889261"/>
    <n v="-1.99510802228572"/>
    <n v="0"/>
    <n v="0"/>
    <m/>
    <m/>
    <m/>
    <n v="18243.545843615619"/>
    <n v="0"/>
    <n v="0"/>
    <n v="-9915.9452800000035"/>
    <n v="1080.6808799999981"/>
    <n v="0"/>
    <n v="0"/>
    <n v="-10234.44129506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5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38.64"/>
    <n v="38.64"/>
    <n v="38.64"/>
    <n v="38.64"/>
    <m/>
    <n v="510.28"/>
    <n v="209.4"/>
    <m/>
    <n v="27808.4352"/>
    <n v="27808.4352"/>
    <n v="20642.647199999999"/>
    <n v="0"/>
    <n v="0"/>
    <n v="0"/>
    <n v="0"/>
    <n v="0"/>
    <n v="2866.7458349102722"/>
    <n v="14892.06125142191"/>
    <n v="7984.9848173652063"/>
    <n v="106.37456621622201"/>
    <n v="0"/>
    <n v="0"/>
    <n v="0"/>
    <n v="0"/>
    <n v="0"/>
    <m/>
    <n v="70.439341163627532"/>
    <n v="220.22793714832613"/>
    <n v="331.73174045994841"/>
    <n v="0"/>
    <n v="0"/>
    <n v="0"/>
    <n v="0"/>
    <n v="0"/>
    <n v="0"/>
    <n v="0"/>
    <n v="0"/>
    <n v="0"/>
    <n v="0"/>
    <m/>
    <n v="0"/>
    <n v="0"/>
    <n v="0"/>
    <n v="0"/>
    <n v="0"/>
    <n v="1335.873032795439"/>
    <n v="0"/>
    <n v="23.27"/>
    <n v="93.07"/>
    <n v="2954.34"/>
    <n v="82"/>
    <m/>
    <m/>
    <m/>
    <m/>
    <m/>
    <m/>
    <m/>
    <n v="13417.74"/>
    <m/>
    <n v="9320.8578501606462"/>
    <m/>
    <m/>
    <m/>
    <m/>
    <m/>
    <m/>
    <m/>
    <m/>
    <m/>
    <m/>
    <m/>
    <m/>
    <n v="7224.9071999999996"/>
    <n v="-2508.1524000000027"/>
    <m/>
    <m/>
    <m/>
    <m/>
    <n v="-8047.9391999999989"/>
    <n v="882.15119999999945"/>
    <n v="30"/>
    <n v="1188.411048933549"/>
    <n v="26.588566024948534"/>
    <n v="40.050646607336375"/>
    <n v="0"/>
    <n v="0"/>
    <n v="0"/>
    <n v="0"/>
    <n v="0"/>
    <n v="93.978916763534016"/>
    <n v="0"/>
    <n v="0"/>
    <n v="881.88397064254968"/>
    <n v="0"/>
    <n v="0"/>
    <n v="0"/>
    <n v="147.53753969248396"/>
    <n v="0"/>
    <n v="0"/>
    <m/>
    <n v="0"/>
    <n v="0"/>
    <n v="0"/>
    <n v="0"/>
    <n v="0"/>
    <n v="-1.6285907973026923"/>
    <n v="0"/>
    <n v="0"/>
    <m/>
    <m/>
    <m/>
    <n v="14892.06125142191"/>
    <n v="0"/>
    <n v="0"/>
    <n v="-8047.9391999999989"/>
    <n v="882.15120000000024"/>
    <n v="0"/>
    <n v="0"/>
    <n v="-8354.2929618333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6"/>
    <s v="Refaturamento - 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2"/>
    <n v="0.01"/>
    <n v="-1.5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37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79.010999999999996"/>
    <n v="79.010999999999996"/>
    <n v="79.010999999999996"/>
    <n v="79.010999999999996"/>
    <m/>
    <n v="510.28"/>
    <n v="209.4"/>
    <m/>
    <n v="56862.636480000001"/>
    <n v="56862.636480000001"/>
    <n v="42210.04653"/>
    <n v="0"/>
    <n v="0"/>
    <n v="0"/>
    <n v="0"/>
    <n v="0"/>
    <n v="5861.9165414620984"/>
    <n v="30451.259097725066"/>
    <n v="16327.682075694676"/>
    <n v="217.51451478545331"/>
    <n v="0"/>
    <n v="0"/>
    <n v="0"/>
    <n v="0"/>
    <n v="0"/>
    <m/>
    <n v="144.03423355795485"/>
    <n v="450.32167551828144"/>
    <n v="678.3244447588246"/>
    <n v="0"/>
    <n v="0"/>
    <n v="0"/>
    <n v="0"/>
    <n v="0"/>
    <n v="0"/>
    <n v="0"/>
    <n v="0"/>
    <n v="0"/>
    <n v="0"/>
    <m/>
    <n v="0"/>
    <n v="0"/>
    <n v="0"/>
    <n v="0"/>
    <n v="0"/>
    <n v="2731.5906882557047"/>
    <n v="0"/>
    <n v="68.66"/>
    <n v="344.43"/>
    <n v="11184.67"/>
    <n v="215"/>
    <m/>
    <m/>
    <m/>
    <m/>
    <m/>
    <m/>
    <m/>
    <n v="16883.860589999997"/>
    <m/>
    <n v="19059.272763950379"/>
    <m/>
    <m/>
    <m/>
    <m/>
    <m/>
    <m/>
    <m/>
    <m/>
    <m/>
    <m/>
    <m/>
    <m/>
    <n v="25325.865400000002"/>
    <n v="-8791.904509999993"/>
    <m/>
    <m/>
    <m/>
    <m/>
    <n v="-16456.411079999998"/>
    <n v="1803.8211299999987"/>
    <n v="30"/>
    <n v="2430.0606984287988"/>
    <n v="54.368250263902894"/>
    <n v="81.895487554147394"/>
    <n v="0"/>
    <n v="0"/>
    <n v="0"/>
    <n v="0"/>
    <n v="0"/>
    <n v="192.16791388208094"/>
    <n v="0"/>
    <n v="0"/>
    <n v="1803.2746999078263"/>
    <n v="0"/>
    <n v="0"/>
    <n v="0"/>
    <n v="301.6844862485209"/>
    <n v="0"/>
    <n v="0"/>
    <m/>
    <n v="0"/>
    <n v="0"/>
    <n v="0"/>
    <n v="0"/>
    <n v="0"/>
    <n v="-3.3301394276833207"/>
    <n v="0"/>
    <n v="0"/>
    <m/>
    <m/>
    <m/>
    <n v="30451.259097725066"/>
    <n v="0"/>
    <n v="0"/>
    <n v="-16456.411079999998"/>
    <n v="1803.8211300000003"/>
    <n v="0"/>
    <n v="0"/>
    <n v="-17082.84268135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8"/>
    <s v="Refaturamento - 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-0.109"/>
    <n v="-0.109"/>
    <n v="-0.109"/>
    <n v="-0.109"/>
    <m/>
    <n v="510.28"/>
    <n v="209.4"/>
    <m/>
    <n v="-78.445120000000003"/>
    <n v="-78.445120000000003"/>
    <n v="-58.231070000000003"/>
    <n v="0"/>
    <n v="0"/>
    <n v="0"/>
    <n v="0"/>
    <n v="0"/>
    <n v="-8.0868347827437805"/>
    <n v="-42.009178995988307"/>
    <n v="-22.524931291221726"/>
    <n v="-0.30007318109648545"/>
    <n v="0"/>
    <n v="0"/>
    <n v="0"/>
    <n v="0"/>
    <n v="0"/>
    <m/>
    <n v="-0.19870311042534683"/>
    <n v="-0.62124340448156179"/>
    <n v="-0.93578570678401596"/>
    <n v="0"/>
    <n v="0"/>
    <n v="0"/>
    <n v="0"/>
    <n v="0"/>
    <n v="0"/>
    <n v="0"/>
    <n v="0"/>
    <n v="0"/>
    <n v="0"/>
    <m/>
    <n v="0"/>
    <n v="0"/>
    <n v="0"/>
    <n v="0"/>
    <n v="0"/>
    <n v="-3.76837889686084"/>
    <n v="0"/>
    <n v="-0.14000000000000001"/>
    <n v="-0.66"/>
    <n v="-14.14"/>
    <n v="0"/>
    <m/>
    <m/>
    <m/>
    <m/>
    <m/>
    <m/>
    <m/>
    <n v="-23.292209999999997"/>
    <m/>
    <n v="-26.293310188082565"/>
    <m/>
    <m/>
    <m/>
    <m/>
    <m/>
    <m/>
    <m/>
    <m/>
    <m/>
    <m/>
    <m/>
    <m/>
    <n v="-35.259399999999999"/>
    <n v="11.777890000000014"/>
    <m/>
    <m/>
    <m/>
    <m/>
    <n v="22.702519999999996"/>
    <n v="-2.4884699999999982"/>
    <n v="30"/>
    <n v="-3.3524017684719638"/>
    <n v="-7.5003977658369303E-2"/>
    <n v="-0.11297930849378013"/>
    <n v="0"/>
    <n v="0"/>
    <n v="0"/>
    <n v="0"/>
    <n v="0"/>
    <n v="-0.26510615753688427"/>
    <n v="0"/>
    <n v="0"/>
    <n v="-2.4877161697732362"/>
    <n v="0"/>
    <n v="0"/>
    <n v="0"/>
    <n v="-0.41619026466047515"/>
    <n v="0"/>
    <n v="0"/>
    <m/>
    <n v="0"/>
    <n v="0"/>
    <n v="0"/>
    <n v="0"/>
    <n v="0"/>
    <n v="4.5941096507762513E-3"/>
    <n v="0"/>
    <n v="0"/>
    <m/>
    <m/>
    <m/>
    <n v="-42.009178995988307"/>
    <n v="0"/>
    <n v="0"/>
    <n v="22.70252"/>
    <n v="-2.4884699999999995"/>
    <n v="0"/>
    <n v="0"/>
    <n v="23.566716688401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39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74.98"/>
    <n v="74.98"/>
    <n v="74.98"/>
    <n v="74.98"/>
    <m/>
    <n v="510.28"/>
    <n v="209.4"/>
    <m/>
    <n v="53961.606400000004"/>
    <n v="53961.606400000004"/>
    <n v="40056.565400000007"/>
    <n v="0"/>
    <n v="0"/>
    <n v="0"/>
    <n v="0"/>
    <n v="0"/>
    <n v="5562.852036790171"/>
    <n v="28897.69028549728"/>
    <n v="15494.672919411056"/>
    <n v="206.41731301481175"/>
    <n v="0"/>
    <n v="0"/>
    <n v="0"/>
    <n v="0"/>
    <n v="0"/>
    <m/>
    <n v="136.68586440084869"/>
    <n v="427.34706851401387"/>
    <n v="643.71754398775704"/>
    <n v="0"/>
    <n v="0"/>
    <n v="0"/>
    <n v="0"/>
    <n v="0"/>
    <n v="0"/>
    <n v="0"/>
    <n v="0"/>
    <n v="0"/>
    <n v="0"/>
    <m/>
    <n v="0"/>
    <n v="0"/>
    <n v="0"/>
    <n v="0"/>
    <n v="0"/>
    <n v="2592.229813638769"/>
    <n v="0"/>
    <n v="109.58"/>
    <n v="534.51"/>
    <n v="17417.419999999998"/>
    <n v="684"/>
    <m/>
    <m/>
    <m/>
    <m/>
    <m/>
    <m/>
    <m/>
    <n v="4006.1813999999986"/>
    <m/>
    <n v="18086.902733049825"/>
    <m/>
    <m/>
    <m/>
    <m/>
    <m/>
    <m/>
    <m/>
    <m/>
    <m/>
    <m/>
    <m/>
    <m/>
    <n v="36050.384000000005"/>
    <n v="-12514.941800000008"/>
    <m/>
    <m/>
    <m/>
    <m/>
    <n v="-15616.834399999998"/>
    <n v="1711.7933999999989"/>
    <n v="30"/>
    <n v="2306.0833449543934"/>
    <n v="51.594479310316729"/>
    <n v="77.717326154712282"/>
    <n v="0"/>
    <n v="0"/>
    <n v="0"/>
    <n v="0"/>
    <n v="0"/>
    <n v="182.36385038638218"/>
    <n v="0"/>
    <n v="0"/>
    <n v="1711.2748477944733"/>
    <n v="0"/>
    <n v="0"/>
    <n v="0"/>
    <n v="286.29308297470106"/>
    <n v="0"/>
    <n v="0"/>
    <m/>
    <n v="0"/>
    <n v="0"/>
    <n v="0"/>
    <n v="0"/>
    <n v="0"/>
    <n v="-3.1602416661945369"/>
    <n v="0"/>
    <n v="0"/>
    <m/>
    <m/>
    <m/>
    <n v="28897.69028549728"/>
    <n v="0"/>
    <n v="0"/>
    <n v="-15616.834399999996"/>
    <n v="1711.7933999999987"/>
    <n v="0"/>
    <n v="0"/>
    <n v="-16211.306580700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0"/>
    <s v="Refaturamento - 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-0.17599999999999999"/>
    <n v="-0.17599999999999999"/>
    <n v="-0.17599999999999999"/>
    <n v="-0.17599999999999999"/>
    <m/>
    <n v="510.28"/>
    <n v="209.4"/>
    <m/>
    <n v="-126.66367999999999"/>
    <n v="-126.66367999999999"/>
    <n v="-94.024479999999983"/>
    <n v="0"/>
    <n v="0"/>
    <n v="0"/>
    <n v="0"/>
    <n v="0"/>
    <n v="-13.05764148406335"/>
    <n v="-67.831334892604971"/>
    <n v="-36.3705312592204"/>
    <n v="-0.48452183369707741"/>
    <n v="0"/>
    <n v="0"/>
    <n v="0"/>
    <n v="0"/>
    <n v="0"/>
    <m/>
    <n v="-0.32084171958588109"/>
    <n v="-1.0031086164105951"/>
    <n v="-1.5109934348072183"/>
    <n v="0"/>
    <n v="0"/>
    <n v="0"/>
    <n v="0"/>
    <n v="0"/>
    <n v="0"/>
    <n v="0"/>
    <n v="0"/>
    <n v="0"/>
    <n v="0"/>
    <m/>
    <n v="0"/>
    <n v="0"/>
    <n v="0"/>
    <n v="0"/>
    <n v="0"/>
    <n v="-6.0847218885092458"/>
    <n v="0"/>
    <n v="-0.42"/>
    <n v="-1.95"/>
    <n v="-41.46"/>
    <n v="0"/>
    <m/>
    <m/>
    <m/>
    <m/>
    <m/>
    <m/>
    <m/>
    <n v="-9.4036799999999943"/>
    <m/>
    <n v="-42.455253147729643"/>
    <m/>
    <m/>
    <m/>
    <m/>
    <m/>
    <m/>
    <m/>
    <m/>
    <m/>
    <m/>
    <m/>
    <m/>
    <n v="-86.543999999999997"/>
    <n v="27.422959999999975"/>
    <m/>
    <m/>
    <m/>
    <m/>
    <n v="36.657279999999993"/>
    <n v="-4.0180799999999968"/>
    <n v="30"/>
    <n v="-5.4130523967987969"/>
    <n v="-0.12110734007222934"/>
    <n v="-0.18242530545784708"/>
    <n v="0"/>
    <n v="0"/>
    <n v="0"/>
    <n v="0"/>
    <n v="0"/>
    <n v="-0.42806131859166818"/>
    <n v="0"/>
    <n v="0"/>
    <n v="-4.0168628062393594"/>
    <n v="0"/>
    <n v="0"/>
    <n v="0"/>
    <n v="-0.67201363835085903"/>
    <n v="0"/>
    <n v="0"/>
    <m/>
    <n v="0"/>
    <n v="0"/>
    <n v="0"/>
    <n v="0"/>
    <n v="0"/>
    <n v="7.4180119131799782E-3"/>
    <n v="0"/>
    <n v="0"/>
    <m/>
    <m/>
    <m/>
    <n v="-67.831334892604971"/>
    <n v="0"/>
    <n v="0"/>
    <n v="36.657279999999993"/>
    <n v="-4.0180799999999977"/>
    <n v="0"/>
    <n v="0"/>
    <n v="38.052680157418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1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22.260999999999999"/>
    <n v="22.260999999999999"/>
    <n v="22.260999999999999"/>
    <n v="22.260999999999999"/>
    <m/>
    <n v="510.28"/>
    <n v="209.4"/>
    <m/>
    <n v="16020.796479999999"/>
    <n v="16020.796479999999"/>
    <n v="11892.49403"/>
    <n v="0"/>
    <n v="0"/>
    <n v="0"/>
    <n v="0"/>
    <n v="0"/>
    <n v="1651.5690742996264"/>
    <n v="8579.5076479788604"/>
    <n v="4600.2522520540078"/>
    <n v="61.283753067787735"/>
    <n v="0"/>
    <n v="0"/>
    <n v="0"/>
    <n v="0"/>
    <n v="0"/>
    <m/>
    <n v="40.581008634666475"/>
    <n v="126.87614153361511"/>
    <n v="191.11491393320165"/>
    <n v="0"/>
    <n v="0"/>
    <n v="0"/>
    <n v="0"/>
    <n v="0"/>
    <n v="0"/>
    <n v="0"/>
    <n v="0"/>
    <n v="0"/>
    <n v="0"/>
    <m/>
    <n v="0"/>
    <n v="0"/>
    <n v="0"/>
    <n v="0"/>
    <n v="0"/>
    <n v="769.61360204604728"/>
    <n v="0"/>
    <n v="44.61"/>
    <n v="210.47"/>
    <n v="6876.67"/>
    <n v="307"/>
    <m/>
    <m/>
    <m/>
    <m/>
    <m/>
    <m/>
    <m/>
    <m/>
    <m/>
    <n v="5369.865854100055"/>
    <m/>
    <m/>
    <m/>
    <m/>
    <m/>
    <m/>
    <m/>
    <m/>
    <m/>
    <m/>
    <m/>
    <m/>
    <n v="11891.959800000001"/>
    <n v="-4128.8666799999992"/>
    <m/>
    <m/>
    <m/>
    <m/>
    <n v="-4636.5210799999995"/>
    <n v="508.21862999999962"/>
    <n v="30"/>
    <n v="684.65886025646341"/>
    <n v="15.318014189476685"/>
    <n v="23.073691618165498"/>
    <n v="0"/>
    <n v="0"/>
    <n v="0"/>
    <n v="0"/>
    <n v="0"/>
    <n v="54.142460302097106"/>
    <n v="0"/>
    <n v="0"/>
    <n v="508.06467573689952"/>
    <n v="0"/>
    <n v="0"/>
    <n v="0"/>
    <n v="84.998270473457183"/>
    <n v="0"/>
    <n v="0"/>
    <m/>
    <n v="0"/>
    <n v="0"/>
    <n v="0"/>
    <n v="0"/>
    <n v="0"/>
    <n v="-0.93825206363238323"/>
    <n v="0"/>
    <n v="0"/>
    <m/>
    <m/>
    <m/>
    <n v="8579.5076479788604"/>
    <n v="0"/>
    <n v="0"/>
    <n v="-4636.5210799999986"/>
    <n v="508.21862999999939"/>
    <n v="0"/>
    <n v="0"/>
    <n v="-4813.015414683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2"/>
    <s v="Refaturamento - 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-1E-3"/>
    <n v="-1E-3"/>
    <n v="-1E-3"/>
    <n v="-1E-3"/>
    <m/>
    <n v="510.28"/>
    <n v="209.4"/>
    <m/>
    <n v="-0.71967999999999999"/>
    <n v="-0.71967999999999999"/>
    <n v="-0.53422999999999998"/>
    <n v="0"/>
    <n v="0"/>
    <n v="0"/>
    <n v="0"/>
    <n v="0"/>
    <n v="-7.4191144795814498E-2"/>
    <n v="-0.38540531188980098"/>
    <n v="-0.20665074579102502"/>
    <n v="-2.7529649641879401E-3"/>
    <n v="0"/>
    <n v="0"/>
    <n v="0"/>
    <n v="0"/>
    <n v="0"/>
    <m/>
    <n v="-1.8229643158288701E-3"/>
    <n v="-5.6994807750602007E-3"/>
    <n v="-8.5851899704955589E-3"/>
    <n v="0"/>
    <n v="0"/>
    <n v="0"/>
    <n v="0"/>
    <n v="0"/>
    <n v="0"/>
    <n v="0"/>
    <n v="0"/>
    <n v="0"/>
    <n v="0"/>
    <m/>
    <n v="0"/>
    <n v="0"/>
    <n v="0"/>
    <n v="0"/>
    <n v="0"/>
    <n v="-3.4572283457438902E-2"/>
    <n v="0"/>
    <n v="-7.0000000000000007E-2"/>
    <n v="-0.33"/>
    <n v="-6.95"/>
    <n v="0"/>
    <m/>
    <m/>
    <m/>
    <m/>
    <m/>
    <m/>
    <m/>
    <m/>
    <m/>
    <n v="-0.24122302924846392"/>
    <m/>
    <m/>
    <m/>
    <m/>
    <m/>
    <m/>
    <m/>
    <m/>
    <m/>
    <m/>
    <m/>
    <m/>
    <n v="0"/>
    <n v="0.68967999999999996"/>
    <m/>
    <m/>
    <m/>
    <m/>
    <n v="0.20827999999999997"/>
    <n v="-2.2829999999999986E-2"/>
    <n v="30"/>
    <n v="-3.0755979527265831E-2"/>
    <n v="-6.8810988677403019E-4"/>
    <n v="-1.0365074173741308E-3"/>
    <n v="0"/>
    <n v="0"/>
    <n v="0"/>
    <n v="0"/>
    <n v="0"/>
    <n v="-2.4321665829071942E-3"/>
    <n v="0"/>
    <n v="0"/>
    <n v="-2.2823084126359972E-2"/>
    <n v="0"/>
    <n v="0"/>
    <n v="0"/>
    <n v="-3.8182593088116959E-3"/>
    <n v="0"/>
    <n v="0"/>
    <m/>
    <n v="0"/>
    <n v="0"/>
    <n v="0"/>
    <n v="0"/>
    <n v="0"/>
    <n v="4.2147794961250014E-5"/>
    <n v="0"/>
    <n v="0"/>
    <m/>
    <m/>
    <m/>
    <n v="-0.38540531188980098"/>
    <n v="0"/>
    <n v="0"/>
    <n v="0.20827999999999997"/>
    <n v="-2.2829999999999989E-2"/>
    <n v="0"/>
    <n v="0"/>
    <n v="0.2162084099853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3"/>
    <s v="Regular"/>
    <s v="Branca"/>
    <s v="B1"/>
    <s v="Residencial"/>
    <s v="Residencial"/>
    <s v="Não se aplica"/>
    <s v="Não se aplica"/>
    <s v="Ponta"/>
    <s v="CATIVO"/>
    <x v="4"/>
    <n v="0"/>
    <n v="0"/>
    <n v="7.3999999999999996E-2"/>
    <n v="7.3999999999999996E-2"/>
    <n v="7.3999999999999996E-2"/>
    <n v="7.3999999999999996E-2"/>
    <m/>
    <n v="1292.1099999999999"/>
    <n v="209.4"/>
    <m/>
    <n v="111.11173999999998"/>
    <n v="111.11173999999998"/>
    <n v="73.761719999999997"/>
    <n v="0"/>
    <n v="4.5538051532741122"/>
    <n v="0"/>
    <n v="0"/>
    <n v="0"/>
    <n v="13.722919552032204"/>
    <n v="71.300007909832289"/>
    <n v="15.292155188535849"/>
    <n v="0.20371940734990757"/>
    <n v="0"/>
    <n v="0"/>
    <n v="0"/>
    <n v="0"/>
    <n v="0.70371052173922188"/>
    <m/>
    <n v="0.13489935937133637"/>
    <n v="1.0544134401679526"/>
    <n v="1.5882601445416784"/>
    <n v="0"/>
    <n v="0"/>
    <n v="0"/>
    <n v="0"/>
    <n v="0"/>
    <n v="0"/>
    <n v="0"/>
    <n v="0"/>
    <n v="0"/>
    <n v="0"/>
    <m/>
    <n v="0"/>
    <n v="0"/>
    <n v="0"/>
    <n v="0"/>
    <n v="0"/>
    <n v="2.5583489758504783"/>
    <n v="0"/>
    <n v="0"/>
    <n v="0"/>
    <n v="0"/>
    <n v="0"/>
    <m/>
    <m/>
    <m/>
    <m/>
    <m/>
    <m/>
    <m/>
    <m/>
    <m/>
    <n v="17.850504164386329"/>
    <m/>
    <m/>
    <m/>
    <m/>
    <m/>
    <m/>
    <m/>
    <m/>
    <m/>
    <m/>
    <m/>
    <m/>
    <n v="69.774600000000007"/>
    <n v="-41.367139999999992"/>
    <m/>
    <m/>
    <m/>
    <m/>
    <n v="-39.039439999999992"/>
    <n v="1.6894199999999988"/>
    <n v="30"/>
    <n v="2.6475705280791786"/>
    <n v="0.12730147561895055"/>
    <n v="0.19175387221421247"/>
    <n v="0"/>
    <n v="0"/>
    <n v="0"/>
    <n v="0"/>
    <n v="0"/>
    <n v="0.44987075541476784"/>
    <n v="0"/>
    <n v="0"/>
    <n v="1.6889082253506391"/>
    <n v="0"/>
    <n v="0"/>
    <n v="0"/>
    <n v="0.28255118885206576"/>
    <n v="0"/>
    <n v="-7.9382490798322713E-2"/>
    <m/>
    <n v="0"/>
    <n v="0"/>
    <n v="0"/>
    <n v="0"/>
    <n v="-1.0313561745989963E-2"/>
    <n v="-3.1189368271324902E-3"/>
    <n v="0"/>
    <n v="0"/>
    <m/>
    <m/>
    <m/>
    <n v="71.300007909832289"/>
    <n v="0"/>
    <n v="0"/>
    <n v="-39.039439999999992"/>
    <n v="1.6894199999999984"/>
    <n v="0"/>
    <n v="0"/>
    <n v="-39.99856998996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4"/>
    <s v="Regular"/>
    <s v="Branca"/>
    <s v="B1"/>
    <s v="Residencial"/>
    <s v="Residencial"/>
    <s v="Não se aplica"/>
    <s v="Não se aplica"/>
    <s v="Fora ponta"/>
    <s v="CATIVO"/>
    <x v="4"/>
    <n v="0"/>
    <n v="0"/>
    <n v="0.88"/>
    <n v="0.88"/>
    <n v="0.88"/>
    <n v="0.88"/>
    <m/>
    <n v="344.38"/>
    <n v="209.4"/>
    <m/>
    <n v="487.32640000000004"/>
    <n v="487.32640000000004"/>
    <n v="416.37199999999996"/>
    <n v="0"/>
    <n v="54.153358579475935"/>
    <n v="0"/>
    <n v="0"/>
    <n v="0"/>
    <n v="32.644103710158419"/>
    <n v="169.5783372315129"/>
    <n v="181.852656296102"/>
    <n v="2.4226091684853874"/>
    <n v="0"/>
    <n v="0"/>
    <n v="0"/>
    <n v="0"/>
    <n v="8.3684494477096667"/>
    <m/>
    <n v="1.6042085979294056"/>
    <n v="2.507771541026488"/>
    <n v="3.7774835870180459"/>
    <n v="0"/>
    <n v="0"/>
    <n v="0"/>
    <n v="0"/>
    <n v="0"/>
    <n v="0"/>
    <n v="0"/>
    <n v="0"/>
    <n v="0"/>
    <n v="0"/>
    <m/>
    <n v="0"/>
    <n v="0"/>
    <n v="0"/>
    <n v="0"/>
    <n v="0"/>
    <n v="30.423609442546233"/>
    <n v="0"/>
    <n v="0"/>
    <n v="0"/>
    <n v="0"/>
    <n v="0"/>
    <m/>
    <m/>
    <m/>
    <m/>
    <m/>
    <m/>
    <m/>
    <m/>
    <m/>
    <n v="212.27626573864822"/>
    <m/>
    <m/>
    <m/>
    <m/>
    <m/>
    <m/>
    <m/>
    <m/>
    <m/>
    <m/>
    <m/>
    <m/>
    <n v="416.37199999999996"/>
    <n v="-70.984400000000051"/>
    <m/>
    <m/>
    <m/>
    <m/>
    <n v="-91.044800000000009"/>
    <n v="20.090399999999985"/>
    <n v="30"/>
    <n v="24.169621313703033"/>
    <n v="0.30276835018056847"/>
    <n v="0.45606326364462202"/>
    <n v="0"/>
    <n v="0"/>
    <n v="0"/>
    <n v="0"/>
    <n v="0"/>
    <n v="1.0701532964791696"/>
    <n v="0"/>
    <n v="0"/>
    <n v="20.084314031196783"/>
    <n v="0"/>
    <n v="0"/>
    <n v="0"/>
    <n v="3.3600681917542907"/>
    <n v="0"/>
    <n v="-0.94400799868275698"/>
    <m/>
    <n v="0"/>
    <n v="0"/>
    <n v="0"/>
    <n v="0"/>
    <n v="-0.12264776130366428"/>
    <n v="-3.7090059565899836E-2"/>
    <n v="0"/>
    <n v="0"/>
    <m/>
    <m/>
    <m/>
    <n v="169.5783372315129"/>
    <n v="0"/>
    <n v="0"/>
    <n v="-91.044800000000009"/>
    <n v="20.09039999999996"/>
    <n v="0"/>
    <n v="0"/>
    <n v="-95.131700393547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5"/>
    <s v="Regular"/>
    <s v="Branca"/>
    <s v="B1"/>
    <s v="Residencial"/>
    <s v="Residencial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7"/>
    <n v="9.24"/>
    <n v="302.5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46"/>
    <s v="Regular"/>
    <s v="Branca"/>
    <s v="B1"/>
    <s v="Residencial"/>
    <s v="Residencial"/>
    <s v="Não se aplica"/>
    <s v="Não se aplica"/>
    <s v="Intermediário"/>
    <s v="CATIVO"/>
    <x v="4"/>
    <n v="0"/>
    <n v="0"/>
    <n v="7.9000000000000001E-2"/>
    <n v="7.9000000000000001E-2"/>
    <n v="7.9000000000000001E-2"/>
    <n v="7.9000000000000001E-2"/>
    <m/>
    <n v="818.26"/>
    <n v="209.4"/>
    <m/>
    <n v="81.18513999999999"/>
    <n v="81.18513999999999"/>
    <n v="58.063420000000001"/>
    <n v="0"/>
    <n v="4.8614946906574987"/>
    <n v="0"/>
    <n v="0"/>
    <n v="0"/>
    <n v="8.7916506583040377"/>
    <n v="45.670556372553705"/>
    <n v="16.325408917490975"/>
    <n v="0.21748423217084728"/>
    <n v="0"/>
    <n v="0"/>
    <n v="0"/>
    <n v="0"/>
    <n v="0.75125852996484499"/>
    <m/>
    <n v="0.14401418095048074"/>
    <n v="0.6753986103009002"/>
    <n v="1.0173450115037206"/>
    <n v="0"/>
    <n v="0"/>
    <n v="0"/>
    <n v="0"/>
    <n v="0"/>
    <n v="0"/>
    <n v="0"/>
    <n v="0"/>
    <n v="0"/>
    <n v="0"/>
    <m/>
    <n v="0"/>
    <n v="0"/>
    <n v="0"/>
    <n v="0"/>
    <n v="0"/>
    <n v="2.731210393137673"/>
    <n v="0"/>
    <n v="0"/>
    <n v="0"/>
    <n v="0"/>
    <n v="0"/>
    <m/>
    <m/>
    <m/>
    <m/>
    <m/>
    <m/>
    <m/>
    <m/>
    <m/>
    <n v="19.056619310628648"/>
    <m/>
    <m/>
    <m/>
    <m/>
    <m/>
    <m/>
    <m/>
    <m/>
    <m/>
    <m/>
    <m/>
    <m/>
    <n v="58.798400000000001"/>
    <n v="-22.416740000000004"/>
    <m/>
    <m/>
    <m/>
    <m/>
    <n v="-24.92529"/>
    <n v="1.8035699999999988"/>
    <n v="30"/>
    <n v="2.498159973593971"/>
    <n v="8.1542245619132814E-2"/>
    <n v="0.12282612895883482"/>
    <n v="0"/>
    <n v="0"/>
    <n v="0"/>
    <n v="0"/>
    <n v="0"/>
    <n v="0.28821174007451944"/>
    <n v="0"/>
    <n v="0"/>
    <n v="1.8030236459824387"/>
    <n v="0"/>
    <n v="0"/>
    <n v="0"/>
    <n v="0.30164248539612437"/>
    <n v="0"/>
    <n v="-8.4746172609020398E-2"/>
    <m/>
    <n v="0"/>
    <n v="0"/>
    <n v="0"/>
    <n v="0"/>
    <n v="-1.1010424026124288E-2"/>
    <n v="-3.3296758019387418E-3"/>
    <n v="0"/>
    <n v="0"/>
    <m/>
    <m/>
    <m/>
    <n v="45.670556372553705"/>
    <n v="0"/>
    <n v="0"/>
    <n v="-24.925289999999997"/>
    <n v="1.8035700000000006"/>
    <n v="0"/>
    <n v="0"/>
    <n v="-25.620711681521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7"/>
    <s v="Regular"/>
    <s v="Convencional"/>
    <s v="B3"/>
    <s v="Industrial"/>
    <s v="Não se aplica"/>
    <s v="Não se aplica"/>
    <s v="Não se aplica"/>
    <s v="Não se aplica"/>
    <s v="CATIVO"/>
    <x v="4"/>
    <n v="0"/>
    <n v="0"/>
    <n v="8.8070000000000004"/>
    <n v="8.8070000000000004"/>
    <n v="8.8070000000000004"/>
    <n v="8.8070000000000004"/>
    <m/>
    <n v="581.32000000000005"/>
    <n v="209.4"/>
    <m/>
    <n v="6963.8710400000009"/>
    <n v="6963.8710400000009"/>
    <n v="5320.0444900000002"/>
    <n v="0"/>
    <n v="541.96435114709607"/>
    <n v="0"/>
    <n v="0"/>
    <n v="0"/>
    <n v="653.40141221673832"/>
    <n v="3394.2645818134774"/>
    <n v="1819.9731181815573"/>
    <n v="24.245362439603191"/>
    <n v="0"/>
    <n v="0"/>
    <n v="0"/>
    <n v="0"/>
    <n v="83.751061688612538"/>
    <m/>
    <n v="16.05484672950486"/>
    <n v="50.195327185955186"/>
    <n v="75.609768070154388"/>
    <n v="0"/>
    <n v="0"/>
    <n v="0"/>
    <n v="0"/>
    <n v="0"/>
    <n v="0"/>
    <n v="0"/>
    <n v="0"/>
    <n v="0"/>
    <n v="0"/>
    <m/>
    <n v="0"/>
    <n v="0"/>
    <n v="0"/>
    <n v="0"/>
    <n v="0"/>
    <n v="304.47810040966442"/>
    <n v="0"/>
    <n v="18.670000000000002"/>
    <n v="87.44"/>
    <n v="1416.2"/>
    <n v="7"/>
    <m/>
    <m/>
    <m/>
    <m/>
    <m/>
    <m/>
    <m/>
    <m/>
    <m/>
    <n v="2124.4512185912217"/>
    <m/>
    <m/>
    <m/>
    <m/>
    <m/>
    <m/>
    <m/>
    <m/>
    <m/>
    <m/>
    <m/>
    <m/>
    <n v="5321.8567000000003"/>
    <n v="-1642.0443400000013"/>
    <m/>
    <m/>
    <m/>
    <m/>
    <n v="-1844.8903600000008"/>
    <n v="201.06380999999988"/>
    <n v="30"/>
    <n v="260.19286933503827"/>
    <n v="6.0601837728188812"/>
    <n v="9.1285208248139753"/>
    <n v="0"/>
    <n v="0"/>
    <n v="0"/>
    <n v="0"/>
    <n v="0"/>
    <n v="21.420091095663679"/>
    <n v="0"/>
    <n v="0"/>
    <n v="201.00290190085229"/>
    <n v="0"/>
    <n v="0"/>
    <n v="0"/>
    <n v="33.627409732704621"/>
    <n v="0"/>
    <n v="-9.4475891413625277"/>
    <m/>
    <n v="0"/>
    <n v="0"/>
    <n v="0"/>
    <n v="0"/>
    <n v="-1.2274532202288242"/>
    <n v="-0.37119563022372937"/>
    <n v="0"/>
    <n v="0"/>
    <m/>
    <m/>
    <m/>
    <n v="3394.2645818134774"/>
    <n v="0"/>
    <n v="0"/>
    <n v="-1844.8903600000008"/>
    <n v="201.06380999999988"/>
    <n v="0"/>
    <n v="0"/>
    <n v="-1904.1474667408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8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1.994"/>
    <n v="1.994"/>
    <n v="1.994"/>
    <n v="1.994"/>
    <m/>
    <n v="581.32000000000005"/>
    <n v="209.4"/>
    <m/>
    <n v="1576.69568"/>
    <n v="1576.69568"/>
    <n v="1204.51558"/>
    <n v="0"/>
    <n v="122.70658750849434"/>
    <n v="0"/>
    <n v="0"/>
    <n v="0"/>
    <n v="147.93714272285411"/>
    <n v="768.49819190826315"/>
    <n v="412.06158710730386"/>
    <n v="5.4894121385907528"/>
    <n v="0"/>
    <n v="0"/>
    <n v="0"/>
    <n v="0"/>
    <n v="18.962145680378494"/>
    <m/>
    <n v="3.6349908457627667"/>
    <n v="11.364764665470039"/>
    <n v="17.118868801168144"/>
    <n v="0"/>
    <n v="0"/>
    <n v="0"/>
    <n v="0"/>
    <n v="0"/>
    <n v="0"/>
    <n v="0"/>
    <n v="0"/>
    <n v="0"/>
    <n v="0"/>
    <m/>
    <n v="0"/>
    <n v="0"/>
    <n v="0"/>
    <n v="0"/>
    <n v="0"/>
    <n v="68.937133214133169"/>
    <n v="0"/>
    <n v="4.22"/>
    <n v="19.8"/>
    <n v="435.23"/>
    <n v="3"/>
    <m/>
    <m/>
    <m/>
    <m/>
    <m/>
    <m/>
    <m/>
    <m/>
    <m/>
    <n v="480.99872032143702"/>
    <m/>
    <m/>
    <m/>
    <m/>
    <m/>
    <m/>
    <m/>
    <m/>
    <m/>
    <m/>
    <m/>
    <m/>
    <n v="1202.0992999999999"/>
    <n v="-374.62638000000015"/>
    <m/>
    <m/>
    <m/>
    <m/>
    <n v="-417.70312000000013"/>
    <n v="45.523019999999967"/>
    <n v="30"/>
    <n v="58.910478193944073"/>
    <n v="1.3720911142274161"/>
    <n v="2.0667957902440151"/>
    <n v="0"/>
    <n v="0"/>
    <n v="0"/>
    <n v="0"/>
    <n v="0"/>
    <n v="4.8497401663169626"/>
    <n v="0"/>
    <n v="0"/>
    <n v="45.509229747961797"/>
    <n v="0"/>
    <n v="0"/>
    <n v="0"/>
    <n v="7.6136090617705179"/>
    <n v="0"/>
    <n v="-2.1390363061061635"/>
    <m/>
    <n v="0"/>
    <n v="0"/>
    <n v="0"/>
    <n v="0"/>
    <n v="-0.27790867731762248"/>
    <n v="-8.4042703152732212E-2"/>
    <n v="0"/>
    <n v="0"/>
    <m/>
    <m/>
    <m/>
    <n v="768.49819190826315"/>
    <n v="0"/>
    <n v="0"/>
    <n v="-417.70312000000013"/>
    <n v="45.523019999999974"/>
    <n v="0"/>
    <n v="0"/>
    <n v="-431.1195695107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49"/>
    <s v="Regular"/>
    <s v="Verde"/>
    <s v="A4"/>
    <s v="Industrial"/>
    <s v="Não se aplica"/>
    <s v="Não se aplica"/>
    <s v="Não se aplica"/>
    <s v="Ponta"/>
    <s v="CATIVO"/>
    <x v="4"/>
    <n v="0"/>
    <n v="0"/>
    <n v="7.8650000000000002"/>
    <n v="7.8650000000000002"/>
    <n v="7.8650000000000002"/>
    <n v="7.8650000000000002"/>
    <m/>
    <n v="1614.19"/>
    <n v="209.4"/>
    <m/>
    <n v="14342.535350000002"/>
    <n v="14342.535350000002"/>
    <n v="9533.5597500000003"/>
    <n v="0"/>
    <n v="421.07620880453788"/>
    <n v="0"/>
    <n v="0"/>
    <n v="0"/>
    <n v="2449.3024940555365"/>
    <n v="9145.7099859596619"/>
    <n v="1625.3081156464116"/>
    <n v="21.652069443338149"/>
    <n v="0"/>
    <n v="0"/>
    <n v="0"/>
    <n v="0"/>
    <n v="74.79301693890514"/>
    <m/>
    <n v="10.443495486416364"/>
    <n v="190.29308805678338"/>
    <n v="283.44440565705105"/>
    <n v="0"/>
    <n v="0"/>
    <n v="0"/>
    <n v="0"/>
    <n v="0"/>
    <n v="0"/>
    <n v="0"/>
    <n v="0"/>
    <n v="0"/>
    <n v="0"/>
    <m/>
    <n v="0"/>
    <n v="0"/>
    <n v="0"/>
    <n v="0"/>
    <n v="0"/>
    <n v="120.52669198100003"/>
    <n v="0"/>
    <n v="0"/>
    <n v="0"/>
    <n v="0"/>
    <n v="0"/>
    <m/>
    <m/>
    <m/>
    <m/>
    <m/>
    <m/>
    <m/>
    <m/>
    <m/>
    <n v="1745.8348076274117"/>
    <m/>
    <m/>
    <m/>
    <m/>
    <m/>
    <m/>
    <m/>
    <m/>
    <m/>
    <m/>
    <m/>
    <m/>
    <n v="9539.6205000000009"/>
    <n v="-4802.9448500000017"/>
    <m/>
    <m/>
    <m/>
    <m/>
    <n v="-4988.533550000001"/>
    <n v="179.55794999999989"/>
    <n v="30"/>
    <n v="321.62638120358588"/>
    <n v="22.974470911387044"/>
    <n v="34.220818629104997"/>
    <n v="0"/>
    <n v="0"/>
    <n v="0"/>
    <n v="0"/>
    <n v="0"/>
    <n v="80.294106444484896"/>
    <n v="0"/>
    <n v="0"/>
    <n v="179.50355665382131"/>
    <n v="0"/>
    <n v="0"/>
    <n v="0"/>
    <n v="13.311303668538073"/>
    <n v="0"/>
    <n v="-7.3402521947579658"/>
    <m/>
    <n v="0"/>
    <n v="0"/>
    <n v="0"/>
    <n v="0"/>
    <n v="-1.0961643666514931"/>
    <n v="-0.2414585423413449"/>
    <n v="0"/>
    <n v="0"/>
    <m/>
    <m/>
    <m/>
    <n v="9145.7099859596619"/>
    <n v="0"/>
    <n v="0"/>
    <n v="-4988.5335500000019"/>
    <n v="179.55794999999989"/>
    <n v="0"/>
    <n v="0"/>
    <n v="-5130.649093951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0"/>
    <s v="Regular"/>
    <s v="Verde"/>
    <s v="A4"/>
    <s v="Industrial"/>
    <s v="Não se aplica"/>
    <s v="Não se aplica"/>
    <s v="Não se aplica"/>
    <s v="Fora ponta"/>
    <s v="CATIVO"/>
    <x v="4"/>
    <n v="0"/>
    <n v="0"/>
    <n v="303.41800000000001"/>
    <n v="303.41800000000001"/>
    <n v="303.41800000000001"/>
    <n v="303.41800000000001"/>
    <m/>
    <n v="79.7"/>
    <n v="209.4"/>
    <m/>
    <n v="87718.143800000005"/>
    <n v="87718.143800000005"/>
    <n v="94824.19335999999"/>
    <n v="0"/>
    <n v="16244.386665359856"/>
    <n v="0"/>
    <n v="0"/>
    <n v="0"/>
    <n v="0"/>
    <n v="0"/>
    <n v="62701.555986421226"/>
    <n v="835.29912350397649"/>
    <n v="0"/>
    <n v="0"/>
    <n v="0"/>
    <n v="0"/>
    <n v="2885.3843119604221"/>
    <m/>
    <n v="402.89186439891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49.7098318488324"/>
    <n v="0"/>
    <n v="0"/>
    <n v="0"/>
    <n v="0"/>
    <n v="0"/>
    <m/>
    <m/>
    <m/>
    <m/>
    <m/>
    <m/>
    <m/>
    <m/>
    <m/>
    <n v="67351.265818270054"/>
    <m/>
    <m/>
    <m/>
    <m/>
    <m/>
    <m/>
    <m/>
    <m/>
    <m/>
    <m/>
    <m/>
    <m/>
    <n v="94824.818399999989"/>
    <n v="7106.6445999999996"/>
    <m/>
    <m/>
    <m/>
    <m/>
    <n v="179.01662000000104"/>
    <n v="6927.0329399999955"/>
    <n v="30"/>
    <n v="7103.6841425377934"/>
    <n v="0"/>
    <n v="0"/>
    <n v="0"/>
    <n v="0"/>
    <n v="0"/>
    <n v="0"/>
    <n v="0"/>
    <n v="0"/>
    <n v="0"/>
    <n v="0"/>
    <n v="6924.9345394518896"/>
    <n v="0"/>
    <n v="0"/>
    <n v="0"/>
    <n v="513.52690864596116"/>
    <n v="0"/>
    <n v="-283.17414372906023"/>
    <m/>
    <n v="0"/>
    <n v="0"/>
    <n v="0"/>
    <n v="0"/>
    <n v="-42.288111862766982"/>
    <n v="-9.3150499682296868"/>
    <n v="0"/>
    <n v="0"/>
    <m/>
    <m/>
    <m/>
    <n v="0"/>
    <n v="0"/>
    <n v="0"/>
    <n v="179.01662000000215"/>
    <n v="6927.0329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1"/>
    <s v="Regular"/>
    <s v="Verde"/>
    <s v="A4"/>
    <s v="Industrial"/>
    <s v="Não se aplica"/>
    <s v="Não se aplica"/>
    <s v="Não se aplica"/>
    <s v="Não se aplica"/>
    <s v="CATIVO"/>
    <x v="4"/>
    <n v="1622"/>
    <n v="1622"/>
    <n v="0"/>
    <n v="0"/>
    <n v="0"/>
    <n v="0"/>
    <n v="44.35"/>
    <m/>
    <m/>
    <n v="71935.7"/>
    <m/>
    <n v="71935.7"/>
    <n v="46989.34"/>
    <n v="0"/>
    <n v="0"/>
    <n v="0"/>
    <n v="0"/>
    <n v="0"/>
    <n v="21283.987302074354"/>
    <n v="46580.34667548001"/>
    <m/>
    <m/>
    <m/>
    <n v="0"/>
    <n v="0"/>
    <n v="0"/>
    <n v="0"/>
    <m/>
    <n v="0"/>
    <n v="1608.5709618740884"/>
    <n v="2461.0466401080193"/>
    <n v="0"/>
    <n v="0"/>
    <m/>
    <m/>
    <n v="0"/>
    <n v="0"/>
    <n v="0"/>
    <m/>
    <m/>
    <n v="0"/>
    <m/>
    <n v="0"/>
    <n v="0"/>
    <n v="0"/>
    <n v="0"/>
    <m/>
    <n v="0"/>
    <n v="0"/>
    <n v="559.33000000000004"/>
    <n v="2616.96"/>
    <n v="41557.019999999997"/>
    <n v="7"/>
    <m/>
    <m/>
    <m/>
    <m/>
    <m/>
    <m/>
    <m/>
    <m/>
    <m/>
    <n v="0"/>
    <m/>
    <m/>
    <m/>
    <m/>
    <m/>
    <m/>
    <m/>
    <m/>
    <m/>
    <m/>
    <m/>
    <m/>
    <n v="46989.34"/>
    <n v="-24946.389999999985"/>
    <m/>
    <m/>
    <m/>
    <m/>
    <n v="-24946.360000000004"/>
    <n v="0"/>
    <n v="30"/>
    <n v="1189.0741844017539"/>
    <n v="194.20603843188906"/>
    <n v="297.12715801773038"/>
    <n v="0"/>
    <n v="0"/>
    <m/>
    <m/>
    <m/>
    <n v="697.7409879521328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580.34667548001"/>
    <m/>
    <n v="0"/>
    <n v="0"/>
    <n v="-24946.36"/>
    <m/>
    <n v="0"/>
    <m/>
    <n v="-26131.0946698907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52"/>
    <s v="Regular"/>
    <s v="Convencional"/>
    <s v="B3"/>
    <s v="Comercial"/>
    <s v="Não se aplica"/>
    <s v="Não se aplica"/>
    <s v="Não se aplica"/>
    <s v="Não se aplica"/>
    <s v="CATIVO"/>
    <x v="4"/>
    <n v="0"/>
    <n v="0"/>
    <n v="382.16800000000001"/>
    <n v="382.16800000000001"/>
    <n v="382.16800000000001"/>
    <n v="382.16800000000001"/>
    <m/>
    <n v="581.32000000000005"/>
    <n v="209.4"/>
    <m/>
    <n v="302187.88096000004"/>
    <n v="302187.88096000004"/>
    <n v="230856.22375999999"/>
    <n v="0"/>
    <n v="23517.81902454677"/>
    <n v="0"/>
    <n v="0"/>
    <n v="0"/>
    <n v="28353.481424326834"/>
    <n v="147289.57723430148"/>
    <n v="78975.302217464443"/>
    <n v="1052.0951144337766"/>
    <n v="0"/>
    <n v="0"/>
    <n v="0"/>
    <n v="0"/>
    <n v="3634.2654415139859"/>
    <m/>
    <n v="696.67862665168764"/>
    <n v="2178.1591688432068"/>
    <n v="3280.984880644347"/>
    <n v="0"/>
    <n v="0"/>
    <n v="0"/>
    <n v="0"/>
    <n v="0"/>
    <n v="0"/>
    <n v="0"/>
    <n v="0"/>
    <n v="0"/>
    <n v="0"/>
    <m/>
    <n v="0"/>
    <n v="0"/>
    <n v="0"/>
    <n v="0"/>
    <n v="0"/>
    <n v="13212.42042436251"/>
    <n v="0"/>
    <n v="807.66"/>
    <n v="3795.54"/>
    <n v="124160.24"/>
    <n v="818"/>
    <m/>
    <m/>
    <m/>
    <m/>
    <m/>
    <m/>
    <m/>
    <m/>
    <m/>
    <n v="92187.722641826957"/>
    <m/>
    <m/>
    <m/>
    <m/>
    <m/>
    <m/>
    <m/>
    <m/>
    <m/>
    <m/>
    <m/>
    <m/>
    <n v="230857.43189999997"/>
    <n v="-71330.4790600001"/>
    <m/>
    <m/>
    <m/>
    <m/>
    <n v="-80056.552640000024"/>
    <n v="8724.8954399999948"/>
    <n v="30"/>
    <n v="11290.721981155075"/>
    <n v="262.97357920865761"/>
    <n v="396.11996668303664"/>
    <n v="0"/>
    <n v="0"/>
    <n v="0"/>
    <n v="0"/>
    <n v="0"/>
    <n v="929.49623865648027"/>
    <n v="0"/>
    <n v="0"/>
    <n v="8722.2524144027411"/>
    <n v="0"/>
    <n v="0"/>
    <n v="0"/>
    <n v="1459.216523529949"/>
    <n v="0"/>
    <n v="-409.96551004612411"/>
    <m/>
    <n v="0"/>
    <n v="0"/>
    <n v="0"/>
    <n v="0"/>
    <n v="-53.26369277488493"/>
    <n v="-16.107538504751005"/>
    <n v="0"/>
    <n v="0"/>
    <m/>
    <m/>
    <m/>
    <n v="147289.57723430148"/>
    <n v="0"/>
    <n v="0"/>
    <n v="-80056.552640000038"/>
    <n v="8724.895439999993"/>
    <n v="0"/>
    <n v="0"/>
    <n v="-82627.93562727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3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7.754000000000001"/>
    <n v="17.754000000000001"/>
    <n v="17.754000000000001"/>
    <n v="17.754000000000001"/>
    <m/>
    <n v="581.32000000000005"/>
    <n v="209.4"/>
    <m/>
    <n v="14038.442880000002"/>
    <n v="14038.442880000002"/>
    <n v="10724.65878"/>
    <n v="0"/>
    <n v="1092.544009340927"/>
    <n v="0"/>
    <n v="0"/>
    <n v="0"/>
    <n v="1317.1895847048906"/>
    <n v="6842.4859072915278"/>
    <n v="3668.8773407738581"/>
    <n v="48.876139974192689"/>
    <n v="0"/>
    <n v="0"/>
    <n v="0"/>
    <n v="0"/>
    <n v="168.83346760754253"/>
    <m/>
    <n v="32.36490846322576"/>
    <n v="101.18858168041881"/>
    <n v="152.42146273617817"/>
    <n v="0"/>
    <n v="0"/>
    <n v="0"/>
    <n v="0"/>
    <n v="0"/>
    <n v="0"/>
    <n v="0"/>
    <n v="0"/>
    <n v="0"/>
    <n v="0"/>
    <m/>
    <n v="0"/>
    <n v="0"/>
    <n v="0"/>
    <n v="0"/>
    <n v="0"/>
    <n v="613.79632050337023"/>
    <n v="0"/>
    <n v="41.82"/>
    <n v="196.69"/>
    <n v="21350.41"/>
    <n v="75"/>
    <m/>
    <m/>
    <m/>
    <m/>
    <m/>
    <m/>
    <m/>
    <m/>
    <m/>
    <n v="4282.6736612772283"/>
    <m/>
    <m/>
    <m/>
    <m/>
    <m/>
    <m/>
    <m/>
    <m/>
    <m/>
    <m/>
    <m/>
    <m/>
    <n v="10722.2425"/>
    <n v="-3316.2303800000027"/>
    <m/>
    <m/>
    <m/>
    <m/>
    <n v="-3719.1079200000017"/>
    <n v="405.32381999999973"/>
    <n v="30"/>
    <n v="524.52188056935029"/>
    <n v="12.216702929786123"/>
    <n v="18.402152688060312"/>
    <n v="0"/>
    <n v="0"/>
    <n v="0"/>
    <n v="0"/>
    <n v="0"/>
    <n v="43.18068551293436"/>
    <n v="0"/>
    <n v="0"/>
    <n v="405.20103557939547"/>
    <n v="0"/>
    <n v="0"/>
    <n v="0"/>
    <n v="67.789375768642913"/>
    <n v="0"/>
    <n v="-19.045361373424612"/>
    <m/>
    <n v="0"/>
    <n v="0"/>
    <n v="0"/>
    <n v="0"/>
    <n v="-2.4744185843014179"/>
    <n v="-0.74829195174202923"/>
    <n v="0"/>
    <n v="0"/>
    <m/>
    <m/>
    <m/>
    <n v="6842.4859072915278"/>
    <n v="0"/>
    <n v="0"/>
    <n v="-3719.1079200000013"/>
    <n v="405.32381999999961"/>
    <n v="0"/>
    <n v="0"/>
    <n v="-3838.564110879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4"/>
    <s v="Regular"/>
    <s v="Verde"/>
    <s v="A4"/>
    <s v="Comercial"/>
    <s v="Não se aplica"/>
    <s v="Não se aplica"/>
    <s v="Não se aplica"/>
    <s v="Ponta"/>
    <s v="CATIVO"/>
    <x v="4"/>
    <n v="0"/>
    <n v="0"/>
    <n v="33.463000000000001"/>
    <n v="33.463000000000001"/>
    <n v="33.463000000000001"/>
    <n v="33.463000000000001"/>
    <m/>
    <n v="1614.19"/>
    <n v="209.4"/>
    <m/>
    <n v="61022.792170000001"/>
    <n v="61022.792170000001"/>
    <n v="40562.175450000002"/>
    <n v="0"/>
    <n v="1791.541408166084"/>
    <n v="0"/>
    <n v="0"/>
    <n v="0"/>
    <n v="10420.980210881173"/>
    <n v="38912.001685971794"/>
    <n v="6915.1539064050703"/>
    <n v="92.122466596621038"/>
    <n v="0"/>
    <n v="0"/>
    <n v="0"/>
    <n v="0"/>
    <n v="318.2197998508052"/>
    <m/>
    <n v="44.433654095607217"/>
    <n v="809.63478774877831"/>
    <n v="1205.9631464083789"/>
    <n v="0"/>
    <n v="0"/>
    <n v="0"/>
    <n v="0"/>
    <n v="0"/>
    <n v="0"/>
    <n v="0"/>
    <n v="0"/>
    <n v="0"/>
    <n v="0"/>
    <m/>
    <n v="0"/>
    <n v="0"/>
    <n v="0"/>
    <n v="0"/>
    <n v="0"/>
    <n v="512.801613955525"/>
    <n v="0"/>
    <n v="0"/>
    <n v="0"/>
    <n v="0"/>
    <n v="0"/>
    <m/>
    <m/>
    <m/>
    <m/>
    <m/>
    <m/>
    <m/>
    <m/>
    <m/>
    <n v="7427.9555203605951"/>
    <m/>
    <m/>
    <m/>
    <m/>
    <m/>
    <m/>
    <m/>
    <m/>
    <m/>
    <m/>
    <m/>
    <m/>
    <n v="40558.539000000004"/>
    <n v="-20464.283170000002"/>
    <m/>
    <m/>
    <m/>
    <m/>
    <n v="-21224.577010000005"/>
    <n v="763.96028999999953"/>
    <n v="30"/>
    <n v="1368.4149515849422"/>
    <n v="97.748851889096727"/>
    <n v="145.59837937517364"/>
    <n v="0"/>
    <n v="0"/>
    <n v="0"/>
    <n v="0"/>
    <n v="0"/>
    <n v="341.62513464104086"/>
    <n v="0"/>
    <n v="0"/>
    <n v="763.72886412038406"/>
    <n v="0"/>
    <n v="0"/>
    <n v="0"/>
    <n v="56.635238990500852"/>
    <n v="0"/>
    <n v="-31.230369891059581"/>
    <m/>
    <n v="0"/>
    <n v="0"/>
    <n v="0"/>
    <n v="0"/>
    <n v="-4.6638204960278813"/>
    <n v="-1.0273270441663556"/>
    <n v="0"/>
    <n v="0"/>
    <m/>
    <m/>
    <m/>
    <n v="38912.001685971794"/>
    <n v="0"/>
    <n v="0"/>
    <n v="-21224.577010000001"/>
    <n v="763.96028999999908"/>
    <n v="0"/>
    <n v="0"/>
    <n v="-21829.2321209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5"/>
    <s v="Sistema de Compensação"/>
    <s v="Verde"/>
    <s v="A4"/>
    <s v="Comercial"/>
    <s v="Não se aplica"/>
    <s v="Não se aplica"/>
    <s v="Não se aplica"/>
    <s v="Ponta"/>
    <s v="CATIVO"/>
    <x v="4"/>
    <n v="0"/>
    <n v="0"/>
    <n v="0.35399999999999998"/>
    <n v="0.35399999999999998"/>
    <n v="0.35399999999999998"/>
    <n v="0.35399999999999998"/>
    <m/>
    <n v="1614.19"/>
    <n v="209.4"/>
    <m/>
    <n v="645.55086000000006"/>
    <n v="645.55086000000006"/>
    <n v="429.10109999999997"/>
    <n v="0"/>
    <n v="18.952444744667055"/>
    <n v="0"/>
    <n v="0"/>
    <n v="0"/>
    <n v="110.24196858177494"/>
    <n v="411.64416211439544"/>
    <n v="73.154364010022846"/>
    <n v="0.97454959732253077"/>
    <n v="0"/>
    <n v="0"/>
    <n v="0"/>
    <n v="0"/>
    <n v="3.3663989823741156"/>
    <m/>
    <n v="0.47005688521187444"/>
    <n v="8.5650035819582087"/>
    <n v="12.757701157354871"/>
    <n v="0"/>
    <n v="0"/>
    <n v="0"/>
    <n v="0"/>
    <n v="0"/>
    <n v="0"/>
    <n v="0"/>
    <n v="0"/>
    <n v="0"/>
    <n v="0"/>
    <m/>
    <n v="0"/>
    <n v="0"/>
    <n v="0"/>
    <n v="0"/>
    <n v="0"/>
    <n v="5.4248504718720927"/>
    <n v="0"/>
    <n v="0"/>
    <n v="0"/>
    <n v="0"/>
    <n v="0"/>
    <m/>
    <m/>
    <m/>
    <m/>
    <m/>
    <m/>
    <m/>
    <m/>
    <m/>
    <n v="78.579214481894937"/>
    <m/>
    <m/>
    <m/>
    <m/>
    <m/>
    <m/>
    <m/>
    <m/>
    <m/>
    <m/>
    <m/>
    <m/>
    <n v="424.25249999999994"/>
    <n v="-221.32836000000009"/>
    <m/>
    <m/>
    <m/>
    <m/>
    <n v="-224.53158000000002"/>
    <n v="8.0818199999999933"/>
    <n v="30"/>
    <n v="14.476254157160781"/>
    <n v="1.0340702736975231"/>
    <n v="1.5402631652515151"/>
    <n v="0"/>
    <n v="0"/>
    <n v="0"/>
    <n v="0"/>
    <n v="0"/>
    <n v="3.6140004680670756"/>
    <n v="0"/>
    <n v="0"/>
    <n v="8.0793717807314351"/>
    <n v="0"/>
    <n v="0"/>
    <n v="0"/>
    <n v="0.59913560059281323"/>
    <n v="0"/>
    <n v="-0.33038134481173387"/>
    <m/>
    <n v="0"/>
    <n v="0"/>
    <n v="0"/>
    <n v="0"/>
    <n v="-4.9337849433519487E-2"/>
    <n v="-1.0867936934372047E-2"/>
    <n v="0"/>
    <n v="0"/>
    <m/>
    <m/>
    <m/>
    <n v="411.64416211439544"/>
    <n v="0"/>
    <n v="0"/>
    <n v="-224.53158000000008"/>
    <n v="8.0818199999999933"/>
    <n v="0"/>
    <n v="0"/>
    <n v="-230.9281346800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6"/>
    <s v="Regular"/>
    <s v="Verde"/>
    <s v="A4"/>
    <s v="Comercial"/>
    <s v="Não se aplica"/>
    <s v="Não se aplica"/>
    <s v="Não se aplica"/>
    <s v="Fora ponta"/>
    <s v="CATIVO"/>
    <x v="4"/>
    <n v="0"/>
    <n v="0"/>
    <n v="576.38800000000003"/>
    <n v="576.38800000000003"/>
    <n v="576.38800000000003"/>
    <n v="576.38800000000003"/>
    <m/>
    <n v="79.7"/>
    <n v="209.4"/>
    <m/>
    <n v="166633.7708"/>
    <n v="166633.7708"/>
    <n v="180132.77776000003"/>
    <n v="0"/>
    <n v="30858.648930760326"/>
    <n v="0"/>
    <n v="0"/>
    <n v="0"/>
    <n v="0"/>
    <n v="0"/>
    <n v="119111.01006499733"/>
    <n v="1586.7759697783586"/>
    <n v="0"/>
    <n v="0"/>
    <n v="0"/>
    <n v="0"/>
    <n v="5481.2202730300896"/>
    <m/>
    <n v="765.353525292378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32.8212253712209"/>
    <n v="0"/>
    <n v="0"/>
    <n v="0"/>
    <n v="0"/>
    <n v="0"/>
    <m/>
    <m/>
    <m/>
    <m/>
    <m/>
    <m/>
    <m/>
    <m/>
    <m/>
    <n v="127943.83129036856"/>
    <m/>
    <m/>
    <m/>
    <m/>
    <m/>
    <m/>
    <m/>
    <m/>
    <m/>
    <m/>
    <m/>
    <m/>
    <n v="180133.40280000001"/>
    <n v="13499.601999999984"/>
    <m/>
    <m/>
    <m/>
    <m/>
    <n v="340.06892000000198"/>
    <n v="13158.938039999992"/>
    <n v="30"/>
    <n v="13494.51349474676"/>
    <n v="0"/>
    <n v="0"/>
    <n v="0"/>
    <n v="0"/>
    <n v="0"/>
    <n v="0"/>
    <n v="0"/>
    <n v="0"/>
    <n v="0"/>
    <n v="0"/>
    <n v="13154.951813424384"/>
    <n v="0"/>
    <n v="0"/>
    <n v="0"/>
    <n v="975.52138574714809"/>
    <n v="0"/>
    <n v="-537.93175868177059"/>
    <m/>
    <n v="0"/>
    <n v="0"/>
    <n v="0"/>
    <n v="0"/>
    <n v="-80.332611184427151"/>
    <n v="-17.695334558556056"/>
    <n v="0"/>
    <n v="0"/>
    <m/>
    <m/>
    <m/>
    <n v="0"/>
    <n v="0"/>
    <n v="0"/>
    <n v="340.06891999999789"/>
    <n v="13158.93804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7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4.4610000000000003"/>
    <n v="4.4610000000000003"/>
    <n v="4.4610000000000003"/>
    <n v="4.4610000000000003"/>
    <m/>
    <n v="79.7"/>
    <n v="209.4"/>
    <m/>
    <n v="1289.6751000000002"/>
    <n v="1289.6751000000002"/>
    <n v="1394.1517200000001"/>
    <n v="0"/>
    <n v="238.83292657050777"/>
    <n v="0"/>
    <n v="0"/>
    <n v="0"/>
    <n v="0"/>
    <n v="0"/>
    <n v="921.86897697376264"/>
    <n v="12.280976705242402"/>
    <n v="0"/>
    <n v="0"/>
    <n v="0"/>
    <n v="0"/>
    <n v="42.422332938900936"/>
    <m/>
    <n v="5.9235134602547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.362310607405107"/>
    <n v="0"/>
    <n v="0"/>
    <n v="0"/>
    <n v="0"/>
    <n v="0"/>
    <m/>
    <m/>
    <m/>
    <m/>
    <m/>
    <m/>
    <m/>
    <m/>
    <m/>
    <n v="990.23128758116775"/>
    <m/>
    <m/>
    <m/>
    <m/>
    <m/>
    <m/>
    <m/>
    <m/>
    <m/>
    <m/>
    <m/>
    <m/>
    <n v="1393.8391999999999"/>
    <n v="104.13409999999976"/>
    <m/>
    <m/>
    <m/>
    <m/>
    <n v="2.6319900000000156"/>
    <n v="101.84462999999994"/>
    <n v="30"/>
    <n v="104.44184247428007"/>
    <n v="0"/>
    <n v="0"/>
    <n v="0"/>
    <n v="0"/>
    <n v="0"/>
    <n v="0"/>
    <n v="0"/>
    <n v="0"/>
    <n v="0"/>
    <n v="0"/>
    <n v="101.81377828769189"/>
    <n v="0"/>
    <n v="0"/>
    <n v="0"/>
    <n v="7.5501240515382477"/>
    <n v="0"/>
    <n v="-4.1633649130089339"/>
    <m/>
    <n v="0"/>
    <n v="0"/>
    <n v="0"/>
    <n v="0"/>
    <n v="-0.62174052633596233"/>
    <n v="-0.13695442560517979"/>
    <n v="0"/>
    <n v="0"/>
    <m/>
    <m/>
    <m/>
    <n v="0"/>
    <n v="0"/>
    <n v="0"/>
    <n v="2.6319900000000302"/>
    <n v="101.84462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58"/>
    <s v="Regular"/>
    <s v="Verde"/>
    <s v="A4"/>
    <s v="Comercial"/>
    <s v="Não se aplica"/>
    <s v="Não se aplica"/>
    <s v="Não se aplica"/>
    <s v="Não se aplica"/>
    <s v="CATIVO"/>
    <x v="4"/>
    <n v="4613"/>
    <n v="4613"/>
    <n v="0"/>
    <n v="0"/>
    <n v="0"/>
    <n v="0"/>
    <n v="44.35"/>
    <m/>
    <m/>
    <n v="204586.55000000002"/>
    <m/>
    <n v="204586.55000000002"/>
    <n v="133638.60999999999"/>
    <n v="0"/>
    <n v="0"/>
    <n v="0"/>
    <n v="0"/>
    <n v="0"/>
    <n v="60532.079793137491"/>
    <n v="132475.42491614629"/>
    <m/>
    <m/>
    <m/>
    <n v="0"/>
    <n v="0"/>
    <n v="0"/>
    <n v="0"/>
    <m/>
    <n v="0"/>
    <n v="4574.8075506320411"/>
    <n v="6999.2651977917958"/>
    <n v="0"/>
    <n v="0"/>
    <m/>
    <m/>
    <n v="0"/>
    <n v="0"/>
    <n v="0"/>
    <m/>
    <m/>
    <n v="0"/>
    <m/>
    <n v="0"/>
    <n v="0"/>
    <n v="0"/>
    <n v="0"/>
    <m/>
    <n v="0"/>
    <n v="0"/>
    <n v="1289"/>
    <n v="6031.41"/>
    <n v="194281.93"/>
    <n v="35"/>
    <m/>
    <m/>
    <m/>
    <m/>
    <m/>
    <m/>
    <m/>
    <m/>
    <m/>
    <n v="0"/>
    <m/>
    <m/>
    <m/>
    <m/>
    <m/>
    <m/>
    <m/>
    <m/>
    <m/>
    <m/>
    <m/>
    <m/>
    <n v="133638.60999999999"/>
    <n v="-70947.970000000059"/>
    <m/>
    <m/>
    <m/>
    <m/>
    <n v="-70947.940000000017"/>
    <n v="0"/>
    <n v="30"/>
    <n v="3381.7504393620475"/>
    <n v="552.3258047387817"/>
    <n v="845.03549934389048"/>
    <n v="0"/>
    <n v="0"/>
    <m/>
    <m/>
    <m/>
    <n v="1984.389135279387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2475.42491614629"/>
    <m/>
    <n v="0"/>
    <n v="0"/>
    <n v="-70947.940000000031"/>
    <m/>
    <n v="0"/>
    <m/>
    <n v="-74317.34877447978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59"/>
    <s v="Sistema de Compensação"/>
    <s v="Verde"/>
    <s v="A4"/>
    <s v="Comercial"/>
    <s v="Não se aplica"/>
    <s v="Não se aplica"/>
    <s v="Não se aplica"/>
    <s v="Não se aplica"/>
    <s v="CATIVO"/>
    <x v="4"/>
    <n v="214"/>
    <n v="214"/>
    <n v="0"/>
    <n v="0"/>
    <n v="0"/>
    <n v="0"/>
    <n v="44.35"/>
    <m/>
    <m/>
    <n v="9490.9"/>
    <m/>
    <n v="9490.9"/>
    <n v="6199.58"/>
    <n v="0"/>
    <n v="0"/>
    <n v="0"/>
    <n v="0"/>
    <n v="0"/>
    <n v="2808.121629250254"/>
    <n v="6145.6191051496435"/>
    <m/>
    <m/>
    <m/>
    <n v="0"/>
    <n v="0"/>
    <n v="0"/>
    <n v="0"/>
    <m/>
    <n v="0"/>
    <n v="212.22822801544694"/>
    <n v="324.70035818934412"/>
    <n v="0"/>
    <n v="0"/>
    <m/>
    <m/>
    <n v="0"/>
    <n v="0"/>
    <n v="0"/>
    <m/>
    <m/>
    <n v="0"/>
    <m/>
    <n v="0"/>
    <n v="0"/>
    <n v="0"/>
    <n v="0"/>
    <m/>
    <n v="0"/>
    <n v="0"/>
    <n v="32.18"/>
    <n v="150.61000000000001"/>
    <n v="5654.8"/>
    <n v="2"/>
    <m/>
    <m/>
    <m/>
    <m/>
    <m/>
    <m/>
    <m/>
    <m/>
    <m/>
    <n v="0"/>
    <m/>
    <m/>
    <m/>
    <m/>
    <m/>
    <m/>
    <m/>
    <m/>
    <m/>
    <m/>
    <m/>
    <m/>
    <n v="6199.58"/>
    <n v="-3291.3500000000004"/>
    <m/>
    <m/>
    <m/>
    <m/>
    <n v="-3291.3200000000006"/>
    <n v="0"/>
    <n v="30"/>
    <n v="156.88155083968832"/>
    <n v="25.622744897918778"/>
    <n v="39.201733548578488"/>
    <n v="0"/>
    <n v="0"/>
    <m/>
    <m/>
    <m/>
    <n v="92.0570723931909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45.6191051496435"/>
    <m/>
    <n v="0"/>
    <n v="0"/>
    <n v="-3291.3199999999997"/>
    <m/>
    <n v="0"/>
    <m/>
    <n v="-3447.629013166848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60"/>
    <s v="Regular"/>
    <s v="Convencional"/>
    <s v="B2"/>
    <s v="Rural"/>
    <s v="Não se aplica"/>
    <s v="Não se aplica"/>
    <s v="Não se aplica"/>
    <s v="Não se aplica"/>
    <s v="CATIVO"/>
    <x v="4"/>
    <n v="0"/>
    <n v="0"/>
    <n v="4050.2559999999999"/>
    <n v="4050.2559999999999"/>
    <n v="4050.2559999999999"/>
    <n v="4050.2559999999999"/>
    <m/>
    <n v="581.32000000000005"/>
    <n v="209.4"/>
    <m/>
    <n v="3202618.4243200002"/>
    <n v="3202618.4243200002"/>
    <n v="2446638.1419199998"/>
    <n v="0"/>
    <n v="249244.27898485668"/>
    <n v="0"/>
    <n v="0"/>
    <n v="0"/>
    <n v="300493.12935611641"/>
    <n v="1560990.1769135378"/>
    <n v="836988.42304457375"/>
    <n v="11150.212863991988"/>
    <n v="0"/>
    <n v="0"/>
    <n v="0"/>
    <n v="0"/>
    <n v="38516.321120775865"/>
    <m/>
    <n v="7383.4721579717752"/>
    <n v="23084.356206072225"/>
    <n v="34772.217189139461"/>
    <n v="0"/>
    <n v="0"/>
    <n v="0"/>
    <n v="0"/>
    <n v="0"/>
    <n v="0"/>
    <n v="0"/>
    <n v="0"/>
    <n v="0"/>
    <n v="0"/>
    <m/>
    <n v="0"/>
    <n v="0"/>
    <n v="0"/>
    <n v="0"/>
    <n v="0"/>
    <n v="140026.59850719266"/>
    <n v="0"/>
    <n v="7688.11"/>
    <n v="36312.910000000003"/>
    <n v="294447.45"/>
    <n v="13943"/>
    <m/>
    <m/>
    <m/>
    <m/>
    <m/>
    <n v="293603.05743999965"/>
    <m/>
    <m/>
    <m/>
    <n v="977015.02155176643"/>
    <m/>
    <m/>
    <m/>
    <m/>
    <m/>
    <m/>
    <m/>
    <m/>
    <m/>
    <m/>
    <m/>
    <m/>
    <n v="2153037.2108000005"/>
    <n v="-665333.45679999935"/>
    <m/>
    <m/>
    <m/>
    <m/>
    <n v="-848447.62688000023"/>
    <n v="92467.344479999927"/>
    <n v="30"/>
    <n v="119660.23960275459"/>
    <n v="2787.0211975658349"/>
    <n v="4198.1203862640759"/>
    <n v="0"/>
    <n v="0"/>
    <n v="0"/>
    <n v="0"/>
    <n v="0"/>
    <n v="9850.8972954194178"/>
    <n v="0"/>
    <n v="0"/>
    <n v="92439.333421294228"/>
    <n v="0"/>
    <n v="0"/>
    <n v="0"/>
    <n v="15464.927675070416"/>
    <n v="0"/>
    <n v="-4344.8568871736643"/>
    <m/>
    <n v="0"/>
    <n v="0"/>
    <n v="0"/>
    <n v="0"/>
    <n v="-564.49412625765399"/>
    <n v="-170.70935942857159"/>
    <n v="0"/>
    <n v="0"/>
    <m/>
    <m/>
    <m/>
    <n v="1560990.1769135378"/>
    <n v="0"/>
    <n v="0"/>
    <n v="-848447.62688000035"/>
    <n v="92467.344479999854"/>
    <n v="0"/>
    <n v="0"/>
    <n v="-875699.4097935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1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6.0620000000000003"/>
    <n v="-6.0620000000000003"/>
    <n v="-6.0620000000000003"/>
    <n v="-6.0620000000000003"/>
    <m/>
    <n v="581.32000000000005"/>
    <n v="209.4"/>
    <m/>
    <n v="-4793.3446400000003"/>
    <n v="-4793.3446400000003"/>
    <n v="-3661.8723399999999"/>
    <n v="0"/>
    <n v="-373.04279512361717"/>
    <n v="0"/>
    <n v="0"/>
    <n v="0"/>
    <n v="-449.74671975222748"/>
    <n v="-2336.327000675974"/>
    <n v="-1252.7168209851936"/>
    <n v="-16.688473612907295"/>
    <n v="0"/>
    <n v="0"/>
    <n v="0"/>
    <n v="0"/>
    <n v="-57.647205172745451"/>
    <m/>
    <n v="-11.050809682554611"/>
    <n v="-34.550252458414938"/>
    <n v="-52.043421601144082"/>
    <n v="0"/>
    <n v="0"/>
    <n v="0"/>
    <n v="0"/>
    <n v="0"/>
    <n v="0"/>
    <n v="0"/>
    <n v="0"/>
    <n v="0"/>
    <n v="0"/>
    <m/>
    <n v="0"/>
    <n v="0"/>
    <n v="0"/>
    <n v="0"/>
    <n v="0"/>
    <n v="-209.57718231899463"/>
    <n v="0"/>
    <n v="-12.51"/>
    <n v="-57.28"/>
    <n v="-489.57"/>
    <n v="0"/>
    <m/>
    <m/>
    <m/>
    <m/>
    <m/>
    <n v="-439.43437999999958"/>
    <m/>
    <m/>
    <m/>
    <n v="-1462.2940033041882"/>
    <m/>
    <m/>
    <m/>
    <m/>
    <m/>
    <m/>
    <m/>
    <m/>
    <m/>
    <m/>
    <m/>
    <m/>
    <n v="-3221.3747999999996"/>
    <n v="996.83790000000045"/>
    <m/>
    <m/>
    <m/>
    <m/>
    <n v="1269.8677600000005"/>
    <n v="-138.3954599999999"/>
    <n v="30"/>
    <n v="-179.09494423855995"/>
    <n v="-4.1713221336241659"/>
    <n v="-6.283307964121974"/>
    <n v="0"/>
    <n v="0"/>
    <n v="0"/>
    <n v="0"/>
    <n v="0"/>
    <n v="-14.743793825583452"/>
    <n v="0"/>
    <n v="0"/>
    <n v="-138.35353597399421"/>
    <n v="0"/>
    <n v="0"/>
    <n v="0"/>
    <n v="-23.146287930016513"/>
    <n v="0"/>
    <n v="6.5029278272895681"/>
    <m/>
    <n v="0"/>
    <n v="0"/>
    <n v="0"/>
    <n v="0"/>
    <n v="0.84487582843501485"/>
    <n v="0.25549993305509844"/>
    <n v="0"/>
    <n v="0"/>
    <m/>
    <m/>
    <m/>
    <n v="-2336.327000675974"/>
    <n v="0"/>
    <n v="0"/>
    <n v="1269.8677600000005"/>
    <n v="-138.39545999999996"/>
    <n v="0"/>
    <n v="0"/>
    <n v="1310.655381331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2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24.68600000000001"/>
    <n v="124.68600000000001"/>
    <n v="124.68600000000001"/>
    <n v="124.68600000000001"/>
    <m/>
    <n v="581.32000000000005"/>
    <n v="209.4"/>
    <m/>
    <n v="98591.713920000009"/>
    <n v="98591.713920000009"/>
    <n v="75319.072019999992"/>
    <n v="0"/>
    <n v="7672.9155316369734"/>
    <n v="0"/>
    <n v="0"/>
    <n v="0"/>
    <n v="9250.5970800109262"/>
    <n v="48054.646718291733"/>
    <n v="25766.454889699744"/>
    <n v="343.25618952473752"/>
    <n v="0"/>
    <n v="0"/>
    <n v="0"/>
    <n v="0"/>
    <n v="1185.7141907240084"/>
    <m/>
    <n v="227.29812868343851"/>
    <n v="710.64545991915622"/>
    <n v="1070.4529966612095"/>
    <n v="0"/>
    <n v="0"/>
    <n v="0"/>
    <n v="0"/>
    <n v="0"/>
    <n v="0"/>
    <n v="0"/>
    <n v="0"/>
    <n v="0"/>
    <n v="0"/>
    <m/>
    <n v="0"/>
    <n v="0"/>
    <n v="0"/>
    <n v="0"/>
    <n v="0"/>
    <n v="4310.6797351742271"/>
    <n v="0"/>
    <n v="247.48"/>
    <n v="1172.8"/>
    <n v="7800.49"/>
    <n v="630"/>
    <m/>
    <m/>
    <m/>
    <m/>
    <m/>
    <n v="9038.4881399999904"/>
    <m/>
    <m/>
    <m/>
    <n v="30077.134624873972"/>
    <m/>
    <m/>
    <m/>
    <m/>
    <m/>
    <m/>
    <m/>
    <m/>
    <m/>
    <m/>
    <m/>
    <m/>
    <n v="66282.710200000001"/>
    <n v="-20480.072899999999"/>
    <m/>
    <m/>
    <m/>
    <m/>
    <n v="-26119.223280000009"/>
    <n v="2846.5813799999983"/>
    <n v="30"/>
    <n v="3683.7070632347604"/>
    <n v="85.797669342306676"/>
    <n v="129.23796384271077"/>
    <n v="0"/>
    <n v="0"/>
    <n v="0"/>
    <n v="0"/>
    <n v="0"/>
    <n v="303.2571225563679"/>
    <n v="0"/>
    <n v="0"/>
    <n v="2845.719067379323"/>
    <n v="0"/>
    <n v="0"/>
    <n v="0"/>
    <n v="476.08348017849494"/>
    <n v="0"/>
    <n v="-133.75520604972462"/>
    <m/>
    <n v="0"/>
    <n v="0"/>
    <n v="0"/>
    <n v="0"/>
    <n v="-17.377794052168838"/>
    <n v="-5.2552399625384112"/>
    <n v="0"/>
    <n v="0"/>
    <m/>
    <m/>
    <m/>
    <n v="48054.646718291733"/>
    <n v="0"/>
    <n v="0"/>
    <n v="-26119.223280000013"/>
    <n v="2846.5813799999996"/>
    <n v="0"/>
    <n v="0"/>
    <n v="-26958.16180743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3"/>
    <s v="Regular"/>
    <s v="Verde"/>
    <s v="A4"/>
    <s v="Rural"/>
    <s v="Não se aplica"/>
    <s v="Não se aplica"/>
    <s v="Não se aplica"/>
    <s v="Ponta"/>
    <s v="CATIVO"/>
    <x v="4"/>
    <n v="0"/>
    <n v="0"/>
    <n v="21.21"/>
    <n v="20.361599999999999"/>
    <n v="21.21"/>
    <n v="20.361599999999999"/>
    <m/>
    <n v="1614.19"/>
    <n v="209.4"/>
    <m/>
    <n v="38678.343900000007"/>
    <n v="38678.343900000007"/>
    <n v="25709.701500000003"/>
    <n v="0"/>
    <n v="1135.5405452948821"/>
    <n v="0"/>
    <n v="0"/>
    <n v="0"/>
    <n v="6605.1755751961773"/>
    <n v="24663.764628379457"/>
    <n v="4383.0623182276404"/>
    <n v="58.390386890426214"/>
    <n v="0"/>
    <n v="0"/>
    <n v="0"/>
    <n v="0"/>
    <n v="201.6986508930932"/>
    <m/>
    <n v="28.163577783457225"/>
    <n v="513.17436715630959"/>
    <n v="764.38090832626233"/>
    <n v="0"/>
    <n v="0"/>
    <n v="0"/>
    <n v="0"/>
    <n v="0"/>
    <n v="0"/>
    <n v="0"/>
    <n v="0"/>
    <n v="0"/>
    <n v="0"/>
    <m/>
    <n v="0"/>
    <n v="0"/>
    <n v="0"/>
    <n v="0"/>
    <n v="0"/>
    <n v="325.03129522148896"/>
    <n v="0"/>
    <n v="0"/>
    <n v="0"/>
    <n v="0"/>
    <n v="0"/>
    <m/>
    <m/>
    <m/>
    <m/>
    <m/>
    <n v="1028.3880600000018"/>
    <m/>
    <m/>
    <m/>
    <n v="4708.0936134491294"/>
    <m/>
    <m/>
    <m/>
    <m/>
    <m/>
    <m/>
    <m/>
    <m/>
    <m/>
    <m/>
    <m/>
    <m/>
    <n v="24679.373999999996"/>
    <n v="-12451.866144000007"/>
    <m/>
    <m/>
    <m/>
    <m/>
    <n v="-13452.866700000002"/>
    <n v="484.22429999999969"/>
    <n v="30"/>
    <n v="867.34844822988271"/>
    <n v="61.956583347809328"/>
    <n v="92.285259138374613"/>
    <n v="0"/>
    <n v="0"/>
    <n v="0"/>
    <n v="0"/>
    <n v="0"/>
    <n v="216.53375685791707"/>
    <n v="0"/>
    <n v="0"/>
    <n v="484.07761432009556"/>
    <n v="0"/>
    <n v="0"/>
    <n v="0"/>
    <n v="35.897361832128752"/>
    <n v="0"/>
    <n v="-19.794882269652362"/>
    <m/>
    <n v="0"/>
    <n v="0"/>
    <n v="0"/>
    <n v="0"/>
    <n v="-2.9560897923303457"/>
    <n v="-0.65115520445771224"/>
    <n v="0"/>
    <n v="0"/>
    <m/>
    <m/>
    <m/>
    <n v="24663.764628379457"/>
    <n v="0"/>
    <n v="0"/>
    <n v="-13452.866700000002"/>
    <n v="484.22429999999895"/>
    <n v="0"/>
    <n v="0"/>
    <n v="-13836.117899898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4"/>
    <s v="Regular"/>
    <s v="Verde"/>
    <s v="A4"/>
    <s v="Rural"/>
    <s v="Não se aplica"/>
    <s v="Não se aplica"/>
    <s v="Não se aplica"/>
    <s v="Fora ponta"/>
    <s v="CATIVO"/>
    <x v="4"/>
    <n v="0"/>
    <n v="0"/>
    <n v="252.82599999999999"/>
    <n v="242.71296000000001"/>
    <n v="252.82599999999999"/>
    <n v="242.71296000000001"/>
    <m/>
    <n v="79.7"/>
    <n v="209.4"/>
    <m/>
    <n v="73091.996599999999"/>
    <n v="73091.996599999999"/>
    <n v="79013.181519999998"/>
    <n v="0"/>
    <n v="13535.793206257607"/>
    <n v="0"/>
    <n v="0"/>
    <n v="0"/>
    <n v="0"/>
    <n v="0"/>
    <n v="52246.681455361686"/>
    <n v="696.02112003578009"/>
    <n v="0"/>
    <n v="0"/>
    <n v="0"/>
    <n v="0"/>
    <n v="2404.274545530277"/>
    <m/>
    <n v="335.71356514287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4.4159474619596"/>
    <n v="0"/>
    <n v="0"/>
    <n v="0"/>
    <n v="0"/>
    <n v="0"/>
    <m/>
    <m/>
    <m/>
    <m/>
    <m/>
    <n v="3160.527260799995"/>
    <m/>
    <m/>
    <m/>
    <n v="56121.097402823645"/>
    <m/>
    <m/>
    <m/>
    <m/>
    <m/>
    <m/>
    <m/>
    <m/>
    <m/>
    <m/>
    <m/>
    <m/>
    <n v="75851.729200000002"/>
    <n v="5683.3824640000093"/>
    <m/>
    <m/>
    <m/>
    <m/>
    <n v="149.16734000000085"/>
    <n v="5772.0175799999961"/>
    <n v="30"/>
    <n v="5919.2139128900308"/>
    <n v="0"/>
    <n v="0"/>
    <n v="0"/>
    <n v="0"/>
    <n v="0"/>
    <n v="0"/>
    <n v="0"/>
    <n v="0"/>
    <n v="0"/>
    <n v="0"/>
    <n v="5770.2690673310935"/>
    <n v="0"/>
    <n v="0"/>
    <n v="0"/>
    <n v="427.90129196462885"/>
    <n v="0"/>
    <n v="-235.95760984003391"/>
    <m/>
    <n v="0"/>
    <n v="0"/>
    <n v="0"/>
    <n v="0"/>
    <n v="-35.236980567454339"/>
    <n v="-7.761855998219005"/>
    <n v="0"/>
    <n v="0"/>
    <m/>
    <m/>
    <m/>
    <n v="0"/>
    <n v="0"/>
    <n v="0"/>
    <n v="149.16734000000361"/>
    <n v="5772.017579999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5"/>
    <s v="Regular"/>
    <s v="Verde"/>
    <s v="A4"/>
    <s v="Rural"/>
    <s v="Não se aplica"/>
    <s v="Não se aplica"/>
    <s v="Não se aplica"/>
    <s v="Não se aplica"/>
    <s v="CATIVO"/>
    <x v="4"/>
    <n v="2465"/>
    <n v="2366.4"/>
    <n v="0"/>
    <n v="0"/>
    <n v="0"/>
    <n v="0"/>
    <n v="44.35"/>
    <m/>
    <m/>
    <n v="109322.75"/>
    <m/>
    <n v="109322.75"/>
    <n v="71411.05"/>
    <n v="0"/>
    <n v="0"/>
    <n v="0"/>
    <n v="0"/>
    <n v="0"/>
    <n v="32345.886991130265"/>
    <n v="70789.491094363882"/>
    <m/>
    <m/>
    <m/>
    <n v="0"/>
    <n v="0"/>
    <n v="0"/>
    <n v="0"/>
    <m/>
    <n v="0"/>
    <n v="2444.5915049442838"/>
    <n v="3740.1232847510896"/>
    <n v="0"/>
    <n v="0"/>
    <m/>
    <m/>
    <n v="0"/>
    <n v="0"/>
    <n v="0"/>
    <m/>
    <m/>
    <n v="0"/>
    <m/>
    <n v="0"/>
    <n v="0"/>
    <n v="0"/>
    <n v="0"/>
    <m/>
    <n v="0"/>
    <n v="0"/>
    <n v="608.39"/>
    <n v="2846.55"/>
    <n v="114.22"/>
    <n v="16"/>
    <m/>
    <m/>
    <m/>
    <m/>
    <m/>
    <n v="2856.4419999999973"/>
    <m/>
    <m/>
    <m/>
    <n v="0"/>
    <m/>
    <m/>
    <m/>
    <m/>
    <m/>
    <m/>
    <m/>
    <m/>
    <m/>
    <m/>
    <m/>
    <m/>
    <n v="68554.607999999993"/>
    <n v="-36395.262000000002"/>
    <m/>
    <m/>
    <m/>
    <m/>
    <n v="-37911.700000000004"/>
    <n v="0"/>
    <n v="30"/>
    <n v="1807.0702000926685"/>
    <n v="295.14049613724183"/>
    <n v="451.55267849180336"/>
    <n v="0"/>
    <n v="0"/>
    <m/>
    <m/>
    <m/>
    <n v="1060.37702546362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789.491094363882"/>
    <m/>
    <n v="0"/>
    <n v="0"/>
    <n v="-37911.699999999997"/>
    <m/>
    <n v="0"/>
    <m/>
    <n v="-39712.17531521627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66"/>
    <s v="Sistema de Compensação"/>
    <s v="Verde"/>
    <s v="A4"/>
    <s v="Rural"/>
    <s v="Não se aplica"/>
    <s v="Não se aplica"/>
    <s v="Não se aplica"/>
    <s v="Não se aplica"/>
    <s v="CATIVO"/>
    <x v="4"/>
    <n v="736"/>
    <n v="706.56"/>
    <n v="0"/>
    <n v="0"/>
    <n v="0"/>
    <n v="0"/>
    <n v="44.35"/>
    <m/>
    <m/>
    <n v="32641.600000000002"/>
    <m/>
    <n v="32641.600000000002"/>
    <n v="21321.919999999998"/>
    <n v="0"/>
    <n v="0"/>
    <n v="0"/>
    <n v="0"/>
    <n v="0"/>
    <n v="9657.8388744307813"/>
    <n v="21136.334866309055"/>
    <m/>
    <m/>
    <m/>
    <n v="0"/>
    <n v="0"/>
    <n v="0"/>
    <n v="0"/>
    <m/>
    <n v="0"/>
    <n v="729.90642906247172"/>
    <n v="1116.7264655483984"/>
    <n v="0"/>
    <n v="0"/>
    <m/>
    <m/>
    <n v="0"/>
    <n v="0"/>
    <n v="0"/>
    <m/>
    <m/>
    <n v="0"/>
    <m/>
    <n v="0"/>
    <n v="0"/>
    <n v="0"/>
    <n v="0"/>
    <m/>
    <n v="0"/>
    <n v="0"/>
    <n v="63.3"/>
    <n v="296.26"/>
    <n v="20.190000000000001"/>
    <n v="8"/>
    <m/>
    <m/>
    <m/>
    <m/>
    <m/>
    <n v="852.87680000000159"/>
    <m/>
    <m/>
    <m/>
    <n v="0"/>
    <m/>
    <m/>
    <m/>
    <m/>
    <m/>
    <m/>
    <m/>
    <m/>
    <m/>
    <m/>
    <m/>
    <m/>
    <n v="20469.043199999996"/>
    <n v="-10866.922799999997"/>
    <m/>
    <m/>
    <m/>
    <m/>
    <n v="-11319.680000000002"/>
    <n v="0"/>
    <n v="30"/>
    <n v="539.5552402710764"/>
    <n v="88.123085256393551"/>
    <n v="134.82465369978399"/>
    <n v="0"/>
    <n v="0"/>
    <m/>
    <m/>
    <m/>
    <n v="316.60750131489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136.334866309055"/>
    <m/>
    <n v="0"/>
    <n v="0"/>
    <n v="-11319.680000000004"/>
    <m/>
    <n v="0"/>
    <m/>
    <n v="-11857.26613874205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67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292.99"/>
    <n v="292.99"/>
    <n v="292.99"/>
    <n v="292.99"/>
    <m/>
    <n v="581.32000000000005"/>
    <n v="209.4"/>
    <m/>
    <n v="231673.05280000003"/>
    <n v="231673.05280000003"/>
    <n v="176986.4693"/>
    <n v="0"/>
    <n v="18029.991511591652"/>
    <n v="0"/>
    <n v="0"/>
    <n v="0"/>
    <n v="21737.263513725691"/>
    <n v="112919.9023305928"/>
    <n v="60546.602009312417"/>
    <n v="806.5912048574246"/>
    <n v="0"/>
    <n v="0"/>
    <n v="0"/>
    <n v="0"/>
    <n v="2786.2181860050628"/>
    <m/>
    <n v="534.11031489470065"/>
    <n v="1669.8908722848882"/>
    <n v="2515.374809455494"/>
    <n v="0"/>
    <n v="0"/>
    <n v="0"/>
    <n v="0"/>
    <n v="0"/>
    <n v="0"/>
    <n v="0"/>
    <n v="0"/>
    <n v="0"/>
    <n v="0"/>
    <m/>
    <n v="0"/>
    <n v="0"/>
    <n v="0"/>
    <n v="0"/>
    <n v="0"/>
    <n v="10129.333330195024"/>
    <n v="0"/>
    <n v="619.71"/>
    <n v="2909.84"/>
    <n v="83194.91"/>
    <n v="478"/>
    <m/>
    <m/>
    <m/>
    <m/>
    <m/>
    <m/>
    <m/>
    <m/>
    <m/>
    <n v="70675.935339507443"/>
    <m/>
    <m/>
    <m/>
    <m/>
    <m/>
    <m/>
    <m/>
    <m/>
    <m/>
    <m/>
    <m/>
    <m/>
    <n v="176986.4693"/>
    <n v="-54686.613500000065"/>
    <m/>
    <m/>
    <m/>
    <m/>
    <n v="-61375.545200000022"/>
    <n v="6688.9616999999953"/>
    <n v="30"/>
    <n v="8656.058679059046"/>
    <n v="201.6093157259229"/>
    <n v="303.68630821644638"/>
    <n v="0"/>
    <n v="0"/>
    <n v="0"/>
    <n v="0"/>
    <n v="0"/>
    <n v="712.60048712597927"/>
    <n v="0"/>
    <n v="0"/>
    <n v="6686.93541818222"/>
    <n v="0"/>
    <n v="0"/>
    <n v="0"/>
    <n v="1118.711794888739"/>
    <n v="0"/>
    <n v="-314.30102674325099"/>
    <m/>
    <n v="0"/>
    <n v="0"/>
    <n v="0"/>
    <n v="0"/>
    <n v="-40.834735891318815"/>
    <n v="-12.348882445696631"/>
    <n v="0"/>
    <n v="0"/>
    <m/>
    <m/>
    <m/>
    <n v="112919.9023305928"/>
    <n v="0"/>
    <n v="0"/>
    <n v="-61375.545200000037"/>
    <n v="6688.9616999999926"/>
    <n v="0"/>
    <n v="0"/>
    <n v="-63346.90204160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8"/>
    <s v="Sistema de Compensação"/>
    <s v="Convencional"/>
    <s v="B3"/>
    <s v="Poder público"/>
    <s v="Não se aplica"/>
    <s v="Não se aplica"/>
    <s v="Não se aplica"/>
    <s v="Não se aplica"/>
    <s v="CATIVO"/>
    <x v="4"/>
    <n v="0"/>
    <n v="0"/>
    <n v="3.42"/>
    <n v="3.42"/>
    <n v="3.42"/>
    <n v="3.42"/>
    <m/>
    <n v="581.32000000000005"/>
    <n v="209.4"/>
    <m/>
    <n v="2704.2624000000001"/>
    <n v="2704.2624000000001"/>
    <n v="2065.9193999999998"/>
    <n v="0"/>
    <n v="210.45964357023601"/>
    <n v="0"/>
    <n v="0"/>
    <n v="0"/>
    <n v="253.73371520168556"/>
    <n v="1318.0861666631195"/>
    <n v="706.74555060530554"/>
    <n v="9.4151401775227548"/>
    <n v="0"/>
    <n v="0"/>
    <n v="0"/>
    <n v="0"/>
    <n v="32.522837626326201"/>
    <m/>
    <n v="6.2345379601347348"/>
    <n v="19.492224250705885"/>
    <n v="29.361349699094813"/>
    <n v="0"/>
    <n v="0"/>
    <n v="0"/>
    <n v="0"/>
    <n v="0"/>
    <n v="0"/>
    <n v="0"/>
    <n v="0"/>
    <n v="0"/>
    <n v="0"/>
    <m/>
    <n v="0"/>
    <n v="0"/>
    <n v="0"/>
    <n v="0"/>
    <n v="0"/>
    <n v="118.23720942444103"/>
    <n v="0"/>
    <n v="7.25"/>
    <n v="33.96"/>
    <n v="485.67"/>
    <n v="3"/>
    <m/>
    <m/>
    <m/>
    <m/>
    <m/>
    <m/>
    <m/>
    <m/>
    <m/>
    <n v="824.9827600297466"/>
    <m/>
    <m/>
    <m/>
    <m/>
    <m/>
    <m/>
    <m/>
    <m/>
    <m/>
    <m/>
    <m/>
    <m/>
    <n v="2065.9193999999998"/>
    <n v="-638.3730000000005"/>
    <m/>
    <m/>
    <m/>
    <m/>
    <n v="-716.42160000000024"/>
    <n v="78.078599999999938"/>
    <n v="30"/>
    <n v="101.04003782511995"/>
    <n v="2.3533358127671811"/>
    <n v="3.544855367419526"/>
    <n v="0"/>
    <n v="0"/>
    <n v="0"/>
    <n v="0"/>
    <n v="0"/>
    <n v="8.3180097135426365"/>
    <n v="0"/>
    <n v="0"/>
    <n v="78.054947712151147"/>
    <n v="0"/>
    <n v="0"/>
    <n v="0"/>
    <n v="13.058446836136"/>
    <n v="0"/>
    <n v="-3.6687583585170671"/>
    <m/>
    <n v="0"/>
    <n v="0"/>
    <n v="0"/>
    <n v="0"/>
    <n v="-0.47665379961196663"/>
    <n v="-0.14414545876747464"/>
    <n v="0"/>
    <n v="0"/>
    <m/>
    <m/>
    <m/>
    <n v="1318.0861666631195"/>
    <n v="0"/>
    <n v="0"/>
    <n v="-716.42160000000035"/>
    <n v="78.078599999999938"/>
    <n v="0"/>
    <n v="0"/>
    <n v="-739.4327621498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69"/>
    <s v="Regular"/>
    <s v="Verde"/>
    <s v="A4"/>
    <s v="Poder público"/>
    <s v="Não se aplica"/>
    <s v="Não se aplica"/>
    <s v="Não se aplica"/>
    <s v="Ponta"/>
    <s v="CATIVO"/>
    <x v="4"/>
    <n v="0"/>
    <n v="0"/>
    <n v="0.36899999999999999"/>
    <n v="0.36899999999999999"/>
    <n v="0.36899999999999999"/>
    <n v="0.36899999999999999"/>
    <m/>
    <n v="1614.19"/>
    <n v="209.4"/>
    <m/>
    <n v="672.90471000000002"/>
    <n v="672.90471000000002"/>
    <n v="447.28334999999993"/>
    <n v="0"/>
    <n v="19.755514437237693"/>
    <n v="0"/>
    <n v="0"/>
    <n v="0"/>
    <n v="114.9132384369349"/>
    <n v="429.08671135653088"/>
    <n v="76.254125196888225"/>
    <n v="1.0158440717853499"/>
    <n v="0"/>
    <n v="0"/>
    <n v="0"/>
    <n v="0"/>
    <n v="3.5090430070509848"/>
    <m/>
    <n v="0.48997454983949629"/>
    <n v="8.9279274625496576"/>
    <n v="13.29828171486991"/>
    <n v="0"/>
    <n v="0"/>
    <n v="0"/>
    <n v="0"/>
    <n v="0"/>
    <n v="0"/>
    <n v="0"/>
    <n v="0"/>
    <n v="0"/>
    <n v="0"/>
    <m/>
    <n v="0"/>
    <n v="0"/>
    <n v="0"/>
    <n v="0"/>
    <n v="0"/>
    <n v="5.6547170172904018"/>
    <n v="0"/>
    <n v="0"/>
    <n v="0"/>
    <n v="0"/>
    <n v="0"/>
    <m/>
    <m/>
    <m/>
    <m/>
    <m/>
    <m/>
    <m/>
    <m/>
    <m/>
    <n v="81.908842214178634"/>
    <m/>
    <m/>
    <m/>
    <m/>
    <m/>
    <m/>
    <m/>
    <m/>
    <m/>
    <m/>
    <m/>
    <m/>
    <n v="448.49549999999999"/>
    <n v="-224.43921"/>
    <m/>
    <m/>
    <m/>
    <m/>
    <n v="-234.04563000000005"/>
    <n v="8.4242699999999946"/>
    <n v="30"/>
    <n v="15.089654757040449"/>
    <n v="1.0778868107186046"/>
    <n v="1.6055285536096289"/>
    <n v="0"/>
    <n v="0"/>
    <n v="0"/>
    <n v="0"/>
    <n v="0"/>
    <n v="3.7671360811207677"/>
    <n v="0"/>
    <n v="0"/>
    <n v="8.4217180426268357"/>
    <n v="0"/>
    <n v="0"/>
    <n v="0"/>
    <n v="0.62452270231284768"/>
    <n v="0"/>
    <n v="-0.34438055433765413"/>
    <m/>
    <n v="0"/>
    <n v="0"/>
    <n v="0"/>
    <n v="0"/>
    <n v="-5.1428436273922795E-2"/>
    <n v="-1.1328442736675992E-2"/>
    <n v="0"/>
    <n v="0"/>
    <m/>
    <m/>
    <m/>
    <n v="429.08671135653088"/>
    <n v="0"/>
    <n v="0"/>
    <n v="-234.04563000000007"/>
    <n v="8.4242699999999928"/>
    <n v="0"/>
    <n v="0"/>
    <n v="-240.71322513260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0"/>
    <s v="Regular"/>
    <s v="Verde"/>
    <s v="A4"/>
    <s v="Poder público"/>
    <s v="Não se aplica"/>
    <s v="Não se aplica"/>
    <s v="Não se aplica"/>
    <s v="Fora ponta"/>
    <s v="CATIVO"/>
    <x v="4"/>
    <n v="0"/>
    <n v="0"/>
    <n v="9.2490000000000006"/>
    <n v="9.2490000000000006"/>
    <n v="9.2490000000000006"/>
    <n v="9.2490000000000006"/>
    <m/>
    <n v="79.7"/>
    <n v="209.4"/>
    <m/>
    <n v="2673.8859000000002"/>
    <n v="2673.8859000000002"/>
    <n v="2890.49748"/>
    <n v="0"/>
    <n v="495.17277243905539"/>
    <n v="0"/>
    <n v="0"/>
    <n v="0"/>
    <n v="0"/>
    <n v="0"/>
    <n v="1911.3127478211904"/>
    <n v="25.46217295377426"/>
    <n v="0"/>
    <n v="0"/>
    <n v="0"/>
    <n v="0"/>
    <n v="87.954305615757619"/>
    <m/>
    <n v="12.2812320093916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.73571190492933"/>
    <n v="0"/>
    <n v="0"/>
    <n v="0"/>
    <n v="0"/>
    <n v="0"/>
    <m/>
    <m/>
    <m/>
    <m/>
    <m/>
    <m/>
    <m/>
    <m/>
    <m/>
    <n v="2053.0484597261197"/>
    <m/>
    <m/>
    <m/>
    <m/>
    <m/>
    <m/>
    <m/>
    <m/>
    <m/>
    <m/>
    <m/>
    <m/>
    <n v="2890.81"/>
    <n v="216.89409999999953"/>
    <m/>
    <m/>
    <m/>
    <m/>
    <n v="5.4569100000000317"/>
    <n v="211.15466999999987"/>
    <n v="30"/>
    <n v="216.53947568810054"/>
    <n v="0"/>
    <n v="0"/>
    <n v="0"/>
    <n v="0"/>
    <n v="0"/>
    <n v="0"/>
    <n v="0"/>
    <n v="0"/>
    <n v="0"/>
    <n v="0"/>
    <n v="211.09070508470359"/>
    <n v="0"/>
    <n v="0"/>
    <n v="0"/>
    <n v="15.653686920573278"/>
    <n v="0"/>
    <n v="-8.6319125936828982"/>
    <m/>
    <n v="0"/>
    <n v="0"/>
    <n v="0"/>
    <n v="0"/>
    <n v="-1.289055845792717"/>
    <n v="-0.28394787770058372"/>
    <n v="0"/>
    <n v="0"/>
    <m/>
    <m/>
    <m/>
    <n v="0"/>
    <n v="0"/>
    <n v="0"/>
    <n v="5.4569100000001072"/>
    <n v="211.154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1"/>
    <s v="Regular"/>
    <s v="Verde"/>
    <s v="A4"/>
    <s v="Poder público"/>
    <s v="Não se aplica"/>
    <s v="Não se aplica"/>
    <s v="Não se aplica"/>
    <s v="Não se aplica"/>
    <s v="CATIVO"/>
    <x v="4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25.16"/>
    <n v="117.75"/>
    <n v="3095.48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0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72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427.82499999999999"/>
    <n v="427.82499999999999"/>
    <n v="427.82499999999999"/>
    <n v="427.82499999999999"/>
    <m/>
    <n v="319.73"/>
    <n v="115.17"/>
    <m/>
    <n v="186061.0925"/>
    <n v="186061.0925"/>
    <n v="142136.29975000001"/>
    <n v="0"/>
    <n v="14480.100396415201"/>
    <n v="0"/>
    <n v="0"/>
    <n v="0"/>
    <n v="17457.454587248147"/>
    <n v="90687.315157589954"/>
    <n v="48625.695424925005"/>
    <n v="647.78297969203493"/>
    <n v="0"/>
    <n v="0"/>
    <n v="0"/>
    <n v="0"/>
    <n v="2237.6449281039918"/>
    <m/>
    <n v="428.95033963071808"/>
    <n v="1341.1091994245714"/>
    <n v="2020.1273945199955"/>
    <n v="0"/>
    <n v="0"/>
    <n v="0"/>
    <n v="0"/>
    <n v="0"/>
    <n v="0"/>
    <n v="0"/>
    <n v="0"/>
    <n v="0"/>
    <n v="0"/>
    <m/>
    <n v="0"/>
    <n v="0"/>
    <n v="0"/>
    <n v="0"/>
    <n v="0"/>
    <n v="8134.9879435983403"/>
    <n v="0"/>
    <n v="577.07000000000005"/>
    <n v="2700.71"/>
    <n v="51540.97"/>
    <n v="42"/>
    <m/>
    <m/>
    <m/>
    <m/>
    <m/>
    <m/>
    <m/>
    <m/>
    <m/>
    <n v="56760.683368523343"/>
    <m/>
    <m/>
    <m/>
    <m/>
    <m/>
    <m/>
    <m/>
    <m/>
    <m/>
    <m/>
    <m/>
    <m/>
    <n v="142137.96090000001"/>
    <n v="-43923.161600000021"/>
    <m/>
    <m/>
    <m/>
    <m/>
    <n v="-49293.996500000008"/>
    <n v="5369.2037499999988"/>
    <n v="30"/>
    <n v="6951.7835673661757"/>
    <n v="161.91483677000633"/>
    <n v="243.89408221094709"/>
    <n v="0"/>
    <n v="0"/>
    <n v="0"/>
    <n v="0"/>
    <n v="0"/>
    <n v="572.29791758272404"/>
    <n v="0"/>
    <n v="0"/>
    <n v="5370.357281497978"/>
    <n v="0"/>
    <n v="0"/>
    <n v="0"/>
    <n v="898.45073383578529"/>
    <n v="0"/>
    <n v="-252.41888877281417"/>
    <m/>
    <n v="0"/>
    <n v="0"/>
    <n v="0"/>
    <n v="0"/>
    <n v="-32.794861549837606"/>
    <n v="-9.9175342086130058"/>
    <n v="0"/>
    <n v="0"/>
    <m/>
    <m/>
    <m/>
    <n v="90687.315157589954"/>
    <n v="0"/>
    <n v="0"/>
    <n v="-49293.996500000008"/>
    <n v="5369.2037500000006"/>
    <n v="0"/>
    <n v="0"/>
    <n v="-50874.649651086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3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88.302000000000007"/>
    <n v="83.003879999999995"/>
    <n v="88.302000000000007"/>
    <n v="83.003879999999995"/>
    <m/>
    <n v="581.32000000000005"/>
    <n v="209.4"/>
    <m/>
    <n v="69822.15744000001"/>
    <n v="69822.15744000001"/>
    <n v="53340.589139999996"/>
    <n v="0"/>
    <n v="5433.9203060055506"/>
    <n v="0"/>
    <n v="0"/>
    <n v="0"/>
    <n v="6551.2264677600124"/>
    <n v="34032.059850493213"/>
    <n v="18247.674154839093"/>
    <n v="243.09231226772351"/>
    <n v="0"/>
    <n v="0"/>
    <n v="0"/>
    <n v="0"/>
    <n v="839.71684446779432"/>
    <m/>
    <n v="160.97139501632088"/>
    <n v="503.27555139936584"/>
    <n v="758.0894447746989"/>
    <n v="0"/>
    <n v="0"/>
    <n v="0"/>
    <n v="0"/>
    <n v="0"/>
    <n v="0"/>
    <n v="0"/>
    <n v="0"/>
    <n v="0"/>
    <n v="0"/>
    <m/>
    <n v="0"/>
    <n v="0"/>
    <n v="0"/>
    <n v="0"/>
    <n v="0"/>
    <n v="3052.80177385877"/>
    <n v="0"/>
    <n v="178.26"/>
    <n v="834.33"/>
    <n v="28689.96"/>
    <n v="21"/>
    <m/>
    <m/>
    <m/>
    <m/>
    <n v="3200.4353484000067"/>
    <m/>
    <m/>
    <m/>
    <m/>
    <n v="21300.475928697862"/>
    <m/>
    <m/>
    <m/>
    <m/>
    <m/>
    <m/>
    <m/>
    <m/>
    <m/>
    <m/>
    <m/>
    <m/>
    <n v="50137.81"/>
    <n v="-15495.047993600005"/>
    <m/>
    <m/>
    <m/>
    <m/>
    <n v="-18497.502960000009"/>
    <n v="2015.9346599999988"/>
    <n v="30"/>
    <n v="2608.7828713548879"/>
    <n v="60.761479221920411"/>
    <n v="91.525677968970513"/>
    <n v="0"/>
    <n v="0"/>
    <n v="0"/>
    <n v="0"/>
    <n v="0"/>
    <n v="214.76517360387152"/>
    <n v="0"/>
    <n v="0"/>
    <n v="2015.3239745258397"/>
    <n v="0"/>
    <n v="0"/>
    <n v="0"/>
    <n v="337.15993348669053"/>
    <n v="0"/>
    <n v="-94.724766249642016"/>
    <m/>
    <n v="0"/>
    <n v="0"/>
    <n v="0"/>
    <n v="0"/>
    <n v="-12.306866612086537"/>
    <n v="-3.7217345906682908"/>
    <n v="0"/>
    <n v="0"/>
    <m/>
    <m/>
    <m/>
    <n v="34032.059850493213"/>
    <n v="0"/>
    <n v="0"/>
    <n v="-18497.502960000005"/>
    <n v="2015.9346599999953"/>
    <n v="0"/>
    <n v="0"/>
    <n v="-19091.63501852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4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1.928999999999998"/>
    <n v="31.928999999999998"/>
    <n v="31.928999999999998"/>
    <n v="31.928999999999998"/>
    <m/>
    <n v="581.32000000000005"/>
    <n v="209.4"/>
    <m/>
    <n v="25246.898880000001"/>
    <n v="25246.898880000001"/>
    <n v="19287.351029999998"/>
    <n v="0"/>
    <n v="1964.8438478228261"/>
    <n v="0"/>
    <n v="0"/>
    <n v="0"/>
    <n v="2368.8490621855608"/>
    <n v="12305.606203329455"/>
    <n v="6598.1516623616371"/>
    <n v="87.899418341556739"/>
    <n v="0"/>
    <n v="0"/>
    <n v="0"/>
    <n v="0"/>
    <n v="303.63207092718397"/>
    <m/>
    <n v="58.205427640099984"/>
    <n v="181.97872166689712"/>
    <n v="274.11653056795268"/>
    <n v="0"/>
    <n v="0"/>
    <n v="0"/>
    <n v="0"/>
    <n v="0"/>
    <n v="0"/>
    <n v="0"/>
    <n v="0"/>
    <n v="0"/>
    <n v="0"/>
    <m/>
    <n v="0"/>
    <n v="0"/>
    <n v="0"/>
    <n v="0"/>
    <n v="0"/>
    <n v="1103.8584385125666"/>
    <n v="0"/>
    <n v="67.69"/>
    <n v="317.08"/>
    <n v="10373.81"/>
    <n v="17"/>
    <m/>
    <m/>
    <m/>
    <m/>
    <m/>
    <m/>
    <m/>
    <m/>
    <m/>
    <n v="7702.010100874204"/>
    <m/>
    <m/>
    <m/>
    <m/>
    <m/>
    <m/>
    <m/>
    <m/>
    <m/>
    <m/>
    <m/>
    <m/>
    <n v="19287.955099999999"/>
    <n v="-5958.9737799999966"/>
    <m/>
    <m/>
    <m/>
    <m/>
    <n v="-6688.4869200000021"/>
    <n v="728.93906999999945"/>
    <n v="30"/>
    <n v="943.30624787083434"/>
    <n v="21.970660574808022"/>
    <n v="33.094645329338618"/>
    <n v="0"/>
    <n v="0"/>
    <n v="0"/>
    <n v="0"/>
    <n v="0"/>
    <n v="77.656646825644202"/>
    <n v="0"/>
    <n v="0"/>
    <n v="728.71825307054769"/>
    <n v="0"/>
    <n v="0"/>
    <n v="0"/>
    <n v="121.91320147104852"/>
    <n v="0"/>
    <n v="-34.251399306751864"/>
    <m/>
    <n v="0"/>
    <n v="0"/>
    <n v="0"/>
    <n v="0"/>
    <n v="-4.4500231484825576"/>
    <n v="-1.3457369453177463"/>
    <n v="0"/>
    <n v="0"/>
    <m/>
    <m/>
    <m/>
    <n v="12305.606203329455"/>
    <n v="0"/>
    <n v="0"/>
    <n v="-6688.4869200000012"/>
    <n v="728.93906999999945"/>
    <n v="0"/>
    <n v="0"/>
    <n v="-6903.3183224217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5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91.19"/>
    <n v="3704.34"/>
    <n v="1254.6400000000001"/>
    <n v="1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76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.89"/>
    <n v="341.42"/>
    <n v="246.07"/>
    <n v="2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77"/>
    <s v="Regular"/>
    <s v="Convencional"/>
    <s v="B2"/>
    <s v="Rural"/>
    <s v="Agropecuária rural"/>
    <s v="IRRIG./AQUIC."/>
    <s v="Não se aplica"/>
    <s v="Não se aplica"/>
    <s v="CATIVO"/>
    <x v="4"/>
    <n v="0"/>
    <n v="0"/>
    <n v="268.68900000000002"/>
    <n v="268.68900000000002"/>
    <n v="268.68900000000002"/>
    <n v="268.68900000000002"/>
    <m/>
    <n v="581.32000000000005"/>
    <n v="209.4"/>
    <m/>
    <n v="212457.76608000003"/>
    <n v="212457.76608000003"/>
    <n v="162306.96423000001"/>
    <n v="0"/>
    <n v="16534.558822000919"/>
    <n v="0"/>
    <n v="0"/>
    <n v="0"/>
    <n v="19934.344504042601"/>
    <n v="103554.16784635875"/>
    <n v="55524.782235844723"/>
    <n v="739.69140326269348"/>
    <n v="0"/>
    <n v="0"/>
    <n v="0"/>
    <n v="0"/>
    <n v="2555.1253564268895"/>
    <m/>
    <n v="489.81045905574331"/>
    <n v="1531.3877899701504"/>
    <n v="2306.7461079824816"/>
    <n v="0"/>
    <n v="0"/>
    <n v="0"/>
    <n v="0"/>
    <n v="0"/>
    <n v="0"/>
    <n v="0"/>
    <n v="0"/>
    <n v="0"/>
    <n v="0"/>
    <m/>
    <n v="0"/>
    <n v="0"/>
    <n v="0"/>
    <n v="0"/>
    <n v="0"/>
    <n v="9289.1922698958006"/>
    <n v="0"/>
    <n v="0"/>
    <n v="0"/>
    <n v="0"/>
    <n v="0"/>
    <m/>
    <m/>
    <m/>
    <m/>
    <m/>
    <n v="19477.26560999998"/>
    <m/>
    <m/>
    <m/>
    <n v="64813.974505740523"/>
    <m/>
    <m/>
    <m/>
    <m/>
    <m/>
    <m/>
    <m/>
    <m/>
    <m/>
    <m/>
    <m/>
    <m/>
    <n v="142830.23019999999"/>
    <n v="-44137.04045000003"/>
    <m/>
    <m/>
    <m/>
    <m/>
    <n v="-56284.971720000023"/>
    <n v="6134.1698699999961"/>
    <n v="30"/>
    <n v="7938.1130769572046"/>
    <n v="184.88755736742723"/>
    <n v="278.49814146683775"/>
    <n v="0"/>
    <n v="0"/>
    <n v="0"/>
    <n v="0"/>
    <n v="0"/>
    <n v="653.49640699475276"/>
    <n v="0"/>
    <n v="0"/>
    <n v="6132.3116508275343"/>
    <n v="0"/>
    <n v="0"/>
    <n v="0"/>
    <n v="1025.9242754253064"/>
    <n v="0"/>
    <n v="-288.23246040689628"/>
    <m/>
    <n v="0"/>
    <n v="0"/>
    <n v="0"/>
    <n v="0"/>
    <n v="-37.447845837409659"/>
    <n v="-11.324648880343318"/>
    <n v="0"/>
    <n v="0"/>
    <m/>
    <m/>
    <m/>
    <n v="103554.16784635875"/>
    <n v="0"/>
    <n v="0"/>
    <n v="-56284.97172000003"/>
    <n v="6134.1698699999906"/>
    <n v="0"/>
    <n v="0"/>
    <n v="-58092.82147054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8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22.145"/>
    <n v="22.145"/>
    <n v="22.145"/>
    <n v="22.145"/>
    <m/>
    <n v="581.32000000000005"/>
    <n v="209.4"/>
    <m/>
    <n v="17510.494400000003"/>
    <n v="17510.494400000003"/>
    <n v="13377.130149999997"/>
    <n v="0"/>
    <n v="1362.7569610710166"/>
    <n v="0"/>
    <n v="0"/>
    <n v="0"/>
    <n v="1642.962901503312"/>
    <n v="8534.8006317996424"/>
    <n v="4576.2807655422484"/>
    <n v="60.964409131941935"/>
    <n v="0"/>
    <n v="0"/>
    <n v="0"/>
    <n v="0"/>
    <n v="210.59012843128471"/>
    <m/>
    <n v="40.369544774030324"/>
    <n v="126.21500176370813"/>
    <n v="190.11903189662416"/>
    <n v="0"/>
    <n v="0"/>
    <n v="0"/>
    <n v="0"/>
    <n v="0"/>
    <n v="0"/>
    <n v="0"/>
    <n v="0"/>
    <n v="0"/>
    <n v="0"/>
    <m/>
    <n v="0"/>
    <n v="0"/>
    <n v="0"/>
    <n v="0"/>
    <n v="0"/>
    <n v="765.60321716498447"/>
    <n v="0"/>
    <n v="0"/>
    <n v="0"/>
    <n v="0"/>
    <n v="0"/>
    <m/>
    <m/>
    <m/>
    <m/>
    <m/>
    <n v="1605.2910499999982"/>
    <m/>
    <m/>
    <m/>
    <n v="5341.8839827072334"/>
    <m/>
    <m/>
    <m/>
    <m/>
    <m/>
    <m/>
    <m/>
    <m/>
    <m/>
    <m/>
    <m/>
    <m/>
    <n v="11774.496999999999"/>
    <n v="-3635.1312500000022"/>
    <m/>
    <m/>
    <m/>
    <m/>
    <n v="-4638.9346000000014"/>
    <n v="505.57034999999962"/>
    <n v="30"/>
    <n v="654.24901685300574"/>
    <n v="15.238193442610907"/>
    <n v="22.953456757750104"/>
    <n v="0"/>
    <n v="0"/>
    <n v="0"/>
    <n v="0"/>
    <n v="0"/>
    <n v="53.860328978479856"/>
    <n v="0"/>
    <n v="0"/>
    <n v="505.41719797824226"/>
    <n v="0"/>
    <n v="0"/>
    <n v="0"/>
    <n v="84.555352393634962"/>
    <n v="0"/>
    <n v="-23.755746739579081"/>
    <m/>
    <n v="0"/>
    <n v="0"/>
    <n v="0"/>
    <n v="0"/>
    <n v="-3.0864030387155026"/>
    <n v="-0.93336291941687932"/>
    <n v="0"/>
    <n v="0"/>
    <m/>
    <m/>
    <m/>
    <n v="8534.8006317996424"/>
    <n v="0"/>
    <n v="0"/>
    <n v="-4638.9346000000023"/>
    <n v="505.57034999999905"/>
    <n v="0"/>
    <n v="0"/>
    <n v="-4787.935239125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79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361.14"/>
    <n v="144.45599999999999"/>
    <n v="361.14"/>
    <n v="144.45599999999999"/>
    <m/>
    <n v="581.32000000000005"/>
    <n v="209.4"/>
    <m/>
    <n v="285560.62080000003"/>
    <n v="285560.62080000003"/>
    <n v="218153.83979999999"/>
    <n v="0"/>
    <n v="22223.799906127202"/>
    <n v="0"/>
    <n v="0"/>
    <n v="0"/>
    <n v="26793.390031560444"/>
    <n v="139185.27433588271"/>
    <n v="74629.850334970761"/>
    <n v="994.20576716683263"/>
    <n v="0"/>
    <n v="0"/>
    <n v="0"/>
    <n v="0"/>
    <n v="3434.2975381203055"/>
    <m/>
    <n v="658.34533301843805"/>
    <n v="2058.3104871052406"/>
    <n v="3100.4555059447662"/>
    <n v="0"/>
    <n v="0"/>
    <n v="0"/>
    <n v="0"/>
    <n v="0"/>
    <n v="0"/>
    <n v="0"/>
    <n v="0"/>
    <n v="0"/>
    <n v="0"/>
    <m/>
    <n v="0"/>
    <n v="0"/>
    <n v="0"/>
    <n v="0"/>
    <n v="0"/>
    <n v="12485.434447819483"/>
    <n v="0"/>
    <n v="0"/>
    <n v="0"/>
    <n v="0"/>
    <n v="0"/>
    <m/>
    <m/>
    <m/>
    <m/>
    <m/>
    <m/>
    <n v="141363.91931999999"/>
    <m/>
    <m/>
    <n v="87115.284782790244"/>
    <m/>
    <m/>
    <m/>
    <m/>
    <m/>
    <m/>
    <m/>
    <m/>
    <m/>
    <m/>
    <m/>
    <m/>
    <n v="76792.046800000011"/>
    <n v="-23727.690799999968"/>
    <m/>
    <m/>
    <m/>
    <m/>
    <n v="-75651.607200000028"/>
    <n v="8244.8261999999941"/>
    <n v="30"/>
    <n v="10669.473467884178"/>
    <n v="248.50400450957341"/>
    <n v="374.32428871049342"/>
    <n v="0"/>
    <n v="0"/>
    <n v="0"/>
    <n v="0"/>
    <n v="0"/>
    <n v="878.35263975110865"/>
    <n v="0"/>
    <n v="0"/>
    <n v="8242.3286013936449"/>
    <n v="0"/>
    <n v="0"/>
    <n v="0"/>
    <n v="1378.9261667842566"/>
    <n v="0"/>
    <n v="-387.40800982305518"/>
    <m/>
    <n v="0"/>
    <n v="0"/>
    <n v="0"/>
    <n v="0"/>
    <n v="-50.332968769551371"/>
    <n v="-15.221254672305804"/>
    <n v="0"/>
    <n v="0"/>
    <m/>
    <m/>
    <m/>
    <n v="139185.27433588271"/>
    <n v="0"/>
    <n v="0"/>
    <n v="-75651.607200000028"/>
    <n v="8244.8261999999959"/>
    <n v="0"/>
    <n v="0"/>
    <n v="-78081.50518210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0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34.149000000000001"/>
    <n v="13.659599999999999"/>
    <n v="34.149000000000001"/>
    <n v="13.659599999999999"/>
    <m/>
    <n v="581.32000000000005"/>
    <n v="209.4"/>
    <m/>
    <n v="27002.297280000006"/>
    <n v="27002.297280000006"/>
    <n v="20628.386429999999"/>
    <n v="0"/>
    <n v="2101.4580024210495"/>
    <n v="0"/>
    <n v="0"/>
    <n v="0"/>
    <n v="2533.5534036322692"/>
    <n v="13161.205995724815"/>
    <n v="7056.9163180177129"/>
    <n v="94.011000562053965"/>
    <n v="0"/>
    <n v="0"/>
    <n v="0"/>
    <n v="0"/>
    <n v="324.74338657936067"/>
    <m/>
    <n v="62.252408421240084"/>
    <n v="194.63156898753078"/>
    <n v="293.17565230245287"/>
    <n v="0"/>
    <n v="0"/>
    <n v="0"/>
    <n v="0"/>
    <n v="0"/>
    <n v="0"/>
    <n v="0"/>
    <n v="0"/>
    <n v="0"/>
    <n v="0"/>
    <m/>
    <n v="0"/>
    <n v="0"/>
    <n v="0"/>
    <n v="0"/>
    <n v="0"/>
    <n v="1180.6089077880811"/>
    <n v="0"/>
    <n v="0"/>
    <n v="0"/>
    <n v="0"/>
    <n v="0"/>
    <m/>
    <m/>
    <m/>
    <m/>
    <m/>
    <m/>
    <n v="13367.216262"/>
    <m/>
    <m/>
    <n v="8237.5252258057935"/>
    <m/>
    <m/>
    <m/>
    <m/>
    <m/>
    <m/>
    <m/>
    <m/>
    <m/>
    <m/>
    <m/>
    <m/>
    <n v="7261.3828000000003"/>
    <n v="-2243.6798599999993"/>
    <m/>
    <m/>
    <m/>
    <m/>
    <n v="-7153.5325200000025"/>
    <n v="779.62166999999943"/>
    <n v="30"/>
    <n v="1008.8936408450372"/>
    <n v="23.498264523446352"/>
    <n v="35.395691795909158"/>
    <n v="0"/>
    <n v="0"/>
    <n v="0"/>
    <n v="0"/>
    <n v="0"/>
    <n v="83.056056639697999"/>
    <n v="0"/>
    <n v="0"/>
    <n v="779.38549983106714"/>
    <n v="0"/>
    <n v="0"/>
    <n v="0"/>
    <n v="130.38973713661062"/>
    <n v="0"/>
    <n v="-36.632874030701259"/>
    <m/>
    <n v="0"/>
    <n v="0"/>
    <n v="0"/>
    <n v="0"/>
    <n v="-4.7594300008623236"/>
    <n v="-1.4393050501317219"/>
    <n v="0"/>
    <n v="0"/>
    <m/>
    <m/>
    <m/>
    <n v="13161.205995724815"/>
    <n v="0"/>
    <n v="0"/>
    <n v="-7153.5325200000043"/>
    <n v="779.62166999999954"/>
    <n v="0"/>
    <n v="0"/>
    <n v="-7383.3009925891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1"/>
    <s v="Regular"/>
    <s v="Verde"/>
    <s v="A4"/>
    <s v="Rural"/>
    <s v="Agropecuária rural"/>
    <s v="Não se aplica"/>
    <s v="Não se aplica"/>
    <s v="Ponta"/>
    <s v="CATIVO"/>
    <x v="4"/>
    <n v="0"/>
    <n v="0"/>
    <n v="33.875"/>
    <n v="32.520000000000003"/>
    <n v="33.875"/>
    <n v="32.520000000000003"/>
    <m/>
    <n v="1614.19"/>
    <n v="209.4"/>
    <m/>
    <n v="61774.111250000002"/>
    <n v="61774.111250000002"/>
    <n v="41061.581250000003"/>
    <n v="0"/>
    <n v="1813.5990557220241"/>
    <n v="0"/>
    <n v="0"/>
    <n v="0"/>
    <n v="10549.2844229029"/>
    <n v="39391.090371822451"/>
    <n v="7000.2940136709722"/>
    <n v="93.256688161866478"/>
    <n v="0"/>
    <n v="0"/>
    <n v="0"/>
    <n v="0"/>
    <n v="322.13775572859652"/>
    <m/>
    <n v="44.980725950712561"/>
    <n v="819.60309700235678"/>
    <n v="1220.8110923881252"/>
    <n v="0"/>
    <n v="0"/>
    <n v="0"/>
    <n v="0"/>
    <n v="0"/>
    <n v="0"/>
    <n v="0"/>
    <n v="0"/>
    <n v="0"/>
    <n v="0"/>
    <m/>
    <n v="0"/>
    <n v="0"/>
    <n v="0"/>
    <n v="0"/>
    <n v="0"/>
    <n v="519.11528173634781"/>
    <n v="0"/>
    <n v="0"/>
    <n v="0"/>
    <n v="0"/>
    <n v="0"/>
    <m/>
    <m/>
    <m/>
    <m/>
    <m/>
    <n v="1642.4632499999962"/>
    <m/>
    <m/>
    <m/>
    <n v="7519.4092954073203"/>
    <m/>
    <m/>
    <m/>
    <m/>
    <m/>
    <m/>
    <m/>
    <m/>
    <m/>
    <m/>
    <m/>
    <m/>
    <n v="39419.118000000002"/>
    <n v="-19884.058800000013"/>
    <m/>
    <m/>
    <m/>
    <m/>
    <n v="-21485.896250000002"/>
    <n v="773.36624999999947"/>
    <n v="30"/>
    <n v="1385.2630213949742"/>
    <n v="98.952346105942411"/>
    <n v="147.39100204207648"/>
    <n v="0"/>
    <n v="0"/>
    <n v="0"/>
    <n v="0"/>
    <n v="0"/>
    <n v="345.83125947958251"/>
    <n v="0"/>
    <n v="0"/>
    <n v="773.13197478044458"/>
    <n v="0"/>
    <n v="0"/>
    <n v="0"/>
    <n v="57.332538051077904"/>
    <n v="0"/>
    <n v="-31.614881512704869"/>
    <m/>
    <n v="0"/>
    <n v="0"/>
    <n v="0"/>
    <n v="0"/>
    <n v="-4.7212419479109258"/>
    <n v="-1.0399756035363055"/>
    <n v="0"/>
    <n v="0"/>
    <m/>
    <m/>
    <m/>
    <n v="39391.090371822451"/>
    <n v="0"/>
    <n v="0"/>
    <n v="-21485.896249999998"/>
    <n v="773.36624999999913"/>
    <n v="0"/>
    <n v="0"/>
    <n v="-22097.99593866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2"/>
    <s v="Sistema de Compensação"/>
    <s v="Verde"/>
    <s v="A4"/>
    <s v="Rural"/>
    <s v="Agropecuária rural"/>
    <s v="Não se aplica"/>
    <s v="Não se aplica"/>
    <s v="Ponta"/>
    <s v="CATIVO"/>
    <x v="4"/>
    <n v="0"/>
    <n v="0"/>
    <n v="1.0620000000000001"/>
    <n v="1.01952"/>
    <n v="1.0620000000000001"/>
    <n v="1.01952"/>
    <m/>
    <n v="1614.19"/>
    <n v="209.4"/>
    <m/>
    <n v="1936.6525800000002"/>
    <n v="1936.6525800000002"/>
    <n v="1287.3033"/>
    <n v="0"/>
    <n v="56.857334234001172"/>
    <n v="0"/>
    <n v="0"/>
    <n v="0"/>
    <n v="330.72590574532484"/>
    <n v="1234.9324863431864"/>
    <n v="219.46309203006857"/>
    <n v="2.9236487919675924"/>
    <n v="0"/>
    <n v="0"/>
    <n v="0"/>
    <n v="0"/>
    <n v="10.099196947122348"/>
    <m/>
    <n v="1.4101706556356235"/>
    <n v="25.695010745874626"/>
    <n v="38.273103472064619"/>
    <n v="0"/>
    <n v="0"/>
    <n v="0"/>
    <n v="0"/>
    <n v="0"/>
    <n v="0"/>
    <n v="0"/>
    <n v="0"/>
    <n v="0"/>
    <n v="0"/>
    <m/>
    <n v="0"/>
    <n v="0"/>
    <n v="0"/>
    <n v="0"/>
    <n v="0"/>
    <n v="16.27455141561628"/>
    <n v="0"/>
    <n v="0"/>
    <n v="0"/>
    <n v="0"/>
    <n v="0"/>
    <m/>
    <m/>
    <m/>
    <m/>
    <m/>
    <n v="51.492132000000083"/>
    <m/>
    <m/>
    <m/>
    <n v="235.73764344568485"/>
    <m/>
    <m/>
    <m/>
    <m/>
    <m/>
    <m/>
    <m/>
    <m/>
    <m/>
    <m/>
    <m/>
    <m/>
    <n v="1236.393"/>
    <n v="-622.82347679999998"/>
    <m/>
    <m/>
    <m/>
    <m/>
    <n v="-673.59474000000012"/>
    <n v="24.245459999999984"/>
    <n v="30"/>
    <n v="43.428762471482287"/>
    <n v="3.1022108210925694"/>
    <n v="4.6207894957545435"/>
    <n v="0"/>
    <n v="0"/>
    <n v="0"/>
    <n v="0"/>
    <n v="0"/>
    <n v="10.842001404201255"/>
    <n v="0"/>
    <n v="0"/>
    <n v="24.238115342194305"/>
    <n v="0"/>
    <n v="0"/>
    <n v="0"/>
    <n v="1.7974068017784397"/>
    <n v="0"/>
    <n v="-0.99114403443520871"/>
    <m/>
    <n v="0"/>
    <n v="0"/>
    <n v="0"/>
    <n v="0"/>
    <n v="-0.14801354830055757"/>
    <n v="-3.260381080311614E-2"/>
    <n v="0"/>
    <n v="0"/>
    <m/>
    <m/>
    <m/>
    <n v="1234.9324863431864"/>
    <n v="0"/>
    <n v="0"/>
    <n v="-673.59474"/>
    <n v="24.24545999999998"/>
    <n v="0"/>
    <n v="0"/>
    <n v="-692.78440404018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3"/>
    <s v="Regular"/>
    <s v="Verde"/>
    <s v="A4"/>
    <s v="Rural"/>
    <s v="Agropecuária rural"/>
    <s v="Não se aplica"/>
    <s v="Não se aplica"/>
    <s v="Fora ponta"/>
    <s v="CATIVO"/>
    <x v="4"/>
    <n v="0"/>
    <n v="0"/>
    <n v="3857.1840000000002"/>
    <n v="3702.8966399999999"/>
    <n v="3857.1840000000002"/>
    <n v="3702.8966399999999"/>
    <m/>
    <n v="79.7"/>
    <n v="209.4"/>
    <m/>
    <n v="1115111.8944000001"/>
    <n v="1115111.8944000001"/>
    <n v="1205447.14368"/>
    <n v="0"/>
    <n v="206505.83793789227"/>
    <n v="0"/>
    <n v="0"/>
    <n v="0"/>
    <n v="0"/>
    <n v="0"/>
    <n v="797089.95025320898"/>
    <n v="10618.692412426297"/>
    <n v="0"/>
    <n v="0"/>
    <n v="0"/>
    <n v="0"/>
    <n v="36680.283311948362"/>
    <m/>
    <n v="5121.7398212685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109.170741518326"/>
    <n v="0"/>
    <n v="0"/>
    <n v="0"/>
    <n v="0"/>
    <n v="0"/>
    <m/>
    <m/>
    <m/>
    <m/>
    <m/>
    <n v="48217.885747200082"/>
    <m/>
    <m/>
    <m/>
    <n v="856199.12099472736"/>
    <m/>
    <m/>
    <m/>
    <m/>
    <m/>
    <m/>
    <m/>
    <m/>
    <m/>
    <m/>
    <m/>
    <m/>
    <n v="1157230.308"/>
    <n v="86722.859376000008"/>
    <m/>
    <m/>
    <m/>
    <m/>
    <n v="2275.7385600000134"/>
    <n v="88059.510719999947"/>
    <n v="30"/>
    <n v="90305.179045576137"/>
    <n v="0"/>
    <n v="0"/>
    <n v="0"/>
    <n v="0"/>
    <n v="0"/>
    <n v="0"/>
    <n v="0"/>
    <n v="0"/>
    <n v="0"/>
    <n v="0"/>
    <n v="88032.834922849783"/>
    <n v="0"/>
    <n v="0"/>
    <n v="0"/>
    <n v="6528.1815040592992"/>
    <n v="0"/>
    <n v="-3599.8351330687001"/>
    <m/>
    <n v="0"/>
    <n v="0"/>
    <n v="0"/>
    <n v="0"/>
    <n v="-537.5852074276263"/>
    <n v="-118.4170408369182"/>
    <n v="0"/>
    <n v="0"/>
    <m/>
    <m/>
    <m/>
    <n v="0"/>
    <n v="0"/>
    <n v="0"/>
    <n v="2275.7385599999689"/>
    <n v="88059.510719999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4"/>
    <s v="Sistema de Compensação"/>
    <s v="Verde"/>
    <s v="A4"/>
    <s v="Rural"/>
    <s v="Agropecuária rural"/>
    <s v="Não se aplica"/>
    <s v="Não se aplica"/>
    <s v="Fora ponta"/>
    <s v="CATIVO"/>
    <x v="4"/>
    <n v="0"/>
    <n v="0"/>
    <n v="469.28100000000001"/>
    <n v="450.50976000000003"/>
    <n v="469.28100000000001"/>
    <n v="450.50976000000003"/>
    <m/>
    <n v="79.7"/>
    <n v="209.4"/>
    <m/>
    <n v="135669.13710000002"/>
    <n v="135669.13710000002"/>
    <n v="146659.69812000002"/>
    <n v="0"/>
    <n v="25124.35655994944"/>
    <n v="0"/>
    <n v="0"/>
    <n v="0"/>
    <n v="0"/>
    <n v="0"/>
    <n v="96977.268635558008"/>
    <n v="1291.9141513590807"/>
    <n v="0"/>
    <n v="0"/>
    <n v="0"/>
    <n v="0"/>
    <n v="4462.6753696257274"/>
    <m/>
    <n v="623.13210494099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91.4668200299648"/>
    <n v="0"/>
    <n v="0"/>
    <n v="0"/>
    <n v="0"/>
    <n v="0"/>
    <m/>
    <m/>
    <m/>
    <m/>
    <m/>
    <n v="5866.3879247999921"/>
    <m/>
    <m/>
    <m/>
    <n v="104168.73545558797"/>
    <m/>
    <m/>
    <m/>
    <m/>
    <m/>
    <m/>
    <m/>
    <m/>
    <m/>
    <m/>
    <m/>
    <m/>
    <n v="140793.38519999999"/>
    <n v="10550.983583999987"/>
    <m/>
    <m/>
    <m/>
    <m/>
    <n v="276.87579000000159"/>
    <n v="10713.685229999992"/>
    <n v="30"/>
    <n v="10986.902550587896"/>
    <n v="0"/>
    <n v="0"/>
    <n v="0"/>
    <n v="0"/>
    <n v="0"/>
    <n v="0"/>
    <n v="0"/>
    <n v="0"/>
    <n v="0"/>
    <n v="0"/>
    <n v="10710.439741902344"/>
    <n v="0"/>
    <n v="0"/>
    <n v="0"/>
    <n v="794.24563215196667"/>
    <n v="0"/>
    <n v="-437.97086970225064"/>
    <m/>
    <n v="0"/>
    <n v="0"/>
    <n v="0"/>
    <n v="0"/>
    <n v="-65.404845536755602"/>
    <n v="-14.407108227398453"/>
    <n v="0"/>
    <n v="0"/>
    <m/>
    <m/>
    <m/>
    <n v="0"/>
    <n v="0"/>
    <n v="0"/>
    <n v="276.87578999999823"/>
    <n v="10713.68522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5"/>
    <s v="Regular"/>
    <s v="Verde"/>
    <s v="A4"/>
    <s v="Rural"/>
    <s v="Agropecuária rural"/>
    <s v="Não se aplica"/>
    <s v="Não se aplica"/>
    <s v="Não se aplica"/>
    <s v="CATIVO"/>
    <x v="4"/>
    <n v="30864"/>
    <n v="29629.439999999999"/>
    <n v="0"/>
    <n v="0"/>
    <n v="0"/>
    <n v="0"/>
    <n v="44.35"/>
    <m/>
    <m/>
    <n v="1368818.4000000001"/>
    <m/>
    <n v="1368818.4000000001"/>
    <n v="894130.08"/>
    <n v="0"/>
    <n v="0"/>
    <n v="0"/>
    <n v="0"/>
    <n v="0"/>
    <n v="404999.37366906466"/>
    <n v="886347.60776326456"/>
    <m/>
    <m/>
    <m/>
    <n v="0"/>
    <n v="0"/>
    <n v="0"/>
    <n v="0"/>
    <m/>
    <n v="0"/>
    <n v="30608.467427424086"/>
    <n v="46829.681566149142"/>
    <n v="0"/>
    <n v="0"/>
    <m/>
    <m/>
    <n v="0"/>
    <n v="0"/>
    <n v="0"/>
    <m/>
    <m/>
    <n v="0"/>
    <m/>
    <n v="0"/>
    <n v="0"/>
    <n v="0"/>
    <n v="0"/>
    <m/>
    <n v="0"/>
    <n v="0"/>
    <n v="9099.49"/>
    <n v="42575.67"/>
    <n v="1455.32"/>
    <n v="121"/>
    <m/>
    <m/>
    <m/>
    <m/>
    <m/>
    <n v="35765.20320000004"/>
    <m/>
    <m/>
    <m/>
    <n v="0"/>
    <m/>
    <m/>
    <m/>
    <m/>
    <m/>
    <m/>
    <m/>
    <m/>
    <m/>
    <m/>
    <m/>
    <m/>
    <n v="858364.87679999997"/>
    <n v="-455700.81719999993"/>
    <m/>
    <m/>
    <m/>
    <m/>
    <n v="-474688.32000000007"/>
    <n v="0"/>
    <n v="30"/>
    <n v="22626.13170615019"/>
    <n v="3695.4224230344153"/>
    <n v="5653.8425431931173"/>
    <n v="0"/>
    <n v="0"/>
    <m/>
    <m/>
    <m/>
    <n v="13276.86673992266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86347.60776326456"/>
    <m/>
    <n v="0"/>
    <n v="0"/>
    <n v="-474688.32000000018"/>
    <m/>
    <n v="0"/>
    <m/>
    <n v="-497231.8778615964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86"/>
    <s v="Sistema de Compensação"/>
    <s v="Verde"/>
    <s v="A4"/>
    <s v="Rural"/>
    <s v="Agropecuária rural"/>
    <s v="Não se aplica"/>
    <s v="Não se aplica"/>
    <s v="Não se aplica"/>
    <s v="CATIVO"/>
    <x v="4"/>
    <n v="3001"/>
    <n v="2880.96"/>
    <n v="0"/>
    <n v="0"/>
    <n v="0"/>
    <n v="0"/>
    <n v="44.35"/>
    <m/>
    <m/>
    <n v="133094.35"/>
    <m/>
    <n v="133094.35"/>
    <n v="86938.97"/>
    <n v="0"/>
    <n v="0"/>
    <n v="0"/>
    <n v="0"/>
    <n v="0"/>
    <n v="39379.313127943984"/>
    <n v="86182.256703523744"/>
    <m/>
    <m/>
    <m/>
    <n v="0"/>
    <n v="0"/>
    <n v="0"/>
    <n v="0"/>
    <m/>
    <n v="0"/>
    <n v="2976.1537956745619"/>
    <n v="4553.3914716178579"/>
    <n v="0"/>
    <n v="0"/>
    <m/>
    <m/>
    <n v="0"/>
    <n v="0"/>
    <n v="0"/>
    <m/>
    <m/>
    <n v="0"/>
    <m/>
    <n v="0"/>
    <n v="0"/>
    <n v="0"/>
    <n v="0"/>
    <m/>
    <n v="0"/>
    <n v="0"/>
    <n v="664.74"/>
    <n v="3110.29"/>
    <n v="3407.78"/>
    <n v="14"/>
    <m/>
    <m/>
    <m/>
    <m/>
    <m/>
    <n v="3477.5587999999989"/>
    <m/>
    <m/>
    <m/>
    <n v="0"/>
    <m/>
    <m/>
    <m/>
    <m/>
    <m/>
    <m/>
    <m/>
    <m/>
    <m/>
    <m/>
    <m/>
    <m/>
    <n v="83461.411200000002"/>
    <n v="-44309.194799999983"/>
    <m/>
    <m/>
    <m/>
    <m/>
    <n v="-46155.380000000005"/>
    <n v="0"/>
    <n v="30"/>
    <n v="2200.0071685509611"/>
    <n v="359.31709083483292"/>
    <n v="549.74019803403826"/>
    <n v="0"/>
    <n v="0"/>
    <m/>
    <m/>
    <m/>
    <n v="1290.94987968208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182.256703523744"/>
    <m/>
    <n v="0"/>
    <n v="0"/>
    <n v="-46155.380000000005"/>
    <m/>
    <n v="0"/>
    <m/>
    <n v="-48347.35826408277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287"/>
    <s v="Regular"/>
    <s v="Verde"/>
    <s v="A4"/>
    <s v="Rural"/>
    <s v="Agropecuária rural"/>
    <s v="IRRIG./AQUIC. PR"/>
    <s v="Não se aplica"/>
    <s v="Fora ponta"/>
    <s v="CATIVO"/>
    <x v="4"/>
    <n v="0"/>
    <n v="0"/>
    <n v="3657.2269999999999"/>
    <n v="1097.1681000000001"/>
    <n v="3657.2269999999999"/>
    <n v="1097.1681000000001"/>
    <m/>
    <n v="79.7"/>
    <n v="209.4"/>
    <m/>
    <n v="1057304.3256999999"/>
    <n v="1057304.3256999999"/>
    <n v="1142956.58204"/>
    <n v="0"/>
    <n v="195800.5441700691"/>
    <n v="0"/>
    <n v="0"/>
    <n v="0"/>
    <n v="0"/>
    <n v="0"/>
    <n v="755768.68707707291"/>
    <n v="10068.217797082167"/>
    <n v="0"/>
    <n v="0"/>
    <n v="0"/>
    <n v="0"/>
    <n v="34778.771895794176"/>
    <m/>
    <n v="4856.22805687222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044.942420037733"/>
    <n v="0"/>
    <n v="0"/>
    <n v="0"/>
    <n v="0"/>
    <n v="0"/>
    <m/>
    <m/>
    <m/>
    <m/>
    <m/>
    <m/>
    <n v="800069.60742799996"/>
    <m/>
    <m/>
    <n v="811813.62949711061"/>
    <m/>
    <m/>
    <m/>
    <m/>
    <m/>
    <m/>
    <m/>
    <m/>
    <m/>
    <m/>
    <m/>
    <m/>
    <n v="342887.56839999999"/>
    <n v="25696.240689999948"/>
    <m/>
    <m/>
    <m/>
    <m/>
    <n v="2157.7639300000124"/>
    <n v="83494.492409999933"/>
    <n v="30"/>
    <n v="85623.744951061439"/>
    <n v="0"/>
    <n v="0"/>
    <n v="0"/>
    <n v="0"/>
    <n v="0"/>
    <n v="0"/>
    <n v="0"/>
    <n v="0"/>
    <n v="0"/>
    <n v="0"/>
    <n v="83469.199490195257"/>
    <n v="0"/>
    <n v="0"/>
    <n v="0"/>
    <n v="6189.7595908170988"/>
    <n v="0"/>
    <n v="-3413.2191371236986"/>
    <m/>
    <n v="0"/>
    <n v="0"/>
    <n v="0"/>
    <n v="0"/>
    <n v="-509.71670923785859"/>
    <n v="-112.27828358949955"/>
    <n v="0"/>
    <n v="0"/>
    <m/>
    <m/>
    <m/>
    <n v="0"/>
    <n v="0"/>
    <n v="0"/>
    <n v="2157.7639300000155"/>
    <n v="83494.49240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8"/>
    <s v="Regular"/>
    <s v="Convencional"/>
    <s v="B1"/>
    <s v="Residencial"/>
    <s v="Residencial"/>
    <s v="Não se aplica"/>
    <s v="Não se aplica"/>
    <s v="Não se aplica"/>
    <s v="CATIVO"/>
    <x v="5"/>
    <n v="0"/>
    <n v="0"/>
    <n v="1719.5820000000001"/>
    <n v="1719.5820000000001"/>
    <n v="1719.5820000000001"/>
    <n v="1719.5820000000001"/>
    <m/>
    <n v="581.32000000000005"/>
    <n v="209.4"/>
    <m/>
    <n v="1359707.87904"/>
    <n v="1359707.87904"/>
    <n v="1038747.89874"/>
    <n v="0"/>
    <n v="105819.47801455953"/>
    <n v="0"/>
    <n v="0"/>
    <n v="0"/>
    <n v="127577.75715027629"/>
    <n v="662736.03703008778"/>
    <n v="355352.90274882235"/>
    <n v="4733.9489990482271"/>
    <n v="0"/>
    <n v="0"/>
    <n v="0"/>
    <n v="0"/>
    <n v="16352.539816126686"/>
    <m/>
    <n v="3134.7366241416403"/>
    <n v="9800.7245501395701"/>
    <n v="14762.938139844695"/>
    <n v="0"/>
    <n v="0"/>
    <n v="0"/>
    <n v="0"/>
    <n v="0"/>
    <n v="0"/>
    <n v="0"/>
    <n v="0"/>
    <n v="0"/>
    <n v="0"/>
    <m/>
    <n v="0"/>
    <n v="0"/>
    <n v="0"/>
    <n v="0"/>
    <n v="0"/>
    <n v="59449.876332309701"/>
    <n v="0"/>
    <n v="3203.34"/>
    <n v="14960.16"/>
    <n v="546455.57999999996"/>
    <n v="9286"/>
    <m/>
    <m/>
    <m/>
    <m/>
    <m/>
    <m/>
    <m/>
    <m/>
    <m/>
    <n v="414802.77908113203"/>
    <m/>
    <m/>
    <m/>
    <m/>
    <m/>
    <m/>
    <m/>
    <m/>
    <m/>
    <m/>
    <m/>
    <m/>
    <n v="1038746.6906"/>
    <n v="-320961.21844000008"/>
    <m/>
    <m/>
    <m/>
    <m/>
    <n v="-360218.03736000013"/>
    <n v="39258.057059999977"/>
    <m/>
    <n v="50803.108281694469"/>
    <n v="1183.2613753186597"/>
    <n v="1782.3594977830417"/>
    <n v="0"/>
    <n v="0"/>
    <n v="0"/>
    <n v="0"/>
    <n v="0"/>
    <n v="4182.3098769687203"/>
    <n v="0"/>
    <n v="0"/>
    <n v="39246.164648174366"/>
    <n v="0"/>
    <n v="0"/>
    <n v="0"/>
    <n v="6565.8099787650353"/>
    <n v="0"/>
    <n v="-1844.6581390805513"/>
    <m/>
    <n v="0"/>
    <n v="0"/>
    <n v="0"/>
    <n v="0"/>
    <n v="-239.66236667963312"/>
    <n v="-72.476589555056307"/>
    <n v="0"/>
    <n v="0"/>
    <m/>
    <m/>
    <m/>
    <n v="662736.03703008778"/>
    <n v="0"/>
    <n v="0"/>
    <n v="-360218.03736000019"/>
    <n v="39258.057060000021"/>
    <n v="0"/>
    <n v="0"/>
    <n v="-371788.0900594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89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4.2359999999999998"/>
    <n v="-4.2359999999999998"/>
    <n v="-4.2359999999999998"/>
    <n v="-4.2359999999999998"/>
    <m/>
    <n v="581.32000000000005"/>
    <n v="209.4"/>
    <m/>
    <n v="-3349.48992"/>
    <n v="-3349.48992"/>
    <n v="-2558.8405199999997"/>
    <n v="0"/>
    <n v="-260.67457607120457"/>
    <n v="0"/>
    <n v="0"/>
    <n v="0"/>
    <n v="-314.27368935507019"/>
    <n v="-1632.5769011651969"/>
    <n v="-875.37255917078187"/>
    <n v="-11.661559588300113"/>
    <n v="0"/>
    <n v="0"/>
    <n v="0"/>
    <n v="0"/>
    <n v="-40.282672568747891"/>
    <m/>
    <n v="-7.7220768418510932"/>
    <n v="-24.143000563155006"/>
    <n v="-36.36686471501919"/>
    <n v="0"/>
    <n v="0"/>
    <n v="0"/>
    <n v="0"/>
    <n v="0"/>
    <n v="0"/>
    <n v="0"/>
    <n v="0"/>
    <n v="0"/>
    <n v="0"/>
    <m/>
    <n v="0"/>
    <n v="0"/>
    <n v="0"/>
    <n v="0"/>
    <n v="0"/>
    <n v="-146.44819272571118"/>
    <n v="0"/>
    <n v="-9.1999999999999993"/>
    <n v="-43.02"/>
    <n v="-1405.98"/>
    <n v="0"/>
    <m/>
    <m/>
    <m/>
    <m/>
    <m/>
    <m/>
    <m/>
    <m/>
    <m/>
    <n v="-1021.820751896493"/>
    <m/>
    <m/>
    <m/>
    <m/>
    <m/>
    <m/>
    <m/>
    <m/>
    <m/>
    <m/>
    <m/>
    <m/>
    <n v="-2561.2568000000001"/>
    <n v="788.20311999999922"/>
    <m/>
    <m/>
    <m/>
    <m/>
    <n v="887.35728000000029"/>
    <n v="-96.707879999999932"/>
    <m/>
    <n v="-125.14783632374542"/>
    <n v="-2.9148334803747922"/>
    <n v="-4.3906454199968152"/>
    <n v="0"/>
    <n v="0"/>
    <n v="0"/>
    <n v="0"/>
    <n v="0"/>
    <n v="-10.30265764519487"/>
    <n v="0"/>
    <n v="0"/>
    <n v="-96.678584359260867"/>
    <n v="0"/>
    <n v="0"/>
    <n v="0"/>
    <n v="-16.174146432126349"/>
    <n v="0"/>
    <n v="4.5441112300228497"/>
    <m/>
    <n v="0"/>
    <n v="0"/>
    <n v="0"/>
    <n v="0"/>
    <n v="0.59038172372991227"/>
    <n v="0.17853805945585499"/>
    <n v="0"/>
    <n v="0"/>
    <m/>
    <m/>
    <m/>
    <n v="-1632.5769011651969"/>
    <n v="0"/>
    <n v="0"/>
    <n v="887.35728000000017"/>
    <n v="-96.707879999999932"/>
    <n v="0"/>
    <n v="0"/>
    <n v="915.85882469787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0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56.95"/>
    <n v="56.95"/>
    <n v="56.95"/>
    <n v="56.95"/>
    <m/>
    <n v="581.32000000000005"/>
    <n v="209.4"/>
    <m/>
    <n v="45031.504000000008"/>
    <n v="45031.504000000008"/>
    <n v="34401.786500000002"/>
    <n v="0"/>
    <n v="3504.5838307967665"/>
    <n v="0"/>
    <n v="0"/>
    <n v="0"/>
    <n v="4225.1856961216354"/>
    <n v="21948.832512124169"/>
    <n v="11768.759972798875"/>
    <n v="156.78135471050319"/>
    <n v="0"/>
    <n v="0"/>
    <n v="0"/>
    <n v="0"/>
    <n v="541.5718136898472"/>
    <m/>
    <n v="103.81781778645416"/>
    <n v="324.58543013967841"/>
    <n v="488.92656881972215"/>
    <n v="0"/>
    <n v="0"/>
    <n v="0"/>
    <n v="0"/>
    <n v="0"/>
    <n v="0"/>
    <n v="0"/>
    <n v="0"/>
    <n v="0"/>
    <n v="0"/>
    <m/>
    <n v="0"/>
    <n v="0"/>
    <n v="0"/>
    <n v="0"/>
    <n v="0"/>
    <n v="1968.8915429011454"/>
    <n v="0"/>
    <n v="103.96"/>
    <n v="498.85"/>
    <n v="55257.3"/>
    <n v="708"/>
    <m/>
    <m/>
    <m/>
    <m/>
    <m/>
    <m/>
    <m/>
    <m/>
    <m/>
    <n v="13737.651515700019"/>
    <m/>
    <m/>
    <m/>
    <m/>
    <m/>
    <m/>
    <m/>
    <m/>
    <m/>
    <m/>
    <m/>
    <m/>
    <n v="34401.786500000002"/>
    <n v="-10629.747500000012"/>
    <m/>
    <m/>
    <m/>
    <m/>
    <n v="-11929.886000000004"/>
    <n v="1300.1684999999991"/>
    <m/>
    <n v="1682.5234368832134"/>
    <n v="39.187858051781006"/>
    <n v="59.029097419456718"/>
    <n v="0"/>
    <n v="0"/>
    <n v="0"/>
    <n v="0"/>
    <n v="0"/>
    <n v="138.51188689656556"/>
    <n v="0"/>
    <n v="0"/>
    <n v="1299.7746409962019"/>
    <n v="0"/>
    <n v="0"/>
    <n v="0"/>
    <n v="217.44986763682618"/>
    <n v="0"/>
    <n v="-61.092335823844223"/>
    <m/>
    <n v="0"/>
    <n v="0"/>
    <n v="0"/>
    <n v="0"/>
    <n v="-7.9372613707314486"/>
    <n v="-2.4003169230431922"/>
    <n v="0"/>
    <n v="0"/>
    <m/>
    <m/>
    <m/>
    <n v="21948.832512124169"/>
    <n v="0"/>
    <n v="0"/>
    <n v="-11929.886000000006"/>
    <n v="1300.1684999999979"/>
    <n v="0"/>
    <n v="0"/>
    <n v="-12313.06894866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1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38.22"/>
    <n v="38.22"/>
    <n v="38.22"/>
    <n v="38.22"/>
    <m/>
    <n v="510.28"/>
    <n v="209.4"/>
    <m/>
    <n v="27506.169599999997"/>
    <n v="27506.169599999997"/>
    <n v="20418.2706"/>
    <n v="0"/>
    <n v="0"/>
    <n v="0"/>
    <n v="0"/>
    <n v="0"/>
    <n v="2835.5855540960297"/>
    <n v="14730.191020428194"/>
    <n v="7898.1915041329758"/>
    <n v="105.21832093126307"/>
    <n v="0"/>
    <n v="0"/>
    <n v="0"/>
    <n v="0"/>
    <n v="0"/>
    <m/>
    <n v="69.67369615097941"/>
    <n v="217.83415522280086"/>
    <n v="328.12596067234028"/>
    <n v="0"/>
    <n v="0"/>
    <n v="0"/>
    <n v="0"/>
    <n v="0"/>
    <n v="0"/>
    <n v="0"/>
    <n v="0"/>
    <n v="0"/>
    <n v="0"/>
    <m/>
    <n v="0"/>
    <n v="0"/>
    <n v="0"/>
    <n v="0"/>
    <n v="0"/>
    <n v="1321.3526737433147"/>
    <n v="0"/>
    <n v="12.74"/>
    <n v="77.28"/>
    <n v="2922.35"/>
    <n v="74"/>
    <m/>
    <m/>
    <m/>
    <m/>
    <m/>
    <m/>
    <m/>
    <n v="13271.895"/>
    <m/>
    <n v="9219.5441778762906"/>
    <m/>
    <m/>
    <m/>
    <m/>
    <m/>
    <m/>
    <m/>
    <m/>
    <m/>
    <m/>
    <m/>
    <m/>
    <n v="7146.3755999999994"/>
    <n v="-2480.8902000000016"/>
    <m/>
    <m/>
    <m/>
    <m/>
    <n v="-7960.4615999999987"/>
    <n v="872.56259999999941"/>
    <m/>
    <n v="1175.4935375321002"/>
    <n v="26.299559872503409"/>
    <n v="39.615313492039263"/>
    <n v="0"/>
    <n v="0"/>
    <n v="0"/>
    <n v="0"/>
    <n v="0"/>
    <n v="92.957406798713237"/>
    <n v="0"/>
    <n v="0"/>
    <n v="872.29827530947841"/>
    <n v="0"/>
    <n v="0"/>
    <n v="0"/>
    <n v="145.93387078278306"/>
    <n v="0"/>
    <n v="0"/>
    <m/>
    <n v="0"/>
    <n v="0"/>
    <n v="0"/>
    <n v="0"/>
    <n v="0"/>
    <n v="-1.6108887234189666"/>
    <n v="0"/>
    <n v="0"/>
    <m/>
    <m/>
    <m/>
    <n v="14730.191020428194"/>
    <n v="0"/>
    <n v="0"/>
    <n v="-7960.4615999999969"/>
    <n v="872.56259999999929"/>
    <n v="0"/>
    <n v="0"/>
    <n v="-8263.48542963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2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78.841999999999999"/>
    <n v="78.841999999999999"/>
    <n v="78.841999999999999"/>
    <n v="78.841999999999999"/>
    <m/>
    <n v="510.28"/>
    <n v="209.4"/>
    <m/>
    <n v="56741.010559999995"/>
    <n v="56741.010559999995"/>
    <n v="42119.761660000004"/>
    <n v="0"/>
    <n v="0"/>
    <n v="0"/>
    <n v="0"/>
    <n v="0"/>
    <n v="5849.3782379916065"/>
    <n v="30386.12560001569"/>
    <n v="16292.758099655994"/>
    <n v="217.04926370650557"/>
    <n v="0"/>
    <n v="0"/>
    <n v="0"/>
    <n v="0"/>
    <n v="0"/>
    <m/>
    <n v="143.72615258857977"/>
    <n v="449.35846326729632"/>
    <n v="676.87354765381087"/>
    <n v="0"/>
    <n v="0"/>
    <n v="0"/>
    <n v="0"/>
    <n v="0"/>
    <n v="0"/>
    <n v="0"/>
    <n v="0"/>
    <n v="0"/>
    <n v="0"/>
    <m/>
    <n v="0"/>
    <n v="0"/>
    <n v="0"/>
    <n v="0"/>
    <n v="0"/>
    <n v="2725.7479723513975"/>
    <n v="0"/>
    <n v="64.430000000000007"/>
    <n v="297.64999999999998"/>
    <n v="10978.16"/>
    <n v="207"/>
    <m/>
    <m/>
    <m/>
    <m/>
    <m/>
    <m/>
    <m/>
    <n v="16847.74698"/>
    <m/>
    <n v="19018.506072007393"/>
    <m/>
    <m/>
    <m/>
    <m/>
    <m/>
    <m/>
    <m/>
    <m/>
    <m/>
    <m/>
    <m/>
    <m/>
    <n v="25271.373599999999"/>
    <n v="-8773.4204200000022"/>
    <m/>
    <m/>
    <m/>
    <m/>
    <n v="-16421.211759999998"/>
    <n v="1799.9628599999987"/>
    <m/>
    <n v="2424.8629378886872"/>
    <n v="54.251959693038089"/>
    <n v="81.720317800611156"/>
    <n v="0"/>
    <n v="0"/>
    <n v="0"/>
    <n v="0"/>
    <n v="0"/>
    <n v="191.75687772956917"/>
    <n v="0"/>
    <n v="0"/>
    <n v="1799.417598690472"/>
    <n v="0"/>
    <n v="0"/>
    <n v="0"/>
    <n v="301.03920042533218"/>
    <n v="0"/>
    <n v="0"/>
    <m/>
    <n v="0"/>
    <n v="0"/>
    <n v="0"/>
    <n v="0"/>
    <n v="0"/>
    <n v="-3.323016450334876"/>
    <n v="0"/>
    <n v="0"/>
    <m/>
    <m/>
    <m/>
    <n v="30386.12560001569"/>
    <n v="0"/>
    <n v="0"/>
    <n v="-16421.211759999998"/>
    <n v="1799.9628599999996"/>
    <n v="0"/>
    <n v="0"/>
    <n v="-17046.30346006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3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76.704999999999998"/>
    <n v="76.704999999999998"/>
    <n v="76.704999999999998"/>
    <n v="76.704999999999998"/>
    <m/>
    <n v="510.28"/>
    <n v="209.4"/>
    <m/>
    <n v="55203.054400000001"/>
    <n v="55203.054400000001"/>
    <n v="40978.112150000001"/>
    <n v="0"/>
    <n v="0"/>
    <n v="0"/>
    <n v="0"/>
    <n v="0"/>
    <n v="5690.8317615629503"/>
    <n v="29562.514448507183"/>
    <n v="15851.145455900572"/>
    <n v="211.16617757803596"/>
    <n v="0"/>
    <n v="0"/>
    <n v="0"/>
    <n v="0"/>
    <n v="0"/>
    <m/>
    <n v="139.83047784565346"/>
    <n v="437.17867285099265"/>
    <n v="658.52699668686182"/>
    <n v="0"/>
    <n v="0"/>
    <n v="0"/>
    <n v="0"/>
    <n v="0"/>
    <n v="0"/>
    <n v="0"/>
    <n v="0"/>
    <n v="0"/>
    <n v="0"/>
    <m/>
    <n v="0"/>
    <n v="0"/>
    <n v="0"/>
    <n v="0"/>
    <n v="0"/>
    <n v="2651.8670026028508"/>
    <n v="0"/>
    <n v="94.27"/>
    <n v="440.64"/>
    <n v="16300.04"/>
    <n v="676"/>
    <m/>
    <m/>
    <m/>
    <m/>
    <m/>
    <m/>
    <m/>
    <n v="4098.348149999998"/>
    <m/>
    <n v="18503.012458503425"/>
    <m/>
    <m/>
    <m/>
    <m/>
    <m/>
    <m/>
    <m/>
    <m/>
    <m/>
    <m/>
    <m/>
    <m/>
    <n v="36882.167999999998"/>
    <n v="-12800.457550000006"/>
    <m/>
    <m/>
    <m/>
    <m/>
    <n v="-15976.117399999997"/>
    <n v="1751.1751499999987"/>
    <m/>
    <n v="2359.1374096389191"/>
    <n v="52.781468865001955"/>
    <n v="79.505301449682634"/>
    <n v="0"/>
    <n v="0"/>
    <n v="0"/>
    <n v="0"/>
    <n v="0"/>
    <n v="186.55933774189725"/>
    <n v="0"/>
    <n v="0"/>
    <n v="1750.6446679124419"/>
    <n v="0"/>
    <n v="0"/>
    <n v="0"/>
    <n v="292.87958028240109"/>
    <n v="0"/>
    <n v="0"/>
    <m/>
    <n v="0"/>
    <n v="0"/>
    <n v="0"/>
    <n v="0"/>
    <n v="0"/>
    <n v="-3.2329466125026727"/>
    <n v="0"/>
    <n v="0"/>
    <m/>
    <m/>
    <m/>
    <n v="29562.514448507183"/>
    <n v="0"/>
    <n v="0"/>
    <n v="-15976.117399999999"/>
    <n v="1751.1751499999973"/>
    <n v="0"/>
    <n v="0"/>
    <n v="-16584.26608792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4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25.765000000000001"/>
    <n v="25.765000000000001"/>
    <n v="25.765000000000001"/>
    <n v="25.765000000000001"/>
    <m/>
    <n v="510.28"/>
    <n v="209.4"/>
    <m/>
    <n v="18542.555200000003"/>
    <n v="18542.555200000003"/>
    <n v="13764.435949999999"/>
    <n v="0"/>
    <n v="0"/>
    <n v="0"/>
    <n v="0"/>
    <n v="0"/>
    <n v="1911.5348456641605"/>
    <n v="9929.967860840723"/>
    <n v="5324.3564653057592"/>
    <n v="70.930142302302272"/>
    <n v="0"/>
    <n v="0"/>
    <n v="0"/>
    <n v="0"/>
    <n v="0"/>
    <m/>
    <n v="46.968675597330837"/>
    <n v="146.84712216942606"/>
    <n v="221.19741958981808"/>
    <n v="0"/>
    <n v="0"/>
    <n v="0"/>
    <n v="0"/>
    <n v="0"/>
    <n v="0"/>
    <n v="0"/>
    <n v="0"/>
    <n v="0"/>
    <n v="0"/>
    <m/>
    <n v="0"/>
    <n v="0"/>
    <n v="0"/>
    <n v="0"/>
    <n v="0"/>
    <n v="890.7548832809133"/>
    <n v="0"/>
    <n v="36.090000000000003"/>
    <n v="169.42"/>
    <n v="6269"/>
    <n v="317"/>
    <m/>
    <m/>
    <m/>
    <m/>
    <m/>
    <m/>
    <m/>
    <m/>
    <m/>
    <n v="6215.1113485866726"/>
    <m/>
    <m/>
    <m/>
    <m/>
    <m/>
    <m/>
    <m/>
    <m/>
    <m/>
    <m/>
    <m/>
    <m/>
    <n v="13767.107099999999"/>
    <n v="-4775.4780999999984"/>
    <m/>
    <m/>
    <m/>
    <m/>
    <n v="-5366.3341999999993"/>
    <n v="588.21494999999959"/>
    <m/>
    <n v="792.42781252000532"/>
    <n v="17.729151232732903"/>
    <n v="26.705613608644484"/>
    <n v="0"/>
    <n v="0"/>
    <n v="0"/>
    <n v="0"/>
    <n v="0"/>
    <n v="62.664772008604132"/>
    <n v="0"/>
    <n v="0"/>
    <n v="588.03676251566503"/>
    <n v="0"/>
    <n v="0"/>
    <n v="0"/>
    <n v="98.377451091533317"/>
    <n v="0"/>
    <n v="0"/>
    <m/>
    <n v="0"/>
    <n v="0"/>
    <n v="0"/>
    <n v="0"/>
    <n v="0"/>
    <n v="-1.0859379371766025"/>
    <n v="0"/>
    <n v="0"/>
    <m/>
    <m/>
    <m/>
    <n v="9929.967860840723"/>
    <n v="0"/>
    <n v="0"/>
    <n v="-5366.3342000000002"/>
    <n v="588.21494999999959"/>
    <n v="0"/>
    <n v="0"/>
    <n v="-5570.609683272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5"/>
    <s v="Regular"/>
    <s v="Branca"/>
    <s v="B1"/>
    <s v="Residencial"/>
    <s v="Residencial"/>
    <s v="Não se aplica"/>
    <s v="Não se aplica"/>
    <s v="Ponta"/>
    <s v="CATIVO"/>
    <x v="5"/>
    <n v="0"/>
    <n v="0"/>
    <n v="9.6000000000000002E-2"/>
    <n v="9.6000000000000002E-2"/>
    <n v="9.6000000000000002E-2"/>
    <n v="9.6000000000000002E-2"/>
    <m/>
    <n v="1292.1099999999999"/>
    <n v="209.4"/>
    <m/>
    <n v="144.14496"/>
    <n v="144.14496"/>
    <n v="95.690879999999993"/>
    <n v="0"/>
    <n v="5.9076391177610112"/>
    <n v="0"/>
    <n v="0"/>
    <n v="0"/>
    <n v="17.802706445879618"/>
    <n v="92.497307558701351"/>
    <n v="19.838471595938401"/>
    <n v="0.26428463656204226"/>
    <n v="0"/>
    <n v="0"/>
    <n v="0"/>
    <n v="0"/>
    <n v="0.91292175793196362"/>
    <m/>
    <n v="0.17500457431957153"/>
    <n v="1.3678877061638304"/>
    <n v="2.0604455929189345"/>
    <n v="0"/>
    <n v="0"/>
    <n v="0"/>
    <n v="0"/>
    <n v="0"/>
    <n v="0"/>
    <n v="0"/>
    <n v="0"/>
    <n v="0"/>
    <n v="0"/>
    <m/>
    <n v="0"/>
    <n v="0"/>
    <n v="0"/>
    <n v="0"/>
    <n v="0"/>
    <n v="3.3189392119141345"/>
    <n v="0"/>
    <n v="0"/>
    <n v="0"/>
    <n v="0"/>
    <n v="0"/>
    <m/>
    <m/>
    <m/>
    <m/>
    <m/>
    <m/>
    <m/>
    <m/>
    <m/>
    <n v="23.157410807852536"/>
    <m/>
    <m/>
    <m/>
    <m/>
    <m/>
    <m/>
    <m/>
    <m/>
    <m/>
    <m/>
    <m/>
    <m/>
    <n v="99.677999999999997"/>
    <n v="-44.496960000000001"/>
    <m/>
    <m/>
    <m/>
    <m/>
    <n v="-50.645759999999996"/>
    <n v="2.1916799999999985"/>
    <m/>
    <n v="3.4346860904811152"/>
    <n v="0.16514786026242234"/>
    <n v="0.24876178016978878"/>
    <n v="0"/>
    <n v="0"/>
    <n v="0"/>
    <n v="0"/>
    <n v="0"/>
    <n v="0.58361611513267064"/>
    <n v="0"/>
    <n v="0"/>
    <n v="2.191016076130559"/>
    <n v="0"/>
    <n v="0"/>
    <n v="0"/>
    <n v="0.36655289364592303"/>
    <n v="0"/>
    <n v="-0.10298269076539146"/>
    <m/>
    <n v="0"/>
    <n v="0"/>
    <n v="0"/>
    <n v="0"/>
    <n v="-1.3379755778581526E-2"/>
    <n v="-4.0461883162800083E-3"/>
    <n v="0"/>
    <n v="0"/>
    <m/>
    <m/>
    <m/>
    <n v="92.497307558701351"/>
    <n v="0"/>
    <n v="0"/>
    <n v="-50.645759999999996"/>
    <n v="2.1916800000000016"/>
    <n v="0"/>
    <n v="0"/>
    <n v="-51.8900367437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6"/>
    <s v="Regular"/>
    <s v="Branca"/>
    <s v="B1"/>
    <s v="Residencial"/>
    <s v="Residencial"/>
    <s v="Não se aplica"/>
    <s v="Não se aplica"/>
    <s v="Fora ponta"/>
    <s v="CATIVO"/>
    <x v="5"/>
    <n v="0"/>
    <n v="0"/>
    <n v="1.163"/>
    <n v="1.163"/>
    <n v="1.163"/>
    <n v="1.163"/>
    <m/>
    <n v="344.38"/>
    <n v="209.4"/>
    <m/>
    <n v="644.04614000000004"/>
    <n v="644.04614000000004"/>
    <n v="550.27344999999991"/>
    <n v="0"/>
    <n v="71.56858639537559"/>
    <n v="0"/>
    <n v="0"/>
    <n v="0"/>
    <n v="43.142150698766187"/>
    <n v="224.11318886391987"/>
    <n v="240.3348173549621"/>
    <n v="3.2016982533505747"/>
    <n v="0"/>
    <n v="0"/>
    <n v="0"/>
    <n v="0"/>
    <n v="11.059666713279935"/>
    <m/>
    <n v="2.1201074993089759"/>
    <n v="3.3142480706975066"/>
    <n v="4.9922879678431675"/>
    <n v="0"/>
    <n v="0"/>
    <n v="0"/>
    <n v="0"/>
    <n v="0"/>
    <n v="0"/>
    <n v="0"/>
    <n v="0"/>
    <n v="0"/>
    <n v="0"/>
    <m/>
    <n v="0"/>
    <n v="0"/>
    <n v="0"/>
    <n v="0"/>
    <n v="0"/>
    <n v="40.207565661001439"/>
    <n v="0"/>
    <n v="0"/>
    <n v="0"/>
    <n v="0"/>
    <n v="0"/>
    <m/>
    <m/>
    <m/>
    <m/>
    <m/>
    <m/>
    <m/>
    <m/>
    <m/>
    <n v="280.54238301596354"/>
    <m/>
    <m/>
    <m/>
    <m/>
    <m/>
    <m/>
    <m/>
    <m/>
    <m/>
    <m/>
    <m/>
    <m/>
    <n v="548.85400000000004"/>
    <n v="-95.222139999999968"/>
    <m/>
    <m/>
    <m/>
    <m/>
    <n v="-120.32398000000001"/>
    <n v="26.551289999999984"/>
    <m/>
    <n v="31.942351804359987"/>
    <n v="0.4001358991590922"/>
    <n v="0.6027290632030633"/>
    <n v="0"/>
    <n v="0"/>
    <n v="0"/>
    <n v="0"/>
    <n v="0"/>
    <n v="1.4143048679605386"/>
    <n v="0"/>
    <n v="0"/>
    <n v="26.543246838956662"/>
    <n v="0"/>
    <n v="0"/>
    <n v="0"/>
    <n v="4.4406355761480043"/>
    <n v="0"/>
    <n v="-1.2475923891682328"/>
    <m/>
    <n v="0"/>
    <n v="0"/>
    <n v="0"/>
    <n v="0"/>
    <n v="-0.16209016635927398"/>
    <n v="-4.901788553993347E-2"/>
    <n v="0"/>
    <n v="0"/>
    <m/>
    <m/>
    <m/>
    <n v="224.11318886391987"/>
    <n v="0"/>
    <n v="0"/>
    <n v="-120.32398000000001"/>
    <n v="26.551289999999966"/>
    <n v="0"/>
    <n v="0"/>
    <n v="-125.7251904064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7"/>
    <s v="Regular"/>
    <s v="Branca"/>
    <s v="B1"/>
    <s v="Residencial"/>
    <s v="Residencial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.34"/>
    <n v="10.79"/>
    <n v="402.2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298"/>
    <s v="Regular"/>
    <s v="Branca"/>
    <s v="B1"/>
    <s v="Residencial"/>
    <s v="Residencial"/>
    <s v="Não se aplica"/>
    <s v="Não se aplica"/>
    <s v="Intermediário"/>
    <s v="CATIVO"/>
    <x v="5"/>
    <n v="0"/>
    <n v="0"/>
    <n v="0.115"/>
    <n v="0.115"/>
    <n v="0.115"/>
    <n v="0.115"/>
    <m/>
    <n v="818.26"/>
    <n v="209.4"/>
    <m/>
    <n v="118.18090000000001"/>
    <n v="118.18090000000001"/>
    <n v="84.5227"/>
    <n v="0"/>
    <n v="7.0768593598178784"/>
    <n v="0"/>
    <n v="0"/>
    <n v="0"/>
    <n v="12.79797247727803"/>
    <n v="66.482455479033874"/>
    <n v="23.764835765967877"/>
    <n v="0.31659097088161314"/>
    <n v="0"/>
    <n v="0"/>
    <n v="0"/>
    <n v="0"/>
    <n v="1.0936041891893313"/>
    <m/>
    <n v="0.20964089632032007"/>
    <n v="0.98317519221017124"/>
    <n v="1.4809452699104795"/>
    <n v="0"/>
    <n v="0"/>
    <n v="0"/>
    <n v="0"/>
    <n v="0"/>
    <n v="0"/>
    <n v="0"/>
    <n v="0"/>
    <n v="0"/>
    <n v="0"/>
    <m/>
    <n v="0"/>
    <n v="0"/>
    <n v="0"/>
    <n v="0"/>
    <n v="0"/>
    <n v="3.9758125976054735"/>
    <n v="0"/>
    <n v="0"/>
    <n v="0"/>
    <n v="0"/>
    <n v="0"/>
    <m/>
    <m/>
    <m/>
    <m/>
    <m/>
    <m/>
    <m/>
    <m/>
    <m/>
    <n v="27.740648363573349"/>
    <m/>
    <m/>
    <m/>
    <m/>
    <m/>
    <m/>
    <m/>
    <m/>
    <m/>
    <m/>
    <m/>
    <m/>
    <n v="88.197599999999994"/>
    <n v="-30.013300000000029"/>
    <m/>
    <m/>
    <m/>
    <m/>
    <n v="-36.283650000000002"/>
    <n v="2.6254499999999981"/>
    <m/>
    <n v="3.6365619868772967"/>
    <n v="0.11870073729367436"/>
    <n v="0.17879752949703809"/>
    <n v="0"/>
    <n v="0"/>
    <n v="0"/>
    <n v="0"/>
    <n v="0"/>
    <n v="0.41954873555151551"/>
    <n v="0"/>
    <n v="0"/>
    <n v="2.6246546745313992"/>
    <n v="0"/>
    <n v="0"/>
    <n v="0"/>
    <n v="0.4390998205133454"/>
    <n v="0"/>
    <n v="-0.12336468164604231"/>
    <m/>
    <n v="0"/>
    <n v="0"/>
    <n v="0"/>
    <n v="0"/>
    <n v="-1.6027832443092471E-2"/>
    <n v="-4.8469964205437588E-3"/>
    <n v="0"/>
    <n v="0"/>
    <m/>
    <m/>
    <m/>
    <n v="66.482455479033874"/>
    <n v="0"/>
    <n v="0"/>
    <n v="-36.283650000000002"/>
    <n v="2.6254499999999972"/>
    <n v="0"/>
    <n v="0"/>
    <n v="-37.295972700948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299"/>
    <s v="Regular"/>
    <s v="Convencional"/>
    <s v="B3"/>
    <s v="Industrial"/>
    <s v="Não se aplica"/>
    <s v="Não se aplica"/>
    <s v="Não se aplica"/>
    <s v="Não se aplica"/>
    <s v="CATIVO"/>
    <x v="5"/>
    <n v="0"/>
    <n v="0"/>
    <n v="10.944000000000001"/>
    <n v="10.944000000000001"/>
    <n v="10.944000000000001"/>
    <n v="10.944000000000001"/>
    <m/>
    <n v="581.32000000000005"/>
    <n v="209.4"/>
    <m/>
    <n v="8653.6396800000002"/>
    <n v="8653.6396800000002"/>
    <n v="6610.9420800000007"/>
    <n v="0"/>
    <n v="673.4708594247553"/>
    <n v="0"/>
    <n v="0"/>
    <n v="0"/>
    <n v="811.94788864539385"/>
    <n v="4217.8757333219828"/>
    <n v="2261.5857619369776"/>
    <n v="30.12844856807282"/>
    <n v="0"/>
    <n v="0"/>
    <n v="0"/>
    <n v="0"/>
    <n v="104.07308040424385"/>
    <m/>
    <n v="19.950521472431156"/>
    <n v="62.37511760225884"/>
    <n v="93.956319037103412"/>
    <n v="0"/>
    <n v="0"/>
    <n v="0"/>
    <n v="0"/>
    <n v="0"/>
    <n v="0"/>
    <n v="0"/>
    <n v="0"/>
    <n v="0"/>
    <n v="0"/>
    <m/>
    <n v="0"/>
    <n v="0"/>
    <n v="0"/>
    <n v="0"/>
    <n v="0"/>
    <n v="378.35907015821135"/>
    <n v="0"/>
    <n v="20.66"/>
    <n v="95.23"/>
    <n v="1756.48"/>
    <n v="7"/>
    <m/>
    <m/>
    <m/>
    <m/>
    <m/>
    <m/>
    <m/>
    <m/>
    <m/>
    <n v="2639.9448320951888"/>
    <m/>
    <m/>
    <m/>
    <m/>
    <m/>
    <m/>
    <m/>
    <m/>
    <m/>
    <m/>
    <m/>
    <m/>
    <n v="6608.5257999999994"/>
    <n v="-2045.1438800000014"/>
    <m/>
    <m/>
    <m/>
    <m/>
    <n v="-2292.549120000001"/>
    <n v="249.85151999999985"/>
    <m/>
    <n v="323.32812104038294"/>
    <n v="7.5306746008549794"/>
    <n v="11.343537175742483"/>
    <n v="0"/>
    <n v="0"/>
    <n v="0"/>
    <n v="0"/>
    <n v="0"/>
    <n v="26.617631083336505"/>
    <n v="0"/>
    <n v="0"/>
    <n v="249.77583267888394"/>
    <n v="0"/>
    <n v="0"/>
    <n v="0"/>
    <n v="41.787029875635199"/>
    <n v="0"/>
    <n v="-11.74002674725466"/>
    <m/>
    <n v="0"/>
    <n v="0"/>
    <n v="0"/>
    <n v="0"/>
    <n v="-1.5252921587582904"/>
    <n v="-0.46126546805592028"/>
    <n v="0"/>
    <n v="0"/>
    <m/>
    <m/>
    <m/>
    <n v="4217.8757333219828"/>
    <n v="0"/>
    <n v="0"/>
    <n v="-2292.549120000001"/>
    <n v="249.85152000000016"/>
    <n v="0"/>
    <n v="0"/>
    <n v="-2366.184838879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0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2.2149999999999999"/>
    <n v="2.2149999999999999"/>
    <n v="2.2149999999999999"/>
    <n v="2.2149999999999999"/>
    <m/>
    <n v="581.32000000000005"/>
    <n v="209.4"/>
    <m/>
    <n v="1751.4448"/>
    <n v="1751.4448"/>
    <n v="1338.0150499999997"/>
    <n v="0"/>
    <n v="136.30646506084"/>
    <n v="0"/>
    <n v="0"/>
    <n v="0"/>
    <n v="164.3333857227291"/>
    <n v="853.6727658359091"/>
    <n v="457.73140192712037"/>
    <n v="6.0978173956762873"/>
    <n v="0"/>
    <n v="0"/>
    <n v="0"/>
    <n v="0"/>
    <n v="21.063767643951032"/>
    <m/>
    <n v="4.0378659595609463"/>
    <n v="12.624349916758343"/>
    <n v="19.016195784647664"/>
    <n v="0"/>
    <n v="0"/>
    <n v="0"/>
    <n v="0"/>
    <n v="0"/>
    <n v="0"/>
    <n v="0"/>
    <n v="0"/>
    <n v="0"/>
    <n v="0"/>
    <m/>
    <n v="0"/>
    <n v="0"/>
    <n v="0"/>
    <n v="0"/>
    <n v="0"/>
    <n v="76.577607858227154"/>
    <n v="0"/>
    <n v="4.17"/>
    <n v="19.27"/>
    <n v="442.08"/>
    <n v="3"/>
    <m/>
    <m/>
    <m/>
    <m/>
    <m/>
    <m/>
    <m/>
    <m/>
    <m/>
    <n v="534.30900978534748"/>
    <m/>
    <m/>
    <m/>
    <m/>
    <m/>
    <m/>
    <m/>
    <m/>
    <m/>
    <m/>
    <m/>
    <m/>
    <n v="1341.0354000000002"/>
    <n v="-410.43939999999975"/>
    <m/>
    <m/>
    <m/>
    <m/>
    <n v="-463.99820000000011"/>
    <n v="50.568449999999963"/>
    <m/>
    <n v="65.439673620655412"/>
    <n v="1.5241633992044772"/>
    <n v="2.2958639294836978"/>
    <n v="0"/>
    <n v="0"/>
    <n v="0"/>
    <n v="0"/>
    <n v="0"/>
    <n v="5.387248981139436"/>
    <n v="0"/>
    <n v="0"/>
    <n v="50.553131339887329"/>
    <n v="0"/>
    <n v="0"/>
    <n v="0"/>
    <n v="8.4574443690179066"/>
    <n v="0"/>
    <n v="-2.3761110421390015"/>
    <m/>
    <n v="0"/>
    <n v="0"/>
    <n v="0"/>
    <n v="0"/>
    <n v="-0.30870999009956179"/>
    <n v="-9.3357365839167983E-2"/>
    <n v="0"/>
    <n v="0"/>
    <m/>
    <m/>
    <m/>
    <n v="853.6727658359091"/>
    <n v="0"/>
    <n v="0"/>
    <n v="-463.99820000000022"/>
    <n v="50.568449999999928"/>
    <n v="0"/>
    <n v="0"/>
    <n v="-478.9016281175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1"/>
    <s v="Regular"/>
    <s v="Verde"/>
    <s v="A4"/>
    <s v="Industrial"/>
    <s v="Não se aplica"/>
    <s v="Não se aplica"/>
    <s v="Não se aplica"/>
    <s v="Ponta"/>
    <s v="CATIVO"/>
    <x v="5"/>
    <n v="0"/>
    <n v="0"/>
    <n v="9.7379999999999995"/>
    <n v="9.7379999999999995"/>
    <n v="9.7379999999999995"/>
    <n v="9.7379999999999995"/>
    <m/>
    <n v="1614.19"/>
    <n v="209.4"/>
    <m/>
    <n v="17758.119419999999"/>
    <n v="17758.119419999999"/>
    <n v="11803.916699999998"/>
    <n v="0"/>
    <n v="521.35284441685815"/>
    <n v="0"/>
    <n v="0"/>
    <n v="0"/>
    <n v="3032.5883899698429"/>
    <n v="11323.702967994303"/>
    <n v="2012.3649625130013"/>
    <n v="26.808372821262161"/>
    <n v="0"/>
    <n v="0"/>
    <n v="0"/>
    <n v="0"/>
    <n v="92.604500820223549"/>
    <m/>
    <n v="12.930547876252072"/>
    <n v="235.61018327996902"/>
    <n v="350.94489793876198"/>
    <n v="0"/>
    <n v="0"/>
    <n v="0"/>
    <n v="0"/>
    <n v="0"/>
    <n v="0"/>
    <n v="0"/>
    <n v="0"/>
    <n v="0"/>
    <n v="0"/>
    <m/>
    <n v="0"/>
    <n v="0"/>
    <n v="0"/>
    <n v="0"/>
    <n v="0"/>
    <n v="149.2293612855662"/>
    <n v="0"/>
    <n v="0"/>
    <n v="0"/>
    <n v="0"/>
    <n v="0"/>
    <m/>
    <m/>
    <m/>
    <m/>
    <m/>
    <m/>
    <m/>
    <m/>
    <m/>
    <n v="2161.5943237985675"/>
    <m/>
    <m/>
    <m/>
    <m/>
    <m/>
    <m/>
    <m/>
    <m/>
    <m/>
    <m/>
    <m/>
    <m/>
    <n v="11806.341"/>
    <n v="-5951.8084199999976"/>
    <m/>
    <m/>
    <m/>
    <m/>
    <n v="-6176.5212600000004"/>
    <n v="222.31853999999984"/>
    <m/>
    <n v="398.21966944189717"/>
    <n v="28.445695834086109"/>
    <n v="42.370290122088306"/>
    <n v="0"/>
    <n v="0"/>
    <n v="0"/>
    <n v="0"/>
    <n v="0"/>
    <n v="99.415639994455432"/>
    <n v="0"/>
    <n v="0"/>
    <n v="222.25119322249361"/>
    <n v="0"/>
    <n v="0"/>
    <n v="0"/>
    <n v="16.481306436646378"/>
    <n v="0"/>
    <n v="-9.0882868242279073"/>
    <m/>
    <n v="0"/>
    <n v="0"/>
    <n v="0"/>
    <n v="0"/>
    <n v="-1.3572089767898632"/>
    <n v="-0.29896036685569349"/>
    <n v="0"/>
    <n v="0"/>
    <m/>
    <m/>
    <m/>
    <n v="11323.702967994303"/>
    <n v="0"/>
    <n v="0"/>
    <n v="-6176.5212600000013"/>
    <n v="222.31853999999998"/>
    <n v="0"/>
    <n v="0"/>
    <n v="-6352.480721792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2"/>
    <s v="Regular"/>
    <s v="Verde"/>
    <s v="A4"/>
    <s v="Industrial"/>
    <s v="Não se aplica"/>
    <s v="Não se aplica"/>
    <s v="Não se aplica"/>
    <s v="Fora ponta"/>
    <s v="CATIVO"/>
    <x v="5"/>
    <n v="0"/>
    <n v="0"/>
    <n v="287.71100000000001"/>
    <n v="287.71100000000001"/>
    <n v="287.71100000000001"/>
    <n v="287.71100000000001"/>
    <m/>
    <n v="79.7"/>
    <n v="209.4"/>
    <m/>
    <n v="83177.250100000005"/>
    <n v="83177.250100000005"/>
    <n v="89915.441720000003"/>
    <n v="0"/>
    <n v="15403.465621279389"/>
    <n v="0"/>
    <n v="0"/>
    <n v="0"/>
    <n v="0"/>
    <n v="0"/>
    <n v="59455.692722281594"/>
    <n v="792.05830281147644"/>
    <n v="0"/>
    <n v="0"/>
    <n v="0"/>
    <n v="0"/>
    <n v="2736.0169989204496"/>
    <m/>
    <n v="382.03541384517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09.00890992314"/>
    <n v="0"/>
    <n v="0"/>
    <n v="0"/>
    <n v="0"/>
    <n v="0"/>
    <m/>
    <m/>
    <m/>
    <m/>
    <m/>
    <m/>
    <m/>
    <m/>
    <m/>
    <n v="63864.701632204735"/>
    <m/>
    <m/>
    <m/>
    <m/>
    <m/>
    <m/>
    <m/>
    <m/>
    <m/>
    <m/>
    <m/>
    <m/>
    <n v="89915.129199999996"/>
    <n v="6737.8491000000067"/>
    <m/>
    <m/>
    <m/>
    <m/>
    <n v="169.74949000000097"/>
    <n v="6568.4421299999958"/>
    <m/>
    <n v="6735.9486527948029"/>
    <n v="0"/>
    <n v="0"/>
    <n v="0"/>
    <n v="0"/>
    <n v="0"/>
    <n v="0"/>
    <n v="0"/>
    <n v="0"/>
    <n v="0"/>
    <n v="0"/>
    <n v="6566.4523570791571"/>
    <n v="0"/>
    <n v="0"/>
    <n v="0"/>
    <n v="486.9432281981899"/>
    <n v="0"/>
    <n v="-268.51510479415083"/>
    <m/>
    <n v="0"/>
    <n v="0"/>
    <n v="0"/>
    <n v="0"/>
    <n v="-40.098988695952812"/>
    <n v="-8.8328389924438397"/>
    <n v="0"/>
    <n v="0"/>
    <m/>
    <m/>
    <m/>
    <n v="0"/>
    <n v="0"/>
    <n v="0"/>
    <n v="169.74948999999833"/>
    <n v="6568.4421300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3"/>
    <s v="Regular"/>
    <s v="Verde"/>
    <s v="A4"/>
    <s v="Industrial"/>
    <s v="Não se aplica"/>
    <s v="Não se aplica"/>
    <s v="Não se aplica"/>
    <s v="Não se aplica"/>
    <s v="CATIVO"/>
    <x v="5"/>
    <n v="1700"/>
    <n v="1700"/>
    <n v="0"/>
    <n v="0"/>
    <n v="0"/>
    <n v="0"/>
    <n v="44.35"/>
    <m/>
    <m/>
    <n v="75395"/>
    <m/>
    <n v="75395"/>
    <n v="49249"/>
    <n v="0"/>
    <n v="0"/>
    <n v="0"/>
    <n v="0"/>
    <n v="0"/>
    <n v="22307.508269745009"/>
    <n v="48820.338685768198"/>
    <m/>
    <m/>
    <m/>
    <n v="0"/>
    <n v="0"/>
    <n v="0"/>
    <n v="0"/>
    <m/>
    <n v="0"/>
    <n v="1685.9251758236439"/>
    <n v="2579.3953687938551"/>
    <n v="0"/>
    <n v="0"/>
    <m/>
    <m/>
    <n v="0"/>
    <n v="0"/>
    <n v="0"/>
    <m/>
    <m/>
    <n v="0"/>
    <m/>
    <n v="0"/>
    <n v="0"/>
    <n v="0"/>
    <n v="0"/>
    <m/>
    <n v="0"/>
    <n v="0"/>
    <n v="495.26"/>
    <n v="2278.4299999999998"/>
    <n v="41091.279999999999"/>
    <n v="7"/>
    <m/>
    <m/>
    <m/>
    <m/>
    <m/>
    <m/>
    <m/>
    <m/>
    <m/>
    <n v="0"/>
    <m/>
    <m/>
    <m/>
    <m/>
    <m/>
    <m/>
    <m/>
    <m/>
    <m/>
    <m/>
    <m/>
    <m/>
    <n v="49249"/>
    <n v="-26146.029999999984"/>
    <m/>
    <m/>
    <m/>
    <m/>
    <n v="-26146.000000000004"/>
    <n v="0"/>
    <m/>
    <n v="1246.2553104087419"/>
    <n v="203.54516974982198"/>
    <n v="311.41564033917484"/>
    <n v="0"/>
    <n v="0"/>
    <m/>
    <m/>
    <m/>
    <n v="731.2945003197419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20.338685768198"/>
    <m/>
    <n v="0"/>
    <n v="0"/>
    <n v="-26146"/>
    <m/>
    <n v="0"/>
    <m/>
    <n v="-27387.70711394225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04"/>
    <s v="Regular"/>
    <s v="Convencional"/>
    <s v="B3"/>
    <s v="Comercial"/>
    <s v="Não se aplica"/>
    <s v="Não se aplica"/>
    <s v="Não se aplica"/>
    <s v="Não se aplica"/>
    <s v="CATIVO"/>
    <x v="5"/>
    <n v="0"/>
    <n v="0"/>
    <n v="411.03100000000001"/>
    <n v="411.03100000000001"/>
    <n v="411.03100000000001"/>
    <n v="411.03100000000001"/>
    <m/>
    <n v="581.32000000000005"/>
    <n v="209.4"/>
    <m/>
    <n v="325010.43232000002"/>
    <n v="325010.43232000002"/>
    <n v="248291.49617"/>
    <n v="0"/>
    <n v="25293.987648046106"/>
    <n v="0"/>
    <n v="0"/>
    <n v="0"/>
    <n v="30494.86043656843"/>
    <n v="158413.53075137679"/>
    <n v="84939.862693230796"/>
    <n v="1131.5539421951332"/>
    <n v="0"/>
    <n v="0"/>
    <n v="0"/>
    <n v="0"/>
    <n v="3908.7410737972177"/>
    <m/>
    <n v="749.29484569945623"/>
    <n v="2342.6632824537692"/>
    <n v="3528.7792187627601"/>
    <n v="0"/>
    <n v="0"/>
    <n v="0"/>
    <n v="0"/>
    <n v="0"/>
    <n v="0"/>
    <n v="0"/>
    <n v="0"/>
    <n v="0"/>
    <n v="0"/>
    <m/>
    <n v="0"/>
    <n v="0"/>
    <n v="0"/>
    <n v="0"/>
    <n v="0"/>
    <n v="14210.280241794568"/>
    <n v="0"/>
    <n v="772.85"/>
    <n v="3576.09"/>
    <n v="133277.73000000001"/>
    <n v="814"/>
    <m/>
    <m/>
    <m/>
    <m/>
    <m/>
    <m/>
    <m/>
    <m/>
    <m/>
    <n v="99150.14293502536"/>
    <m/>
    <m/>
    <m/>
    <m/>
    <m/>
    <m/>
    <m/>
    <m/>
    <m/>
    <m/>
    <m/>
    <m/>
    <n v="248290.89209999994"/>
    <n v="-76719.570220000111"/>
    <m/>
    <m/>
    <m/>
    <m/>
    <n v="-86102.773880000037"/>
    <n v="9383.8377299999938"/>
    <m/>
    <n v="12143.446721431828"/>
    <n v="282.83449487061625"/>
    <n v="426.03668027070626"/>
    <n v="0"/>
    <n v="0"/>
    <n v="0"/>
    <n v="0"/>
    <n v="0"/>
    <n v="999.69586273892855"/>
    <n v="0"/>
    <n v="0"/>
    <n v="9380.995091541874"/>
    <n v="0"/>
    <n v="0"/>
    <n v="0"/>
    <n v="1569.4229419601816"/>
    <n v="0"/>
    <n v="-440.92789966655982"/>
    <m/>
    <n v="0"/>
    <n v="0"/>
    <n v="0"/>
    <n v="0"/>
    <n v="-57.286399973188963"/>
    <n v="-17.324050310717439"/>
    <n v="0"/>
    <n v="0"/>
    <m/>
    <m/>
    <m/>
    <n v="158413.53075137679"/>
    <n v="0"/>
    <n v="0"/>
    <n v="-86102.773880000022"/>
    <n v="9383.8377299999847"/>
    <n v="0"/>
    <n v="0"/>
    <n v="-88868.358964681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5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0.129"/>
    <n v="-0.129"/>
    <n v="-0.129"/>
    <n v="-0.129"/>
    <m/>
    <n v="581.32000000000005"/>
    <n v="209.4"/>
    <m/>
    <n v="-102.00288000000002"/>
    <n v="-102.00288000000002"/>
    <n v="-77.925029999999992"/>
    <n v="0"/>
    <n v="-7.938390064491359"/>
    <n v="0"/>
    <n v="0"/>
    <n v="0"/>
    <n v="-9.5706576786600692"/>
    <n v="-49.717285233784331"/>
    <n v="-26.657946207042226"/>
    <n v="-0.35513248038024431"/>
    <n v="0"/>
    <n v="0"/>
    <n v="0"/>
    <n v="0"/>
    <n v="-1.2267386122210762"/>
    <m/>
    <n v="-0.23516239674192424"/>
    <n v="-0.73523301998276591"/>
    <n v="-1.1074895061939272"/>
    <n v="0"/>
    <n v="0"/>
    <n v="0"/>
    <n v="0"/>
    <n v="0"/>
    <n v="0"/>
    <n v="0"/>
    <n v="0"/>
    <n v="0"/>
    <n v="0"/>
    <m/>
    <n v="0"/>
    <n v="0"/>
    <n v="0"/>
    <n v="0"/>
    <n v="0"/>
    <n v="-4.4598245660096181"/>
    <n v="0"/>
    <n v="-0.35"/>
    <n v="-1.6"/>
    <n v="-42.07"/>
    <n v="0"/>
    <m/>
    <m/>
    <m/>
    <m/>
    <m/>
    <m/>
    <m/>
    <m/>
    <m/>
    <n v="-31.117770773051845"/>
    <m/>
    <m/>
    <m/>
    <m/>
    <m/>
    <m/>
    <m/>
    <m/>
    <m/>
    <m/>
    <m/>
    <m/>
    <n v="-78.5291"/>
    <n v="23.443780000000004"/>
    <m/>
    <m/>
    <m/>
    <m/>
    <n v="27.02292000000001"/>
    <n v="-2.9450699999999981"/>
    <m/>
    <n v="-3.8111593214738164"/>
    <n v="-8.8766175393849789E-2"/>
    <n v="-0.1337094568412629"/>
    <n v="0"/>
    <n v="0"/>
    <n v="0"/>
    <n v="0"/>
    <n v="0"/>
    <n v="-0.31374948919502899"/>
    <n v="0"/>
    <n v="0"/>
    <n v="-2.944177852300438"/>
    <n v="0"/>
    <n v="0"/>
    <n v="0"/>
    <n v="-0.49255545083670871"/>
    <n v="0"/>
    <n v="0.13838299071599458"/>
    <m/>
    <n v="0"/>
    <n v="0"/>
    <n v="0"/>
    <n v="0"/>
    <n v="1.7979046827468981E-2"/>
    <n v="5.4370655500012299E-3"/>
    <n v="0"/>
    <n v="0"/>
    <m/>
    <m/>
    <m/>
    <n v="-49.717285233784331"/>
    <n v="0"/>
    <n v="0"/>
    <n v="27.022920000000013"/>
    <n v="-2.9450699999999976"/>
    <n v="0"/>
    <n v="0"/>
    <n v="27.890884888108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6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28.027000000000001"/>
    <n v="28.027000000000001"/>
    <n v="28.027000000000001"/>
    <n v="28.027000000000001"/>
    <m/>
    <n v="581.32000000000005"/>
    <n v="209.4"/>
    <m/>
    <n v="22161.509440000002"/>
    <n v="22161.509440000002"/>
    <n v="16930.26989"/>
    <n v="0"/>
    <n v="1724.722932848832"/>
    <n v="0"/>
    <n v="0"/>
    <n v="0"/>
    <n v="2079.3552151922931"/>
    <n v="10801.754676335453"/>
    <n v="5791.8004522850579"/>
    <n v="77.157349051295398"/>
    <n v="0"/>
    <n v="0"/>
    <n v="0"/>
    <n v="0"/>
    <n v="266.52560530790777"/>
    <m/>
    <n v="51.092220879735741"/>
    <n v="159.73934768261225"/>
    <n v="240.61711930307905"/>
    <n v="0"/>
    <n v="0"/>
    <n v="0"/>
    <n v="0"/>
    <n v="0"/>
    <n v="0"/>
    <n v="0"/>
    <n v="0"/>
    <n v="0"/>
    <n v="0"/>
    <m/>
    <n v="0"/>
    <n v="0"/>
    <n v="0"/>
    <n v="0"/>
    <n v="0"/>
    <n v="968.95738846164011"/>
    <n v="0"/>
    <n v="55.74"/>
    <n v="259.25"/>
    <n v="25721.41"/>
    <n v="81"/>
    <m/>
    <m/>
    <m/>
    <m/>
    <m/>
    <m/>
    <m/>
    <m/>
    <m/>
    <n v="6760.7578407466981"/>
    <m/>
    <m/>
    <m/>
    <m/>
    <m/>
    <m/>
    <m/>
    <m/>
    <m/>
    <m/>
    <m/>
    <m/>
    <n v="16932.0821"/>
    <n v="-5229.4573400000045"/>
    <m/>
    <m/>
    <m/>
    <m/>
    <n v="-5871.0959600000024"/>
    <n v="639.85640999999953"/>
    <m/>
    <n v="828.02606436393035"/>
    <n v="19.285655796615742"/>
    <n v="29.050193386744752"/>
    <n v="0"/>
    <n v="0"/>
    <n v="0"/>
    <n v="0"/>
    <n v="0"/>
    <n v="68.166332819139825"/>
    <n v="0"/>
    <n v="0"/>
    <n v="639.66257880949161"/>
    <n v="0"/>
    <n v="0"/>
    <n v="0"/>
    <n v="107.01435364806537"/>
    <n v="0"/>
    <n v="-30.065582021683667"/>
    <m/>
    <n v="0"/>
    <n v="0"/>
    <n v="0"/>
    <n v="0"/>
    <n v="-3.9061918250656618"/>
    <n v="-1.1812762493789535"/>
    <n v="0"/>
    <n v="0"/>
    <m/>
    <m/>
    <m/>
    <n v="10801.754676335453"/>
    <n v="0"/>
    <n v="0"/>
    <n v="-5871.0959600000024"/>
    <n v="639.85640999999941"/>
    <n v="0"/>
    <n v="0"/>
    <n v="-6059.673106658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7"/>
    <s v="Regular"/>
    <s v="Verde"/>
    <s v="A4"/>
    <s v="Comercial"/>
    <s v="Não se aplica"/>
    <s v="Não se aplica"/>
    <s v="Não se aplica"/>
    <s v="Ponta"/>
    <s v="CATIVO"/>
    <x v="5"/>
    <n v="0"/>
    <n v="0"/>
    <n v="25.207000000000001"/>
    <n v="25.207000000000001"/>
    <n v="25.207000000000001"/>
    <n v="25.207000000000001"/>
    <m/>
    <n v="1614.19"/>
    <n v="209.4"/>
    <m/>
    <n v="45967.233130000008"/>
    <n v="45967.233130000008"/>
    <n v="30554.66505"/>
    <n v="0"/>
    <n v="1349.5318493752047"/>
    <n v="0"/>
    <n v="0"/>
    <n v="0"/>
    <n v="7849.9132826011328"/>
    <n v="29311.62258310047"/>
    <n v="5209.0453491543676"/>
    <n v="69.393987852285406"/>
    <n v="0"/>
    <n v="0"/>
    <n v="0"/>
    <n v="0"/>
    <n v="239.7085286686563"/>
    <m/>
    <n v="33.470971484564181"/>
    <n v="609.88148387124454"/>
    <n v="908.42760755210247"/>
    <n v="0"/>
    <n v="0"/>
    <n v="0"/>
    <n v="0"/>
    <n v="0"/>
    <n v="0"/>
    <n v="0"/>
    <n v="0"/>
    <n v="0"/>
    <n v="0"/>
    <m/>
    <n v="0"/>
    <n v="0"/>
    <n v="0"/>
    <n v="0"/>
    <n v="0"/>
    <n v="386.28306735728768"/>
    <n v="0"/>
    <n v="0"/>
    <n v="0"/>
    <n v="0"/>
    <n v="0"/>
    <m/>
    <m/>
    <m/>
    <m/>
    <m/>
    <m/>
    <m/>
    <m/>
    <m/>
    <n v="5595.3284165116556"/>
    <m/>
    <m/>
    <m/>
    <m/>
    <m/>
    <m/>
    <m/>
    <m/>
    <m/>
    <m/>
    <m/>
    <m/>
    <n v="30558.301499999998"/>
    <n v="-15408.961630000016"/>
    <m/>
    <m/>
    <m/>
    <m/>
    <n v="-15988.043890000003"/>
    <n v="575.47580999999957"/>
    <m/>
    <n v="1030.7992614111608"/>
    <n v="73.632229912693447"/>
    <n v="109.67630962286705"/>
    <n v="0"/>
    <n v="0"/>
    <n v="0"/>
    <n v="0"/>
    <n v="0"/>
    <n v="257.33929321629057"/>
    <n v="0"/>
    <n v="0"/>
    <n v="575.3014815731558"/>
    <n v="0"/>
    <n v="0"/>
    <n v="0"/>
    <n v="42.662178203793928"/>
    <n v="0"/>
    <n v="-23.52520496799275"/>
    <m/>
    <n v="0"/>
    <n v="0"/>
    <n v="0"/>
    <n v="0"/>
    <n v="-3.5131614990698097"/>
    <n v="-0.77386465057829668"/>
    <n v="0"/>
    <n v="0"/>
    <m/>
    <m/>
    <m/>
    <n v="29311.62258310047"/>
    <n v="0"/>
    <n v="0"/>
    <n v="-15988.043890000004"/>
    <n v="575.47580999999991"/>
    <n v="0"/>
    <n v="0"/>
    <n v="-16443.51833582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8"/>
    <s v="Regular"/>
    <s v="Verde"/>
    <s v="A4"/>
    <s v="Comercial"/>
    <s v="Não se aplica"/>
    <s v="Não se aplica"/>
    <s v="Não se aplica"/>
    <s v="Fora ponta"/>
    <s v="CATIVO"/>
    <x v="5"/>
    <n v="0"/>
    <n v="0"/>
    <n v="406.35"/>
    <n v="406.35"/>
    <n v="406.35"/>
    <n v="406.35"/>
    <m/>
    <n v="79.7"/>
    <n v="209.4"/>
    <m/>
    <n v="117475.785"/>
    <n v="117475.785"/>
    <n v="126992.50200000001"/>
    <n v="0"/>
    <n v="21755.157971738583"/>
    <n v="0"/>
    <n v="0"/>
    <n v="0"/>
    <n v="0"/>
    <n v="0"/>
    <n v="83972.530552183016"/>
    <n v="1118.6673131977695"/>
    <n v="0"/>
    <n v="0"/>
    <n v="0"/>
    <n v="0"/>
    <n v="3864.2266284963898"/>
    <m/>
    <n v="539.569534762274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27.0847153819914"/>
    <n v="0"/>
    <n v="0"/>
    <n v="0"/>
    <n v="0"/>
    <n v="0"/>
    <m/>
    <m/>
    <m/>
    <m/>
    <m/>
    <m/>
    <m/>
    <m/>
    <m/>
    <n v="90199.615267565008"/>
    <m/>
    <m/>
    <m/>
    <m/>
    <m/>
    <m/>
    <m/>
    <m/>
    <m/>
    <m/>
    <m/>
    <m/>
    <n v="126992.50200000001"/>
    <n v="9516.6870000000199"/>
    <m/>
    <m/>
    <m/>
    <m/>
    <n v="239.74650000000139"/>
    <n v="9276.970499999994"/>
    <m/>
    <n v="9513.5491345939954"/>
    <n v="0"/>
    <n v="0"/>
    <n v="0"/>
    <n v="0"/>
    <n v="0"/>
    <n v="0"/>
    <n v="0"/>
    <n v="0"/>
    <n v="0"/>
    <n v="0"/>
    <n v="9274.1602347463777"/>
    <n v="0"/>
    <n v="0"/>
    <n v="0"/>
    <n v="687.73658559573414"/>
    <n v="0"/>
    <n v="-379.23858605719943"/>
    <m/>
    <n v="0"/>
    <n v="0"/>
    <n v="0"/>
    <n v="0"/>
    <n v="-56.633997506527066"/>
    <n v="-12.475102184412663"/>
    <n v="0"/>
    <n v="0"/>
    <m/>
    <m/>
    <m/>
    <n v="0"/>
    <n v="0"/>
    <n v="0"/>
    <n v="239.74650000000474"/>
    <n v="9276.970499999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09"/>
    <s v="Regular"/>
    <s v="Verde"/>
    <s v="A4"/>
    <s v="Comercial"/>
    <s v="Não se aplica"/>
    <s v="Não se aplica"/>
    <s v="Não se aplica"/>
    <s v="Não se aplica"/>
    <s v="CATIVO"/>
    <x v="5"/>
    <n v="4653"/>
    <n v="4653"/>
    <n v="0"/>
    <n v="0"/>
    <n v="0"/>
    <n v="0"/>
    <n v="44.35"/>
    <m/>
    <m/>
    <n v="206360.55000000002"/>
    <m/>
    <n v="206360.55000000002"/>
    <n v="134797.41"/>
    <n v="0"/>
    <n v="0"/>
    <n v="0"/>
    <n v="0"/>
    <n v="0"/>
    <n v="61056.962340660903"/>
    <n v="133624.13876757614"/>
    <m/>
    <m/>
    <m/>
    <n v="0"/>
    <n v="0"/>
    <n v="0"/>
    <n v="0"/>
    <m/>
    <n v="0"/>
    <n v="4614.4763782984792"/>
    <n v="7059.9568535281223"/>
    <n v="0"/>
    <n v="0"/>
    <m/>
    <m/>
    <n v="0"/>
    <n v="0"/>
    <n v="0"/>
    <m/>
    <m/>
    <n v="0"/>
    <m/>
    <n v="0"/>
    <n v="0"/>
    <n v="0"/>
    <n v="0"/>
    <m/>
    <n v="0"/>
    <n v="0"/>
    <n v="927.89"/>
    <n v="4268.99"/>
    <n v="150116.35"/>
    <n v="35"/>
    <m/>
    <m/>
    <m/>
    <m/>
    <m/>
    <m/>
    <m/>
    <m/>
    <m/>
    <n v="0"/>
    <m/>
    <m/>
    <m/>
    <m/>
    <m/>
    <m/>
    <m/>
    <m/>
    <m/>
    <m/>
    <m/>
    <m/>
    <n v="134797.41"/>
    <n v="-71563.170000000042"/>
    <m/>
    <m/>
    <m/>
    <m/>
    <n v="-71563.140000000014"/>
    <n v="0"/>
    <m/>
    <n v="3411.0740937246155"/>
    <n v="557.11510285054283"/>
    <n v="852.36292617540039"/>
    <n v="0"/>
    <n v="0"/>
    <m/>
    <m/>
    <m/>
    <n v="2001.59606469867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3624.13876757614"/>
    <m/>
    <n v="0"/>
    <n v="0"/>
    <n v="-71563.140000000014"/>
    <m/>
    <n v="0"/>
    <m/>
    <n v="-74961.76541245490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10"/>
    <s v="Sistema de Compensação"/>
    <s v="Verde"/>
    <s v="A4"/>
    <s v="Comercial"/>
    <s v="Não se aplica"/>
    <s v="Não se aplica"/>
    <s v="Não se aplica"/>
    <s v="Não se aplica"/>
    <s v="CATIVO"/>
    <x v="5"/>
    <n v="253"/>
    <n v="253"/>
    <n v="0"/>
    <n v="0"/>
    <n v="0"/>
    <n v="0"/>
    <n v="44.35"/>
    <m/>
    <m/>
    <n v="11220.550000000001"/>
    <m/>
    <n v="11220.550000000001"/>
    <n v="7329.41"/>
    <n v="0"/>
    <n v="0"/>
    <n v="0"/>
    <n v="0"/>
    <n v="0"/>
    <n v="3319.8821130855808"/>
    <n v="7265.6151102937374"/>
    <m/>
    <m/>
    <m/>
    <n v="0"/>
    <n v="0"/>
    <n v="0"/>
    <n v="0"/>
    <m/>
    <n v="0"/>
    <n v="250.90533499022465"/>
    <n v="383.87472253226196"/>
    <n v="0"/>
    <n v="0"/>
    <m/>
    <m/>
    <n v="0"/>
    <n v="0"/>
    <n v="0"/>
    <m/>
    <m/>
    <n v="0"/>
    <m/>
    <n v="0"/>
    <n v="0"/>
    <n v="0"/>
    <n v="0"/>
    <m/>
    <n v="0"/>
    <n v="0"/>
    <n v="31.04"/>
    <n v="142.81"/>
    <n v="6522.81"/>
    <n v="2"/>
    <m/>
    <m/>
    <m/>
    <m/>
    <m/>
    <m/>
    <m/>
    <m/>
    <m/>
    <n v="0"/>
    <m/>
    <m/>
    <m/>
    <m/>
    <m/>
    <m/>
    <m/>
    <m/>
    <m/>
    <m/>
    <m/>
    <m/>
    <n v="7329.41"/>
    <n v="-3891.1700000000019"/>
    <m/>
    <m/>
    <m/>
    <m/>
    <n v="-3891.1400000000008"/>
    <n v="0"/>
    <m/>
    <n v="185.4721138431828"/>
    <n v="30.292310556885269"/>
    <n v="46.345974709300719"/>
    <n v="0"/>
    <n v="0"/>
    <m/>
    <m/>
    <m/>
    <n v="108.833828576996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65.6151102937374"/>
    <m/>
    <n v="0"/>
    <n v="0"/>
    <n v="-3891.1400000000012"/>
    <m/>
    <n v="0"/>
    <m/>
    <n v="-4075.935235192582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11"/>
    <s v="Regular"/>
    <s v="Convencional"/>
    <s v="B2"/>
    <s v="Rural"/>
    <s v="Não se aplica"/>
    <s v="Não se aplica"/>
    <s v="Não se aplica"/>
    <s v="Não se aplica"/>
    <s v="CATIVO"/>
    <x v="5"/>
    <n v="0"/>
    <n v="0"/>
    <n v="4209.9470000000001"/>
    <n v="4209.9470000000001"/>
    <n v="4209.9470000000001"/>
    <n v="4209.9470000000001"/>
    <m/>
    <n v="581.32000000000005"/>
    <n v="209.4"/>
    <m/>
    <n v="3328889.2918400005"/>
    <n v="3328889.2918400005"/>
    <n v="2543102.6842900002"/>
    <n v="0"/>
    <n v="259071.32896771474"/>
    <n v="0"/>
    <n v="0"/>
    <n v="0"/>
    <n v="312340.78745970485"/>
    <n v="1622535.9365745322"/>
    <n v="869988.68729068839"/>
    <n v="11589.836592088126"/>
    <n v="0"/>
    <n v="0"/>
    <n v="0"/>
    <n v="0"/>
    <n v="40034.91891708746"/>
    <m/>
    <n v="7674.583152530804"/>
    <n v="23994.511990522366"/>
    <n v="36143.194760717866"/>
    <n v="0"/>
    <n v="0"/>
    <n v="0"/>
    <n v="0"/>
    <n v="0"/>
    <n v="0"/>
    <n v="0"/>
    <n v="0"/>
    <n v="0"/>
    <n v="0"/>
    <m/>
    <n v="0"/>
    <n v="0"/>
    <n v="0"/>
    <n v="0"/>
    <n v="0"/>
    <n v="145547.48102479451"/>
    <n v="0"/>
    <n v="7126.34"/>
    <n v="33061.199999999997"/>
    <n v="304102.19"/>
    <n v="13816"/>
    <m/>
    <m/>
    <m/>
    <m/>
    <m/>
    <n v="305179.05802999967"/>
    <m/>
    <m/>
    <m/>
    <n v="1015536.1683154829"/>
    <m/>
    <m/>
    <m/>
    <m/>
    <m/>
    <m/>
    <m/>
    <m/>
    <m/>
    <m/>
    <m/>
    <m/>
    <n v="2237925.2209999999"/>
    <n v="-691566.42894999962"/>
    <m/>
    <m/>
    <m/>
    <m/>
    <n v="-881899.69756000035"/>
    <n v="96113.090009999942"/>
    <m/>
    <n v="124378.12986016111"/>
    <n v="2896.9061534946668"/>
    <n v="4363.6412922519667"/>
    <n v="0"/>
    <n v="0"/>
    <n v="0"/>
    <n v="0"/>
    <n v="0"/>
    <n v="10239.292409210408"/>
    <n v="0"/>
    <n v="0"/>
    <n v="96083.974548516795"/>
    <n v="0"/>
    <n v="0"/>
    <n v="0"/>
    <n v="16074.669322353904"/>
    <n v="0"/>
    <n v="-4516.1632295800664"/>
    <m/>
    <n v="0"/>
    <n v="0"/>
    <n v="0"/>
    <n v="0"/>
    <n v="-586.75065313303639"/>
    <n v="-177.43998295372876"/>
    <n v="0"/>
    <n v="0"/>
    <m/>
    <m/>
    <m/>
    <n v="1622535.9365745322"/>
    <n v="0"/>
    <n v="0"/>
    <n v="-881899.69756000047"/>
    <n v="96113.090010000044"/>
    <n v="0"/>
    <n v="0"/>
    <n v="-910225.94699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2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2.992"/>
    <n v="-2.992"/>
    <n v="-2.992"/>
    <n v="-2.992"/>
    <m/>
    <n v="581.32000000000005"/>
    <n v="209.4"/>
    <m/>
    <n v="-2365.8342400000001"/>
    <n v="-2365.8342400000001"/>
    <n v="-1807.3774399999998"/>
    <n v="0"/>
    <n v="-184.12141917021819"/>
    <n v="0"/>
    <n v="0"/>
    <n v="0"/>
    <n v="-221.97990522907696"/>
    <n v="-1153.1326931742847"/>
    <n v="-618.29903140674685"/>
    <n v="-8.2368711728503161"/>
    <n v="0"/>
    <n v="0"/>
    <n v="0"/>
    <n v="0"/>
    <n v="-28.452728122212864"/>
    <m/>
    <n v="-5.4543092329599787"/>
    <n v="-17.052846478980118"/>
    <n v="-25.686888391722714"/>
    <n v="0"/>
    <n v="0"/>
    <n v="0"/>
    <n v="0"/>
    <n v="0"/>
    <n v="0"/>
    <n v="0"/>
    <n v="0"/>
    <n v="0"/>
    <n v="0"/>
    <m/>
    <n v="0"/>
    <n v="0"/>
    <n v="0"/>
    <n v="0"/>
    <n v="0"/>
    <n v="-103.44027210465718"/>
    <n v="0"/>
    <n v="-5.66"/>
    <n v="-26.04"/>
    <n v="-158.47"/>
    <n v="0"/>
    <m/>
    <m/>
    <m/>
    <m/>
    <m/>
    <n v="-216.89007999999978"/>
    <m/>
    <m/>
    <m/>
    <n v="-721.73930351140405"/>
    <m/>
    <m/>
    <m/>
    <m/>
    <m/>
    <m/>
    <m/>
    <m/>
    <m/>
    <m/>
    <m/>
    <m/>
    <n v="-1589.4242000000004"/>
    <n v="492.52899999999954"/>
    <m/>
    <m/>
    <m/>
    <m/>
    <n v="626.76416000000017"/>
    <n v="-68.307359999999946"/>
    <m/>
    <n v="-88.39526116162483"/>
    <n v="-2.0588247812278979"/>
    <n v="-3.1012301927833974"/>
    <n v="0"/>
    <n v="0"/>
    <n v="0"/>
    <n v="0"/>
    <n v="0"/>
    <n v="-7.2770424160583502"/>
    <n v="0"/>
    <n v="0"/>
    <n v="-68.286667706069011"/>
    <n v="0"/>
    <n v="0"/>
    <n v="0"/>
    <n v="-11.424231851964606"/>
    <n v="0"/>
    <n v="3.2096271955213922"/>
    <m/>
    <n v="0"/>
    <n v="0"/>
    <n v="0"/>
    <n v="0"/>
    <n v="0.41700238843245785"/>
    <n v="0.1261062025240598"/>
    <n v="0"/>
    <n v="0"/>
    <m/>
    <m/>
    <m/>
    <n v="-1153.1326931742847"/>
    <n v="0"/>
    <n v="0"/>
    <n v="626.7641600000004"/>
    <n v="-68.307359999999903"/>
    <n v="0"/>
    <n v="0"/>
    <n v="646.89556267611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112.937"/>
    <n v="112.937"/>
    <n v="112.937"/>
    <n v="112.937"/>
    <m/>
    <n v="581.32000000000005"/>
    <n v="209.4"/>
    <m/>
    <n v="89301.544640000007"/>
    <n v="89301.544640000007"/>
    <n v="68221.853589999999"/>
    <n v="0"/>
    <n v="6949.9066566934926"/>
    <n v="0"/>
    <n v="0"/>
    <n v="0"/>
    <n v="8378.9253198049009"/>
    <n v="43526.519708898457"/>
    <n v="23338.515277400991"/>
    <n v="310.91160416049337"/>
    <n v="0"/>
    <n v="0"/>
    <n v="0"/>
    <n v="0"/>
    <n v="1073.9858809954392"/>
    <m/>
    <n v="205.88012093676508"/>
    <n v="643.68226029297387"/>
    <n v="969.58559969785699"/>
    <n v="0"/>
    <n v="0"/>
    <n v="0"/>
    <n v="0"/>
    <n v="0"/>
    <n v="0"/>
    <n v="0"/>
    <n v="0"/>
    <n v="0"/>
    <n v="0"/>
    <m/>
    <n v="0"/>
    <n v="0"/>
    <n v="0"/>
    <n v="0"/>
    <n v="0"/>
    <n v="3904.4899768327768"/>
    <n v="0"/>
    <n v="191.75"/>
    <n v="888.88"/>
    <n v="7768.77"/>
    <n v="711"/>
    <m/>
    <m/>
    <m/>
    <m/>
    <m/>
    <n v="8186.8031299999911"/>
    <m/>
    <m/>
    <m/>
    <n v="27243.005254233769"/>
    <m/>
    <m/>
    <m/>
    <m/>
    <m/>
    <m/>
    <m/>
    <m/>
    <m/>
    <m/>
    <m/>
    <m/>
    <n v="60036.645200000006"/>
    <n v="-18550.596249999995"/>
    <m/>
    <m/>
    <m/>
    <m/>
    <n v="-23658.042760000008"/>
    <n v="2578.3517099999981"/>
    <m/>
    <n v="3336.5961262735655"/>
    <n v="77.713066282598561"/>
    <n v="117.0600381959822"/>
    <n v="0"/>
    <n v="0"/>
    <n v="0"/>
    <n v="0"/>
    <n v="0"/>
    <n v="274.68159737379028"/>
    <n v="0"/>
    <n v="0"/>
    <n v="2577.5706519787163"/>
    <n v="0"/>
    <n v="0"/>
    <n v="0"/>
    <n v="431.22275155926673"/>
    <n v="0"/>
    <n v="-121.15162653094831"/>
    <m/>
    <n v="0"/>
    <n v="0"/>
    <n v="0"/>
    <n v="0"/>
    <n v="-15.740307066309015"/>
    <n v="-4.7600455195386644"/>
    <n v="0"/>
    <n v="0"/>
    <m/>
    <m/>
    <m/>
    <n v="43526.519708898457"/>
    <n v="0"/>
    <n v="0"/>
    <n v="-23658.042760000004"/>
    <n v="2578.351709999999"/>
    <n v="0"/>
    <n v="0"/>
    <n v="-24417.929198513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-5.36"/>
    <n v="-5.36"/>
    <n v="-5.36"/>
    <n v="-5.36"/>
    <m/>
    <n v="581.32000000000005"/>
    <n v="209.4"/>
    <m/>
    <n v="-4238.2592000000004"/>
    <n v="-4238.2592000000004"/>
    <n v="-3237.8152"/>
    <n v="0"/>
    <n v="-329.84318407498978"/>
    <n v="0"/>
    <n v="0"/>
    <n v="0"/>
    <n v="-397.66453610556573"/>
    <n v="-2065.7724717293336"/>
    <n v="-1107.647997439894"/>
    <n v="-14.75589220804736"/>
    <n v="0"/>
    <n v="0"/>
    <n v="0"/>
    <n v="0"/>
    <n v="-50.971464817867968"/>
    <m/>
    <n v="-9.7710887328427436"/>
    <n v="-30.549216954322677"/>
    <n v="-46.0166182418562"/>
    <n v="0"/>
    <n v="0"/>
    <n v="0"/>
    <n v="0"/>
    <n v="0"/>
    <n v="0"/>
    <n v="0"/>
    <n v="0"/>
    <n v="0"/>
    <n v="0"/>
    <m/>
    <n v="0"/>
    <n v="0"/>
    <n v="0"/>
    <n v="0"/>
    <n v="0"/>
    <n v="-185.3074393318725"/>
    <n v="0"/>
    <n v="-20.22"/>
    <n v="-94.6"/>
    <n v="-883.39"/>
    <n v="2"/>
    <m/>
    <m/>
    <m/>
    <m/>
    <m/>
    <n v="-388.54639999999961"/>
    <m/>
    <m/>
    <m/>
    <n v="-1292.9554367717665"/>
    <m/>
    <m/>
    <m/>
    <m/>
    <m/>
    <m/>
    <m/>
    <m/>
    <m/>
    <m/>
    <m/>
    <m/>
    <n v="-2849.2688000000007"/>
    <n v="880.45719999999892"/>
    <m/>
    <m/>
    <m/>
    <m/>
    <n v="1122.8128000000004"/>
    <n v="-122.36879999999992"/>
    <m/>
    <n v="-158.35514700077329"/>
    <n v="-3.6882689931088031"/>
    <n v="-5.5556797571253398"/>
    <n v="0"/>
    <n v="0"/>
    <n v="0"/>
    <n v="0"/>
    <n v="0"/>
    <n v="-13.036412884382571"/>
    <n v="0"/>
    <n v="0"/>
    <n v="-122.33173091728963"/>
    <n v="0"/>
    <n v="0"/>
    <n v="0"/>
    <n v="-20.465869895230725"/>
    <n v="0"/>
    <n v="5.7498669010676622"/>
    <m/>
    <n v="0"/>
    <n v="0"/>
    <n v="0"/>
    <n v="0"/>
    <n v="0.74703636430413667"/>
    <n v="0.22591218099229948"/>
    <n v="0"/>
    <n v="0"/>
    <m/>
    <m/>
    <m/>
    <n v="-2065.7724717293336"/>
    <n v="0"/>
    <n v="0"/>
    <n v="1122.8128000000004"/>
    <n v="-122.36879999999996"/>
    <n v="0"/>
    <n v="0"/>
    <n v="1158.8770775213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5"/>
    <s v="Regular"/>
    <s v="Verde"/>
    <s v="A4"/>
    <s v="Rural"/>
    <s v="Não se aplica"/>
    <s v="Não se aplica"/>
    <s v="Não se aplica"/>
    <s v="Ponta"/>
    <s v="CATIVO"/>
    <x v="5"/>
    <n v="0"/>
    <n v="0"/>
    <n v="20.896999999999998"/>
    <n v="20.061119999999999"/>
    <n v="20.896999999999998"/>
    <n v="20.061119999999999"/>
    <m/>
    <n v="1614.19"/>
    <n v="209.4"/>
    <m/>
    <n v="38107.560229999995"/>
    <n v="38107.560229999995"/>
    <n v="25330.298549999996"/>
    <n v="0"/>
    <n v="1118.783157709908"/>
    <n v="0"/>
    <n v="0"/>
    <n v="0"/>
    <n v="6507.7017442185052"/>
    <n v="24299.796767526896"/>
    <n v="4318.3806347950494"/>
    <n v="57.528708856635383"/>
    <n v="0"/>
    <n v="0"/>
    <n v="0"/>
    <n v="0"/>
    <n v="198.72214557816918"/>
    <m/>
    <n v="27.74796251489418"/>
    <n v="505.60135551463463"/>
    <n v="753.10079402611518"/>
    <n v="0"/>
    <n v="0"/>
    <n v="0"/>
    <n v="0"/>
    <n v="0"/>
    <n v="0"/>
    <n v="0"/>
    <n v="0"/>
    <n v="0"/>
    <n v="0"/>
    <m/>
    <n v="0"/>
    <n v="0"/>
    <n v="0"/>
    <n v="0"/>
    <n v="0"/>
    <n v="320.23474664042686"/>
    <n v="0"/>
    <n v="0"/>
    <n v="0"/>
    <n v="0"/>
    <n v="0"/>
    <m/>
    <m/>
    <m/>
    <m/>
    <m/>
    <n v="1013.2119419999995"/>
    <m/>
    <m/>
    <m/>
    <n v="4638.6153814354766"/>
    <m/>
    <m/>
    <m/>
    <m/>
    <m/>
    <m/>
    <m/>
    <m/>
    <m/>
    <m/>
    <m/>
    <m/>
    <n v="24315.728999999999"/>
    <n v="-12267.558820799997"/>
    <m/>
    <m/>
    <m/>
    <m/>
    <n v="-13254.340190000001"/>
    <n v="477.07850999999965"/>
    <m/>
    <n v="854.54882237906168"/>
    <n v="61.042278275302692"/>
    <n v="90.923388034635309"/>
    <n v="0"/>
    <n v="0"/>
    <n v="0"/>
    <n v="0"/>
    <n v="0"/>
    <n v="213.33832706553039"/>
    <n v="0"/>
    <n v="0"/>
    <n v="476.93398898854412"/>
    <n v="0"/>
    <n v="0"/>
    <n v="0"/>
    <n v="35.367617642904008"/>
    <n v="0"/>
    <n v="-19.502765430878071"/>
    <m/>
    <n v="0"/>
    <n v="0"/>
    <n v="0"/>
    <n v="0"/>
    <n v="-2.9124662135939445"/>
    <n v="-0.6415459833829722"/>
    <n v="0"/>
    <n v="0"/>
    <m/>
    <m/>
    <m/>
    <n v="24299.796767526896"/>
    <n v="0"/>
    <n v="0"/>
    <n v="-13254.340189999999"/>
    <n v="477.07850999999937"/>
    <n v="0"/>
    <n v="0"/>
    <n v="-13631.935679122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6"/>
    <s v="Regular"/>
    <s v="Verde"/>
    <s v="A4"/>
    <s v="Rural"/>
    <s v="Não se aplica"/>
    <s v="Não se aplica"/>
    <s v="Não se aplica"/>
    <s v="Fora ponta"/>
    <s v="CATIVO"/>
    <x v="5"/>
    <n v="0"/>
    <n v="0"/>
    <n v="198.578"/>
    <n v="190.63488000000001"/>
    <n v="198.578"/>
    <n v="190.63488000000001"/>
    <m/>
    <n v="79.7"/>
    <n v="209.4"/>
    <m/>
    <n v="57408.899799999999"/>
    <n v="57408.899799999999"/>
    <n v="62059.596560000005"/>
    <n v="0"/>
    <n v="10631.464894086144"/>
    <n v="0"/>
    <n v="0"/>
    <n v="0"/>
    <n v="0"/>
    <n v="0"/>
    <n v="41036.291797690166"/>
    <n v="546.6782766585128"/>
    <n v="0"/>
    <n v="0"/>
    <n v="0"/>
    <n v="0"/>
    <n v="1888.3976754855569"/>
    <m/>
    <n v="263.68066709492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43.0959237384645"/>
    <n v="0"/>
    <n v="0"/>
    <n v="0"/>
    <n v="0"/>
    <n v="0"/>
    <m/>
    <m/>
    <m/>
    <m/>
    <m/>
    <n v="2482.3838623999977"/>
    <m/>
    <m/>
    <m/>
    <n v="44079.387721428633"/>
    <m/>
    <m/>
    <m/>
    <m/>
    <m/>
    <m/>
    <m/>
    <m/>
    <m/>
    <m/>
    <m/>
    <m/>
    <n v="59575.687600000005"/>
    <n v="4463.1137919999965"/>
    <m/>
    <m/>
    <m/>
    <m/>
    <n v="117.16102000000068"/>
    <n v="4533.5357399999966"/>
    <m/>
    <n v="4649.1486650655934"/>
    <n v="0"/>
    <n v="0"/>
    <n v="0"/>
    <n v="0"/>
    <n v="0"/>
    <n v="0"/>
    <n v="0"/>
    <n v="0"/>
    <n v="0"/>
    <n v="0"/>
    <n v="4532.1623996443086"/>
    <n v="0"/>
    <n v="0"/>
    <n v="0"/>
    <n v="336.08799235740025"/>
    <n v="0"/>
    <n v="-185.32900194922331"/>
    <m/>
    <n v="0"/>
    <n v="0"/>
    <n v="0"/>
    <n v="0"/>
    <n v="-27.676303572907955"/>
    <n v="-6.0964214139935962"/>
    <n v="0"/>
    <n v="0"/>
    <m/>
    <m/>
    <m/>
    <n v="0"/>
    <n v="0"/>
    <n v="0"/>
    <n v="117.16102000000137"/>
    <n v="4533.5357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17"/>
    <s v="Regular"/>
    <s v="Verde"/>
    <s v="A4"/>
    <s v="Rural"/>
    <s v="Não se aplica"/>
    <s v="Não se aplica"/>
    <s v="Não se aplica"/>
    <s v="Não se aplica"/>
    <s v="CATIVO"/>
    <x v="5"/>
    <n v="1832"/>
    <n v="1758.72"/>
    <n v="0"/>
    <n v="0"/>
    <n v="0"/>
    <n v="0"/>
    <n v="44.35"/>
    <m/>
    <m/>
    <n v="81249.2"/>
    <m/>
    <n v="81249.2"/>
    <n v="53073.04"/>
    <n v="0"/>
    <n v="0"/>
    <n v="0"/>
    <n v="0"/>
    <n v="0"/>
    <n v="24039.620676572267"/>
    <n v="52611.094395486667"/>
    <m/>
    <m/>
    <m/>
    <n v="0"/>
    <n v="0"/>
    <n v="0"/>
    <n v="0"/>
    <m/>
    <n v="0"/>
    <n v="1816.8323071228915"/>
    <n v="2779.6778327237307"/>
    <n v="0"/>
    <n v="0"/>
    <m/>
    <m/>
    <n v="0"/>
    <n v="0"/>
    <n v="0"/>
    <m/>
    <m/>
    <n v="0"/>
    <m/>
    <n v="0"/>
    <n v="0"/>
    <n v="0"/>
    <n v="0"/>
    <m/>
    <n v="0"/>
    <n v="0"/>
    <n v="429.01"/>
    <n v="1973.86"/>
    <n v="118.59"/>
    <n v="16"/>
    <m/>
    <m/>
    <m/>
    <m/>
    <m/>
    <n v="2122.9215999999992"/>
    <m/>
    <m/>
    <m/>
    <n v="0"/>
    <m/>
    <m/>
    <m/>
    <m/>
    <m/>
    <m/>
    <m/>
    <m/>
    <m/>
    <m/>
    <m/>
    <m/>
    <n v="50950.118399999999"/>
    <n v="-27049.143599999989"/>
    <m/>
    <m/>
    <m/>
    <m/>
    <n v="-28176.160000000003"/>
    <n v="0"/>
    <m/>
    <n v="1343.0233698051852"/>
    <n v="219.34985351863179"/>
    <n v="335.59614888315809"/>
    <n v="0"/>
    <n v="0"/>
    <m/>
    <m/>
    <m/>
    <n v="788.077367403395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611.094395486667"/>
    <m/>
    <n v="0"/>
    <n v="0"/>
    <n v="-28176.159999999996"/>
    <m/>
    <n v="0"/>
    <m/>
    <n v="-29514.28201926012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18"/>
    <s v="Sistema de Compensação"/>
    <s v="Verde"/>
    <s v="A4"/>
    <s v="Rural"/>
    <s v="Não se aplica"/>
    <s v="Não se aplica"/>
    <s v="Não se aplica"/>
    <s v="Não se aplica"/>
    <s v="CATIVO"/>
    <x v="5"/>
    <n v="574"/>
    <n v="551.04"/>
    <n v="0"/>
    <n v="0"/>
    <n v="0"/>
    <n v="0"/>
    <n v="44.35"/>
    <m/>
    <m/>
    <n v="25456.9"/>
    <m/>
    <n v="25456.9"/>
    <n v="16628.78"/>
    <n v="0"/>
    <n v="0"/>
    <n v="0"/>
    <n v="0"/>
    <n v="0"/>
    <n v="7532.0645569609624"/>
    <n v="16484.043768018204"/>
    <m/>
    <m/>
    <m/>
    <n v="0"/>
    <n v="0"/>
    <n v="0"/>
    <n v="0"/>
    <m/>
    <n v="0"/>
    <n v="569.2476770133951"/>
    <n v="870.92525981627807"/>
    <n v="0"/>
    <n v="0"/>
    <m/>
    <m/>
    <n v="0"/>
    <n v="0"/>
    <n v="0"/>
    <m/>
    <m/>
    <n v="0"/>
    <m/>
    <n v="0"/>
    <n v="0"/>
    <n v="0"/>
    <n v="0"/>
    <m/>
    <n v="0"/>
    <n v="0"/>
    <n v="44.37"/>
    <n v="204.29"/>
    <n v="22.68"/>
    <n v="8"/>
    <m/>
    <m/>
    <m/>
    <m/>
    <m/>
    <n v="665.15120000000104"/>
    <m/>
    <m/>
    <m/>
    <n v="0"/>
    <m/>
    <m/>
    <m/>
    <m/>
    <m/>
    <m/>
    <m/>
    <m/>
    <m/>
    <m/>
    <m/>
    <m/>
    <n v="15963.628799999999"/>
    <n v="-8475.0251999999964"/>
    <m/>
    <m/>
    <m/>
    <m/>
    <n v="-8828.1200000000008"/>
    <n v="0"/>
    <m/>
    <n v="420.79444010271436"/>
    <n v="68.726427903763465"/>
    <n v="105.14857503216854"/>
    <n v="0"/>
    <n v="0"/>
    <m/>
    <m/>
    <m/>
    <n v="246.91943716678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84.043768018204"/>
    <m/>
    <n v="0"/>
    <n v="0"/>
    <n v="-8828.1200000000026"/>
    <m/>
    <n v="0"/>
    <m/>
    <n v="-9247.378754942856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19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22.22199999999998"/>
    <n v="322.22199999999998"/>
    <n v="322.22199999999998"/>
    <n v="322.22199999999998"/>
    <m/>
    <n v="581.32000000000005"/>
    <n v="209.4"/>
    <m/>
    <n v="254787.37984000001"/>
    <n v="254787.37984000001"/>
    <n v="194644.64353999996"/>
    <n v="0"/>
    <n v="19828.867622949878"/>
    <n v="0"/>
    <n v="0"/>
    <n v="0"/>
    <n v="23906.019058396938"/>
    <n v="124186.07040775545"/>
    <n v="66587.416610275657"/>
    <n v="887.06587669056637"/>
    <n v="0"/>
    <n v="0"/>
    <n v="0"/>
    <n v="0"/>
    <n v="3064.2028612953454"/>
    <m/>
    <n v="587.39920777501015"/>
    <n v="1836.4980943014477"/>
    <n v="2766.3370826730197"/>
    <n v="0"/>
    <n v="0"/>
    <n v="0"/>
    <n v="0"/>
    <n v="0"/>
    <n v="0"/>
    <n v="0"/>
    <n v="0"/>
    <n v="0"/>
    <n v="0"/>
    <m/>
    <n v="0"/>
    <n v="0"/>
    <n v="0"/>
    <n v="0"/>
    <n v="0"/>
    <n v="11139.950320222877"/>
    <n v="0"/>
    <n v="606.76"/>
    <n v="2803.67"/>
    <n v="89774.99"/>
    <n v="480"/>
    <m/>
    <m/>
    <m/>
    <m/>
    <m/>
    <m/>
    <m/>
    <m/>
    <m/>
    <n v="77727.366930498538"/>
    <m/>
    <m/>
    <m/>
    <m/>
    <m/>
    <m/>
    <m/>
    <m/>
    <m/>
    <m/>
    <m/>
    <m/>
    <n v="194643.43540000002"/>
    <n v="-60143.97444000002"/>
    <m/>
    <m/>
    <m/>
    <m/>
    <n v="-67499.064560000013"/>
    <n v="7356.3282599999948"/>
    <m/>
    <n v="9519.6851076273888"/>
    <n v="221.72414393610165"/>
    <n v="333.98549304112703"/>
    <n v="0"/>
    <n v="0"/>
    <n v="0"/>
    <n v="0"/>
    <n v="0"/>
    <n v="783.69758067752264"/>
    <n v="0"/>
    <n v="0"/>
    <n v="7354.0998133639659"/>
    <n v="0"/>
    <n v="0"/>
    <n v="0"/>
    <n v="1230.3271510039212"/>
    <n v="0"/>
    <n v="-345.65925608131147"/>
    <m/>
    <n v="0"/>
    <n v="0"/>
    <n v="0"/>
    <n v="0"/>
    <n v="-44.908871525896757"/>
    <n v="-13.580946788003871"/>
    <n v="0"/>
    <n v="0"/>
    <m/>
    <m/>
    <m/>
    <n v="124186.07040775545"/>
    <n v="0"/>
    <n v="0"/>
    <n v="-67499.064560000028"/>
    <n v="7356.3282599999948"/>
    <n v="0"/>
    <n v="0"/>
    <n v="-69667.10628229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0"/>
    <s v="Sistema de Compensação"/>
    <s v="Convencional"/>
    <s v="B3"/>
    <s v="Poder público"/>
    <s v="Não se aplica"/>
    <s v="Não se aplica"/>
    <s v="Não se aplica"/>
    <s v="Não se aplica"/>
    <s v="CATIVO"/>
    <x v="5"/>
    <n v="0"/>
    <n v="0"/>
    <n v="3.4089999999999998"/>
    <n v="3.4089999999999998"/>
    <n v="3.4089999999999998"/>
    <n v="3.4089999999999998"/>
    <m/>
    <n v="581.32000000000005"/>
    <n v="209.4"/>
    <m/>
    <n v="2695.56448"/>
    <n v="2695.56448"/>
    <n v="2059.2746299999999"/>
    <n v="0"/>
    <n v="209.78272658799256"/>
    <n v="0"/>
    <n v="0"/>
    <n v="0"/>
    <n v="252.91761260893159"/>
    <n v="1313.8467082323316"/>
    <n v="704.47239240160422"/>
    <n v="9.3848575629166877"/>
    <n v="0"/>
    <n v="0"/>
    <n v="0"/>
    <n v="0"/>
    <n v="32.418232008229829"/>
    <m/>
    <n v="6.214485352660617"/>
    <n v="19.429529962180222"/>
    <n v="29.266912609419361"/>
    <n v="0"/>
    <n v="0"/>
    <n v="0"/>
    <n v="0"/>
    <n v="0"/>
    <n v="0"/>
    <n v="0"/>
    <n v="0"/>
    <n v="0"/>
    <n v="0"/>
    <m/>
    <n v="0"/>
    <n v="0"/>
    <n v="0"/>
    <n v="0"/>
    <n v="0"/>
    <n v="117.85691430640921"/>
    <n v="0"/>
    <n v="6.43"/>
    <n v="29.66"/>
    <n v="724.35"/>
    <n v="3"/>
    <m/>
    <m/>
    <m/>
    <m/>
    <m/>
    <m/>
    <m/>
    <m/>
    <m/>
    <n v="822.32930670801341"/>
    <m/>
    <m/>
    <m/>
    <m/>
    <m/>
    <m/>
    <m/>
    <m/>
    <m/>
    <m/>
    <m/>
    <m/>
    <n v="2059.8787000000002"/>
    <n v="-635.71578"/>
    <m/>
    <m/>
    <m/>
    <m/>
    <n v="-714.11732000000018"/>
    <n v="77.827469999999948"/>
    <m/>
    <n v="100.71505524731992"/>
    <n v="2.3457666040126668"/>
    <n v="3.5334537858284101"/>
    <n v="0"/>
    <n v="0"/>
    <n v="0"/>
    <n v="0"/>
    <n v="0"/>
    <n v="8.2912558811306383"/>
    <n v="0"/>
    <n v="0"/>
    <n v="77.803893786761137"/>
    <n v="0"/>
    <n v="0"/>
    <n v="0"/>
    <n v="13.016445983739061"/>
    <n v="0"/>
    <n v="-3.6569582585335354"/>
    <m/>
    <n v="0"/>
    <n v="0"/>
    <n v="0"/>
    <n v="0"/>
    <n v="-0.47512070259567096"/>
    <n v="-0.14368183302290038"/>
    <n v="0"/>
    <n v="0"/>
    <m/>
    <m/>
    <m/>
    <n v="1313.8467082323316"/>
    <n v="0"/>
    <n v="0"/>
    <n v="-714.11732000000029"/>
    <n v="77.827469999999948"/>
    <n v="0"/>
    <n v="0"/>
    <n v="-737.05446964000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1"/>
    <s v="Regular"/>
    <s v="Verde"/>
    <s v="A4"/>
    <s v="Poder público"/>
    <s v="Não se aplica"/>
    <s v="Não se aplica"/>
    <s v="Não se aplica"/>
    <s v="Ponta"/>
    <s v="CATIVO"/>
    <x v="5"/>
    <n v="0"/>
    <n v="0"/>
    <n v="0.42299999999999999"/>
    <n v="0.42299999999999999"/>
    <n v="0.42299999999999999"/>
    <n v="0.42299999999999999"/>
    <m/>
    <n v="1614.19"/>
    <n v="209.4"/>
    <m/>
    <n v="771.37856999999997"/>
    <n v="771.37856999999997"/>
    <n v="512.73944999999992"/>
    <n v="0"/>
    <n v="22.646565330491992"/>
    <n v="0"/>
    <n v="0"/>
    <n v="0"/>
    <n v="131.72980991551074"/>
    <n v="491.87988862821828"/>
    <n v="87.413265469603573"/>
    <n v="1.1645041798514986"/>
    <n v="0"/>
    <n v="0"/>
    <n v="0"/>
    <n v="0"/>
    <n v="4.0225614958877145"/>
    <m/>
    <n v="0.56167814249893477"/>
    <n v="10.234453432678876"/>
    <n v="15.244371721924042"/>
    <n v="0"/>
    <n v="0"/>
    <n v="0"/>
    <n v="0"/>
    <n v="0"/>
    <n v="0"/>
    <n v="0"/>
    <n v="0"/>
    <n v="0"/>
    <n v="0"/>
    <m/>
    <n v="0"/>
    <n v="0"/>
    <n v="0"/>
    <n v="0"/>
    <n v="0"/>
    <n v="6.4822365807963136"/>
    <n v="0"/>
    <n v="0"/>
    <n v="0"/>
    <n v="0"/>
    <n v="0"/>
    <m/>
    <m/>
    <m/>
    <m/>
    <m/>
    <m/>
    <m/>
    <m/>
    <m/>
    <n v="93.895502050399884"/>
    <m/>
    <m/>
    <m/>
    <m/>
    <m/>
    <m/>
    <m/>
    <m/>
    <m/>
    <m/>
    <m/>
    <m/>
    <n v="509.10299999999995"/>
    <n v="-262.30556999999999"/>
    <m/>
    <m/>
    <m/>
    <m/>
    <n v="-268.29621000000003"/>
    <n v="9.6570899999999931"/>
    <m/>
    <n v="17.297896916607328"/>
    <n v="1.2356263439944986"/>
    <n v="1.8404839516988449"/>
    <n v="0"/>
    <n v="0"/>
    <n v="0"/>
    <n v="0"/>
    <n v="0"/>
    <n v="4.3184242881140449"/>
    <n v="0"/>
    <n v="0"/>
    <n v="9.6541645854502747"/>
    <n v="0"/>
    <n v="0"/>
    <n v="0"/>
    <n v="0.71591626850497203"/>
    <n v="0"/>
    <n v="-0.39477770863097561"/>
    <m/>
    <n v="0"/>
    <n v="0"/>
    <n v="0"/>
    <n v="0"/>
    <n v="-5.8954548899374792E-2"/>
    <n v="-1.2986263624970018E-2"/>
    <n v="0"/>
    <n v="0"/>
    <m/>
    <m/>
    <m/>
    <n v="491.87988862821828"/>
    <n v="0"/>
    <n v="0"/>
    <n v="-268.29621000000003"/>
    <n v="9.6570899999999966"/>
    <n v="0"/>
    <n v="0"/>
    <n v="-275.9395507617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2"/>
    <s v="Regular"/>
    <s v="Verde"/>
    <s v="A4"/>
    <s v="Poder público"/>
    <s v="Não se aplica"/>
    <s v="Não se aplica"/>
    <s v="Não se aplica"/>
    <s v="Fora ponta"/>
    <s v="CATIVO"/>
    <x v="5"/>
    <n v="0"/>
    <n v="0"/>
    <n v="11.032999999999999"/>
    <n v="11.032999999999999"/>
    <n v="11.032999999999999"/>
    <n v="11.032999999999999"/>
    <m/>
    <n v="79.7"/>
    <n v="209.4"/>
    <m/>
    <n v="3189.6403"/>
    <n v="3189.6403"/>
    <n v="3448.03316"/>
    <n v="0"/>
    <n v="590.68452787545652"/>
    <n v="0"/>
    <n v="0"/>
    <n v="0"/>
    <n v="0"/>
    <n v="0"/>
    <n v="2279.9776783123789"/>
    <n v="30.37346244988554"/>
    <n v="0"/>
    <n v="0"/>
    <n v="0"/>
    <n v="0"/>
    <n v="104.91943495065993"/>
    <m/>
    <n v="14.650106255770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07450637334688"/>
    <n v="0"/>
    <n v="0"/>
    <n v="0"/>
    <n v="0"/>
    <n v="0"/>
    <m/>
    <m/>
    <m/>
    <m/>
    <m/>
    <m/>
    <m/>
    <m/>
    <m/>
    <n v="2449.0521846857259"/>
    <m/>
    <m/>
    <m/>
    <m/>
    <m/>
    <m/>
    <m/>
    <m/>
    <m/>
    <m/>
    <m/>
    <m/>
    <n v="3447.0955999999996"/>
    <n v="257.42529999999942"/>
    <m/>
    <m/>
    <m/>
    <m/>
    <n v="6.5094700000000376"/>
    <n v="251.88338999999982"/>
    <m/>
    <n v="258.30684779617377"/>
    <n v="0"/>
    <n v="0"/>
    <n v="0"/>
    <n v="0"/>
    <n v="0"/>
    <n v="0"/>
    <n v="0"/>
    <n v="0"/>
    <n v="0"/>
    <n v="0"/>
    <n v="251.8070871661298"/>
    <n v="0"/>
    <n v="0"/>
    <n v="0"/>
    <n v="18.673059551809359"/>
    <n v="0"/>
    <n v="-10.296885246632428"/>
    <m/>
    <n v="0"/>
    <n v="0"/>
    <n v="0"/>
    <n v="0"/>
    <n v="-1.5376963073446888"/>
    <n v="-0.33871736778792894"/>
    <n v="0"/>
    <n v="0"/>
    <m/>
    <m/>
    <m/>
    <n v="0"/>
    <n v="0"/>
    <n v="0"/>
    <n v="6.5094699999999648"/>
    <n v="251.8833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3"/>
    <s v="Regular"/>
    <s v="Verde"/>
    <s v="A4"/>
    <s v="Poder público"/>
    <s v="Não se aplica"/>
    <s v="Não se aplica"/>
    <s v="Não se aplica"/>
    <s v="Não se aplica"/>
    <s v="CATIVO"/>
    <x v="5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24.67"/>
    <n v="113.48"/>
    <n v="3461.17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m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24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428.49799999999999"/>
    <n v="428.49799999999999"/>
    <n v="428.49799999999999"/>
    <n v="428.49799999999999"/>
    <m/>
    <n v="319.73"/>
    <n v="115.17"/>
    <m/>
    <n v="186353.78020000001"/>
    <n v="186353.78020000001"/>
    <n v="142359.89053999999"/>
    <n v="0"/>
    <n v="14502.878652867692"/>
    <n v="0"/>
    <n v="0"/>
    <n v="0"/>
    <n v="17484.916439494318"/>
    <n v="90829.972933785961"/>
    <n v="48702.187198479551"/>
    <n v="648.80198967352908"/>
    <n v="0"/>
    <n v="0"/>
    <n v="0"/>
    <n v="0"/>
    <n v="2241.1649071529346"/>
    <m/>
    <n v="429.62510987222214"/>
    <n v="1343.21886223346"/>
    <n v="2023.3052025875745"/>
    <n v="0"/>
    <n v="0"/>
    <n v="0"/>
    <n v="0"/>
    <n v="0"/>
    <n v="0"/>
    <n v="0"/>
    <n v="0"/>
    <n v="0"/>
    <n v="0"/>
    <m/>
    <n v="0"/>
    <n v="0"/>
    <n v="0"/>
    <n v="0"/>
    <n v="0"/>
    <n v="8147.7848743201112"/>
    <n v="0"/>
    <n v="515"/>
    <n v="2370.06"/>
    <n v="51522.58"/>
    <n v="42"/>
    <m/>
    <m/>
    <m/>
    <m/>
    <m/>
    <m/>
    <m/>
    <m/>
    <m/>
    <n v="56849.972072799661"/>
    <m/>
    <m/>
    <m/>
    <m/>
    <m/>
    <m/>
    <m/>
    <m/>
    <m/>
    <m/>
    <m/>
    <m/>
    <n v="142360.55499999999"/>
    <n v="-43993.255200000043"/>
    <m/>
    <m/>
    <m/>
    <m/>
    <n v="-49371.539560000012"/>
    <n v="5377.6498999999985"/>
    <m/>
    <n v="6962.7192311091203"/>
    <n v="162.1695406445956"/>
    <n v="244.27774543148826"/>
    <n v="0"/>
    <n v="0"/>
    <n v="0"/>
    <n v="0"/>
    <n v="0"/>
    <n v="573.1981840433873"/>
    <n v="0"/>
    <n v="0"/>
    <n v="5378.8052460873514"/>
    <n v="0"/>
    <n v="0"/>
    <n v="0"/>
    <n v="899.86406251894277"/>
    <n v="0"/>
    <n v="-252.8159621372597"/>
    <m/>
    <n v="0"/>
    <n v="0"/>
    <n v="0"/>
    <n v="0"/>
    <n v="-32.846450264435589"/>
    <n v="-9.9331352149179111"/>
    <n v="0"/>
    <n v="0"/>
    <m/>
    <m/>
    <m/>
    <n v="90829.972933785961"/>
    <n v="0"/>
    <n v="0"/>
    <n v="-49371.539560000019"/>
    <n v="5377.6498999999967"/>
    <n v="0"/>
    <n v="0"/>
    <n v="-50954.679194042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5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90.308000000000007"/>
    <n v="84.889520000000005"/>
    <n v="90.308000000000007"/>
    <n v="84.889520000000005"/>
    <m/>
    <n v="581.32000000000005"/>
    <n v="209.4"/>
    <m/>
    <n v="71408.34176000001"/>
    <n v="71408.34176000001"/>
    <n v="54552.353560000003"/>
    <n v="0"/>
    <n v="5557.365348403765"/>
    <n v="0"/>
    <n v="0"/>
    <n v="0"/>
    <n v="6700.0539042204155"/>
    <n v="34805.182906144153"/>
    <n v="18662.215550895886"/>
    <n v="248.61475998588452"/>
    <n v="0"/>
    <n v="0"/>
    <n v="0"/>
    <n v="0"/>
    <n v="858.79310536791434"/>
    <m/>
    <n v="164.6282614338736"/>
    <n v="514.70870983413658"/>
    <n v="775.31133585551299"/>
    <n v="0"/>
    <n v="0"/>
    <n v="0"/>
    <n v="0"/>
    <n v="0"/>
    <n v="0"/>
    <n v="0"/>
    <n v="0"/>
    <n v="0"/>
    <n v="0"/>
    <m/>
    <n v="0"/>
    <n v="0"/>
    <n v="0"/>
    <n v="0"/>
    <n v="0"/>
    <n v="3122.1537744743923"/>
    <n v="0"/>
    <n v="162.41"/>
    <n v="747.69"/>
    <n v="29285.14"/>
    <n v="21"/>
    <m/>
    <m/>
    <m/>
    <m/>
    <n v="3273.1412136000013"/>
    <m/>
    <m/>
    <m/>
    <m/>
    <n v="21784.369325370277"/>
    <m/>
    <m/>
    <m/>
    <m/>
    <m/>
    <m/>
    <m/>
    <m/>
    <m/>
    <m/>
    <m/>
    <m/>
    <n v="51279.502299999993"/>
    <n v="-15844.368954400023"/>
    <m/>
    <m/>
    <m/>
    <m/>
    <n v="-18917.719840000009"/>
    <n v="2061.7316399999986"/>
    <m/>
    <n v="2668.047875997363"/>
    <n v="62.141827654789154"/>
    <n v="93.604911848222969"/>
    <n v="0"/>
    <n v="0"/>
    <n v="0"/>
    <n v="0"/>
    <n v="0"/>
    <n v="219.64409976918432"/>
    <n v="0"/>
    <n v="0"/>
    <n v="2061.1070812833204"/>
    <n v="0"/>
    <n v="0"/>
    <n v="0"/>
    <n v="344.81936166016703"/>
    <n v="0"/>
    <n v="-96.876675392093603"/>
    <m/>
    <n v="0"/>
    <n v="0"/>
    <n v="0"/>
    <n v="0"/>
    <n v="-12.586447758876488"/>
    <n v="-3.8062830673605674"/>
    <n v="0"/>
    <n v="0"/>
    <m/>
    <m/>
    <m/>
    <n v="34805.182906144153"/>
    <n v="0"/>
    <n v="0"/>
    <n v="-18917.719840000005"/>
    <n v="2061.7316399999982"/>
    <n v="0"/>
    <n v="0"/>
    <n v="-19525.349088955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6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5.491"/>
    <n v="35.491"/>
    <n v="35.491"/>
    <n v="35.491"/>
    <m/>
    <n v="581.32000000000005"/>
    <n v="209.4"/>
    <m/>
    <n v="28063.443520000001"/>
    <n v="28063.443520000001"/>
    <n v="21439.048369999997"/>
    <n v="0"/>
    <n v="2184.0418742547504"/>
    <n v="0"/>
    <n v="0"/>
    <n v="0"/>
    <n v="2633.1179199482522"/>
    <n v="13678.419924280926"/>
    <n v="7334.2416188692687"/>
    <n v="97.705479543994187"/>
    <n v="0"/>
    <n v="0"/>
    <n v="0"/>
    <n v="0"/>
    <n v="337.50527198711791"/>
    <m/>
    <n v="64.698826533082425"/>
    <n v="202.28027218766158"/>
    <n v="304.69697724285788"/>
    <n v="0"/>
    <n v="0"/>
    <n v="0"/>
    <n v="0"/>
    <n v="0"/>
    <n v="0"/>
    <n v="0"/>
    <n v="0"/>
    <n v="0"/>
    <n v="0"/>
    <m/>
    <n v="0"/>
    <n v="0"/>
    <n v="0"/>
    <n v="0"/>
    <n v="0"/>
    <n v="1227.004912187964"/>
    <n v="0"/>
    <n v="67.040000000000006"/>
    <n v="308.83"/>
    <n v="11508.9"/>
    <n v="17"/>
    <m/>
    <m/>
    <m/>
    <m/>
    <m/>
    <m/>
    <m/>
    <m/>
    <m/>
    <n v="8561.2465310572334"/>
    <m/>
    <m/>
    <m/>
    <m/>
    <m/>
    <m/>
    <m/>
    <m/>
    <m/>
    <m/>
    <m/>
    <m/>
    <n v="21438.444299999999"/>
    <n v="-6625.0292199999967"/>
    <m/>
    <m/>
    <m/>
    <m/>
    <n v="-7434.6546800000024"/>
    <n v="810.25952999999947"/>
    <m/>
    <n v="1048.5415153366448"/>
    <n v="24.421707991497101"/>
    <n v="36.786684750025245"/>
    <n v="0"/>
    <n v="0"/>
    <n v="0"/>
    <n v="0"/>
    <n v="0"/>
    <n v="86.320024193959398"/>
    <n v="0"/>
    <n v="0"/>
    <n v="810.01407872864183"/>
    <n v="0"/>
    <n v="0"/>
    <n v="0"/>
    <n v="135.51384112903588"/>
    <n v="0"/>
    <n v="-38.072486228692924"/>
    <m/>
    <n v="0"/>
    <n v="0"/>
    <n v="0"/>
    <n v="0"/>
    <n v="-4.9464678368503883"/>
    <n v="-1.4958673909697211"/>
    <n v="0"/>
    <n v="0"/>
    <m/>
    <m/>
    <m/>
    <n v="13678.419924280926"/>
    <n v="0"/>
    <n v="0"/>
    <n v="-7434.6546800000015"/>
    <n v="810.25952999999845"/>
    <n v="0"/>
    <n v="0"/>
    <n v="-7673.452678789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27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74.79"/>
    <n v="4026.82"/>
    <n v="1277.17"/>
    <n v="1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28"/>
    <s v="Refaturamento - 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1599999999999999"/>
    <n v="-5.48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2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1.53"/>
    <n v="283.35000000000002"/>
    <n v="249.31"/>
    <n v="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30"/>
    <s v="Regular"/>
    <s v="Convencional"/>
    <s v="B2"/>
    <s v="Rural"/>
    <s v="Agropecuária rural"/>
    <s v="IRRIG./AQUIC."/>
    <s v="Não se aplica"/>
    <s v="Não se aplica"/>
    <s v="CATIVO"/>
    <x v="5"/>
    <n v="0"/>
    <n v="0"/>
    <n v="344.63900000000001"/>
    <n v="344.63900000000001"/>
    <n v="344.63900000000001"/>
    <n v="344.63900000000001"/>
    <m/>
    <n v="581.32000000000005"/>
    <n v="209.4"/>
    <m/>
    <n v="272512.95008000004"/>
    <n v="272512.95008000004"/>
    <n v="208186.08072999999"/>
    <n v="0"/>
    <n v="21208.362894854552"/>
    <n v="0"/>
    <n v="0"/>
    <n v="0"/>
    <n v="25569.161951284714"/>
    <n v="132825.70128438913"/>
    <n v="71219.906378673069"/>
    <n v="948.77909229276747"/>
    <n v="0"/>
    <n v="0"/>
    <n v="0"/>
    <n v="0"/>
    <n v="3277.3796013741039"/>
    <m/>
    <n v="628.26459884294593"/>
    <n v="1964.2633548359725"/>
    <n v="2958.7912862416192"/>
    <n v="0"/>
    <n v="0"/>
    <n v="0"/>
    <n v="0"/>
    <n v="0"/>
    <n v="0"/>
    <n v="0"/>
    <n v="0"/>
    <n v="0"/>
    <n v="0"/>
    <m/>
    <n v="0"/>
    <n v="0"/>
    <n v="0"/>
    <n v="0"/>
    <n v="0"/>
    <n v="11914.957198488286"/>
    <n v="0"/>
    <n v="0"/>
    <n v="0"/>
    <n v="0"/>
    <n v="0"/>
    <m/>
    <m/>
    <m/>
    <m/>
    <m/>
    <n v="24982.881109999973"/>
    <m/>
    <m/>
    <m/>
    <n v="83134.863577161363"/>
    <m/>
    <m/>
    <m/>
    <m/>
    <m/>
    <m/>
    <m/>
    <m/>
    <m/>
    <m/>
    <m/>
    <m/>
    <n v="183203.73120000001"/>
    <n v="-56613.346950000006"/>
    <m/>
    <m/>
    <m/>
    <m/>
    <n v="-72194.977720000024"/>
    <n v="7868.1083699999945"/>
    <m/>
    <n v="10181.97005731336"/>
    <n v="237.14950326791472"/>
    <n v="357.22087981640288"/>
    <n v="0"/>
    <n v="0"/>
    <n v="0"/>
    <n v="0"/>
    <n v="0"/>
    <n v="838.21945896655234"/>
    <n v="0"/>
    <n v="0"/>
    <n v="7865.7248902245774"/>
    <n v="0"/>
    <n v="0"/>
    <n v="0"/>
    <n v="1315.9210699295545"/>
    <n v="0"/>
    <n v="-369.70678711139044"/>
    <m/>
    <n v="0"/>
    <n v="0"/>
    <n v="0"/>
    <n v="0"/>
    <n v="-48.033183872651534"/>
    <n v="-14.525773907650205"/>
    <n v="0"/>
    <n v="0"/>
    <m/>
    <m/>
    <m/>
    <n v="132825.70128438913"/>
    <n v="0"/>
    <n v="0"/>
    <n v="-72194.977720000024"/>
    <n v="7868.1083700000017"/>
    <n v="0"/>
    <n v="0"/>
    <n v="-74513.85020893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1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19.963000000000001"/>
    <n v="19.963000000000001"/>
    <n v="19.963000000000001"/>
    <n v="19.963000000000001"/>
    <m/>
    <n v="581.32000000000005"/>
    <n v="209.4"/>
    <m/>
    <n v="15785.143360000002"/>
    <n v="15785.143360000002"/>
    <n v="12059.04941"/>
    <n v="0"/>
    <n v="1228.4812469569069"/>
    <n v="0"/>
    <n v="0"/>
    <n v="0"/>
    <n v="1481.0778235588448"/>
    <n v="7693.8462412560975"/>
    <n v="4125.3688382262326"/>
    <n v="54.95743958008385"/>
    <n v="0"/>
    <n v="0"/>
    <n v="0"/>
    <n v="0"/>
    <n v="189.8401776416228"/>
    <m/>
    <n v="36.391836636891732"/>
    <n v="113.77873471252678"/>
    <n v="171.38614738100284"/>
    <n v="0"/>
    <n v="0"/>
    <n v="0"/>
    <n v="0"/>
    <n v="0"/>
    <n v="0"/>
    <n v="0"/>
    <n v="0"/>
    <n v="0"/>
    <n v="0"/>
    <m/>
    <n v="0"/>
    <n v="0"/>
    <n v="0"/>
    <n v="0"/>
    <n v="0"/>
    <n v="690.16649466085278"/>
    <n v="0"/>
    <n v="0"/>
    <n v="0"/>
    <n v="0"/>
    <n v="0"/>
    <m/>
    <m/>
    <m/>
    <m/>
    <m/>
    <n v="1447.1178699999987"/>
    <m/>
    <m/>
    <m/>
    <n v="4815.5353328870851"/>
    <m/>
    <m/>
    <m/>
    <m/>
    <m/>
    <m/>
    <m/>
    <m/>
    <m/>
    <m/>
    <m/>
    <m/>
    <n v="10610.336800000001"/>
    <n v="-3280.946750000001"/>
    <m/>
    <m/>
    <m/>
    <m/>
    <n v="-4181.8492400000014"/>
    <n v="455.75528999999972"/>
    <m/>
    <n v="589.78429096574928"/>
    <n v="13.736737669669964"/>
    <n v="20.691797573039764"/>
    <n v="0"/>
    <n v="0"/>
    <n v="0"/>
    <n v="0"/>
    <n v="0"/>
    <n v="48.553341494576443"/>
    <n v="0"/>
    <n v="0"/>
    <n v="455.61722841452411"/>
    <n v="0"/>
    <n v="0"/>
    <n v="0"/>
    <n v="76.2239105818079"/>
    <n v="0"/>
    <n v="-21.41503599739076"/>
    <m/>
    <n v="0"/>
    <n v="0"/>
    <n v="0"/>
    <n v="0"/>
    <n v="-2.7822923396648207"/>
    <n v="-0.84139643081142879"/>
    <n v="0"/>
    <n v="0"/>
    <m/>
    <m/>
    <m/>
    <n v="7693.8462412560975"/>
    <n v="0"/>
    <n v="0"/>
    <n v="-4181.8492400000014"/>
    <n v="455.75529000000006"/>
    <n v="0"/>
    <n v="0"/>
    <n v="-4316.1684885372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2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419.846"/>
    <n v="167.9384"/>
    <n v="419.846"/>
    <n v="167.9384"/>
    <m/>
    <n v="581.32000000000005"/>
    <n v="209.4"/>
    <m/>
    <n v="331980.62912000006"/>
    <n v="331980.62912000006"/>
    <n v="253616.37321999998"/>
    <n v="0"/>
    <n v="25836.444302453016"/>
    <n v="0"/>
    <n v="0"/>
    <n v="0"/>
    <n v="31148.855377943531"/>
    <n v="161810.8785756854"/>
    <n v="86761.489017378684"/>
    <n v="1155.8213283544499"/>
    <n v="0"/>
    <n v="0"/>
    <n v="0"/>
    <n v="0"/>
    <n v="3992.5682122989915"/>
    <m/>
    <n v="765.3642761434877"/>
    <n v="2392.9042054859251"/>
    <n v="3604.4576683526784"/>
    <n v="0"/>
    <n v="0"/>
    <n v="0"/>
    <n v="0"/>
    <n v="0"/>
    <n v="0"/>
    <n v="0"/>
    <n v="0"/>
    <n v="0"/>
    <n v="0"/>
    <m/>
    <n v="0"/>
    <n v="0"/>
    <n v="0"/>
    <n v="0"/>
    <n v="0"/>
    <n v="14515.034920471893"/>
    <n v="0"/>
    <n v="0"/>
    <n v="0"/>
    <n v="0"/>
    <n v="0"/>
    <m/>
    <m/>
    <m/>
    <m/>
    <m/>
    <m/>
    <n v="164343.678548"/>
    <m/>
    <m/>
    <n v="101276.52393785058"/>
    <m/>
    <m/>
    <m/>
    <m/>
    <m/>
    <m/>
    <m/>
    <m/>
    <m/>
    <m/>
    <m/>
    <m/>
    <n v="89273.545200000008"/>
    <n v="-27586.420439999973"/>
    <m/>
    <m/>
    <m/>
    <m/>
    <n v="-87949.340080000038"/>
    <n v="9585.0841799999926"/>
    <m/>
    <n v="12403.875941732578"/>
    <n v="288.90018352252901"/>
    <n v="435.17349315485944"/>
    <n v="0"/>
    <n v="0"/>
    <n v="0"/>
    <n v="0"/>
    <n v="0"/>
    <n v="1021.135411167259"/>
    <n v="0"/>
    <n v="0"/>
    <n v="9582.1805781157309"/>
    <n v="0"/>
    <n v="0"/>
    <n v="0"/>
    <n v="1603.0808977673551"/>
    <n v="0"/>
    <n v="-450.38407069881941"/>
    <m/>
    <n v="0"/>
    <n v="0"/>
    <n v="0"/>
    <n v="0"/>
    <n v="-58.514968173065881"/>
    <n v="-17.695583123300821"/>
    <n v="0"/>
    <n v="0"/>
    <m/>
    <m/>
    <m/>
    <n v="161810.8785756854"/>
    <n v="0"/>
    <n v="0"/>
    <n v="-87949.340080000053"/>
    <n v="9585.0841800000053"/>
    <n v="0"/>
    <n v="0"/>
    <n v="-90774.23609870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3"/>
    <s v="Refaturamento - Regular"/>
    <s v="Convencional"/>
    <s v="B2"/>
    <s v="Rural"/>
    <s v="Agropecuária rural"/>
    <s v="IRRIG./AQUIC. PR"/>
    <s v="Não se aplica"/>
    <s v="Não se aplica"/>
    <s v="CATIVO"/>
    <x v="5"/>
    <n v="0"/>
    <n v="0"/>
    <n v="-1.5249999999999999"/>
    <n v="-0.61"/>
    <n v="-1.5249999999999999"/>
    <n v="-0.61"/>
    <m/>
    <n v="581.32000000000005"/>
    <n v="209.4"/>
    <m/>
    <n v="-1205.848"/>
    <n v="-1205.848"/>
    <n v="-921.20674999999983"/>
    <n v="0"/>
    <n v="-93.845308901932725"/>
    <n v="0"/>
    <n v="0"/>
    <n v="0"/>
    <n v="-113.1414958136171"/>
    <n v="-587.7431006319465"/>
    <n v="-315.1423873313131"/>
    <n v="-4.1982715703866083"/>
    <n v="0"/>
    <n v="0"/>
    <n v="0"/>
    <n v="0"/>
    <n v="-14.502142508815044"/>
    <m/>
    <n v="-2.7800205816390267"/>
    <n v="-8.6917081819668045"/>
    <n v="-13.092414705005726"/>
    <n v="0"/>
    <n v="0"/>
    <n v="0"/>
    <n v="0"/>
    <n v="0"/>
    <n v="0"/>
    <n v="0"/>
    <n v="0"/>
    <n v="0"/>
    <n v="0"/>
    <m/>
    <n v="0"/>
    <n v="0"/>
    <n v="0"/>
    <n v="0"/>
    <n v="0"/>
    <n v="-52.722732272594321"/>
    <n v="0"/>
    <n v="0"/>
    <n v="0"/>
    <n v="0"/>
    <n v="0"/>
    <m/>
    <m/>
    <m/>
    <m/>
    <m/>
    <m/>
    <n v="-596.94294999999988"/>
    <m/>
    <m/>
    <n v="-367.86511960390743"/>
    <m/>
    <m/>
    <m/>
    <m/>
    <m/>
    <m/>
    <m/>
    <m/>
    <m/>
    <m/>
    <m/>
    <m/>
    <n v="-324.26380000000006"/>
    <n v="100.17469999999997"/>
    <m/>
    <m/>
    <m/>
    <m/>
    <n v="319.45700000000011"/>
    <n v="-34.815749999999973"/>
    <m/>
    <n v="-45.054402831376592"/>
    <n v="-1.049367577330397"/>
    <n v="-1.580673811495549"/>
    <n v="0"/>
    <n v="0"/>
    <n v="0"/>
    <n v="0"/>
    <n v="0"/>
    <n v="-3.7090540389334734"/>
    <n v="0"/>
    <n v="0"/>
    <n v="-34.805203292698991"/>
    <n v="0"/>
    <n v="0"/>
    <n v="0"/>
    <n v="-5.8228454459378369"/>
    <n v="0"/>
    <n v="1.6359229522627317"/>
    <m/>
    <n v="0"/>
    <n v="0"/>
    <n v="0"/>
    <n v="0"/>
    <n v="0.21254299544100697"/>
    <n v="6.4275387315906318E-2"/>
    <n v="0"/>
    <n v="0"/>
    <m/>
    <m/>
    <m/>
    <n v="-587.7431006319465"/>
    <n v="0"/>
    <n v="0"/>
    <n v="319.45700000000011"/>
    <n v="-34.81574999999998"/>
    <n v="0"/>
    <n v="0"/>
    <n v="329.71782522763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4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32.436999999999998"/>
    <n v="12.9748"/>
    <n v="32.436999999999998"/>
    <n v="12.9748"/>
    <m/>
    <n v="581.32000000000005"/>
    <n v="209.4"/>
    <m/>
    <n v="25648.584639999997"/>
    <n v="25648.584639999997"/>
    <n v="19594.218589999997"/>
    <n v="0"/>
    <n v="1996.1051048209781"/>
    <n v="0"/>
    <n v="0"/>
    <n v="0"/>
    <n v="2406.5381637418345"/>
    <n v="12501.392101769474"/>
    <n v="6703.1302412234772"/>
    <n v="89.297924543364203"/>
    <n v="0"/>
    <n v="0"/>
    <n v="0"/>
    <n v="0"/>
    <n v="308.46294856290729"/>
    <m/>
    <n v="59.131493512541049"/>
    <n v="184.87405790062772"/>
    <n v="278.47780707296442"/>
    <n v="0"/>
    <n v="0"/>
    <n v="0"/>
    <n v="0"/>
    <n v="0"/>
    <n v="0"/>
    <n v="0"/>
    <n v="0"/>
    <n v="0"/>
    <n v="0"/>
    <m/>
    <n v="0"/>
    <n v="0"/>
    <n v="0"/>
    <n v="0"/>
    <n v="0"/>
    <n v="1121.4211585089456"/>
    <n v="0"/>
    <n v="0"/>
    <n v="0"/>
    <n v="0"/>
    <n v="0"/>
    <m/>
    <m/>
    <m/>
    <m/>
    <m/>
    <m/>
    <n v="12697.074405999996"/>
    <m/>
    <m/>
    <n v="7824.5513997324233"/>
    <m/>
    <m/>
    <m/>
    <m/>
    <m/>
    <m/>
    <m/>
    <m/>
    <m/>
    <m/>
    <m/>
    <m/>
    <n v="6894.5926000000009"/>
    <n v="-2133.9519800000007"/>
    <m/>
    <m/>
    <m/>
    <m/>
    <n v="-6794.9027600000018"/>
    <n v="740.5367099999994"/>
    <m/>
    <n v="958.31453419105856"/>
    <n v="22.320220397289205"/>
    <n v="33.621191097364658"/>
    <n v="0"/>
    <n v="0"/>
    <n v="0"/>
    <n v="0"/>
    <n v="0"/>
    <n v="78.892187449760968"/>
    <n v="0"/>
    <n v="0"/>
    <n v="740.31237980673905"/>
    <n v="0"/>
    <n v="0"/>
    <n v="0"/>
    <n v="123.85287719992493"/>
    <n v="0"/>
    <n v="-34.796349378718787"/>
    <m/>
    <n v="0"/>
    <n v="0"/>
    <n v="0"/>
    <n v="0"/>
    <n v="-4.52082435614426"/>
    <n v="-1.367148025158059"/>
    <n v="0"/>
    <n v="0"/>
    <m/>
    <m/>
    <m/>
    <n v="12501.392101769474"/>
    <n v="0"/>
    <n v="0"/>
    <n v="-6794.9027600000009"/>
    <n v="740.5367099999994"/>
    <n v="0"/>
    <n v="0"/>
    <n v="-7013.152194694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5"/>
    <s v="Regular"/>
    <s v="Verde"/>
    <s v="A4"/>
    <s v="Rural"/>
    <s v="Agropecuária rural"/>
    <s v="Não se aplica"/>
    <s v="Não se aplica"/>
    <s v="Ponta"/>
    <s v="CATIVO"/>
    <x v="5"/>
    <n v="0"/>
    <n v="0"/>
    <n v="53.476999999999997"/>
    <n v="51.337919999999997"/>
    <n v="53.476999999999997"/>
    <n v="51.337919999999997"/>
    <m/>
    <n v="1614.19"/>
    <n v="209.4"/>
    <m/>
    <n v="97520.122429999989"/>
    <n v="97520.122429999989"/>
    <n v="64822.145549999994"/>
    <n v="0"/>
    <n v="2863.0505299733336"/>
    <n v="0"/>
    <n v="0"/>
    <n v="0"/>
    <n v="16653.699869625929"/>
    <n v="62185.013721444986"/>
    <n v="11051.061932666644"/>
    <n v="147.22030738987846"/>
    <n v="0"/>
    <n v="0"/>
    <n v="0"/>
    <n v="0"/>
    <n v="508.54496717632929"/>
    <m/>
    <n v="71.009130086088732"/>
    <n v="1293.872024159263"/>
    <n v="1927.2417649487754"/>
    <n v="0"/>
    <n v="0"/>
    <n v="0"/>
    <n v="0"/>
    <n v="0"/>
    <n v="0"/>
    <n v="0"/>
    <n v="0"/>
    <n v="0"/>
    <n v="0"/>
    <m/>
    <n v="0"/>
    <n v="0"/>
    <n v="0"/>
    <n v="0"/>
    <n v="0"/>
    <n v="819.50488328899405"/>
    <n v="0"/>
    <n v="0"/>
    <n v="0"/>
    <n v="0"/>
    <n v="0"/>
    <m/>
    <m/>
    <m/>
    <m/>
    <m/>
    <n v="2592.8858219999997"/>
    <m/>
    <m/>
    <m/>
    <n v="11870.566815955637"/>
    <m/>
    <m/>
    <m/>
    <m/>
    <m/>
    <m/>
    <m/>
    <m/>
    <m/>
    <m/>
    <m/>
    <m/>
    <n v="62231.781000000003"/>
    <n v="-31387.566532799974"/>
    <m/>
    <m/>
    <m/>
    <m/>
    <n v="-33918.856790000005"/>
    <n v="1220.879909999999"/>
    <m/>
    <n v="2186.8549253177553"/>
    <n v="156.21179668509171"/>
    <n v="232.67981154846098"/>
    <n v="0"/>
    <n v="0"/>
    <n v="0"/>
    <n v="0"/>
    <n v="0"/>
    <n v="545.94887861814277"/>
    <n v="0"/>
    <n v="0"/>
    <n v="1220.5100698253518"/>
    <n v="0"/>
    <n v="0"/>
    <n v="0"/>
    <n v="90.508402578818846"/>
    <n v="0"/>
    <n v="-49.909048521178647"/>
    <m/>
    <n v="0"/>
    <n v="0"/>
    <n v="0"/>
    <n v="0"/>
    <n v="-7.4532208309500447"/>
    <n v="-1.6417645859870476"/>
    <n v="0"/>
    <n v="0"/>
    <m/>
    <m/>
    <m/>
    <n v="62185.013721444986"/>
    <n v="0"/>
    <n v="0"/>
    <n v="-33918.856789999998"/>
    <n v="1220.8799099999978"/>
    <n v="0"/>
    <n v="0"/>
    <n v="-34885.15214204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6"/>
    <s v="Sistema de Compensação"/>
    <s v="Verde"/>
    <s v="A4"/>
    <s v="Rural"/>
    <s v="Agropecuária rural"/>
    <s v="Não se aplica"/>
    <s v="Não se aplica"/>
    <s v="Ponta"/>
    <s v="CATIVO"/>
    <x v="5"/>
    <n v="0"/>
    <n v="0"/>
    <n v="3.492"/>
    <n v="3.3523200000000002"/>
    <n v="3.492"/>
    <n v="3.3523200000000002"/>
    <m/>
    <n v="1614.19"/>
    <n v="209.4"/>
    <m/>
    <n v="6367.9762799999999"/>
    <n v="6367.9762799999999"/>
    <n v="4232.8278"/>
    <n v="0"/>
    <n v="186.95462443044451"/>
    <n v="0"/>
    <n v="0"/>
    <n v="0"/>
    <n v="1087.4716222812376"/>
    <n v="4060.6254635691212"/>
    <n v="721.62440430225934"/>
    <n v="9.6133536549442873"/>
    <n v="0"/>
    <n v="0"/>
    <n v="0"/>
    <n v="0"/>
    <n v="33.207528944775177"/>
    <m/>
    <n v="4.6368323253103547"/>
    <n v="84.488679401689453"/>
    <n v="125.84715378950061"/>
    <n v="0"/>
    <n v="0"/>
    <n v="0"/>
    <n v="0"/>
    <n v="0"/>
    <n v="0"/>
    <n v="0"/>
    <n v="0"/>
    <n v="0"/>
    <n v="0"/>
    <m/>
    <n v="0"/>
    <n v="0"/>
    <n v="0"/>
    <n v="0"/>
    <n v="0"/>
    <n v="53.512931773382334"/>
    <n v="0"/>
    <n v="0"/>
    <n v="0"/>
    <n v="0"/>
    <n v="0"/>
    <m/>
    <m/>
    <m/>
    <m/>
    <m/>
    <n v="169.31311199999976"/>
    <m/>
    <m/>
    <m/>
    <n v="775.13733607564166"/>
    <m/>
    <m/>
    <m/>
    <m/>
    <m/>
    <m/>
    <m/>
    <m/>
    <m/>
    <m/>
    <m/>
    <m/>
    <n v="4060.7024999999999"/>
    <n v="-2052.5847288000018"/>
    <m/>
    <m/>
    <m/>
    <m/>
    <n v="-2214.8708400000005"/>
    <n v="79.722359999999938"/>
    <m/>
    <n v="142.79965965199199"/>
    <n v="10.200489818507762"/>
    <n v="15.193782409769184"/>
    <n v="0"/>
    <n v="0"/>
    <n v="0"/>
    <n v="0"/>
    <n v="0"/>
    <n v="35.649970718898885"/>
    <n v="0"/>
    <n v="0"/>
    <n v="79.698209769249047"/>
    <n v="0"/>
    <n v="0"/>
    <n v="0"/>
    <n v="5.910117280424025"/>
    <n v="0"/>
    <n v="-3.259015977634391"/>
    <m/>
    <n v="0"/>
    <n v="0"/>
    <n v="0"/>
    <n v="0"/>
    <n v="-0.48668861644590322"/>
    <n v="-0.10720575077634731"/>
    <n v="0"/>
    <n v="0"/>
    <m/>
    <m/>
    <m/>
    <n v="4060.6254635691212"/>
    <n v="0"/>
    <n v="0"/>
    <n v="-2214.87084"/>
    <n v="79.722359999999867"/>
    <n v="0"/>
    <n v="0"/>
    <n v="-2277.969057352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7"/>
    <s v="Regular"/>
    <s v="Verde"/>
    <s v="A4"/>
    <s v="Rural"/>
    <s v="Agropecuária rural"/>
    <s v="Não se aplica"/>
    <s v="Não se aplica"/>
    <s v="Fora ponta"/>
    <s v="CATIVO"/>
    <x v="5"/>
    <n v="0"/>
    <n v="0"/>
    <n v="4586.5810000000001"/>
    <n v="4403.1177600000001"/>
    <n v="4586.5810000000001"/>
    <n v="4403.1177600000001"/>
    <m/>
    <n v="79.7"/>
    <n v="209.4"/>
    <m/>
    <n v="1325980.5671000001"/>
    <n v="1325980.5671000001"/>
    <n v="1433398.29412"/>
    <n v="0"/>
    <n v="245556.27957468864"/>
    <n v="0"/>
    <n v="0"/>
    <n v="0"/>
    <n v="0"/>
    <n v="0"/>
    <n v="947820.38428094529"/>
    <n v="12626.696798410087"/>
    <n v="0"/>
    <n v="0"/>
    <n v="0"/>
    <n v="0"/>
    <n v="43616.55822309733"/>
    <m/>
    <n v="6090.26547636148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286.768650083541"/>
    <n v="0"/>
    <n v="0"/>
    <n v="0"/>
    <n v="0"/>
    <n v="0"/>
    <m/>
    <m/>
    <m/>
    <m/>
    <m/>
    <n v="57335.931764800014"/>
    <m/>
    <m/>
    <m/>
    <n v="1018107.1529310289"/>
    <m/>
    <m/>
    <m/>
    <m/>
    <m/>
    <m/>
    <m/>
    <m/>
    <m/>
    <m/>
    <m/>
    <m/>
    <n v="1376063.0623999999"/>
    <n v="103121.68798399973"/>
    <m/>
    <m/>
    <m/>
    <m/>
    <n v="2706.0827900000158"/>
    <n v="104711.64422999993"/>
    <m/>
    <n v="107381.97047691676"/>
    <n v="0"/>
    <n v="0"/>
    <n v="0"/>
    <n v="0"/>
    <n v="0"/>
    <n v="0"/>
    <n v="0"/>
    <n v="0"/>
    <n v="0"/>
    <n v="0"/>
    <n v="104679.92401536426"/>
    <n v="0"/>
    <n v="0"/>
    <n v="0"/>
    <n v="7762.6665596118255"/>
    <n v="0"/>
    <n v="-4280.5672284405737"/>
    <m/>
    <n v="0"/>
    <n v="0"/>
    <n v="0"/>
    <n v="0"/>
    <n v="-639.243058736276"/>
    <n v="-140.80981088245517"/>
    <n v="0"/>
    <n v="0"/>
    <m/>
    <m/>
    <m/>
    <n v="0"/>
    <n v="0"/>
    <n v="0"/>
    <n v="2706.0827900000149"/>
    <n v="104711.64422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8"/>
    <s v="Sistema de Compensação"/>
    <s v="Verde"/>
    <s v="A4"/>
    <s v="Rural"/>
    <s v="Agropecuária rural"/>
    <s v="Não se aplica"/>
    <s v="Não se aplica"/>
    <s v="Fora ponta"/>
    <s v="CATIVO"/>
    <x v="5"/>
    <n v="0"/>
    <n v="0"/>
    <n v="1030.278"/>
    <n v="989.06687999999997"/>
    <n v="1030.278"/>
    <n v="989.06687999999997"/>
    <m/>
    <n v="79.7"/>
    <n v="209.4"/>
    <m/>
    <n v="297853.36979999999"/>
    <n v="297853.36979999999"/>
    <n v="321982.48056"/>
    <n v="0"/>
    <n v="55159.002448152787"/>
    <n v="0"/>
    <n v="0"/>
    <n v="0"/>
    <n v="0"/>
    <n v="0"/>
    <n v="212907.71707208565"/>
    <n v="2836.3192373736229"/>
    <n v="0"/>
    <n v="0"/>
    <n v="0"/>
    <n v="0"/>
    <n v="9797.5333637357035"/>
    <m/>
    <n v="1368.0487784811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788.429645365639"/>
    <n v="0"/>
    <n v="0"/>
    <n v="0"/>
    <n v="0"/>
    <n v="0"/>
    <m/>
    <m/>
    <m/>
    <m/>
    <m/>
    <n v="12879.299222400015"/>
    <m/>
    <m/>
    <m/>
    <n v="228696.14671745128"/>
    <m/>
    <m/>
    <m/>
    <m/>
    <m/>
    <m/>
    <m/>
    <m/>
    <m/>
    <m/>
    <m/>
    <m/>
    <n v="309104.15639999998"/>
    <n v="23164.89139200002"/>
    <m/>
    <m/>
    <m/>
    <m/>
    <n v="607.86402000000351"/>
    <n v="23521.246739999984"/>
    <m/>
    <n v="24121.078812086082"/>
    <n v="0"/>
    <n v="0"/>
    <n v="0"/>
    <n v="0"/>
    <n v="0"/>
    <n v="0"/>
    <n v="0"/>
    <n v="0"/>
    <n v="0"/>
    <n v="0"/>
    <n v="23514.121467537916"/>
    <n v="0"/>
    <n v="0"/>
    <n v="0"/>
    <n v="1743.7181590609107"/>
    <n v="0"/>
    <n v="-961.53850612979295"/>
    <m/>
    <n v="0"/>
    <n v="0"/>
    <n v="0"/>
    <n v="0"/>
    <n v="-143.5923752504732"/>
    <n v="-31.629933132403949"/>
    <n v="0"/>
    <n v="0"/>
    <m/>
    <m/>
    <m/>
    <n v="0"/>
    <n v="0"/>
    <n v="0"/>
    <n v="607.86402000000817"/>
    <n v="23521.246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39"/>
    <s v="Regular"/>
    <s v="Verde"/>
    <s v="A4"/>
    <s v="Rural"/>
    <s v="Agropecuária rural"/>
    <s v="Não se aplica"/>
    <s v="Não se aplica"/>
    <s v="Não se aplica"/>
    <s v="CATIVO"/>
    <x v="5"/>
    <n v="32335"/>
    <n v="31041.599999999999"/>
    <n v="0"/>
    <n v="0"/>
    <n v="0"/>
    <n v="0"/>
    <n v="44.35"/>
    <m/>
    <m/>
    <n v="1434057.25"/>
    <m/>
    <n v="1434057.25"/>
    <n v="936744.95"/>
    <n v="0"/>
    <n v="0"/>
    <n v="0"/>
    <n v="0"/>
    <n v="0"/>
    <n v="424301.92935423815"/>
    <n v="928591.55964959692"/>
    <m/>
    <m/>
    <m/>
    <n v="0"/>
    <n v="0"/>
    <n v="0"/>
    <n v="0"/>
    <m/>
    <n v="0"/>
    <n v="32067.288564857368"/>
    <n v="49061.617205852534"/>
    <n v="0"/>
    <n v="0"/>
    <m/>
    <m/>
    <n v="0"/>
    <n v="0"/>
    <n v="0"/>
    <m/>
    <m/>
    <n v="0"/>
    <m/>
    <n v="0"/>
    <n v="0"/>
    <n v="0"/>
    <n v="0"/>
    <m/>
    <n v="0"/>
    <n v="0"/>
    <n v="9427.33"/>
    <n v="43368.72"/>
    <n v="1530.54"/>
    <n v="120"/>
    <m/>
    <m/>
    <m/>
    <m/>
    <m/>
    <n v="37469.798000000039"/>
    <m/>
    <m/>
    <m/>
    <n v="0"/>
    <m/>
    <m/>
    <m/>
    <m/>
    <m/>
    <m/>
    <m/>
    <m/>
    <m/>
    <m/>
    <m/>
    <m/>
    <n v="899275.15199999989"/>
    <n v="-477419.83800000011"/>
    <m/>
    <m/>
    <m/>
    <m/>
    <n v="-497312.3000000001"/>
    <n v="0"/>
    <m/>
    <n v="23704.509095333284"/>
    <n v="3871.5488610944121"/>
    <n v="5923.3086649218894"/>
    <n v="0"/>
    <n v="0"/>
    <m/>
    <m/>
    <m/>
    <n v="13909.6515693169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8591.55964959692"/>
    <m/>
    <n v="0"/>
    <n v="0"/>
    <n v="-497312.30000000005"/>
    <m/>
    <n v="0"/>
    <m/>
    <n v="-520930.2997231311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40"/>
    <s v="Sistema de Compensação"/>
    <s v="Verde"/>
    <s v="A4"/>
    <s v="Rural"/>
    <s v="Agropecuária rural"/>
    <s v="Não se aplica"/>
    <s v="Não se aplica"/>
    <s v="Não se aplica"/>
    <s v="CATIVO"/>
    <x v="5"/>
    <n v="5356"/>
    <n v="5141.76"/>
    <n v="0"/>
    <n v="0"/>
    <n v="0"/>
    <n v="0"/>
    <n v="44.35"/>
    <m/>
    <m/>
    <n v="237538.6"/>
    <m/>
    <n v="237538.6"/>
    <n v="155163.32"/>
    <n v="0"/>
    <n v="0"/>
    <n v="0"/>
    <n v="0"/>
    <n v="0"/>
    <n v="70281.773113384872"/>
    <n v="153812.78470645557"/>
    <m/>
    <m/>
    <m/>
    <n v="0"/>
    <n v="0"/>
    <n v="0"/>
    <n v="0"/>
    <m/>
    <n v="0"/>
    <n v="5311.6560245361388"/>
    <n v="8126.6127030940515"/>
    <n v="0"/>
    <n v="0"/>
    <m/>
    <m/>
    <n v="0"/>
    <n v="0"/>
    <n v="0"/>
    <m/>
    <m/>
    <n v="0"/>
    <m/>
    <n v="0"/>
    <n v="0"/>
    <n v="0"/>
    <n v="0"/>
    <m/>
    <n v="0"/>
    <n v="0"/>
    <n v="1188.73"/>
    <n v="5468.38"/>
    <n v="7655.18"/>
    <n v="16"/>
    <m/>
    <m/>
    <m/>
    <m/>
    <m/>
    <n v="6206.5327999999936"/>
    <m/>
    <m/>
    <m/>
    <n v="0"/>
    <m/>
    <m/>
    <m/>
    <m/>
    <m/>
    <m/>
    <m/>
    <m/>
    <m/>
    <m/>
    <m/>
    <m/>
    <n v="148956.78719999999"/>
    <n v="-79080.298800000048"/>
    <m/>
    <m/>
    <m/>
    <m/>
    <n v="-82375.280000000013"/>
    <n v="0"/>
    <m/>
    <n v="3926.4373191465711"/>
    <n v="641.2870171647337"/>
    <n v="981.14245273918823"/>
    <n v="0"/>
    <n v="0"/>
    <m/>
    <m/>
    <m/>
    <n v="2304.00784924265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3812.78470645557"/>
    <m/>
    <n v="0"/>
    <n v="0"/>
    <n v="-82375.28"/>
    <m/>
    <n v="0"/>
    <m/>
    <n v="-86287.38782486748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41"/>
    <s v="Sistema de Compensação"/>
    <s v="Verde"/>
    <s v="A4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32.51"/>
    <n v="-152.09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42"/>
    <s v="Regular"/>
    <s v="Verde"/>
    <s v="A4"/>
    <s v="Rural"/>
    <s v="Agropecuária rural"/>
    <s v="IRRIG./AQUIC. PR"/>
    <s v="Não se aplica"/>
    <s v="Fora ponta"/>
    <s v="CATIVO"/>
    <x v="5"/>
    <n v="0"/>
    <n v="0"/>
    <n v="4474.0540000000001"/>
    <n v="1342.2162000000001"/>
    <n v="4474.0540000000001"/>
    <n v="1342.2162000000001"/>
    <m/>
    <n v="79.7"/>
    <n v="209.4"/>
    <m/>
    <n v="1293449.0114000002"/>
    <n v="1293449.0114000002"/>
    <n v="1398231.3560800001"/>
    <n v="0"/>
    <n v="239531.81135496221"/>
    <n v="0"/>
    <n v="0"/>
    <n v="0"/>
    <n v="0"/>
    <n v="0"/>
    <n v="924566.59580931859"/>
    <n v="12316.91390988491"/>
    <n v="0"/>
    <n v="0"/>
    <n v="0"/>
    <n v="0"/>
    <n v="42546.471278776386"/>
    <m/>
    <n v="5940.84713985798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562.355799664467"/>
    <n v="0"/>
    <n v="0"/>
    <n v="0"/>
    <n v="0"/>
    <n v="0"/>
    <m/>
    <m/>
    <m/>
    <m/>
    <m/>
    <m/>
    <n v="978761.94925600011"/>
    <m/>
    <m/>
    <n v="993128.9516089831"/>
    <m/>
    <m/>
    <m/>
    <m/>
    <m/>
    <m/>
    <m/>
    <m/>
    <m/>
    <m/>
    <m/>
    <m/>
    <n v="419470.5944"/>
    <n v="31435.860979999939"/>
    <m/>
    <m/>
    <m/>
    <m/>
    <n v="2639.6918600000154"/>
    <n v="102142.65281999993"/>
    <m/>
    <n v="104747.4653865553"/>
    <n v="0"/>
    <n v="0"/>
    <n v="0"/>
    <n v="0"/>
    <n v="0"/>
    <n v="0"/>
    <n v="0"/>
    <n v="0"/>
    <n v="0"/>
    <n v="0"/>
    <n v="102111.7108278774"/>
    <n v="0"/>
    <n v="0"/>
    <n v="0"/>
    <n v="7572.2175999284809"/>
    <n v="0"/>
    <n v="-4175.5479584189889"/>
    <m/>
    <n v="0"/>
    <n v="0"/>
    <n v="0"/>
    <n v="0"/>
    <n v="-623.55989437692915"/>
    <n v="-137.35518845473143"/>
    <n v="0"/>
    <n v="0"/>
    <m/>
    <m/>
    <m/>
    <n v="0"/>
    <n v="0"/>
    <n v="0"/>
    <n v="2639.6918600000208"/>
    <n v="102142.65281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3"/>
    <s v="Regular"/>
    <s v="Convencional"/>
    <s v="B1"/>
    <s v="Residencial"/>
    <s v="Residencial"/>
    <s v="Não se aplica"/>
    <s v="Não se aplica"/>
    <s v="Não se aplica"/>
    <s v="CATIVO"/>
    <x v="6"/>
    <n v="0"/>
    <n v="0"/>
    <n v="2211.9569999999999"/>
    <n v="2211.9569999999999"/>
    <n v="2211.9569999999999"/>
    <n v="2211.9569999999999"/>
    <m/>
    <n v="581.32000000000005"/>
    <n v="209.4"/>
    <m/>
    <n v="1749038.63904"/>
    <n v="1749038.63904"/>
    <n v="1336176.8649899999"/>
    <n v="0"/>
    <n v="136119.20520838845"/>
    <n v="0"/>
    <n v="0"/>
    <n v="0"/>
    <n v="164107.62206911543"/>
    <n v="852499.97747182846"/>
    <n v="457102.56370767829"/>
    <n v="6089.4401232902628"/>
    <n v="0"/>
    <n v="0"/>
    <n v="0"/>
    <n v="0"/>
    <n v="21034.829926144917"/>
    <m/>
    <n v="4032.3186791478797"/>
    <n v="12607.006396759834"/>
    <n v="18990.071051567444"/>
    <n v="0"/>
    <n v="0"/>
    <n v="0"/>
    <n v="0"/>
    <n v="0"/>
    <n v="0"/>
    <n v="0"/>
    <n v="0"/>
    <n v="0"/>
    <n v="0"/>
    <m/>
    <n v="0"/>
    <n v="0"/>
    <n v="0"/>
    <n v="0"/>
    <n v="0"/>
    <n v="76472.404399666179"/>
    <n v="0"/>
    <n v="4648.72"/>
    <n v="21455.38"/>
    <n v="552697.16"/>
    <n v="9268"/>
    <m/>
    <m/>
    <m/>
    <m/>
    <m/>
    <m/>
    <m/>
    <m/>
    <m/>
    <n v="533574.96810734447"/>
    <m/>
    <m/>
    <m/>
    <m/>
    <m/>
    <m/>
    <m/>
    <m/>
    <m/>
    <m/>
    <m/>
    <m/>
    <n v="1336178.6771999998"/>
    <n v="-412859.99184000026"/>
    <m/>
    <m/>
    <m/>
    <m/>
    <n v="-463360.75236000016"/>
    <n v="50498.978309999962"/>
    <n v="31"/>
    <n v="65349.771622087224"/>
    <n v="1522.0694808190237"/>
    <n v="2292.709837412629"/>
    <n v="0"/>
    <n v="0"/>
    <n v="0"/>
    <n v="0"/>
    <n v="0"/>
    <n v="5379.8478982276574"/>
    <n v="0"/>
    <n v="0"/>
    <n v="50483.680694890849"/>
    <n v="0"/>
    <n v="0"/>
    <n v="0"/>
    <n v="8445.8254059411847"/>
    <n v="0"/>
    <n v="-2372.8467053889763"/>
    <m/>
    <n v="0"/>
    <n v="0"/>
    <n v="0"/>
    <n v="0"/>
    <n v="-308.28587971587331"/>
    <n v="-93.22911009910149"/>
    <n v="0"/>
    <n v="0"/>
    <m/>
    <m/>
    <m/>
    <n v="852499.97747182846"/>
    <n v="0"/>
    <n v="0"/>
    <n v="-463360.75236000016"/>
    <n v="50498.978309999977"/>
    <n v="0"/>
    <n v="0"/>
    <n v="-478243.70592592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4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97599999999999998"/>
    <n v="-0.97599999999999998"/>
    <n v="-0.97599999999999998"/>
    <n v="-0.97599999999999998"/>
    <m/>
    <n v="581.32000000000005"/>
    <n v="209.4"/>
    <m/>
    <n v="-771.74272000000008"/>
    <n v="-771.74272000000008"/>
    <n v="-589.57231999999999"/>
    <n v="0"/>
    <n v="-60.060997697236942"/>
    <n v="0"/>
    <n v="0"/>
    <n v="0"/>
    <n v="-72.410557320714943"/>
    <n v="-376.15558440444579"/>
    <n v="-201.69112789204038"/>
    <n v="-2.6868938050474296"/>
    <n v="0"/>
    <n v="0"/>
    <n v="0"/>
    <n v="0"/>
    <n v="-9.28137120564163"/>
    <m/>
    <n v="-1.779213172248977"/>
    <n v="-5.5626932364587551"/>
    <n v="-8.3791454112036661"/>
    <n v="0"/>
    <n v="0"/>
    <n v="0"/>
    <n v="0"/>
    <n v="0"/>
    <n v="0"/>
    <n v="0"/>
    <n v="0"/>
    <n v="0"/>
    <n v="0"/>
    <m/>
    <n v="0"/>
    <n v="0"/>
    <n v="0"/>
    <n v="0"/>
    <n v="0"/>
    <n v="-33.742548654460364"/>
    <n v="0"/>
    <n v="-2.27"/>
    <n v="-10.55"/>
    <n v="-352.82"/>
    <n v="0"/>
    <m/>
    <m/>
    <m/>
    <m/>
    <m/>
    <m/>
    <m/>
    <m/>
    <m/>
    <n v="-235.43367654650075"/>
    <m/>
    <m/>
    <m/>
    <m/>
    <m/>
    <m/>
    <m/>
    <m/>
    <m/>
    <m/>
    <m/>
    <m/>
    <n v="-591.98859999999991"/>
    <n v="179.7241200000002"/>
    <m/>
    <m/>
    <m/>
    <m/>
    <n v="204.45248000000007"/>
    <n v="-22.282079999999983"/>
    <n v="31"/>
    <n v="-28.834817812081155"/>
    <n v="-0.67159524949145322"/>
    <n v="-1.0116312393571505"/>
    <n v="0"/>
    <n v="0"/>
    <n v="0"/>
    <n v="0"/>
    <n v="0"/>
    <n v="-2.3737945849174338"/>
    <n v="0"/>
    <n v="0"/>
    <n v="-22.275330107327363"/>
    <n v="0"/>
    <n v="0"/>
    <n v="0"/>
    <n v="-3.7266210854002182"/>
    <n v="0"/>
    <n v="1.046990689448144"/>
    <m/>
    <n v="0"/>
    <n v="0"/>
    <n v="0"/>
    <n v="0"/>
    <n v="0.13602751708224581"/>
    <n v="4.1136247882179733E-2"/>
    <n v="0"/>
    <n v="0"/>
    <m/>
    <m/>
    <m/>
    <n v="-376.15558440444579"/>
    <n v="0"/>
    <n v="0"/>
    <n v="204.45248000000009"/>
    <n v="-22.282079999999979"/>
    <n v="0"/>
    <n v="0"/>
    <n v="211.0194081456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5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88.466999999999999"/>
    <n v="88.466999999999999"/>
    <n v="88.466999999999999"/>
    <n v="88.466999999999999"/>
    <m/>
    <n v="581.32000000000005"/>
    <n v="209.4"/>
    <m/>
    <n v="69952.626239999998"/>
    <n v="69952.626239999998"/>
    <n v="53440.260689999996"/>
    <n v="0"/>
    <n v="5444.0740607392017"/>
    <n v="0"/>
    <n v="0"/>
    <n v="0"/>
    <n v="6563.468006651321"/>
    <n v="34095.651726955024"/>
    <n v="18281.771527894609"/>
    <n v="243.54655148681451"/>
    <n v="0"/>
    <n v="0"/>
    <n v="0"/>
    <n v="0"/>
    <n v="841.28592873923981"/>
    <m/>
    <n v="161.27218412843263"/>
    <n v="504.21596572725076"/>
    <n v="759.50600111983067"/>
    <n v="0"/>
    <n v="0"/>
    <n v="0"/>
    <n v="0"/>
    <n v="0"/>
    <n v="0"/>
    <n v="0"/>
    <n v="0"/>
    <n v="0"/>
    <n v="0"/>
    <m/>
    <n v="0"/>
    <n v="0"/>
    <n v="0"/>
    <n v="0"/>
    <n v="0"/>
    <n v="3058.5062006292469"/>
    <n v="0"/>
    <n v="194.17"/>
    <n v="901.06"/>
    <n v="70041.88"/>
    <n v="748"/>
    <m/>
    <m/>
    <m/>
    <m/>
    <m/>
    <m/>
    <m/>
    <m/>
    <m/>
    <n v="21340.277728523855"/>
    <m/>
    <m/>
    <m/>
    <m/>
    <m/>
    <m/>
    <m/>
    <m/>
    <m/>
    <m/>
    <m/>
    <m/>
    <n v="53442.072899999999"/>
    <n v="-16510.583339999997"/>
    <m/>
    <m/>
    <m/>
    <m/>
    <n v="-18532.067160000006"/>
    <n v="2019.7016099999985"/>
    <n v="31"/>
    <n v="2613.6576100218954"/>
    <n v="60.875017353238093"/>
    <n v="91.696701692837109"/>
    <n v="0"/>
    <n v="0"/>
    <n v="0"/>
    <n v="0"/>
    <n v="0"/>
    <n v="215.16648109005109"/>
    <n v="0"/>
    <n v="0"/>
    <n v="2019.0897834066891"/>
    <n v="0"/>
    <n v="0"/>
    <n v="0"/>
    <n v="337.78994627264456"/>
    <n v="0"/>
    <n v="-94.901767749394821"/>
    <m/>
    <n v="0"/>
    <n v="0"/>
    <n v="0"/>
    <n v="0"/>
    <n v="-12.329863067330962"/>
    <n v="-3.7286889768368781"/>
    <n v="0"/>
    <n v="0"/>
    <m/>
    <m/>
    <m/>
    <n v="34095.651726955024"/>
    <n v="0"/>
    <n v="0"/>
    <n v="-18532.067160000006"/>
    <n v="2019.7016100000001"/>
    <n v="0"/>
    <n v="0"/>
    <n v="-19127.30940617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6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38.520000000000003"/>
    <n v="38.520000000000003"/>
    <n v="38.520000000000003"/>
    <n v="38.520000000000003"/>
    <m/>
    <n v="510.28"/>
    <n v="209.4"/>
    <m/>
    <n v="27722.0736"/>
    <n v="27722.0736"/>
    <n v="20578.539600000004"/>
    <n v="0"/>
    <n v="0"/>
    <n v="0"/>
    <n v="0"/>
    <n v="0"/>
    <n v="2857.8428975347747"/>
    <n v="14845.812613995136"/>
    <n v="7960.1867278702839"/>
    <n v="106.04421042051946"/>
    <n v="0"/>
    <n v="0"/>
    <n v="0"/>
    <n v="0"/>
    <n v="0"/>
    <m/>
    <n v="70.220585445728076"/>
    <n v="219.54399945531893"/>
    <n v="330.70151766348897"/>
    <n v="0"/>
    <n v="0"/>
    <n v="0"/>
    <n v="0"/>
    <n v="0"/>
    <n v="0"/>
    <n v="0"/>
    <n v="0"/>
    <n v="0"/>
    <n v="0"/>
    <m/>
    <n v="0"/>
    <n v="0"/>
    <n v="0"/>
    <n v="0"/>
    <n v="0"/>
    <n v="1331.7243587805465"/>
    <n v="0"/>
    <n v="12.96"/>
    <n v="89.86"/>
    <n v="2340.58"/>
    <n v="55"/>
    <m/>
    <m/>
    <m/>
    <m/>
    <m/>
    <m/>
    <m/>
    <n v="13376.070000000002"/>
    <m/>
    <n v="9291.9110866508308"/>
    <m/>
    <m/>
    <m/>
    <m/>
    <m/>
    <m/>
    <m/>
    <m/>
    <m/>
    <m/>
    <m/>
    <m/>
    <n v="7202.4696000000004"/>
    <n v="-2500.3632000000016"/>
    <m/>
    <m/>
    <m/>
    <m/>
    <n v="-8022.9456"/>
    <n v="879.41159999999945"/>
    <n v="31"/>
    <n v="1184.7203313902792"/>
    <n v="26.505992838535661"/>
    <n v="39.926265717251511"/>
    <n v="0"/>
    <n v="0"/>
    <n v="0"/>
    <n v="0"/>
    <n v="0"/>
    <n v="93.687056773585027"/>
    <n v="0"/>
    <n v="0"/>
    <n v="879.14520054738659"/>
    <n v="0"/>
    <n v="0"/>
    <n v="0"/>
    <n v="147.07934857542659"/>
    <n v="0"/>
    <n v="0"/>
    <m/>
    <n v="0"/>
    <n v="0"/>
    <n v="0"/>
    <n v="0"/>
    <n v="0"/>
    <n v="-1.623533061907338"/>
    <n v="0"/>
    <n v="0"/>
    <m/>
    <m/>
    <m/>
    <n v="14845.812613995136"/>
    <n v="0"/>
    <n v="0"/>
    <n v="-8022.9455999999991"/>
    <n v="879.41160000000036"/>
    <n v="0"/>
    <n v="0"/>
    <n v="-8328.3479526350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7"/>
    <s v="Refaturamento - 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2"/>
    <n v="0.02"/>
    <n v="-9.0500000000000007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4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82.234999999999999"/>
    <n v="82.234999999999999"/>
    <n v="82.234999999999999"/>
    <n v="82.234999999999999"/>
    <m/>
    <n v="510.28"/>
    <n v="209.4"/>
    <m/>
    <n v="59182.8848"/>
    <n v="59182.8848"/>
    <n v="43932.404049999997"/>
    <n v="0"/>
    <n v="0"/>
    <n v="0"/>
    <n v="0"/>
    <n v="0"/>
    <n v="6101.1087922838051"/>
    <n v="31693.805823257786"/>
    <n v="16993.92408012494"/>
    <n v="226.39007382999526"/>
    <n v="0"/>
    <n v="0"/>
    <n v="0"/>
    <n v="0"/>
    <n v="0"/>
    <m/>
    <n v="149.91147051218712"/>
    <n v="468.69680153707554"/>
    <n v="706.0030972237023"/>
    <n v="0"/>
    <n v="0"/>
    <n v="0"/>
    <n v="0"/>
    <n v="0"/>
    <n v="0"/>
    <n v="0"/>
    <n v="0"/>
    <n v="0"/>
    <n v="0"/>
    <m/>
    <n v="0"/>
    <n v="0"/>
    <n v="0"/>
    <n v="0"/>
    <n v="0"/>
    <n v="2843.0517301224877"/>
    <n v="0"/>
    <n v="70.95"/>
    <n v="351.95"/>
    <n v="8899.06"/>
    <n v="149"/>
    <m/>
    <m/>
    <m/>
    <m/>
    <m/>
    <m/>
    <m/>
    <n v="17572.797149999999"/>
    <m/>
    <n v="19836.975810247426"/>
    <m/>
    <m/>
    <m/>
    <m/>
    <m/>
    <m/>
    <m/>
    <m/>
    <m/>
    <m/>
    <m/>
    <m/>
    <n v="26361.209599999998"/>
    <n v="-9148.7157499999994"/>
    <m/>
    <m/>
    <m/>
    <m/>
    <n v="-17127.905799999997"/>
    <n v="1877.4250499999987"/>
    <n v="31"/>
    <n v="2529.2179764247012"/>
    <n v="56.586716538862447"/>
    <n v="85.237187467761601"/>
    <n v="0"/>
    <n v="0"/>
    <n v="0"/>
    <n v="0"/>
    <n v="0"/>
    <n v="200.0092189453735"/>
    <n v="0"/>
    <n v="0"/>
    <n v="1876.8563231312146"/>
    <n v="0"/>
    <n v="0"/>
    <n v="0"/>
    <n v="313.99455426012992"/>
    <n v="0"/>
    <n v="0"/>
    <m/>
    <n v="0"/>
    <n v="0"/>
    <n v="0"/>
    <n v="0"/>
    <n v="0"/>
    <n v="-3.4660239186383706"/>
    <n v="0"/>
    <n v="0"/>
    <m/>
    <m/>
    <m/>
    <n v="31693.805823257786"/>
    <n v="0"/>
    <n v="0"/>
    <n v="-17127.905799999993"/>
    <n v="1877.425049999998"/>
    <n v="0"/>
    <n v="0"/>
    <n v="-17779.89859514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49"/>
    <s v="Refaturamento - 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-0.35"/>
    <n v="-0.35"/>
    <n v="-0.35"/>
    <n v="-0.35"/>
    <m/>
    <n v="510.28"/>
    <n v="209.4"/>
    <m/>
    <n v="-251.88799999999998"/>
    <n v="-251.88799999999998"/>
    <n v="-186.98049999999998"/>
    <n v="0"/>
    <n v="0"/>
    <n v="0"/>
    <n v="0"/>
    <n v="0"/>
    <n v="-25.966900678535072"/>
    <n v="-134.89185916143035"/>
    <n v="-72.327761026858752"/>
    <n v="-0.96353773746577898"/>
    <n v="0"/>
    <n v="0"/>
    <n v="0"/>
    <n v="0"/>
    <n v="0"/>
    <m/>
    <n v="-0.63803751054010449"/>
    <n v="-1.99481827127107"/>
    <n v="-3.0048164896734457"/>
    <n v="0"/>
    <n v="0"/>
    <n v="0"/>
    <n v="0"/>
    <n v="0"/>
    <n v="0"/>
    <n v="0"/>
    <n v="0"/>
    <n v="0"/>
    <n v="0"/>
    <m/>
    <n v="0"/>
    <n v="0"/>
    <n v="0"/>
    <n v="0"/>
    <n v="0"/>
    <n v="-12.100299210103614"/>
    <n v="0"/>
    <n v="-0.28999999999999998"/>
    <n v="-1.43"/>
    <n v="-53.83"/>
    <n v="0"/>
    <m/>
    <m/>
    <m/>
    <m/>
    <m/>
    <m/>
    <m/>
    <n v="-74.791499999999985"/>
    <m/>
    <n v="-84.428060236962367"/>
    <m/>
    <m/>
    <m/>
    <m/>
    <m/>
    <m/>
    <m/>
    <m/>
    <m/>
    <m/>
    <m/>
    <m/>
    <n v="-112.18899999999999"/>
    <n v="38.914500000000004"/>
    <m/>
    <m/>
    <m/>
    <m/>
    <n v="72.897999999999982"/>
    <n v="-7.9904999999999937"/>
    <n v="31"/>
    <n v="-10.764592834543024"/>
    <n v="-0.24083846037091039"/>
    <n v="-0.3627775960809454"/>
    <n v="0"/>
    <n v="0"/>
    <n v="0"/>
    <n v="0"/>
    <n v="0"/>
    <n v="-0.85125830401752012"/>
    <n v="0"/>
    <n v="0"/>
    <n v="-7.9880794442259884"/>
    <n v="0"/>
    <n v="0"/>
    <n v="0"/>
    <n v="-1.3363907580840948"/>
    <n v="0"/>
    <n v="0"/>
    <m/>
    <n v="0"/>
    <n v="0"/>
    <n v="0"/>
    <n v="0"/>
    <n v="0"/>
    <n v="1.4751728236437445E-2"/>
    <n v="0"/>
    <n v="0"/>
    <m/>
    <m/>
    <m/>
    <n v="-134.89185916143035"/>
    <n v="0"/>
    <n v="0"/>
    <n v="72.897999999999996"/>
    <n v="-7.9904999999999973"/>
    <n v="0"/>
    <n v="0"/>
    <n v="75.672943494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0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94.64"/>
    <n v="94.64"/>
    <n v="94.64"/>
    <n v="94.64"/>
    <m/>
    <n v="510.28"/>
    <n v="209.4"/>
    <m/>
    <n v="68110.515199999994"/>
    <n v="68110.515199999994"/>
    <n v="50559.527199999997"/>
    <n v="0"/>
    <n v="0"/>
    <n v="0"/>
    <n v="0"/>
    <n v="0"/>
    <n v="7021.4499434758836"/>
    <n v="36474.75871725077"/>
    <n v="19557.426581662607"/>
    <n v="260.54060421074666"/>
    <n v="0"/>
    <n v="0"/>
    <n v="0"/>
    <n v="0"/>
    <n v="0"/>
    <m/>
    <n v="172.52534285004427"/>
    <n v="539.39886055169734"/>
    <n v="812.50237880769976"/>
    <n v="0"/>
    <n v="0"/>
    <n v="0"/>
    <n v="0"/>
    <n v="0"/>
    <n v="0"/>
    <n v="0"/>
    <n v="0"/>
    <n v="0"/>
    <n v="0"/>
    <m/>
    <n v="0"/>
    <n v="0"/>
    <n v="0"/>
    <n v="0"/>
    <n v="0"/>
    <n v="3271.9209064120173"/>
    <n v="0"/>
    <n v="130.01"/>
    <n v="588.5"/>
    <n v="15410.45"/>
    <n v="595"/>
    <m/>
    <m/>
    <m/>
    <m/>
    <m/>
    <m/>
    <m/>
    <n v="5056.6151999999984"/>
    <m/>
    <n v="22829.347488074625"/>
    <m/>
    <m/>
    <m/>
    <m/>
    <m/>
    <m/>
    <m/>
    <m/>
    <m/>
    <m/>
    <m/>
    <m/>
    <n v="45502.911999999997"/>
    <n v="-15796.392400000004"/>
    <m/>
    <m/>
    <m/>
    <m/>
    <n v="-19711.619199999997"/>
    <n v="2160.6311999999984"/>
    <n v="31"/>
    <n v="2910.7459024604286"/>
    <n v="65.122719684294225"/>
    <n v="98.09506198028771"/>
    <n v="0"/>
    <n v="0"/>
    <n v="0"/>
    <n v="0"/>
    <n v="0"/>
    <n v="230.18024540633724"/>
    <n v="0"/>
    <n v="0"/>
    <n v="2159.9766817187083"/>
    <n v="0"/>
    <n v="0"/>
    <n v="0"/>
    <n v="361.36006098593907"/>
    <n v="0"/>
    <n v="0"/>
    <m/>
    <n v="0"/>
    <n v="0"/>
    <n v="0"/>
    <n v="0"/>
    <n v="0"/>
    <n v="-3.9888673151326941"/>
    <n v="0"/>
    <n v="0"/>
    <m/>
    <m/>
    <m/>
    <n v="36474.75871725077"/>
    <n v="0"/>
    <n v="0"/>
    <n v="-19711.619200000001"/>
    <n v="2160.6311999999962"/>
    <n v="0"/>
    <n v="0"/>
    <n v="-20461.963921012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1"/>
    <s v="Refaturamento - 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-9.2999999999999999E-2"/>
    <n v="-9.2999999999999999E-2"/>
    <n v="-9.2999999999999999E-2"/>
    <n v="-9.2999999999999999E-2"/>
    <m/>
    <n v="510.28"/>
    <n v="209.4"/>
    <m/>
    <n v="-66.930239999999998"/>
    <n v="-66.930239999999998"/>
    <n v="-49.683389999999996"/>
    <n v="0"/>
    <n v="0"/>
    <n v="0"/>
    <n v="0"/>
    <n v="0"/>
    <n v="-6.8997764660107483"/>
    <n v="-35.84269400575149"/>
    <n v="-19.218519358565324"/>
    <n v="-0.25602574166947845"/>
    <n v="0"/>
    <n v="0"/>
    <n v="0"/>
    <n v="0"/>
    <n v="0"/>
    <m/>
    <n v="-0.16953568137208491"/>
    <n v="-0.53005171208059865"/>
    <n v="-0.79842266725608702"/>
    <n v="0"/>
    <n v="0"/>
    <n v="0"/>
    <n v="0"/>
    <n v="0"/>
    <n v="0"/>
    <n v="0"/>
    <n v="0"/>
    <n v="0"/>
    <n v="0"/>
    <m/>
    <n v="0"/>
    <n v="0"/>
    <n v="0"/>
    <n v="0"/>
    <n v="0"/>
    <n v="-3.2152223615418176"/>
    <n v="0"/>
    <n v="-0.23"/>
    <n v="-1.0900000000000001"/>
    <n v="-48.38"/>
    <n v="0"/>
    <m/>
    <m/>
    <m/>
    <m/>
    <m/>
    <m/>
    <m/>
    <n v="-4.968989999999998"/>
    <m/>
    <n v="-22.433741720107143"/>
    <m/>
    <m/>
    <m/>
    <m/>
    <m/>
    <m/>
    <m/>
    <m/>
    <m/>
    <m/>
    <m/>
    <m/>
    <n v="-43.271999999999998"/>
    <n v="16.935030000000012"/>
    <m/>
    <m/>
    <m/>
    <m/>
    <n v="19.370039999999996"/>
    <n v="-2.1231899999999984"/>
    <n v="31"/>
    <n v="-2.8603060960357034"/>
    <n v="-6.3994219469984737E-2"/>
    <n v="-9.6395189815794091E-2"/>
    <n v="0"/>
    <n v="0"/>
    <n v="0"/>
    <n v="0"/>
    <n v="0"/>
    <n v="-0.22619149221036938"/>
    <n v="0"/>
    <n v="0"/>
    <n v="-2.1225468237514811"/>
    <n v="0"/>
    <n v="0"/>
    <n v="0"/>
    <n v="-0.35509811571948768"/>
    <n v="0"/>
    <n v="0"/>
    <m/>
    <n v="0"/>
    <n v="0"/>
    <n v="0"/>
    <n v="0"/>
    <n v="0"/>
    <n v="3.9197449313962407E-3"/>
    <n v="0"/>
    <n v="0"/>
    <m/>
    <m/>
    <m/>
    <n v="-35.84269400575149"/>
    <n v="0"/>
    <n v="0"/>
    <n v="19.370039999999996"/>
    <n v="-2.1231899999999975"/>
    <n v="0"/>
    <n v="0"/>
    <n v="20.10738212863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2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52.890999999999998"/>
    <n v="52.890999999999998"/>
    <n v="52.890999999999998"/>
    <n v="52.890999999999998"/>
    <m/>
    <n v="510.28"/>
    <n v="209.4"/>
    <m/>
    <n v="38064.594879999997"/>
    <n v="38064.594879999997"/>
    <n v="28255.958930000001"/>
    <n v="0"/>
    <n v="0"/>
    <n v="0"/>
    <n v="0"/>
    <n v="0"/>
    <n v="3924.0438393954241"/>
    <n v="20384.472351163466"/>
    <n v="10929.964595633102"/>
    <n v="145.60706992086435"/>
    <n v="0"/>
    <n v="0"/>
    <n v="0"/>
    <n v="0"/>
    <n v="0"/>
    <m/>
    <n v="96.418405628504757"/>
    <n v="301.45123767370904"/>
    <n v="454.07928272948061"/>
    <n v="0"/>
    <n v="0"/>
    <n v="0"/>
    <n v="0"/>
    <n v="0"/>
    <n v="0"/>
    <n v="0"/>
    <n v="0"/>
    <n v="0"/>
    <n v="0"/>
    <m/>
    <n v="0"/>
    <n v="0"/>
    <n v="0"/>
    <n v="0"/>
    <n v="0"/>
    <n v="1828.5626443474007"/>
    <n v="0"/>
    <n v="84.52"/>
    <n v="364.79"/>
    <n v="9566.01"/>
    <n v="485"/>
    <m/>
    <m/>
    <m/>
    <m/>
    <m/>
    <m/>
    <m/>
    <m/>
    <m/>
    <n v="12758.527239980504"/>
    <m/>
    <m/>
    <m/>
    <m/>
    <m/>
    <m/>
    <m/>
    <m/>
    <m/>
    <m/>
    <m/>
    <m/>
    <n v="28255.4247"/>
    <n v="-9809.2001799999962"/>
    <m/>
    <m/>
    <m/>
    <m/>
    <n v="-11016.137479999998"/>
    <n v="1207.5015299999991"/>
    <n v="31"/>
    <n v="1626.7145131766192"/>
    <n v="36.394820021365206"/>
    <n v="54.82191381233514"/>
    <n v="0"/>
    <n v="0"/>
    <n v="0"/>
    <n v="0"/>
    <n v="0"/>
    <n v="128.63972273654508"/>
    <n v="0"/>
    <n v="0"/>
    <n v="1207.1357425273072"/>
    <n v="0"/>
    <n v="0"/>
    <n v="0"/>
    <n v="201.95155310235964"/>
    <n v="0"/>
    <n v="0"/>
    <m/>
    <n v="0"/>
    <n v="0"/>
    <n v="0"/>
    <n v="0"/>
    <n v="0"/>
    <n v="-2.2292390232954631"/>
    <n v="0"/>
    <n v="0"/>
    <m/>
    <m/>
    <m/>
    <n v="20384.472351163466"/>
    <n v="0"/>
    <n v="0"/>
    <n v="-11016.137479999996"/>
    <n v="1207.5015299999977"/>
    <n v="0"/>
    <n v="0"/>
    <n v="-11435.47901253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3"/>
    <s v="Refaturamento - 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0.12"/>
    <n v="0.12"/>
    <n v="0.12"/>
    <n v="0.12"/>
    <m/>
    <n v="510.28"/>
    <n v="209.4"/>
    <m/>
    <n v="86.361599999999996"/>
    <n v="86.361599999999996"/>
    <n v="64.107600000000005"/>
    <n v="0"/>
    <n v="0"/>
    <n v="0"/>
    <n v="0"/>
    <n v="0"/>
    <n v="8.9029373754977392"/>
    <n v="46.248637426776121"/>
    <n v="24.798089494922998"/>
    <n v="0.3303557957025528"/>
    <n v="0"/>
    <n v="0"/>
    <n v="0"/>
    <n v="0"/>
    <n v="0"/>
    <m/>
    <n v="0.21875571789946438"/>
    <n v="0.68393769300722407"/>
    <n v="1.030222796459467"/>
    <n v="0"/>
    <n v="0"/>
    <n v="0"/>
    <n v="0"/>
    <n v="0"/>
    <n v="0"/>
    <n v="0"/>
    <n v="0"/>
    <n v="0"/>
    <n v="0"/>
    <m/>
    <n v="0"/>
    <n v="0"/>
    <n v="0"/>
    <n v="0"/>
    <n v="0"/>
    <n v="4.1486740148926682"/>
    <n v="0"/>
    <n v="0.23"/>
    <n v="1.08"/>
    <n v="28.93"/>
    <n v="0"/>
    <m/>
    <m/>
    <m/>
    <m/>
    <m/>
    <m/>
    <m/>
    <m/>
    <m/>
    <n v="28.946763509815668"/>
    <m/>
    <m/>
    <m/>
    <m/>
    <m/>
    <m/>
    <m/>
    <m/>
    <m/>
    <m/>
    <m/>
    <m/>
    <n v="64.107600000000005"/>
    <n v="-22.283999999999992"/>
    <m/>
    <m/>
    <m/>
    <m/>
    <n v="-24.993599999999997"/>
    <n v="2.739599999999998"/>
    <n v="31"/>
    <n v="3.6907175432718944"/>
    <n v="8.2573186412883581E-2"/>
    <n v="0.12438089008489572"/>
    <n v="0"/>
    <n v="0"/>
    <n v="0"/>
    <n v="0"/>
    <n v="0"/>
    <n v="0.29185998994886297"/>
    <n v="0"/>
    <n v="0"/>
    <n v="2.7387700951632006"/>
    <n v="0"/>
    <n v="0"/>
    <n v="0"/>
    <n v="0.45819111705740312"/>
    <n v="0"/>
    <n v="0"/>
    <m/>
    <n v="0"/>
    <n v="0"/>
    <n v="0"/>
    <n v="0"/>
    <n v="0"/>
    <n v="-5.0577353953499826E-3"/>
    <n v="0"/>
    <n v="0"/>
    <m/>
    <m/>
    <m/>
    <n v="46.248637426776121"/>
    <n v="0"/>
    <n v="0"/>
    <n v="-24.993599999999994"/>
    <n v="2.7395999999999994"/>
    <n v="0"/>
    <n v="0"/>
    <n v="-25.94500919824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4"/>
    <s v="Regular"/>
    <s v="Branca"/>
    <s v="B1"/>
    <s v="Residencial"/>
    <s v="Residencial"/>
    <s v="Não se aplica"/>
    <s v="Não se aplica"/>
    <s v="Ponta"/>
    <s v="CATIVO"/>
    <x v="6"/>
    <n v="0"/>
    <n v="0"/>
    <n v="0.1"/>
    <n v="0.1"/>
    <n v="0.1"/>
    <n v="0.1"/>
    <m/>
    <n v="1292.1099999999999"/>
    <n v="209.4"/>
    <m/>
    <n v="150.15099999999998"/>
    <n v="150.15099999999998"/>
    <n v="99.677999999999997"/>
    <n v="0"/>
    <n v="6.1537907476677205"/>
    <n v="0"/>
    <n v="0"/>
    <n v="0"/>
    <n v="18.544485881124601"/>
    <n v="96.351362040313916"/>
    <n v="20.665074579102502"/>
    <n v="0.275296496418794"/>
    <n v="0"/>
    <n v="0"/>
    <n v="0"/>
    <n v="0"/>
    <n v="0.95096016451246212"/>
    <m/>
    <n v="0.182296431582887"/>
    <n v="1.4248830272539901"/>
    <n v="2.1462974926238902"/>
    <n v="0"/>
    <n v="0"/>
    <n v="0"/>
    <n v="0"/>
    <n v="0"/>
    <n v="0"/>
    <n v="0"/>
    <n v="0"/>
    <n v="0"/>
    <n v="0"/>
    <m/>
    <n v="0"/>
    <n v="0"/>
    <n v="0"/>
    <n v="0"/>
    <n v="0"/>
    <n v="3.4572283457438902"/>
    <n v="0"/>
    <n v="0"/>
    <n v="0"/>
    <n v="0"/>
    <n v="0"/>
    <m/>
    <m/>
    <m/>
    <m/>
    <m/>
    <m/>
    <m/>
    <m/>
    <m/>
    <n v="24.122302924846391"/>
    <m/>
    <m/>
    <m/>
    <m/>
    <m/>
    <m/>
    <m/>
    <m/>
    <m/>
    <m/>
    <m/>
    <m/>
    <n v="99.677999999999997"/>
    <n v="-50.502999999999957"/>
    <m/>
    <m/>
    <m/>
    <m/>
    <n v="-52.756"/>
    <n v="2.2829999999999986"/>
    <n v="31"/>
    <n v="3.5777980109178387"/>
    <n v="0.17202902110668994"/>
    <n v="0.25912685434352989"/>
    <n v="0"/>
    <n v="0"/>
    <n v="0"/>
    <n v="0"/>
    <n v="0"/>
    <n v="0.60793345326320036"/>
    <n v="0"/>
    <n v="0"/>
    <n v="2.2823084126359987"/>
    <n v="0"/>
    <n v="0"/>
    <n v="0"/>
    <n v="0.38182593088116956"/>
    <n v="0"/>
    <n v="-0.10727363621395014"/>
    <m/>
    <n v="0"/>
    <n v="0"/>
    <n v="0"/>
    <n v="0"/>
    <n v="-1.3937245602689163E-2"/>
    <n v="-4.2147794961249763E-3"/>
    <n v="0"/>
    <n v="0"/>
    <m/>
    <m/>
    <m/>
    <n v="96.351362040313916"/>
    <n v="0"/>
    <n v="0"/>
    <n v="-52.755999999999986"/>
    <n v="2.2829999999999977"/>
    <n v="0"/>
    <n v="0"/>
    <n v="-54.05212160805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5"/>
    <s v="Regular"/>
    <s v="Branca"/>
    <s v="B1"/>
    <s v="Residencial"/>
    <s v="Residencial"/>
    <s v="Não se aplica"/>
    <s v="Não se aplica"/>
    <s v="Fora ponta"/>
    <s v="CATIVO"/>
    <x v="6"/>
    <n v="0"/>
    <n v="0"/>
    <n v="1.419"/>
    <n v="1.419"/>
    <n v="1.419"/>
    <n v="1.419"/>
    <m/>
    <n v="344.38"/>
    <n v="209.4"/>
    <m/>
    <n v="785.81382000000008"/>
    <n v="785.81382000000008"/>
    <n v="671.39985000000001"/>
    <n v="0"/>
    <n v="87.322290709404953"/>
    <n v="0"/>
    <n v="0"/>
    <n v="0"/>
    <n v="52.638617232630459"/>
    <n v="273.44506878581456"/>
    <n v="293.23740827746451"/>
    <n v="3.9064572841826872"/>
    <n v="0"/>
    <n v="0"/>
    <n v="0"/>
    <n v="0"/>
    <n v="13.494124734431837"/>
    <m/>
    <n v="2.5867863641611666"/>
    <n v="4.0437816099052126"/>
    <n v="6.0911922840665991"/>
    <n v="0"/>
    <n v="0"/>
    <n v="0"/>
    <n v="0"/>
    <n v="0"/>
    <n v="0"/>
    <n v="0"/>
    <n v="0"/>
    <n v="0"/>
    <n v="0"/>
    <m/>
    <n v="0"/>
    <n v="0"/>
    <n v="0"/>
    <n v="0"/>
    <n v="0"/>
    <n v="49.058070226105798"/>
    <n v="0"/>
    <n v="0"/>
    <n v="0"/>
    <n v="0"/>
    <n v="0"/>
    <m/>
    <m/>
    <m/>
    <m/>
    <m/>
    <m/>
    <m/>
    <m/>
    <m/>
    <n v="342.29547850357028"/>
    <m/>
    <m/>
    <m/>
    <m/>
    <m/>
    <m/>
    <m/>
    <m/>
    <m/>
    <m/>
    <m/>
    <m/>
    <n v="671.87299999999993"/>
    <n v="-113.97082000000012"/>
    <m/>
    <m/>
    <m/>
    <m/>
    <n v="-146.80974000000001"/>
    <n v="32.395769999999978"/>
    <n v="31"/>
    <n v="38.973514368346173"/>
    <n v="0.48821396466616651"/>
    <n v="0.73540201262695337"/>
    <n v="0"/>
    <n v="0"/>
    <n v="0"/>
    <n v="0"/>
    <n v="0"/>
    <n v="1.7256221905726576"/>
    <n v="0"/>
    <n v="0"/>
    <n v="32.385956375304772"/>
    <n v="0"/>
    <n v="0"/>
    <n v="0"/>
    <n v="5.4181099592038038"/>
    <n v="0"/>
    <n v="-1.5222128978759457"/>
    <m/>
    <n v="0"/>
    <n v="0"/>
    <n v="0"/>
    <n v="0"/>
    <n v="-0.19776951510215923"/>
    <n v="-5.980772105001364E-2"/>
    <n v="0"/>
    <n v="0"/>
    <m/>
    <m/>
    <m/>
    <n v="273.44506878581456"/>
    <n v="0"/>
    <n v="0"/>
    <n v="-146.80974000000003"/>
    <n v="32.39576999999997"/>
    <n v="0"/>
    <n v="0"/>
    <n v="-153.39986688459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6"/>
    <s v="Regular"/>
    <s v="Branca"/>
    <s v="B1"/>
    <s v="Residencial"/>
    <s v="Residencial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.17"/>
    <n v="14.54"/>
    <n v="378.6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57"/>
    <s v="Regular"/>
    <s v="Branca"/>
    <s v="B1"/>
    <s v="Residencial"/>
    <s v="Residencial"/>
    <s v="Não se aplica"/>
    <s v="Não se aplica"/>
    <s v="Intermediário"/>
    <s v="CATIVO"/>
    <x v="6"/>
    <n v="0"/>
    <n v="0"/>
    <n v="0.15"/>
    <n v="0.15"/>
    <n v="0.15"/>
    <n v="0.15"/>
    <m/>
    <n v="818.26"/>
    <n v="209.4"/>
    <m/>
    <n v="154.149"/>
    <n v="154.149"/>
    <n v="110.24699999999999"/>
    <n v="0"/>
    <n v="9.230686121501579"/>
    <n v="0"/>
    <n v="0"/>
    <n v="0"/>
    <n v="16.6930075790583"/>
    <n v="86.716246277000693"/>
    <n v="30.997611868653749"/>
    <n v="0.41294474462819103"/>
    <n v="0"/>
    <n v="0"/>
    <n v="0"/>
    <n v="0"/>
    <n v="1.426440246768693"/>
    <m/>
    <n v="0.2734446473743305"/>
    <n v="1.2824024246219623"/>
    <n v="1.9316677433614948"/>
    <n v="0"/>
    <n v="0"/>
    <n v="0"/>
    <n v="0"/>
    <n v="0"/>
    <n v="0"/>
    <n v="0"/>
    <n v="0"/>
    <n v="0"/>
    <n v="0"/>
    <m/>
    <n v="0"/>
    <n v="0"/>
    <n v="0"/>
    <n v="0"/>
    <n v="0"/>
    <n v="5.1858425186158348"/>
    <n v="0"/>
    <n v="0"/>
    <n v="0"/>
    <n v="0"/>
    <n v="0"/>
    <m/>
    <m/>
    <m/>
    <m/>
    <m/>
    <m/>
    <m/>
    <m/>
    <m/>
    <n v="36.183454387269585"/>
    <m/>
    <m/>
    <m/>
    <m/>
    <m/>
    <m/>
    <m/>
    <m/>
    <m/>
    <m/>
    <m/>
    <m/>
    <n v="110.24699999999999"/>
    <n v="-43.932000000000016"/>
    <m/>
    <m/>
    <m/>
    <m/>
    <n v="-47.326499999999996"/>
    <n v="3.4244999999999974"/>
    <n v="31"/>
    <n v="4.7433417220138665"/>
    <n v="0.15482704864392316"/>
    <n v="0.23321416890918001"/>
    <n v="0"/>
    <n v="0"/>
    <n v="0"/>
    <n v="0"/>
    <n v="0"/>
    <n v="0.5472374811541485"/>
    <n v="0"/>
    <n v="0"/>
    <n v="3.4234626189539981"/>
    <n v="0"/>
    <n v="0"/>
    <n v="0"/>
    <n v="0.57273889632175479"/>
    <n v="0"/>
    <n v="-0.16091045432092344"/>
    <m/>
    <n v="0"/>
    <n v="0"/>
    <n v="0"/>
    <n v="0"/>
    <n v="-2.0905868404033523E-2"/>
    <n v="-6.3221692441874922E-3"/>
    <n v="0"/>
    <n v="0"/>
    <m/>
    <m/>
    <m/>
    <n v="86.716246277000693"/>
    <n v="0"/>
    <n v="0"/>
    <n v="-47.326499999999996"/>
    <n v="3.4244999999999983"/>
    <n v="0"/>
    <n v="0"/>
    <n v="-48.6469209142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8"/>
    <s v="Regular"/>
    <s v="Convencional"/>
    <s v="B3"/>
    <s v="Industrial"/>
    <s v="Não se aplica"/>
    <s v="Não se aplica"/>
    <s v="Não se aplica"/>
    <s v="Não se aplica"/>
    <s v="CATIVO"/>
    <x v="6"/>
    <n v="0"/>
    <n v="0"/>
    <n v="11.927"/>
    <n v="11.927"/>
    <n v="11.927"/>
    <n v="11.927"/>
    <m/>
    <n v="581.32000000000005"/>
    <n v="209.4"/>
    <m/>
    <n v="9430.9174400000011"/>
    <n v="9430.9174400000011"/>
    <n v="7204.7428899999995"/>
    <n v="0"/>
    <n v="733.9626224743289"/>
    <n v="0"/>
    <n v="0"/>
    <n v="0"/>
    <n v="884.87778397967941"/>
    <n v="4596.7291549096562"/>
    <n v="2464.7234450495553"/>
    <n v="32.834613127869559"/>
    <n v="0"/>
    <n v="0"/>
    <n v="0"/>
    <n v="0"/>
    <n v="113.42101882140135"/>
    <m/>
    <n v="21.742495394890931"/>
    <n v="67.977707204143002"/>
    <n v="102.39556077810053"/>
    <n v="0"/>
    <n v="0"/>
    <n v="0"/>
    <n v="0"/>
    <n v="0"/>
    <n v="0"/>
    <n v="0"/>
    <n v="0"/>
    <n v="0"/>
    <n v="0"/>
    <m/>
    <n v="0"/>
    <n v="0"/>
    <n v="0"/>
    <n v="0"/>
    <n v="0"/>
    <n v="412.34362479687377"/>
    <n v="0"/>
    <n v="25.28"/>
    <n v="115.69"/>
    <n v="1851.36"/>
    <n v="7"/>
    <m/>
    <m/>
    <m/>
    <m/>
    <m/>
    <m/>
    <m/>
    <m/>
    <m/>
    <n v="2877.0670698464291"/>
    <m/>
    <m/>
    <m/>
    <m/>
    <m/>
    <m/>
    <m/>
    <m/>
    <m/>
    <m/>
    <m/>
    <m/>
    <n v="7206.5550999999996"/>
    <n v="-2224.3923400000022"/>
    <m/>
    <m/>
    <m/>
    <m/>
    <n v="-2498.4679600000009"/>
    <n v="272.29340999999982"/>
    <n v="31"/>
    <n v="352.36974594742878"/>
    <n v="8.2070866195538628"/>
    <n v="12.362423967021257"/>
    <n v="0"/>
    <n v="0"/>
    <n v="0"/>
    <n v="0"/>
    <n v="0"/>
    <n v="29.008450834334212"/>
    <n v="0"/>
    <n v="0"/>
    <n v="272.2109243750956"/>
    <n v="0"/>
    <n v="0"/>
    <n v="0"/>
    <n v="45.540378776197088"/>
    <n v="0"/>
    <n v="-12.794526591237741"/>
    <m/>
    <n v="0"/>
    <n v="0"/>
    <n v="0"/>
    <n v="0"/>
    <n v="-1.6622952830327336"/>
    <n v="-0.50269675050282459"/>
    <n v="0"/>
    <n v="0"/>
    <m/>
    <m/>
    <m/>
    <n v="4596.7291549096562"/>
    <n v="0"/>
    <n v="0"/>
    <n v="-2498.4679600000009"/>
    <n v="272.29340999999977"/>
    <n v="0"/>
    <n v="0"/>
    <n v="-2578.7177058950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59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2.7690000000000001"/>
    <n v="2.7690000000000001"/>
    <n v="2.7690000000000001"/>
    <n v="2.7690000000000001"/>
    <m/>
    <n v="581.32000000000005"/>
    <n v="209.4"/>
    <m/>
    <n v="2189.5036800000003"/>
    <n v="2189.5036800000003"/>
    <n v="1672.6698299999998"/>
    <n v="0"/>
    <n v="170.39846580291916"/>
    <n v="0"/>
    <n v="0"/>
    <n v="0"/>
    <n v="205.43527993961035"/>
    <n v="1067.1873086228591"/>
    <n v="572.21591509534824"/>
    <n v="7.622959985836407"/>
    <n v="0"/>
    <n v="0"/>
    <n v="0"/>
    <n v="0"/>
    <n v="26.332086955350075"/>
    <m/>
    <n v="5.0477881905301416"/>
    <n v="15.781862266141696"/>
    <n v="23.772391028302206"/>
    <n v="0"/>
    <n v="0"/>
    <n v="0"/>
    <n v="0"/>
    <n v="0"/>
    <n v="0"/>
    <n v="0"/>
    <n v="0"/>
    <n v="0"/>
    <n v="0"/>
    <m/>
    <n v="0"/>
    <n v="0"/>
    <n v="0"/>
    <n v="0"/>
    <n v="0"/>
    <n v="95.730652893648312"/>
    <n v="0"/>
    <n v="5.87"/>
    <n v="26.86"/>
    <n v="518.66999999999996"/>
    <n v="3"/>
    <m/>
    <m/>
    <m/>
    <m/>
    <m/>
    <m/>
    <m/>
    <m/>
    <m/>
    <n v="667.94656798899655"/>
    <m/>
    <m/>
    <m/>
    <m/>
    <m/>
    <m/>
    <m/>
    <m/>
    <m/>
    <m/>
    <m/>
    <m/>
    <n v="1673.2738999999999"/>
    <n v="-516.25978000000055"/>
    <m/>
    <m/>
    <m/>
    <m/>
    <n v="-580.05012000000022"/>
    <n v="63.216269999999959"/>
    <n v="31"/>
    <n v="81.806977993496048"/>
    <n v="1.9053762764772895"/>
    <n v="2.870089038708965"/>
    <n v="0"/>
    <n v="0"/>
    <n v="0"/>
    <n v="0"/>
    <n v="0"/>
    <n v="6.7346692680700357"/>
    <n v="0"/>
    <n v="0"/>
    <n v="63.19711994589079"/>
    <n v="0"/>
    <n v="0"/>
    <n v="0"/>
    <n v="10.572760026099601"/>
    <n v="0"/>
    <n v="-2.9704069867642602"/>
    <m/>
    <n v="0"/>
    <n v="0"/>
    <n v="0"/>
    <n v="0"/>
    <n v="-0.38592233073845961"/>
    <n v="-0.11670724424770107"/>
    <n v="0"/>
    <n v="0"/>
    <m/>
    <m/>
    <m/>
    <n v="1067.1873086228591"/>
    <n v="0"/>
    <n v="0"/>
    <n v="-580.05012000000033"/>
    <n v="63.216269999999895"/>
    <n v="0"/>
    <n v="0"/>
    <n v="-598.68108724938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0"/>
    <s v="Regular"/>
    <s v="Verde"/>
    <s v="A4"/>
    <s v="Industrial"/>
    <s v="Não se aplica"/>
    <s v="Não se aplica"/>
    <s v="Não se aplica"/>
    <s v="Ponta"/>
    <s v="CATIVO"/>
    <x v="6"/>
    <n v="0"/>
    <n v="0"/>
    <n v="10.324999999999999"/>
    <n v="10.324999999999999"/>
    <n v="10.324999999999999"/>
    <n v="10.324999999999999"/>
    <m/>
    <n v="1614.19"/>
    <n v="209.4"/>
    <m/>
    <n v="18828.566749999998"/>
    <n v="18828.566749999998"/>
    <n v="12515.44875"/>
    <n v="0"/>
    <n v="552.77963838612243"/>
    <n v="0"/>
    <n v="0"/>
    <n v="0"/>
    <n v="3215.390750301769"/>
    <n v="12006.288061669868"/>
    <n v="2133.6689502923332"/>
    <n v="28.424363255240479"/>
    <n v="0"/>
    <n v="0"/>
    <n v="0"/>
    <n v="0"/>
    <n v="98.186636985911704"/>
    <m/>
    <n v="13.709992485346337"/>
    <n v="249.81260447378105"/>
    <n v="372.0996170895171"/>
    <n v="0"/>
    <n v="0"/>
    <n v="0"/>
    <n v="0"/>
    <n v="0"/>
    <n v="0"/>
    <n v="0"/>
    <n v="0"/>
    <n v="0"/>
    <n v="0"/>
    <m/>
    <n v="0"/>
    <n v="0"/>
    <n v="0"/>
    <n v="0"/>
    <n v="0"/>
    <n v="158.2248054296027"/>
    <n v="0"/>
    <n v="0"/>
    <n v="0"/>
    <n v="0"/>
    <n v="0"/>
    <m/>
    <m/>
    <m/>
    <m/>
    <m/>
    <m/>
    <m/>
    <m/>
    <m/>
    <n v="2291.893755721936"/>
    <m/>
    <m/>
    <m/>
    <m/>
    <m/>
    <m/>
    <m/>
    <m/>
    <m/>
    <m/>
    <m/>
    <m/>
    <n v="12521.5095"/>
    <n v="-6307.0872499999932"/>
    <m/>
    <m/>
    <m/>
    <m/>
    <n v="-6548.8377500000006"/>
    <n v="235.71974999999981"/>
    <n v="31"/>
    <n v="422.2240795838552"/>
    <n v="30.160382982844453"/>
    <n v="44.92434231983583"/>
    <n v="0"/>
    <n v="0"/>
    <n v="0"/>
    <n v="0"/>
    <n v="0"/>
    <n v="105.40834698528988"/>
    <n v="0"/>
    <n v="0"/>
    <n v="235.64834360466648"/>
    <n v="0"/>
    <n v="0"/>
    <n v="0"/>
    <n v="17.474788350623726"/>
    <n v="0"/>
    <n v="-9.6361225570090028"/>
    <m/>
    <n v="0"/>
    <n v="0"/>
    <n v="0"/>
    <n v="0"/>
    <n v="-1.439020608477648"/>
    <n v="-0.31698149391918307"/>
    <n v="0"/>
    <n v="0"/>
    <m/>
    <m/>
    <m/>
    <n v="12006.288061669868"/>
    <n v="0"/>
    <n v="0"/>
    <n v="-6548.8377499999988"/>
    <n v="235.71974999999975"/>
    <n v="0"/>
    <n v="0"/>
    <n v="-6735.403928168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1"/>
    <s v="Regular"/>
    <s v="Verde"/>
    <s v="A4"/>
    <s v="Industrial"/>
    <s v="Não se aplica"/>
    <s v="Não se aplica"/>
    <s v="Não se aplica"/>
    <s v="Fora ponta"/>
    <s v="CATIVO"/>
    <x v="6"/>
    <n v="0"/>
    <n v="0"/>
    <n v="335.81400000000002"/>
    <n v="335.81400000000002"/>
    <n v="335.81400000000002"/>
    <n v="335.81400000000002"/>
    <m/>
    <n v="79.7"/>
    <n v="209.4"/>
    <m/>
    <n v="97083.827400000009"/>
    <n v="97083.827400000009"/>
    <n v="104948.59128000001"/>
    <n v="0"/>
    <n v="17978.803049394417"/>
    <n v="0"/>
    <n v="0"/>
    <n v="0"/>
    <n v="0"/>
    <n v="0"/>
    <n v="69396.21354706728"/>
    <n v="924.48417648380894"/>
    <n v="0"/>
    <n v="0"/>
    <n v="0"/>
    <n v="0"/>
    <n v="3193.4573668558796"/>
    <m/>
    <n v="445.90870861734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46.1602722069347"/>
    <n v="0"/>
    <n v="0"/>
    <n v="0"/>
    <n v="0"/>
    <n v="0"/>
    <m/>
    <m/>
    <m/>
    <m/>
    <m/>
    <m/>
    <m/>
    <m/>
    <m/>
    <n v="74542.373819274217"/>
    <m/>
    <m/>
    <m/>
    <m/>
    <m/>
    <m/>
    <m/>
    <m/>
    <m/>
    <m/>
    <m/>
    <m/>
    <n v="104947.34120000001"/>
    <n v="7863.4838000000163"/>
    <m/>
    <m/>
    <m/>
    <m/>
    <n v="198.13026000000116"/>
    <n v="7666.6336199999951"/>
    <n v="31"/>
    <n v="7862.1459064465162"/>
    <n v="0"/>
    <n v="0"/>
    <n v="0"/>
    <n v="0"/>
    <n v="0"/>
    <n v="0"/>
    <n v="0"/>
    <n v="0"/>
    <n v="0"/>
    <n v="0"/>
    <n v="7664.3111728094518"/>
    <n v="0"/>
    <n v="0"/>
    <n v="0"/>
    <n v="568.3562784674441"/>
    <n v="0"/>
    <n v="-313.40870318251109"/>
    <m/>
    <n v="0"/>
    <n v="0"/>
    <n v="0"/>
    <n v="0"/>
    <n v="-46.803221948214286"/>
    <n v="-10.309619699658811"/>
    <n v="0"/>
    <n v="0"/>
    <m/>
    <m/>
    <m/>
    <n v="0"/>
    <n v="0"/>
    <n v="0"/>
    <n v="198.13026000000173"/>
    <n v="7666.633620000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2"/>
    <s v="Regular"/>
    <s v="Verde"/>
    <s v="A4"/>
    <s v="Industrial"/>
    <s v="Não se aplica"/>
    <s v="Não se aplica"/>
    <s v="Não se aplica"/>
    <s v="Não se aplica"/>
    <s v="CATIVO"/>
    <x v="6"/>
    <n v="1772"/>
    <n v="1772"/>
    <n v="0"/>
    <n v="0"/>
    <n v="0"/>
    <n v="0"/>
    <n v="44.35"/>
    <m/>
    <m/>
    <n v="78588.2"/>
    <m/>
    <n v="78588.2"/>
    <n v="51334.84"/>
    <n v="0"/>
    <n v="0"/>
    <n v="0"/>
    <n v="0"/>
    <n v="0"/>
    <n v="23252.29685528715"/>
    <n v="50888.023618341911"/>
    <m/>
    <m/>
    <m/>
    <n v="0"/>
    <n v="0"/>
    <n v="0"/>
    <n v="0"/>
    <m/>
    <n v="0"/>
    <n v="1757.3290656232334"/>
    <n v="2688.6403491192418"/>
    <n v="0"/>
    <n v="0"/>
    <m/>
    <m/>
    <n v="0"/>
    <n v="0"/>
    <n v="0"/>
    <m/>
    <m/>
    <n v="0"/>
    <m/>
    <n v="0"/>
    <n v="0"/>
    <n v="0"/>
    <n v="0"/>
    <m/>
    <n v="0"/>
    <n v="0"/>
    <n v="639.01"/>
    <n v="2921.38"/>
    <n v="45926.5"/>
    <n v="7"/>
    <m/>
    <m/>
    <m/>
    <m/>
    <m/>
    <m/>
    <m/>
    <m/>
    <m/>
    <n v="0"/>
    <m/>
    <m/>
    <m/>
    <m/>
    <m/>
    <m/>
    <m/>
    <m/>
    <m/>
    <m/>
    <m/>
    <m/>
    <n v="51334.84"/>
    <n v="-27253.389999999985"/>
    <m/>
    <m/>
    <m/>
    <m/>
    <n v="-27253.360000000004"/>
    <n v="0"/>
    <n v="31"/>
    <n v="1299.0378882613441"/>
    <n v="212.16590635099124"/>
    <n v="324.60500863589277"/>
    <n v="0"/>
    <n v="0"/>
    <m/>
    <m/>
    <m/>
    <n v="762.26697327446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50888.023618341911"/>
    <m/>
    <n v="0"/>
    <n v="0"/>
    <n v="-27253.360000000001"/>
    <m/>
    <n v="0"/>
    <m/>
    <n v="-28547.65706229746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63"/>
    <s v="Regular"/>
    <s v="Convencional"/>
    <s v="B3"/>
    <s v="Comercial"/>
    <s v="Não se aplica"/>
    <s v="Não se aplica"/>
    <s v="Não se aplica"/>
    <s v="Não se aplica"/>
    <s v="CATIVO"/>
    <x v="6"/>
    <n v="0"/>
    <n v="0"/>
    <n v="510.64499999999998"/>
    <n v="510.64499999999998"/>
    <n v="510.64499999999998"/>
    <n v="510.64499999999998"/>
    <m/>
    <n v="581.32000000000005"/>
    <n v="209.4"/>
    <m/>
    <n v="403777.21440000006"/>
    <n v="403777.21440000006"/>
    <n v="308465.32514999999"/>
    <n v="0"/>
    <n v="31424.024763427828"/>
    <n v="0"/>
    <n v="0"/>
    <n v="0"/>
    <n v="37885.337134258691"/>
    <n v="196805.29548996742"/>
    <n v="105525.17008445796"/>
    <n v="1405.7877941377506"/>
    <n v="0"/>
    <n v="0"/>
    <n v="0"/>
    <n v="0"/>
    <n v="4856.030532074662"/>
    <m/>
    <n v="930.88761305643322"/>
    <n v="2910.4113603806159"/>
    <n v="4383.9843324837047"/>
    <n v="0"/>
    <n v="0"/>
    <n v="0"/>
    <n v="0"/>
    <n v="0"/>
    <n v="0"/>
    <n v="0"/>
    <n v="0"/>
    <n v="0"/>
    <n v="0"/>
    <m/>
    <n v="0"/>
    <n v="0"/>
    <n v="0"/>
    <n v="0"/>
    <n v="0"/>
    <n v="17654.163686123888"/>
    <n v="0"/>
    <n v="1079.94"/>
    <n v="4953.63"/>
    <n v="128997.1"/>
    <n v="823"/>
    <m/>
    <m/>
    <m/>
    <m/>
    <m/>
    <m/>
    <m/>
    <m/>
    <m/>
    <n v="123179.33377058184"/>
    <m/>
    <m/>
    <m/>
    <m/>
    <m/>
    <m/>
    <m/>
    <m/>
    <m/>
    <m/>
    <m/>
    <m/>
    <n v="308468.3455"/>
    <n v="-95308.898900000087"/>
    <m/>
    <m/>
    <m/>
    <m/>
    <n v="-106969.91460000003"/>
    <n v="11658.025349999991"/>
    <n v="31"/>
    <n v="15086.42985824807"/>
    <n v="351.37987313172471"/>
    <n v="529.28733014501267"/>
    <n v="0"/>
    <n v="0"/>
    <n v="0"/>
    <n v="0"/>
    <n v="0"/>
    <n v="1241.9737047286471"/>
    <n v="0"/>
    <n v="0"/>
    <n v="11654.4937937051"/>
    <n v="0"/>
    <n v="0"/>
    <n v="0"/>
    <n v="1949.775024748149"/>
    <n v="0"/>
    <n v="-547.78745964472182"/>
    <m/>
    <n v="0"/>
    <n v="0"/>
    <n v="0"/>
    <n v="0"/>
    <n v="-71.16984780785242"/>
    <n v="-21.522560757987435"/>
    <n v="0"/>
    <n v="0"/>
    <m/>
    <m/>
    <m/>
    <n v="196805.29548996742"/>
    <n v="0"/>
    <n v="0"/>
    <n v="-106969.91460000005"/>
    <n v="11658.025349999996"/>
    <n v="0"/>
    <n v="0"/>
    <n v="-110405.7435169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4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48.195999999999998"/>
    <n v="48.195999999999998"/>
    <n v="48.195999999999998"/>
    <n v="48.195999999999998"/>
    <m/>
    <n v="581.32000000000005"/>
    <n v="209.4"/>
    <m/>
    <n v="38109.541120000002"/>
    <n v="38109.541120000002"/>
    <n v="29113.757719999998"/>
    <n v="0"/>
    <n v="2965.8809887459342"/>
    <n v="0"/>
    <n v="0"/>
    <n v="0"/>
    <n v="3575.7164145790753"/>
    <n v="18574.994411840849"/>
    <n v="9959.73934414424"/>
    <n v="132.68189941400195"/>
    <n v="0"/>
    <n v="0"/>
    <n v="0"/>
    <n v="0"/>
    <n v="458.32476088842617"/>
    <m/>
    <n v="87.859588165688209"/>
    <n v="274.69217543480141"/>
    <n v="413.77181581800397"/>
    <n v="0"/>
    <n v="0"/>
    <n v="0"/>
    <n v="0"/>
    <n v="0"/>
    <n v="0"/>
    <n v="0"/>
    <n v="0"/>
    <n v="0"/>
    <n v="0"/>
    <m/>
    <n v="0"/>
    <n v="0"/>
    <n v="0"/>
    <n v="0"/>
    <n v="0"/>
    <n v="1666.2457735147252"/>
    <n v="0"/>
    <n v="107.27"/>
    <n v="491.74"/>
    <n v="29450.87"/>
    <n v="84"/>
    <m/>
    <m/>
    <m/>
    <m/>
    <m/>
    <m/>
    <m/>
    <m/>
    <m/>
    <n v="11625.985117658965"/>
    <m/>
    <m/>
    <m/>
    <m/>
    <m/>
    <m/>
    <m/>
    <m/>
    <m/>
    <m/>
    <m/>
    <m/>
    <n v="29116.173999999999"/>
    <n v="-8993.3971200000015"/>
    <m/>
    <m/>
    <m/>
    <m/>
    <n v="-10096.098080000003"/>
    <n v="1100.3146799999993"/>
    <n v="31"/>
    <n v="1423.8963926957549"/>
    <n v="33.164144102961131"/>
    <n v="49.955511487763545"/>
    <n v="0"/>
    <n v="0"/>
    <n v="0"/>
    <n v="0"/>
    <n v="0"/>
    <n v="117.22070062979537"/>
    <n v="0"/>
    <n v="0"/>
    <n v="1099.9813625540464"/>
    <n v="0"/>
    <n v="0"/>
    <n v="0"/>
    <n v="184.02482564748857"/>
    <n v="0"/>
    <n v="-51.701601709675288"/>
    <m/>
    <n v="0"/>
    <n v="0"/>
    <n v="0"/>
    <n v="0"/>
    <n v="-6.7171948906720331"/>
    <n v="-2.0313551259523877"/>
    <n v="0"/>
    <n v="0"/>
    <m/>
    <m/>
    <m/>
    <n v="18574.994411840849"/>
    <n v="0"/>
    <n v="0"/>
    <n v="-10096.098080000003"/>
    <n v="1100.3146799999995"/>
    <n v="0"/>
    <n v="0"/>
    <n v="-10420.38052765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5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-4.3639999999999999"/>
    <n v="-4.3639999999999999"/>
    <n v="-4.3639999999999999"/>
    <n v="-4.3639999999999999"/>
    <m/>
    <n v="581.32000000000005"/>
    <n v="209.4"/>
    <m/>
    <n v="-3450.70208"/>
    <n v="-3450.70208"/>
    <n v="-2636.1614799999998"/>
    <n v="0"/>
    <n v="-268.55142822821927"/>
    <n v="0"/>
    <n v="0"/>
    <n v="0"/>
    <n v="-323.77015588893443"/>
    <n v="-1681.9087810870915"/>
    <n v="-901.82385463203309"/>
    <n v="-12.01393910371617"/>
    <n v="0"/>
    <n v="0"/>
    <n v="0"/>
    <n v="0"/>
    <n v="-41.49990157932384"/>
    <m/>
    <n v="-7.9554162742771881"/>
    <n v="-24.872534102362714"/>
    <n v="-37.465769031242623"/>
    <n v="0"/>
    <n v="0"/>
    <n v="0"/>
    <n v="0"/>
    <n v="0"/>
    <n v="0"/>
    <n v="0"/>
    <n v="0"/>
    <n v="0"/>
    <n v="0"/>
    <m/>
    <n v="0"/>
    <n v="0"/>
    <n v="0"/>
    <n v="0"/>
    <n v="0"/>
    <n v="-150.87344500826336"/>
    <n v="0"/>
    <n v="-11.44"/>
    <n v="-52.6"/>
    <n v="-1759.15"/>
    <n v="2"/>
    <m/>
    <m/>
    <m/>
    <m/>
    <m/>
    <m/>
    <m/>
    <m/>
    <m/>
    <n v="-1052.6972996402965"/>
    <m/>
    <m/>
    <m/>
    <m/>
    <m/>
    <m/>
    <m/>
    <m/>
    <m/>
    <m/>
    <m/>
    <m/>
    <n v="-2633.7452000000003"/>
    <n v="816.92687999999907"/>
    <m/>
    <m/>
    <m/>
    <m/>
    <n v="914.1707200000003"/>
    <n v="-99.630119999999934"/>
    <n v="31"/>
    <n v="-128.92945177450929"/>
    <n v="-3.0029115458818687"/>
    <n v="-4.5233183694207"/>
    <n v="0"/>
    <n v="0"/>
    <n v="0"/>
    <n v="0"/>
    <n v="0"/>
    <n v="-10.613974967807053"/>
    <n v="0"/>
    <n v="0"/>
    <n v="-99.599939127434936"/>
    <n v="0"/>
    <n v="0"/>
    <n v="0"/>
    <n v="-16.662883623654238"/>
    <n v="0"/>
    <n v="4.6814214843767559"/>
    <m/>
    <n v="0"/>
    <n v="0"/>
    <n v="0"/>
    <n v="0"/>
    <n v="0.60822139810134956"/>
    <n v="0.18393297721089397"/>
    <n v="0"/>
    <n v="0"/>
    <m/>
    <m/>
    <m/>
    <n v="-1681.9087810870915"/>
    <n v="0"/>
    <n v="0"/>
    <n v="914.17072000000053"/>
    <n v="-99.63011999999992"/>
    <n v="0"/>
    <n v="0"/>
    <n v="943.53350117599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6"/>
    <s v="Regular"/>
    <s v="Verde"/>
    <s v="A4"/>
    <s v="Comercial"/>
    <s v="Não se aplica"/>
    <s v="Não se aplica"/>
    <s v="Não se aplica"/>
    <s v="Ponta"/>
    <s v="CATIVO"/>
    <x v="6"/>
    <n v="0"/>
    <n v="0"/>
    <n v="44.05"/>
    <n v="44.05"/>
    <n v="44.05"/>
    <n v="44.05"/>
    <m/>
    <n v="1614.19"/>
    <n v="209.4"/>
    <m/>
    <n v="80329.13949999999"/>
    <n v="80329.13949999999"/>
    <n v="53395.20749999999"/>
    <n v="0"/>
    <n v="2358.3479971824399"/>
    <n v="0"/>
    <n v="0"/>
    <n v="0"/>
    <n v="13717.962474653068"/>
    <n v="51222.952941070958"/>
    <n v="9102.9653520946504"/>
    <n v="121.26810667247875"/>
    <n v="0"/>
    <n v="0"/>
    <n v="0"/>
    <n v="0"/>
    <n v="418.89795246773951"/>
    <m/>
    <n v="58.49154178978268"/>
    <n v="1065.7864626702233"/>
    <n v="1587.5049039024918"/>
    <n v="0"/>
    <n v="0"/>
    <n v="0"/>
    <n v="0"/>
    <n v="0"/>
    <n v="0"/>
    <n v="0"/>
    <n v="0"/>
    <n v="0"/>
    <n v="0"/>
    <m/>
    <n v="0"/>
    <n v="0"/>
    <n v="0"/>
    <n v="0"/>
    <n v="0"/>
    <n v="675.04142171176738"/>
    <n v="0"/>
    <n v="0"/>
    <n v="0"/>
    <n v="0"/>
    <n v="0"/>
    <m/>
    <m/>
    <m/>
    <m/>
    <m/>
    <m/>
    <m/>
    <m/>
    <m/>
    <n v="9778.0067738064172"/>
    <m/>
    <m/>
    <m/>
    <m/>
    <m/>
    <m/>
    <m/>
    <m/>
    <m/>
    <m/>
    <m/>
    <m/>
    <n v="53395.20749999999"/>
    <n v="-26933.961999999985"/>
    <m/>
    <m/>
    <m/>
    <m/>
    <n v="-27939.593500000003"/>
    <n v="1005.6614999999993"/>
    <n v="31"/>
    <n v="1801.3530949800297"/>
    <n v="128.67456371857611"/>
    <n v="191.66269047833111"/>
    <n v="0"/>
    <n v="0"/>
    <n v="0"/>
    <n v="0"/>
    <n v="0"/>
    <n v="449.70825033433539"/>
    <n v="0"/>
    <n v="0"/>
    <n v="1005.3568557661583"/>
    <n v="0"/>
    <n v="0"/>
    <n v="0"/>
    <n v="74.553455384501262"/>
    <n v="0"/>
    <n v="-41.111011974454414"/>
    <m/>
    <n v="0"/>
    <n v="0"/>
    <n v="0"/>
    <n v="0"/>
    <n v="-6.1393566879845594"/>
    <n v="-1.3523520394324535"/>
    <n v="0"/>
    <n v="0"/>
    <m/>
    <m/>
    <m/>
    <n v="51222.952941070958"/>
    <n v="0"/>
    <n v="0"/>
    <n v="-27939.593500000003"/>
    <n v="1005.6614999999983"/>
    <n v="0"/>
    <n v="0"/>
    <n v="-28735.548962307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7"/>
    <s v="Sistema de Compensação"/>
    <s v="Verde"/>
    <s v="A4"/>
    <s v="Comercial"/>
    <s v="Não se aplica"/>
    <s v="Não se aplica"/>
    <s v="Não se aplica"/>
    <s v="Ponta"/>
    <s v="CATIVO"/>
    <x v="6"/>
    <n v="0"/>
    <n v="0"/>
    <n v="2.67"/>
    <n v="2.67"/>
    <n v="2.67"/>
    <n v="2.67"/>
    <m/>
    <n v="1614.19"/>
    <n v="209.4"/>
    <m/>
    <n v="4868.9853000000003"/>
    <n v="4868.9853000000003"/>
    <n v="3236.4404999999997"/>
    <n v="0"/>
    <n v="142.94640527757355"/>
    <n v="0"/>
    <n v="0"/>
    <n v="0"/>
    <n v="831.48603421847201"/>
    <n v="3104.7737651001012"/>
    <n v="551.75749126203675"/>
    <n v="7.3504164543817998"/>
    <n v="0"/>
    <n v="0"/>
    <n v="0"/>
    <n v="0"/>
    <n v="25.390636392482737"/>
    <m/>
    <n v="3.5453443037166803"/>
    <n v="64.60045074527801"/>
    <n v="96.223339237676583"/>
    <n v="0"/>
    <n v="0"/>
    <n v="0"/>
    <n v="0"/>
    <n v="0"/>
    <n v="0"/>
    <n v="0"/>
    <n v="0"/>
    <n v="0"/>
    <n v="0"/>
    <m/>
    <n v="0"/>
    <n v="0"/>
    <n v="0"/>
    <n v="0"/>
    <n v="0"/>
    <n v="40.916245084459"/>
    <n v="0"/>
    <n v="0"/>
    <n v="0"/>
    <n v="0"/>
    <n v="0"/>
    <m/>
    <m/>
    <m/>
    <m/>
    <m/>
    <m/>
    <m/>
    <m/>
    <m/>
    <n v="592.67373634649573"/>
    <m/>
    <m/>
    <m/>
    <m/>
    <m/>
    <m/>
    <m/>
    <m/>
    <m/>
    <m/>
    <m/>
    <m/>
    <n v="3236.4404999999997"/>
    <n v="-1632.5748000000012"/>
    <m/>
    <m/>
    <m/>
    <m/>
    <n v="-1693.5009000000002"/>
    <n v="60.956099999999957"/>
    <n v="31"/>
    <n v="109.1853067785853"/>
    <n v="7.7993435897525103"/>
    <n v="11.617239127744469"/>
    <n v="0"/>
    <n v="0"/>
    <n v="0"/>
    <n v="0"/>
    <n v="0"/>
    <n v="27.258139123556816"/>
    <n v="0"/>
    <n v="0"/>
    <n v="60.93763461738115"/>
    <n v="0"/>
    <n v="0"/>
    <n v="0"/>
    <n v="4.5189041061661399"/>
    <n v="0"/>
    <n v="-2.4918592956139207"/>
    <m/>
    <n v="0"/>
    <n v="0"/>
    <n v="0"/>
    <n v="0"/>
    <n v="-0.37212445759179857"/>
    <n v="-8.1970032810094295E-2"/>
    <n v="0"/>
    <n v="0"/>
    <m/>
    <m/>
    <m/>
    <n v="3104.7737651001012"/>
    <n v="0"/>
    <n v="0"/>
    <n v="-1693.5009000000005"/>
    <n v="60.956099999999992"/>
    <n v="0"/>
    <n v="0"/>
    <n v="-1741.746100553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8"/>
    <s v="Regular"/>
    <s v="Verde"/>
    <s v="A4"/>
    <s v="Comercial"/>
    <s v="Não se aplica"/>
    <s v="Não se aplica"/>
    <s v="Não se aplica"/>
    <s v="Fora ponta"/>
    <s v="CATIVO"/>
    <x v="6"/>
    <n v="0"/>
    <n v="0"/>
    <n v="662.23599999999999"/>
    <n v="662.23599999999999"/>
    <n v="662.23599999999999"/>
    <n v="662.23599999999999"/>
    <m/>
    <n v="79.7"/>
    <n v="209.4"/>
    <m/>
    <n v="191452.4276"/>
    <n v="191452.4276"/>
    <n v="206961.99472000002"/>
    <n v="0"/>
    <n v="35454.777395280602"/>
    <n v="0"/>
    <n v="0"/>
    <n v="0"/>
    <n v="0"/>
    <n v="0"/>
    <n v="136851.56328966524"/>
    <n v="1823.1125060239647"/>
    <n v="0"/>
    <n v="0"/>
    <n v="0"/>
    <n v="0"/>
    <n v="6297.6005550607479"/>
    <m/>
    <n v="879.34630348918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48.393438109286"/>
    <n v="0"/>
    <n v="0"/>
    <n v="0"/>
    <n v="0"/>
    <n v="0"/>
    <m/>
    <m/>
    <m/>
    <m/>
    <m/>
    <m/>
    <m/>
    <m/>
    <m/>
    <n v="146999.95672777452"/>
    <m/>
    <m/>
    <m/>
    <m/>
    <m/>
    <m/>
    <m/>
    <m/>
    <m/>
    <m/>
    <m/>
    <m/>
    <n v="206963.24480000001"/>
    <n v="15510.787199999992"/>
    <m/>
    <m/>
    <m/>
    <m/>
    <n v="390.71924000000223"/>
    <n v="15118.847879999988"/>
    <n v="31"/>
    <n v="15504.404392019118"/>
    <n v="0"/>
    <n v="0"/>
    <n v="0"/>
    <n v="0"/>
    <n v="0"/>
    <n v="0"/>
    <n v="0"/>
    <n v="0"/>
    <n v="0"/>
    <n v="0"/>
    <n v="15114.26793950412"/>
    <n v="0"/>
    <n v="0"/>
    <n v="0"/>
    <n v="1120.8168463112488"/>
    <n v="0"/>
    <n v="-618.05203464052465"/>
    <m/>
    <n v="0"/>
    <n v="0"/>
    <n v="0"/>
    <n v="0"/>
    <n v="-92.297457789423788"/>
    <n v="-20.330901366301759"/>
    <n v="0"/>
    <n v="0"/>
    <m/>
    <m/>
    <m/>
    <n v="0"/>
    <n v="0"/>
    <n v="0"/>
    <n v="390.71924000000581"/>
    <n v="15118.84787999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69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16.32"/>
    <n v="16.32"/>
    <n v="16.32"/>
    <n v="16.32"/>
    <m/>
    <n v="79.7"/>
    <n v="209.4"/>
    <m/>
    <n v="4718.112000000001"/>
    <n v="4718.112000000001"/>
    <n v="5100.3263999999999"/>
    <n v="0"/>
    <n v="873.73982551685413"/>
    <n v="0"/>
    <n v="0"/>
    <n v="0"/>
    <n v="0"/>
    <n v="0"/>
    <n v="3372.540171309528"/>
    <n v="44.92838821554718"/>
    <n v="0"/>
    <n v="0"/>
    <n v="0"/>
    <n v="0"/>
    <n v="155.19669884843381"/>
    <m/>
    <n v="21.670419114852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0948014151202"/>
    <n v="0"/>
    <n v="0"/>
    <n v="0"/>
    <n v="0"/>
    <n v="0"/>
    <m/>
    <m/>
    <m/>
    <m/>
    <m/>
    <m/>
    <m/>
    <m/>
    <m/>
    <n v="3622.6349727246484"/>
    <m/>
    <m/>
    <m/>
    <m/>
    <m/>
    <m/>
    <m/>
    <m/>
    <m/>
    <m/>
    <m/>
    <m/>
    <n v="5100.3263999999999"/>
    <n v="382.18439999999919"/>
    <m/>
    <m/>
    <m/>
    <m/>
    <n v="9.6288000000000551"/>
    <n v="372.58559999999977"/>
    <n v="31"/>
    <n v="382.08717085412536"/>
    <n v="0"/>
    <n v="0"/>
    <n v="0"/>
    <n v="0"/>
    <n v="0"/>
    <n v="0"/>
    <n v="0"/>
    <n v="0"/>
    <n v="0"/>
    <n v="0"/>
    <n v="372.47273294219531"/>
    <n v="0"/>
    <n v="0"/>
    <n v="0"/>
    <n v="27.621166671397503"/>
    <n v="0"/>
    <n v="-15.231139964202043"/>
    <m/>
    <n v="0"/>
    <n v="0"/>
    <n v="0"/>
    <n v="0"/>
    <n v="-2.2745584823588558"/>
    <n v="-0.50103031290664291"/>
    <n v="0"/>
    <n v="0"/>
    <m/>
    <m/>
    <m/>
    <n v="0"/>
    <n v="0"/>
    <n v="0"/>
    <n v="9.6287999999999556"/>
    <n v="372.5855999999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0"/>
    <s v="Regular"/>
    <s v="Verde"/>
    <s v="A4"/>
    <s v="Comercial"/>
    <s v="Não se aplica"/>
    <s v="Não se aplica"/>
    <s v="Não se aplica"/>
    <s v="Não se aplica"/>
    <s v="CATIVO"/>
    <x v="6"/>
    <n v="4654"/>
    <n v="4654"/>
    <n v="0"/>
    <n v="0"/>
    <n v="0"/>
    <n v="0"/>
    <n v="44.35"/>
    <m/>
    <m/>
    <n v="206404.9"/>
    <m/>
    <n v="206404.9"/>
    <n v="134826.38"/>
    <n v="0"/>
    <n v="0"/>
    <n v="0"/>
    <n v="0"/>
    <n v="0"/>
    <n v="61070.084404348985"/>
    <n v="133652.85661386189"/>
    <m/>
    <m/>
    <m/>
    <n v="0"/>
    <n v="0"/>
    <n v="0"/>
    <n v="0"/>
    <m/>
    <n v="0"/>
    <n v="4615.4680989901408"/>
    <n v="7061.4741449215298"/>
    <n v="0"/>
    <n v="0"/>
    <m/>
    <m/>
    <n v="0"/>
    <n v="0"/>
    <n v="0"/>
    <m/>
    <m/>
    <n v="0"/>
    <m/>
    <n v="0"/>
    <n v="0"/>
    <n v="0"/>
    <n v="0"/>
    <m/>
    <n v="0"/>
    <n v="0"/>
    <n v="1465.35"/>
    <n v="6699.53"/>
    <n v="171807.33"/>
    <n v="34"/>
    <m/>
    <m/>
    <m/>
    <m/>
    <m/>
    <m/>
    <m/>
    <m/>
    <m/>
    <n v="0"/>
    <m/>
    <m/>
    <m/>
    <m/>
    <m/>
    <m/>
    <m/>
    <m/>
    <m/>
    <m/>
    <m/>
    <m/>
    <n v="134826.38"/>
    <n v="-71578.550000000017"/>
    <m/>
    <m/>
    <m/>
    <m/>
    <n v="-71578.520000000019"/>
    <n v="0"/>
    <n v="31"/>
    <n v="3411.8071850836714"/>
    <n v="557.23483530333579"/>
    <n v="852.54611184618807"/>
    <n v="0"/>
    <n v="0"/>
    <m/>
    <m/>
    <m/>
    <n v="2002.02623793415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3652.85661386189"/>
    <m/>
    <n v="0"/>
    <n v="0"/>
    <n v="-71578.51999999999"/>
    <m/>
    <n v="0"/>
    <m/>
    <n v="-74977.8758284043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71"/>
    <s v="Sistema de Compensação"/>
    <s v="Verde"/>
    <s v="A4"/>
    <s v="Comercial"/>
    <s v="Não se aplica"/>
    <s v="Não se aplica"/>
    <s v="Não se aplica"/>
    <s v="Não se aplica"/>
    <s v="CATIVO"/>
    <x v="6"/>
    <n v="565"/>
    <n v="565"/>
    <n v="0"/>
    <n v="0"/>
    <n v="0"/>
    <n v="0"/>
    <n v="44.35"/>
    <m/>
    <m/>
    <n v="25057.75"/>
    <m/>
    <n v="25057.75"/>
    <n v="16368.05"/>
    <n v="0"/>
    <n v="0"/>
    <n v="0"/>
    <n v="0"/>
    <n v="0"/>
    <n v="7413.9659837681947"/>
    <n v="16225.58315144649"/>
    <m/>
    <m/>
    <m/>
    <n v="0"/>
    <n v="0"/>
    <n v="0"/>
    <n v="0"/>
    <m/>
    <n v="0"/>
    <n v="560.32219078844639"/>
    <n v="857.26963727560474"/>
    <n v="0"/>
    <n v="0"/>
    <m/>
    <m/>
    <n v="0"/>
    <n v="0"/>
    <n v="0"/>
    <m/>
    <m/>
    <n v="0"/>
    <m/>
    <n v="0"/>
    <n v="0"/>
    <n v="0"/>
    <n v="0"/>
    <m/>
    <n v="0"/>
    <n v="0"/>
    <n v="87.93"/>
    <n v="402.09"/>
    <n v="10440"/>
    <n v="3"/>
    <m/>
    <m/>
    <m/>
    <m/>
    <m/>
    <m/>
    <m/>
    <m/>
    <m/>
    <n v="0"/>
    <m/>
    <m/>
    <m/>
    <m/>
    <m/>
    <m/>
    <m/>
    <m/>
    <m/>
    <m/>
    <m/>
    <m/>
    <n v="16368.05"/>
    <n v="-8689.7299999999959"/>
    <m/>
    <m/>
    <m/>
    <m/>
    <n v="-8689.7000000000007"/>
    <n v="0"/>
    <n v="31"/>
    <n v="414.1966178711391"/>
    <n v="67.64883582861728"/>
    <n v="103.49990399507874"/>
    <n v="0"/>
    <n v="0"/>
    <m/>
    <m/>
    <m/>
    <n v="243.047878047443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225.58315144649"/>
    <m/>
    <n v="0"/>
    <n v="0"/>
    <n v="-8689.7000000000007"/>
    <m/>
    <n v="0"/>
    <m/>
    <n v="-9102.385011398457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72"/>
    <s v="Regular"/>
    <s v="Convencional"/>
    <s v="B2"/>
    <s v="Rural"/>
    <s v="Não se aplica"/>
    <s v="Não se aplica"/>
    <s v="Não se aplica"/>
    <s v="Não se aplica"/>
    <s v="CATIVO"/>
    <x v="6"/>
    <n v="0"/>
    <n v="0"/>
    <n v="4942.1019999999999"/>
    <n v="4942.1019999999999"/>
    <n v="4942.1019999999999"/>
    <n v="4942.1019999999999"/>
    <m/>
    <n v="581.32000000000005"/>
    <n v="209.4"/>
    <m/>
    <n v="3907818.8934400002"/>
    <n v="3907818.8934400002"/>
    <n v="2985375.5551399998"/>
    <n v="0"/>
    <n v="304126.61561630131"/>
    <n v="0"/>
    <n v="0"/>
    <n v="0"/>
    <n v="366660.20507768437"/>
    <n v="1904712.3627012093"/>
    <n v="1021289.0640753162"/>
    <n v="13605.433655443147"/>
    <n v="0"/>
    <n v="0"/>
    <n v="0"/>
    <n v="0"/>
    <n v="46997.421309573678"/>
    <m/>
    <n v="9009.2755911864897"/>
    <n v="28167.415337386567"/>
    <n v="42428.884523566041"/>
    <n v="0"/>
    <n v="0"/>
    <n v="0"/>
    <n v="0"/>
    <n v="0"/>
    <n v="0"/>
    <n v="0"/>
    <n v="0"/>
    <n v="0"/>
    <n v="0"/>
    <m/>
    <n v="0"/>
    <n v="0"/>
    <n v="0"/>
    <n v="0"/>
    <n v="0"/>
    <n v="170859.7512195757"/>
    <n v="0"/>
    <n v="9395.48"/>
    <n v="43275.57"/>
    <n v="288263.67999999999"/>
    <n v="13733"/>
    <m/>
    <m/>
    <m/>
    <m/>
    <m/>
    <n v="358252.97397999966"/>
    <m/>
    <m/>
    <m/>
    <n v="1192148.8152948918"/>
    <m/>
    <m/>
    <m/>
    <m/>
    <m/>
    <m/>
    <m/>
    <m/>
    <m/>
    <m/>
    <m/>
    <m/>
    <n v="2627121.5180000002"/>
    <n v="-811840.18869999889"/>
    <m/>
    <m/>
    <m/>
    <m/>
    <n v="-1035271.5269600004"/>
    <n v="112828.18865999991"/>
    <n v="31"/>
    <n v="146008.8225191813"/>
    <n v="3400.7092476457074"/>
    <n v="5122.5253804195236"/>
    <n v="0"/>
    <n v="0"/>
    <n v="0"/>
    <n v="0"/>
    <n v="0"/>
    <n v="12020.015333718853"/>
    <n v="0"/>
    <n v="0"/>
    <n v="112794.00970705191"/>
    <n v="0"/>
    <n v="0"/>
    <n v="0"/>
    <n v="18870.226966596907"/>
    <n v="0"/>
    <n v="-5301.5725208023214"/>
    <m/>
    <n v="0"/>
    <n v="0"/>
    <n v="0"/>
    <n v="0"/>
    <n v="-688.7928936754106"/>
    <n v="-208.29870177358316"/>
    <n v="0"/>
    <n v="0"/>
    <m/>
    <m/>
    <m/>
    <n v="1904712.3627012093"/>
    <n v="0"/>
    <n v="0"/>
    <n v="-1035271.5269600006"/>
    <n v="112828.18865999987"/>
    <n v="0"/>
    <n v="0"/>
    <n v="-1068524.0154053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3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3.0510000000000002"/>
    <n v="-3.0510000000000002"/>
    <n v="-3.0510000000000002"/>
    <n v="-3.0510000000000002"/>
    <m/>
    <n v="581.32000000000005"/>
    <n v="209.4"/>
    <m/>
    <n v="-2412.4867200000003"/>
    <n v="-2412.4867200000003"/>
    <n v="-1843.01757"/>
    <n v="0"/>
    <n v="-187.75215571134214"/>
    <n v="0"/>
    <n v="0"/>
    <n v="0"/>
    <n v="-226.35718277203003"/>
    <n v="-1175.8716065757828"/>
    <n v="-630.49142540841729"/>
    <n v="-8.399296105737406"/>
    <n v="0"/>
    <n v="0"/>
    <n v="0"/>
    <n v="0"/>
    <n v="-29.013794619275217"/>
    <m/>
    <n v="-5.5618641275938829"/>
    <n v="-17.389115844708673"/>
    <n v="-26.193414599981953"/>
    <n v="0"/>
    <n v="0"/>
    <n v="0"/>
    <n v="0"/>
    <n v="0"/>
    <n v="0"/>
    <n v="0"/>
    <n v="0"/>
    <n v="0"/>
    <n v="0"/>
    <m/>
    <n v="0"/>
    <n v="0"/>
    <n v="0"/>
    <n v="0"/>
    <n v="0"/>
    <n v="-105.48003682864609"/>
    <n v="0"/>
    <n v="-5.59"/>
    <n v="-26.05"/>
    <n v="-97.92"/>
    <n v="0"/>
    <m/>
    <m/>
    <m/>
    <m/>
    <m/>
    <n v="-221.16698999999977"/>
    <m/>
    <m/>
    <m/>
    <n v="-735.97146223706341"/>
    <m/>
    <m/>
    <m/>
    <m/>
    <m/>
    <m/>
    <m/>
    <m/>
    <m/>
    <m/>
    <m/>
    <m/>
    <n v="-1621.319"/>
    <n v="501.6893500000001"/>
    <m/>
    <m/>
    <m/>
    <m/>
    <n v="639.12348000000031"/>
    <n v="-69.654329999999959"/>
    <n v="31"/>
    <n v="-90.13834953346236"/>
    <n v="-2.0994232645475641"/>
    <n v="-3.1623841304084728"/>
    <n v="0"/>
    <n v="0"/>
    <n v="0"/>
    <n v="0"/>
    <n v="0"/>
    <n v="-7.4205402444498816"/>
    <n v="0"/>
    <n v="0"/>
    <n v="-69.633229669524326"/>
    <n v="0"/>
    <n v="0"/>
    <n v="0"/>
    <n v="-11.649509151184489"/>
    <n v="0"/>
    <n v="3.2729186408876103"/>
    <m/>
    <n v="0"/>
    <n v="0"/>
    <n v="0"/>
    <n v="0"/>
    <n v="0.42522536333804339"/>
    <n v="0.12859292242677345"/>
    <n v="0"/>
    <n v="0"/>
    <m/>
    <m/>
    <m/>
    <n v="-1175.8716065757828"/>
    <n v="0"/>
    <n v="0"/>
    <n v="639.12348000000043"/>
    <n v="-69.654329999999959"/>
    <n v="0"/>
    <n v="0"/>
    <n v="659.65185886525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4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179.251"/>
    <n v="179.251"/>
    <n v="179.251"/>
    <n v="179.251"/>
    <m/>
    <n v="581.32000000000005"/>
    <n v="209.4"/>
    <m/>
    <n v="141737.35072000002"/>
    <n v="141737.35072000002"/>
    <n v="108280.15157"/>
    <n v="0"/>
    <n v="11030.731453101866"/>
    <n v="0"/>
    <n v="0"/>
    <n v="0"/>
    <n v="13298.836895794544"/>
    <n v="69084.287561558725"/>
    <n v="37042.352833787023"/>
    <n v="493.47172279565245"/>
    <n v="0"/>
    <n v="0"/>
    <n v="0"/>
    <n v="0"/>
    <n v="1704.6056044902334"/>
    <m/>
    <n v="326.76817657664077"/>
    <n v="1021.637628410316"/>
    <n v="1538.9038874012995"/>
    <n v="0"/>
    <n v="0"/>
    <n v="0"/>
    <n v="0"/>
    <n v="0"/>
    <n v="0"/>
    <n v="0"/>
    <n v="0"/>
    <n v="0"/>
    <n v="0"/>
    <m/>
    <n v="0"/>
    <n v="0"/>
    <n v="0"/>
    <n v="0"/>
    <n v="0"/>
    <n v="6197.1163820293805"/>
    <n v="0"/>
    <n v="350.41"/>
    <n v="1619.05"/>
    <n v="10442.4"/>
    <n v="786"/>
    <m/>
    <m/>
    <m/>
    <m/>
    <m/>
    <n v="12993.904989999986"/>
    <m/>
    <m/>
    <m/>
    <n v="43239.469215816403"/>
    <m/>
    <m/>
    <m/>
    <m/>
    <m/>
    <m/>
    <m/>
    <m/>
    <m/>
    <m/>
    <m/>
    <m/>
    <n v="95285.714999999997"/>
    <n v="-29446.123349999994"/>
    <m/>
    <m/>
    <m/>
    <m/>
    <n v="-37549.499480000013"/>
    <n v="4092.3003299999973"/>
    <n v="31"/>
    <n v="5295.768368476769"/>
    <n v="123.34438531413161"/>
    <n v="185.79499107173024"/>
    <n v="0"/>
    <n v="0"/>
    <n v="0"/>
    <n v="0"/>
    <n v="0"/>
    <n v="435.96829215269827"/>
    <n v="0"/>
    <n v="0"/>
    <n v="4091.0606527341515"/>
    <n v="0"/>
    <n v="0"/>
    <n v="0"/>
    <n v="684.42679936380591"/>
    <n v="0"/>
    <n v="-192.28906564986755"/>
    <m/>
    <n v="0"/>
    <n v="0"/>
    <n v="0"/>
    <n v="0"/>
    <n v="-24.982652115276323"/>
    <n v="-7.5550343945989766"/>
    <n v="0"/>
    <n v="0"/>
    <m/>
    <m/>
    <m/>
    <n v="69084.287561558725"/>
    <n v="0"/>
    <n v="0"/>
    <n v="-37549.499480000013"/>
    <n v="4092.3003299999982"/>
    <n v="0"/>
    <n v="0"/>
    <n v="-38755.573698281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5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-2.613"/>
    <n v="-2.613"/>
    <n v="-2.613"/>
    <n v="-2.613"/>
    <m/>
    <n v="581.32000000000005"/>
    <n v="209.4"/>
    <m/>
    <n v="-2066.1513599999998"/>
    <n v="-2066.1513599999998"/>
    <n v="-1578.4349099999999"/>
    <n v="0"/>
    <n v="-160.79855223655753"/>
    <n v="0"/>
    <n v="0"/>
    <n v="0"/>
    <n v="-193.86146135146328"/>
    <n v="-1007.06407996805"/>
    <n v="-539.97839875194836"/>
    <n v="-7.1934974514230872"/>
    <n v="0"/>
    <n v="0"/>
    <n v="0"/>
    <n v="0"/>
    <n v="-24.848589098710633"/>
    <m/>
    <n v="-4.7634057572608368"/>
    <n v="-14.892743265232303"/>
    <n v="-22.433101392904895"/>
    <n v="0"/>
    <n v="0"/>
    <n v="0"/>
    <n v="0"/>
    <n v="0"/>
    <n v="0"/>
    <n v="0"/>
    <n v="0"/>
    <n v="0"/>
    <n v="0"/>
    <m/>
    <n v="0"/>
    <n v="0"/>
    <n v="0"/>
    <n v="0"/>
    <n v="0"/>
    <n v="-90.337376674287839"/>
    <n v="0"/>
    <n v="-4.47"/>
    <n v="-20.52"/>
    <n v="0"/>
    <n v="2"/>
    <m/>
    <m/>
    <m/>
    <m/>
    <m/>
    <n v="-189.4163699999998"/>
    <m/>
    <m/>
    <m/>
    <n v="-630.3157754262362"/>
    <m/>
    <m/>
    <m/>
    <m/>
    <m/>
    <m/>
    <m/>
    <m/>
    <m/>
    <m/>
    <m/>
    <m/>
    <n v="-1387.4238"/>
    <n v="430.80224999999996"/>
    <m/>
    <m/>
    <m/>
    <m/>
    <n v="547.37124000000017"/>
    <n v="-59.654789999999956"/>
    <n v="31"/>
    <n v="-77.19813416287684"/>
    <n v="-1.7980311341405422"/>
    <n v="-2.7083938815986031"/>
    <n v="0"/>
    <n v="0"/>
    <n v="0"/>
    <n v="0"/>
    <n v="0"/>
    <n v="-6.3552512811365034"/>
    <n v="0"/>
    <n v="0"/>
    <n v="-59.636718822178636"/>
    <n v="0"/>
    <n v="0"/>
    <n v="0"/>
    <n v="-9.9771115739249723"/>
    <n v="0"/>
    <n v="2.8030601142704938"/>
    <m/>
    <n v="0"/>
    <n v="0"/>
    <n v="0"/>
    <n v="0"/>
    <n v="0.36418022759826485"/>
    <n v="0.11013218823374515"/>
    <n v="0"/>
    <n v="0"/>
    <m/>
    <m/>
    <m/>
    <n v="-1007.06407996805"/>
    <n v="0"/>
    <n v="0"/>
    <n v="547.37124000000017"/>
    <n v="-59.654789999999934"/>
    <n v="0"/>
    <n v="0"/>
    <n v="564.9525752916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6"/>
    <s v="Regular"/>
    <s v="Verde"/>
    <s v="A4"/>
    <s v="Rural"/>
    <s v="Não se aplica"/>
    <s v="Não se aplica"/>
    <s v="Não se aplica"/>
    <s v="Ponta"/>
    <s v="CATIVO"/>
    <x v="6"/>
    <n v="0"/>
    <n v="0"/>
    <n v="50.764000000000003"/>
    <n v="48.733440000000002"/>
    <n v="50.764000000000003"/>
    <n v="48.733440000000002"/>
    <m/>
    <n v="1614.19"/>
    <n v="209.4"/>
    <m/>
    <n v="92572.722760000004"/>
    <n v="92572.722760000004"/>
    <n v="61533.582600000002"/>
    <n v="0"/>
    <n v="2717.8019915770578"/>
    <n v="0"/>
    <n v="0"/>
    <n v="0"/>
    <n v="15808.822861822666"/>
    <n v="59030.237981850769"/>
    <n v="10490.418459335593"/>
    <n v="139.75151344203661"/>
    <n v="0"/>
    <n v="0"/>
    <n v="0"/>
    <n v="0"/>
    <n v="482.74541791310628"/>
    <m/>
    <n v="67.406688477106201"/>
    <n v="1228.2311916229562"/>
    <n v="1829.4687614462225"/>
    <n v="0"/>
    <n v="0"/>
    <n v="0"/>
    <n v="0"/>
    <n v="0"/>
    <n v="0"/>
    <n v="0"/>
    <n v="0"/>
    <n v="0"/>
    <n v="0"/>
    <m/>
    <n v="0"/>
    <n v="0"/>
    <n v="0"/>
    <n v="0"/>
    <n v="0"/>
    <n v="777.92968744100256"/>
    <n v="0"/>
    <n v="0"/>
    <n v="0"/>
    <n v="0"/>
    <n v="0"/>
    <m/>
    <m/>
    <m/>
    <m/>
    <m/>
    <n v="2461.3433040000014"/>
    <m/>
    <m/>
    <m/>
    <n v="11268.348146776596"/>
    <m/>
    <m/>
    <m/>
    <m/>
    <m/>
    <m/>
    <m/>
    <m/>
    <m/>
    <m/>
    <m/>
    <m/>
    <n v="59068.069499999998"/>
    <n v="-29801.774349599989"/>
    <m/>
    <m/>
    <m/>
    <m/>
    <n v="-32198.082280000006"/>
    <n v="1158.9421199999992"/>
    <n v="31"/>
    <n v="2075.9112034861901"/>
    <n v="148.28684568921221"/>
    <n v="220.87547830742346"/>
    <n v="0"/>
    <n v="0"/>
    <n v="0"/>
    <n v="0"/>
    <n v="0"/>
    <n v="518.25175073716673"/>
    <n v="0"/>
    <n v="0"/>
    <n v="1158.5910425905386"/>
    <n v="0"/>
    <n v="0"/>
    <n v="0"/>
    <n v="85.916722114388676"/>
    <n v="0"/>
    <n v="-47.377058158256659"/>
    <m/>
    <n v="0"/>
    <n v="0"/>
    <n v="0"/>
    <n v="0"/>
    <n v="-7.0751033577491285"/>
    <n v="-1.5584744365436762"/>
    <n v="0"/>
    <n v="0"/>
    <m/>
    <m/>
    <m/>
    <n v="59030.237981850769"/>
    <n v="0"/>
    <n v="0"/>
    <n v="-32198.082280000002"/>
    <n v="1158.9421199999997"/>
    <n v="0"/>
    <n v="0"/>
    <n v="-33115.35544886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7"/>
    <s v="Sistema de Compensação"/>
    <s v="Verde"/>
    <s v="A4"/>
    <s v="Rural"/>
    <s v="Não se aplica"/>
    <s v="Não se aplica"/>
    <s v="Não se aplica"/>
    <s v="Ponta"/>
    <s v="CATIVO"/>
    <x v="6"/>
    <n v="0"/>
    <n v="0"/>
    <n v="7.4580000000000002"/>
    <n v="7.1596799999999998"/>
    <n v="7.4580000000000002"/>
    <n v="7.1596799999999998"/>
    <m/>
    <n v="1614.19"/>
    <n v="209.4"/>
    <m/>
    <n v="13600.334220000001"/>
    <n v="13600.334220000001"/>
    <n v="9040.2147000000004"/>
    <n v="0"/>
    <n v="399.28625114612123"/>
    <n v="0"/>
    <n v="0"/>
    <n v="0"/>
    <n v="2322.5553719855297"/>
    <n v="8672.4354831897217"/>
    <n v="1541.2012621094646"/>
    <n v="20.531612702913659"/>
    <n v="0"/>
    <n v="0"/>
    <n v="0"/>
    <n v="0"/>
    <n v="70.922609069339416"/>
    <m/>
    <n v="9.9030628528535587"/>
    <n v="180.44575343006869"/>
    <n v="268.77665319647639"/>
    <n v="0"/>
    <n v="0"/>
    <n v="0"/>
    <n v="0"/>
    <n v="0"/>
    <n v="0"/>
    <n v="0"/>
    <n v="0"/>
    <n v="0"/>
    <n v="0"/>
    <m/>
    <n v="0"/>
    <n v="0"/>
    <n v="0"/>
    <n v="0"/>
    <n v="0"/>
    <n v="114.28964638198325"/>
    <n v="0"/>
    <n v="0"/>
    <n v="0"/>
    <n v="0"/>
    <n v="0"/>
    <m/>
    <m/>
    <m/>
    <m/>
    <m/>
    <n v="361.6085880000004"/>
    <m/>
    <m/>
    <m/>
    <n v="1655.4909084914477"/>
    <m/>
    <m/>
    <m/>
    <m/>
    <m/>
    <m/>
    <m/>
    <m/>
    <m/>
    <m/>
    <m/>
    <m/>
    <n v="8678.9940000000006"/>
    <n v="-4377.3568512000002"/>
    <m/>
    <m/>
    <m/>
    <m/>
    <n v="-4730.3856600000008"/>
    <n v="170.26613999999989"/>
    <n v="31"/>
    <n v="304.9827782601833"/>
    <n v="21.785582206881742"/>
    <n v="32.449951091654782"/>
    <n v="0"/>
    <n v="0"/>
    <n v="0"/>
    <n v="0"/>
    <n v="0"/>
    <n v="76.139026810294581"/>
    <n v="0"/>
    <n v="0"/>
    <n v="170.21456141439285"/>
    <n v="0"/>
    <n v="0"/>
    <n v="0"/>
    <n v="12.622466975201135"/>
    <n v="0"/>
    <n v="-6.9604069762879703"/>
    <m/>
    <n v="0"/>
    <n v="0"/>
    <n v="0"/>
    <n v="0"/>
    <n v="-1.0394397770485426"/>
    <n v="-0.22896348490549912"/>
    <n v="0"/>
    <n v="0"/>
    <m/>
    <m/>
    <m/>
    <n v="8672.4354831897217"/>
    <n v="0"/>
    <n v="0"/>
    <n v="-4730.3856600000008"/>
    <n v="170.26613999999995"/>
    <n v="0"/>
    <n v="0"/>
    <n v="-4865.146973005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8"/>
    <s v="Regular"/>
    <s v="Verde"/>
    <s v="A4"/>
    <s v="Rural"/>
    <s v="Não se aplica"/>
    <s v="Não se aplica"/>
    <s v="Não se aplica"/>
    <s v="Fora ponta"/>
    <s v="CATIVO"/>
    <x v="6"/>
    <n v="0"/>
    <n v="0"/>
    <n v="565.78700000000003"/>
    <n v="543.15552000000002"/>
    <n v="565.78700000000003"/>
    <n v="543.15552000000002"/>
    <m/>
    <n v="79.7"/>
    <n v="209.4"/>
    <m/>
    <n v="163569.02170000001"/>
    <n v="163569.02170000001"/>
    <n v="176819.75324000002"/>
    <n v="0"/>
    <n v="30291.092810030907"/>
    <n v="0"/>
    <n v="0"/>
    <n v="0"/>
    <n v="0"/>
    <n v="0"/>
    <n v="116920.30550886667"/>
    <n v="1557.5917881930022"/>
    <n v="0"/>
    <n v="0"/>
    <n v="0"/>
    <n v="0"/>
    <n v="5380.4089859901242"/>
    <m/>
    <n v="751.277047777883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70.3668755059207"/>
    <n v="0"/>
    <n v="0"/>
    <n v="0"/>
    <n v="0"/>
    <n v="0"/>
    <m/>
    <m/>
    <m/>
    <m/>
    <m/>
    <n v="7072.7901296000027"/>
    <m/>
    <m/>
    <m/>
    <n v="125590.67238437259"/>
    <m/>
    <m/>
    <m/>
    <m/>
    <m/>
    <m/>
    <m/>
    <m/>
    <m/>
    <m/>
    <m/>
    <m/>
    <n v="169748.36319999999"/>
    <n v="12722.072367999965"/>
    <m/>
    <m/>
    <m/>
    <m/>
    <n v="333.81433000000197"/>
    <n v="12916.917209999992"/>
    <n v="31"/>
    <n v="13246.320719120267"/>
    <n v="0"/>
    <n v="0"/>
    <n v="0"/>
    <n v="0"/>
    <n v="0"/>
    <n v="0"/>
    <n v="0"/>
    <n v="0"/>
    <n v="0"/>
    <n v="0"/>
    <n v="12913.004298600834"/>
    <n v="0"/>
    <n v="0"/>
    <n v="0"/>
    <n v="957.57947472487649"/>
    <n v="0"/>
    <n v="-528.03805066948553"/>
    <m/>
    <n v="0"/>
    <n v="0"/>
    <n v="0"/>
    <n v="0"/>
    <n v="-78.855123778086636"/>
    <n v="-17.369879757874401"/>
    <n v="0"/>
    <n v="0"/>
    <m/>
    <m/>
    <m/>
    <n v="0"/>
    <n v="0"/>
    <n v="0"/>
    <n v="333.81433000000106"/>
    <n v="12916.91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79"/>
    <s v="Sistema de Compensação"/>
    <s v="Verde"/>
    <s v="A4"/>
    <s v="Rural"/>
    <s v="Não se aplica"/>
    <s v="Não se aplica"/>
    <s v="Não se aplica"/>
    <s v="Fora ponta"/>
    <s v="CATIVO"/>
    <x v="6"/>
    <n v="0"/>
    <n v="0"/>
    <n v="23.693999999999999"/>
    <n v="22.74624"/>
    <n v="23.693999999999999"/>
    <n v="22.74624"/>
    <m/>
    <n v="79.7"/>
    <n v="209.4"/>
    <m/>
    <n v="6849.9353999999994"/>
    <n v="6849.9353999999994"/>
    <n v="7404.8488799999996"/>
    <n v="0"/>
    <n v="1268.5288863845797"/>
    <n v="0"/>
    <n v="0"/>
    <n v="0"/>
    <n v="0"/>
    <n v="0"/>
    <n v="4896.3827707725459"/>
    <n v="65.22875186146905"/>
    <n v="0"/>
    <n v="0"/>
    <n v="0"/>
    <n v="0"/>
    <n v="225.32050137958274"/>
    <m/>
    <n v="31.461943045791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09719514276088"/>
    <n v="0"/>
    <n v="0"/>
    <n v="0"/>
    <n v="0"/>
    <n v="0"/>
    <m/>
    <m/>
    <m/>
    <m/>
    <m/>
    <n v="296.19395519999961"/>
    <m/>
    <m/>
    <m/>
    <n v="5259.4799659153068"/>
    <m/>
    <m/>
    <m/>
    <m/>
    <m/>
    <m/>
    <m/>
    <m/>
    <m/>
    <m/>
    <m/>
    <m/>
    <n v="7109.83"/>
    <n v="533.86201599999913"/>
    <m/>
    <m/>
    <m/>
    <m/>
    <n v="13.979460000000079"/>
    <n v="540.93401999999958"/>
    <n v="31"/>
    <n v="554.72876386137432"/>
    <n v="0"/>
    <n v="0"/>
    <n v="0"/>
    <n v="0"/>
    <n v="0"/>
    <n v="0"/>
    <n v="0"/>
    <n v="0"/>
    <n v="0"/>
    <n v="0"/>
    <n v="540.77015528997345"/>
    <n v="0"/>
    <n v="0"/>
    <n v="0"/>
    <n v="40.101465876966472"/>
    <n v="0"/>
    <n v="-22.113151367144837"/>
    <m/>
    <n v="0"/>
    <n v="0"/>
    <n v="0"/>
    <n v="0"/>
    <n v="-3.3022909731011509"/>
    <n v="-0.72741496531924099"/>
    <n v="0"/>
    <n v="0"/>
    <m/>
    <m/>
    <m/>
    <n v="0"/>
    <n v="0"/>
    <n v="0"/>
    <n v="13.979460000000017"/>
    <n v="540.934019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0"/>
    <s v="Regular"/>
    <s v="Verde"/>
    <s v="A4"/>
    <s v="Rural"/>
    <s v="Não se aplica"/>
    <s v="Não se aplica"/>
    <s v="Não se aplica"/>
    <s v="Não se aplica"/>
    <s v="CATIVO"/>
    <x v="6"/>
    <n v="2721"/>
    <n v="2612.16"/>
    <n v="0"/>
    <n v="0"/>
    <n v="0"/>
    <n v="0"/>
    <n v="44.35"/>
    <m/>
    <m/>
    <n v="120676.35"/>
    <m/>
    <n v="120676.35"/>
    <n v="78827.37"/>
    <n v="0"/>
    <n v="0"/>
    <n v="0"/>
    <n v="0"/>
    <n v="0"/>
    <n v="35705.135295280103"/>
    <n v="78141.259743514864"/>
    <m/>
    <m/>
    <m/>
    <n v="0"/>
    <n v="0"/>
    <n v="0"/>
    <n v="0"/>
    <m/>
    <n v="0"/>
    <n v="2698.472002009491"/>
    <n v="4128.5498814635757"/>
    <n v="0"/>
    <n v="0"/>
    <m/>
    <m/>
    <n v="0"/>
    <n v="0"/>
    <n v="0"/>
    <m/>
    <m/>
    <n v="0"/>
    <m/>
    <n v="0"/>
    <n v="0"/>
    <n v="0"/>
    <n v="0"/>
    <m/>
    <n v="0"/>
    <n v="0"/>
    <n v="1162.3599999999999"/>
    <n v="5313.9"/>
    <n v="117.68"/>
    <n v="16"/>
    <m/>
    <m/>
    <m/>
    <m/>
    <m/>
    <n v="3153.0948000000039"/>
    <m/>
    <m/>
    <m/>
    <n v="0"/>
    <m/>
    <m/>
    <m/>
    <m/>
    <m/>
    <m/>
    <m/>
    <m/>
    <m/>
    <m/>
    <m/>
    <m/>
    <n v="75674.275199999989"/>
    <n v="-40175.050799999997"/>
    <m/>
    <m/>
    <m/>
    <m/>
    <n v="-41848.98000000001"/>
    <n v="0"/>
    <n v="31"/>
    <n v="1994.7415880130429"/>
    <n v="325.79200405250958"/>
    <n v="498.44821021346797"/>
    <n v="0"/>
    <n v="0"/>
    <m/>
    <m/>
    <m/>
    <n v="1170.50137374706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141.259743514864"/>
    <m/>
    <n v="0"/>
    <n v="0"/>
    <n v="-41848.98000000001"/>
    <m/>
    <n v="0"/>
    <m/>
    <n v="-43836.44179825699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81"/>
    <s v="Sistema de Compensação"/>
    <s v="Verde"/>
    <s v="A4"/>
    <s v="Rural"/>
    <s v="Não se aplica"/>
    <s v="Não se aplica"/>
    <s v="Não se aplica"/>
    <s v="Não se aplica"/>
    <s v="CATIVO"/>
    <x v="6"/>
    <n v="1222"/>
    <n v="1173.1199999999999"/>
    <n v="0"/>
    <n v="0"/>
    <n v="0"/>
    <n v="0"/>
    <n v="44.35"/>
    <m/>
    <m/>
    <n v="54195.700000000004"/>
    <m/>
    <n v="54195.700000000004"/>
    <n v="35401.339999999997"/>
    <n v="0"/>
    <n v="0"/>
    <n v="0"/>
    <n v="0"/>
    <n v="0"/>
    <n v="16035.161826840236"/>
    <n v="35093.20816118161"/>
    <m/>
    <m/>
    <m/>
    <n v="0"/>
    <n v="0"/>
    <n v="0"/>
    <n v="0"/>
    <m/>
    <n v="0"/>
    <n v="1211.8826852097018"/>
    <n v="1854.1300827447592"/>
    <n v="0"/>
    <n v="0"/>
    <m/>
    <m/>
    <n v="0"/>
    <n v="0"/>
    <n v="0"/>
    <m/>
    <m/>
    <n v="0"/>
    <m/>
    <n v="0"/>
    <n v="0"/>
    <n v="0"/>
    <n v="0"/>
    <m/>
    <n v="0"/>
    <n v="0"/>
    <n v="177.62"/>
    <n v="812.09"/>
    <n v="50.25"/>
    <n v="8"/>
    <m/>
    <m/>
    <m/>
    <m/>
    <m/>
    <n v="1416.0536000000031"/>
    <m/>
    <m/>
    <m/>
    <n v="0"/>
    <m/>
    <m/>
    <m/>
    <m/>
    <m/>
    <m/>
    <m/>
    <m/>
    <m/>
    <m/>
    <m/>
    <m/>
    <n v="33985.286399999997"/>
    <n v="-18042.615600000005"/>
    <m/>
    <m/>
    <m/>
    <m/>
    <n v="-18794.360000000004"/>
    <n v="0"/>
    <n v="31"/>
    <n v="895.8376407761607"/>
    <n v="146.3130573142837"/>
    <n v="223.85288970263059"/>
    <n v="0"/>
    <n v="0"/>
    <m/>
    <m/>
    <m/>
    <n v="525.671693759248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093.20816118161"/>
    <m/>
    <n v="0"/>
    <n v="0"/>
    <n v="-18794.360000000008"/>
    <m/>
    <n v="0"/>
    <m/>
    <n v="-19686.92829013966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82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326.17200000000003"/>
    <n v="326.17200000000003"/>
    <n v="326.17200000000003"/>
    <n v="326.17200000000003"/>
    <m/>
    <n v="581.32000000000005"/>
    <n v="209.4"/>
    <m/>
    <n v="257910.72384000005"/>
    <n v="257910.72384000005"/>
    <n v="197030.72003999999"/>
    <n v="0"/>
    <n v="20071.942357482756"/>
    <n v="0"/>
    <n v="0"/>
    <n v="0"/>
    <n v="24199.074080340408"/>
    <n v="125708.42138972018"/>
    <n v="67403.687056150215"/>
    <n v="897.94008829910888"/>
    <n v="0"/>
    <n v="0"/>
    <n v="0"/>
    <n v="0"/>
    <n v="3101.7657877935881"/>
    <m/>
    <n v="594.59991682253417"/>
    <n v="1859.0110433629359"/>
    <n v="2800.2485830564779"/>
    <n v="0"/>
    <n v="0"/>
    <n v="0"/>
    <n v="0"/>
    <n v="0"/>
    <n v="0"/>
    <n v="0"/>
    <n v="0"/>
    <n v="0"/>
    <n v="0"/>
    <m/>
    <n v="0"/>
    <n v="0"/>
    <n v="0"/>
    <n v="0"/>
    <n v="0"/>
    <n v="11276.510839879762"/>
    <n v="0"/>
    <n v="689.85"/>
    <n v="3164.23"/>
    <n v="74243.649999999994"/>
    <n v="481"/>
    <m/>
    <m/>
    <m/>
    <m/>
    <m/>
    <m/>
    <m/>
    <m/>
    <m/>
    <n v="78680.197896029975"/>
    <m/>
    <m/>
    <m/>
    <m/>
    <m/>
    <m/>
    <m/>
    <m/>
    <m/>
    <m/>
    <m/>
    <m/>
    <n v="197029.51190000001"/>
    <n v="-60881.241940000065"/>
    <m/>
    <m/>
    <m/>
    <m/>
    <n v="-68326.510560000024"/>
    <n v="7446.5067599999957"/>
    <n v="31"/>
    <n v="9636.3833969283733"/>
    <n v="224.4421779888587"/>
    <n v="338.0796973397546"/>
    <n v="0"/>
    <n v="0"/>
    <n v="0"/>
    <n v="0"/>
    <n v="0"/>
    <n v="793.30463868000516"/>
    <n v="0"/>
    <n v="0"/>
    <n v="7444.250995663082"/>
    <n v="0"/>
    <n v="0"/>
    <n v="0"/>
    <n v="1245.4092752737288"/>
    <n v="0"/>
    <n v="-349.89656471176204"/>
    <m/>
    <n v="0"/>
    <n v="0"/>
    <n v="0"/>
    <n v="0"/>
    <n v="-45.459392727203067"/>
    <n v="-13.747430578100762"/>
    <n v="0"/>
    <n v="0"/>
    <m/>
    <m/>
    <m/>
    <n v="125708.42138972018"/>
    <n v="0"/>
    <n v="0"/>
    <n v="-68326.510560000039"/>
    <n v="7446.5067599999893"/>
    <n v="0"/>
    <n v="0"/>
    <n v="-70521.129501736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3"/>
    <s v="Sistema de Compensação"/>
    <s v="Convencional"/>
    <s v="B3"/>
    <s v="Poder público"/>
    <s v="Não se aplica"/>
    <s v="Não se aplica"/>
    <s v="Não se aplica"/>
    <s v="Não se aplica"/>
    <s v="CATIVO"/>
    <x v="6"/>
    <n v="0"/>
    <n v="0"/>
    <n v="3.339"/>
    <n v="3.339"/>
    <n v="3.339"/>
    <n v="3.339"/>
    <m/>
    <n v="581.32000000000005"/>
    <n v="209.4"/>
    <m/>
    <n v="2640.2140800000002"/>
    <n v="2640.2140800000002"/>
    <n v="2016.9897299999998"/>
    <n v="0"/>
    <n v="205.47507306462515"/>
    <n v="0"/>
    <n v="0"/>
    <n v="0"/>
    <n v="247.72423247322459"/>
    <n v="1286.8683364000456"/>
    <n v="690.00684019623247"/>
    <n v="9.1921500154235325"/>
    <n v="0"/>
    <n v="0"/>
    <n v="0"/>
    <n v="0"/>
    <n v="31.752559893071108"/>
    <m/>
    <n v="6.0868778505525967"/>
    <n v="19.030566307926009"/>
    <n v="28.66594931148467"/>
    <n v="0"/>
    <n v="0"/>
    <n v="0"/>
    <n v="0"/>
    <n v="0"/>
    <n v="0"/>
    <n v="0"/>
    <n v="0"/>
    <n v="0"/>
    <n v="0"/>
    <m/>
    <n v="0"/>
    <n v="0"/>
    <n v="0"/>
    <n v="0"/>
    <n v="0"/>
    <n v="115.43685446438849"/>
    <n v="0"/>
    <n v="7.06"/>
    <n v="32.409999999999997"/>
    <n v="1221.4100000000001"/>
    <n v="4"/>
    <m/>
    <m/>
    <m/>
    <m/>
    <m/>
    <m/>
    <m/>
    <m/>
    <m/>
    <n v="805.44369466062096"/>
    <m/>
    <m/>
    <m/>
    <m/>
    <m/>
    <m/>
    <m/>
    <m/>
    <m/>
    <m/>
    <m/>
    <m/>
    <n v="2017.5937999999996"/>
    <n v="-622.65028000000075"/>
    <m/>
    <m/>
    <m/>
    <m/>
    <n v="-699.4537200000002"/>
    <n v="76.229369999999946"/>
    <n v="31"/>
    <n v="98.646984297683275"/>
    <n v="2.2975989119384863"/>
    <n v="3.4608982666122223"/>
    <n v="0"/>
    <n v="0"/>
    <n v="0"/>
    <n v="0"/>
    <n v="0"/>
    <n v="8.1210042203271371"/>
    <n v="0"/>
    <n v="0"/>
    <n v="76.206277897916038"/>
    <n v="0"/>
    <n v="0"/>
    <n v="0"/>
    <n v="12.749167832122254"/>
    <n v="0"/>
    <n v="-3.5818667131837572"/>
    <m/>
    <n v="0"/>
    <n v="0"/>
    <n v="0"/>
    <n v="0"/>
    <n v="-0.46536463067378975"/>
    <n v="-0.14073148737561336"/>
    <n v="0"/>
    <n v="0"/>
    <m/>
    <m/>
    <m/>
    <n v="1286.8683364000456"/>
    <n v="0"/>
    <n v="0"/>
    <n v="-699.4537200000002"/>
    <n v="76.229369999999903"/>
    <n v="0"/>
    <n v="0"/>
    <n v="-721.9198809410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4"/>
    <s v="Regular"/>
    <s v="Verde"/>
    <s v="A4"/>
    <s v="Poder público"/>
    <s v="Não se aplica"/>
    <s v="Não se aplica"/>
    <s v="Não se aplica"/>
    <s v="Ponta"/>
    <s v="CATIVO"/>
    <x v="6"/>
    <n v="0"/>
    <n v="0"/>
    <n v="0.34799999999999998"/>
    <n v="0.34799999999999998"/>
    <n v="0.34799999999999998"/>
    <n v="0.34799999999999998"/>
    <m/>
    <n v="1614.19"/>
    <n v="209.4"/>
    <m/>
    <n v="634.60932000000003"/>
    <n v="634.60932000000003"/>
    <n v="421.82819999999992"/>
    <n v="0"/>
    <n v="18.631216867638798"/>
    <n v="0"/>
    <n v="0"/>
    <n v="0"/>
    <n v="108.37346063971096"/>
    <n v="404.6671424175413"/>
    <n v="71.914459535276691"/>
    <n v="0.95803180753740314"/>
    <n v="0"/>
    <n v="0"/>
    <n v="0"/>
    <n v="0"/>
    <n v="3.3093413725033676"/>
    <m/>
    <n v="0.46208981936082572"/>
    <n v="8.4198340297216276"/>
    <n v="12.541468934348858"/>
    <n v="0"/>
    <n v="0"/>
    <n v="0"/>
    <n v="0"/>
    <n v="0"/>
    <n v="0"/>
    <n v="0"/>
    <n v="0"/>
    <n v="0"/>
    <n v="0"/>
    <m/>
    <n v="0"/>
    <n v="0"/>
    <n v="0"/>
    <n v="0"/>
    <n v="0"/>
    <n v="5.3329038537047682"/>
    <n v="0"/>
    <n v="0"/>
    <n v="0"/>
    <n v="0"/>
    <n v="0"/>
    <m/>
    <m/>
    <m/>
    <m/>
    <m/>
    <m/>
    <m/>
    <m/>
    <m/>
    <n v="77.247363388981455"/>
    <m/>
    <m/>
    <m/>
    <m/>
    <m/>
    <m/>
    <m/>
    <m/>
    <m/>
    <m/>
    <m/>
    <m/>
    <n v="424.25249999999994"/>
    <n v="-210.38682000000006"/>
    <m/>
    <m/>
    <m/>
    <m/>
    <n v="-220.72596000000001"/>
    <n v="7.9448399999999939"/>
    <n v="31"/>
    <n v="14.230893917208846"/>
    <n v="1.0165436588890913"/>
    <n v="1.5141570099082688"/>
    <n v="0"/>
    <n v="0"/>
    <n v="0"/>
    <n v="0"/>
    <n v="0"/>
    <n v="3.5527462228455988"/>
    <n v="0"/>
    <n v="0"/>
    <n v="7.9424332759732863"/>
    <n v="0"/>
    <n v="0"/>
    <n v="0"/>
    <n v="0.58898075990479981"/>
    <n v="0"/>
    <n v="-0.32478166100136718"/>
    <m/>
    <n v="0"/>
    <n v="0"/>
    <n v="0"/>
    <n v="0"/>
    <n v="-4.8501614697357809E-2"/>
    <n v="-1.0683734613450457E-2"/>
    <n v="0"/>
    <n v="0"/>
    <m/>
    <m/>
    <m/>
    <n v="404.6671424175413"/>
    <n v="0"/>
    <n v="0"/>
    <n v="-220.72596000000004"/>
    <n v="7.944839999999985"/>
    <n v="0"/>
    <n v="0"/>
    <n v="-227.01409849904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5"/>
    <s v="Regular"/>
    <s v="Verde"/>
    <s v="A4"/>
    <s v="Poder público"/>
    <s v="Não se aplica"/>
    <s v="Não se aplica"/>
    <s v="Não se aplica"/>
    <s v="Fora ponta"/>
    <s v="CATIVO"/>
    <x v="6"/>
    <n v="0"/>
    <n v="0"/>
    <n v="10.478999999999999"/>
    <n v="10.478999999999999"/>
    <n v="10.478999999999999"/>
    <n v="10.478999999999999"/>
    <m/>
    <n v="79.7"/>
    <n v="209.4"/>
    <m/>
    <n v="3029.4789000000001"/>
    <n v="3029.4789000000001"/>
    <n v="3274.8970799999997"/>
    <n v="0"/>
    <n v="561.02448722984764"/>
    <n v="0"/>
    <n v="0"/>
    <n v="0"/>
    <n v="0"/>
    <n v="0"/>
    <n v="2165.4931651441507"/>
    <n v="28.848319859725422"/>
    <n v="0"/>
    <n v="0"/>
    <n v="0"/>
    <n v="0"/>
    <n v="99.651115639260894"/>
    <m/>
    <n v="13.9144805088565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.58476862923067"/>
    <n v="0"/>
    <n v="0"/>
    <n v="0"/>
    <n v="0"/>
    <n v="0"/>
    <m/>
    <m/>
    <m/>
    <m/>
    <m/>
    <m/>
    <m/>
    <m/>
    <m/>
    <n v="2326.0779337733811"/>
    <m/>
    <m/>
    <m/>
    <m/>
    <m/>
    <m/>
    <m/>
    <m/>
    <m/>
    <m/>
    <m/>
    <m/>
    <n v="3275.2096000000001"/>
    <n v="245.70069999999987"/>
    <m/>
    <m/>
    <m/>
    <m/>
    <n v="6.182610000000035"/>
    <n v="239.23556999999983"/>
    <n v="31"/>
    <n v="245.33648672673871"/>
    <n v="0"/>
    <n v="0"/>
    <n v="0"/>
    <n v="0"/>
    <n v="0"/>
    <n v="0"/>
    <n v="0"/>
    <n v="0"/>
    <n v="0"/>
    <n v="0"/>
    <n v="239.1630985601264"/>
    <n v="0"/>
    <n v="0"/>
    <n v="0"/>
    <n v="17.735429261616076"/>
    <n v="0"/>
    <n v="-9.7798477748084451"/>
    <m/>
    <n v="0"/>
    <n v="0"/>
    <n v="0"/>
    <n v="0"/>
    <n v="-1.4604839667057945"/>
    <n v="-0.32170935348950458"/>
    <n v="0"/>
    <n v="0"/>
    <m/>
    <m/>
    <m/>
    <n v="0"/>
    <n v="0"/>
    <n v="0"/>
    <n v="6.1826100000000679"/>
    <n v="239.2355699999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6"/>
    <s v="Regular"/>
    <s v="Verde"/>
    <s v="A4"/>
    <s v="Poder público"/>
    <s v="Não se aplica"/>
    <s v="Não se aplica"/>
    <s v="Não se aplica"/>
    <s v="Não se aplica"/>
    <s v="CATIVO"/>
    <x v="6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26.66"/>
    <n v="121.93"/>
    <n v="2439.41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387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435.589"/>
    <n v="435.589"/>
    <n v="435.589"/>
    <n v="435.589"/>
    <m/>
    <n v="319.73"/>
    <n v="115.17"/>
    <m/>
    <n v="189437.65610000002"/>
    <n v="189437.65610000002"/>
    <n v="144715.73347000001"/>
    <n v="0"/>
    <n v="14742.879568922108"/>
    <n v="0"/>
    <n v="0"/>
    <n v="0"/>
    <n v="17774.265613755237"/>
    <n v="92333.072920421779"/>
    <n v="49508.135439601843"/>
    <n v="659.53869068211031"/>
    <n v="0"/>
    <n v="0"/>
    <n v="0"/>
    <n v="0"/>
    <n v="2278.2528290490027"/>
    <m/>
    <n v="436.73476185217055"/>
    <n v="1365.4471222302336"/>
    <n v="2056.7878727320058"/>
    <n v="0"/>
    <n v="0"/>
    <n v="0"/>
    <n v="0"/>
    <n v="0"/>
    <n v="0"/>
    <n v="0"/>
    <n v="0"/>
    <n v="0"/>
    <n v="0"/>
    <m/>
    <n v="0"/>
    <n v="0"/>
    <n v="0"/>
    <n v="0"/>
    <n v="0"/>
    <n v="8282.6185084182962"/>
    <n v="0"/>
    <n v="587.35"/>
    <n v="2685.96"/>
    <n v="52460.37"/>
    <n v="42"/>
    <m/>
    <m/>
    <m/>
    <m/>
    <m/>
    <m/>
    <m/>
    <m/>
    <m/>
    <n v="57790.753948020138"/>
    <m/>
    <m/>
    <m/>
    <m/>
    <m/>
    <m/>
    <m/>
    <m/>
    <m/>
    <m/>
    <m/>
    <m/>
    <n v="144716.06569999998"/>
    <n v="-44721.620400000073"/>
    <m/>
    <m/>
    <m/>
    <m/>
    <n v="-50188.564580000013"/>
    <n v="5466.6419499999984"/>
    <n v="31"/>
    <n v="7077.941804068163"/>
    <n v="164.85320360850869"/>
    <n v="248.32017618461805"/>
    <n v="0"/>
    <n v="0"/>
    <n v="0"/>
    <n v="0"/>
    <n v="0"/>
    <n v="582.68375532505161"/>
    <n v="0"/>
    <n v="0"/>
    <n v="5467.8164153343605"/>
    <n v="0"/>
    <n v="0"/>
    <n v="0"/>
    <n v="914.75546473627219"/>
    <n v="0"/>
    <n v="-256.99968758642171"/>
    <m/>
    <n v="0"/>
    <n v="0"/>
    <n v="0"/>
    <n v="0"/>
    <n v="-33.390009811563232"/>
    <n v="-10.097513722656515"/>
    <n v="0"/>
    <n v="0"/>
    <m/>
    <m/>
    <m/>
    <n v="92333.072920421779"/>
    <n v="0"/>
    <n v="0"/>
    <n v="-50188.56458000002"/>
    <n v="5466.6419499999975"/>
    <n v="0"/>
    <n v="0"/>
    <n v="-51797.902803406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8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02.355"/>
    <n v="96.213700000000003"/>
    <n v="102.355"/>
    <n v="96.213700000000003"/>
    <m/>
    <n v="581.32000000000005"/>
    <n v="209.4"/>
    <m/>
    <n v="80934.145600000018"/>
    <n v="80934.145600000018"/>
    <n v="61829.584849999999"/>
    <n v="0"/>
    <n v="6298.7125197752948"/>
    <n v="0"/>
    <n v="0"/>
    <n v="0"/>
    <n v="7593.8346255755932"/>
    <n v="39448.160698480584"/>
    <n v="21151.737085440363"/>
    <n v="281.77972890945659"/>
    <n v="0"/>
    <n v="0"/>
    <n v="0"/>
    <n v="0"/>
    <n v="973.35527638673057"/>
    <m/>
    <n v="186.589512546664"/>
    <n v="583.37035473128685"/>
    <n v="878.73711943007299"/>
    <n v="0"/>
    <n v="0"/>
    <n v="0"/>
    <n v="0"/>
    <n v="0"/>
    <n v="0"/>
    <n v="0"/>
    <n v="0"/>
    <n v="0"/>
    <n v="0"/>
    <m/>
    <n v="0"/>
    <n v="0"/>
    <n v="0"/>
    <n v="0"/>
    <n v="0"/>
    <n v="3538.6460732861588"/>
    <n v="0"/>
    <n v="206.57"/>
    <n v="944.67"/>
    <n v="25857.85"/>
    <n v="21"/>
    <m/>
    <m/>
    <m/>
    <m/>
    <n v="3709.7750910000004"/>
    <m/>
    <m/>
    <m/>
    <m/>
    <n v="24690.383158726523"/>
    <m/>
    <m/>
    <m/>
    <m/>
    <m/>
    <m/>
    <m/>
    <m/>
    <m/>
    <m/>
    <m/>
    <m/>
    <n v="58117.57469999999"/>
    <n v="-17960.552164000015"/>
    <m/>
    <m/>
    <m/>
    <m/>
    <n v="-21441.325400000009"/>
    <n v="2336.7646499999983"/>
    <n v="31"/>
    <n v="3023.9628864298647"/>
    <n v="70.431487460755875"/>
    <n v="106.09171670532908"/>
    <n v="0"/>
    <n v="0"/>
    <n v="0"/>
    <n v="0"/>
    <n v="0"/>
    <n v="248.94441059346627"/>
    <n v="0"/>
    <n v="0"/>
    <n v="2336.0567757535791"/>
    <n v="0"/>
    <n v="0"/>
    <n v="0"/>
    <n v="390.8179315534212"/>
    <n v="0"/>
    <n v="-109.79993034678773"/>
    <m/>
    <n v="0"/>
    <n v="0"/>
    <n v="0"/>
    <n v="0"/>
    <n v="-14.265467736632445"/>
    <n v="-4.3140375532587427"/>
    <n v="0"/>
    <n v="0"/>
    <m/>
    <m/>
    <m/>
    <n v="39448.160698480584"/>
    <n v="0"/>
    <n v="0"/>
    <n v="-21441.325400000009"/>
    <n v="2336.7646499999973"/>
    <n v="0"/>
    <n v="0"/>
    <n v="-22130.01180404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89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30.131"/>
    <n v="30.131"/>
    <n v="30.131"/>
    <n v="30.131"/>
    <m/>
    <n v="581.32000000000005"/>
    <n v="209.4"/>
    <m/>
    <n v="23825.184320000004"/>
    <n v="23825.184320000004"/>
    <n v="18201.23317"/>
    <n v="0"/>
    <n v="1854.1986901797607"/>
    <n v="0"/>
    <n v="0"/>
    <n v="0"/>
    <n v="2235.4533838426864"/>
    <n v="11612.647452551593"/>
    <n v="6226.5936214293743"/>
    <n v="82.949587335946831"/>
    <n v="0"/>
    <n v="0"/>
    <n v="0"/>
    <n v="0"/>
    <n v="286.53380716924994"/>
    <m/>
    <n v="54.927737800239683"/>
    <n v="171.73105523333891"/>
    <n v="258.6803590010017"/>
    <n v="0"/>
    <n v="0"/>
    <n v="0"/>
    <n v="0"/>
    <n v="0"/>
    <n v="0"/>
    <n v="0"/>
    <n v="0"/>
    <n v="0"/>
    <n v="0"/>
    <m/>
    <n v="0"/>
    <n v="0"/>
    <n v="0"/>
    <n v="0"/>
    <n v="0"/>
    <n v="1041.6974728560915"/>
    <n v="0"/>
    <n v="63.87"/>
    <n v="292.27999999999997"/>
    <n v="7611.86"/>
    <n v="17"/>
    <m/>
    <m/>
    <m/>
    <m/>
    <m/>
    <m/>
    <m/>
    <m/>
    <m/>
    <n v="7268.291094285466"/>
    <m/>
    <m/>
    <m/>
    <m/>
    <m/>
    <m/>
    <m/>
    <m/>
    <m/>
    <m/>
    <m/>
    <m/>
    <n v="18200.629099999998"/>
    <n v="-5624.5852200000008"/>
    <m/>
    <m/>
    <m/>
    <m/>
    <n v="-6311.8418800000027"/>
    <n v="687.89072999999951"/>
    <n v="31"/>
    <n v="890.18636833587516"/>
    <n v="20.733438998388294"/>
    <n v="31.231004992899898"/>
    <n v="0"/>
    <n v="0"/>
    <n v="0"/>
    <n v="0"/>
    <n v="0"/>
    <n v="73.283611309576827"/>
    <n v="0"/>
    <n v="0"/>
    <n v="687.68234781135288"/>
    <n v="0"/>
    <n v="0"/>
    <n v="0"/>
    <n v="115.04797123380536"/>
    <n v="0"/>
    <n v="-32.322619327625034"/>
    <m/>
    <n v="0"/>
    <n v="0"/>
    <n v="0"/>
    <n v="0"/>
    <n v="-4.1994314725462232"/>
    <n v="-1.2699552099774181"/>
    <n v="0"/>
    <n v="0"/>
    <m/>
    <m/>
    <m/>
    <n v="11612.647452551593"/>
    <n v="0"/>
    <n v="0"/>
    <n v="-6311.8418800000036"/>
    <n v="687.89072999999917"/>
    <n v="0"/>
    <n v="0"/>
    <n v="-6514.5756012680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0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727"/>
    <n v="3326.27"/>
    <n v="1256.42"/>
    <n v="12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91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6.12"/>
    <n v="394.13"/>
    <n v="268.01"/>
    <n v="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392"/>
    <s v="Regular"/>
    <s v="Convencional"/>
    <s v="B2"/>
    <s v="Rural"/>
    <s v="Agropecuária rural"/>
    <s v="IRRIG./AQUIC."/>
    <s v="Não se aplica"/>
    <s v="Não se aplica"/>
    <s v="CATIVO"/>
    <x v="6"/>
    <n v="0"/>
    <n v="0"/>
    <n v="265.26299999999998"/>
    <n v="265.26299999999998"/>
    <n v="265.26299999999998"/>
    <n v="265.26299999999998"/>
    <m/>
    <n v="581.32000000000005"/>
    <n v="209.4"/>
    <m/>
    <n v="209748.75936"/>
    <n v="209748.75936"/>
    <n v="160237.42040999996"/>
    <n v="0"/>
    <n v="16323.729950985822"/>
    <n v="0"/>
    <n v="0"/>
    <n v="0"/>
    <n v="19680.16564197214"/>
    <n v="102233.76924782427"/>
    <n v="54816.796780764664"/>
    <n v="730.25974529538553"/>
    <n v="0"/>
    <n v="0"/>
    <n v="0"/>
    <n v="0"/>
    <n v="2522.5454611906921"/>
    <m/>
    <n v="483.56498330971351"/>
    <n v="1511.8613688347939"/>
    <n v="2277.3332471435633"/>
    <n v="0"/>
    <n v="0"/>
    <n v="0"/>
    <n v="0"/>
    <n v="0"/>
    <n v="0"/>
    <n v="0"/>
    <n v="0"/>
    <n v="0"/>
    <n v="0"/>
    <m/>
    <n v="0"/>
    <n v="0"/>
    <n v="0"/>
    <n v="0"/>
    <n v="0"/>
    <n v="9170.7476267706134"/>
    <n v="0"/>
    <n v="0"/>
    <n v="0"/>
    <n v="0"/>
    <n v="0"/>
    <m/>
    <m/>
    <m/>
    <m/>
    <m/>
    <n v="19228.914869999979"/>
    <m/>
    <m/>
    <m/>
    <n v="63987.544407535279"/>
    <m/>
    <m/>
    <m/>
    <m/>
    <m/>
    <m/>
    <m/>
    <m/>
    <m/>
    <m/>
    <m/>
    <m/>
    <n v="141006.91080000001"/>
    <n v="-43576.377749999985"/>
    <m/>
    <m/>
    <m/>
    <m/>
    <n v="-55567.293240000014"/>
    <n v="6055.9542899999951"/>
    <n v="31"/>
    <n v="7836.895775907833"/>
    <n v="182.53009289533952"/>
    <n v="274.94706705491399"/>
    <n v="0"/>
    <n v="0"/>
    <n v="0"/>
    <n v="0"/>
    <n v="0"/>
    <n v="645.16380428171033"/>
    <n v="0"/>
    <n v="0"/>
    <n v="6054.119764610623"/>
    <n v="0"/>
    <n v="0"/>
    <n v="0"/>
    <n v="1012.8429190333172"/>
    <n v="0"/>
    <n v="-284.55726563020835"/>
    <m/>
    <n v="0"/>
    <n v="0"/>
    <n v="0"/>
    <n v="0"/>
    <n v="-36.970355803061466"/>
    <n v="-11.180250534806021"/>
    <n v="0"/>
    <n v="0"/>
    <m/>
    <m/>
    <m/>
    <n v="102233.76924782427"/>
    <n v="0"/>
    <n v="0"/>
    <n v="-55567.293240000014"/>
    <n v="6055.9542899999942"/>
    <n v="0"/>
    <n v="0"/>
    <n v="-57352.091457939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3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21.518000000000001"/>
    <n v="21.518000000000001"/>
    <n v="21.518000000000001"/>
    <n v="21.518000000000001"/>
    <m/>
    <n v="581.32000000000005"/>
    <n v="209.4"/>
    <m/>
    <n v="17014.712960000001"/>
    <n v="17014.712960000001"/>
    <n v="12998.378259999999"/>
    <n v="0"/>
    <n v="1324.1726930831401"/>
    <n v="0"/>
    <n v="0"/>
    <n v="0"/>
    <n v="1596.4450537163364"/>
    <n v="8293.151501244738"/>
    <n v="4446.7107479312763"/>
    <n v="59.238300099396099"/>
    <n v="0"/>
    <n v="0"/>
    <n v="0"/>
    <n v="0"/>
    <n v="204.62760819979158"/>
    <m/>
    <n v="39.226546148005625"/>
    <n v="122.6414273177454"/>
    <n v="184.73611778512344"/>
    <n v="0"/>
    <n v="0"/>
    <n v="0"/>
    <n v="0"/>
    <n v="0"/>
    <n v="0"/>
    <n v="0"/>
    <n v="0"/>
    <n v="0"/>
    <n v="0"/>
    <m/>
    <n v="0"/>
    <n v="0"/>
    <n v="0"/>
    <n v="0"/>
    <n v="0"/>
    <n v="743.9263954371703"/>
    <n v="0"/>
    <n v="0"/>
    <n v="0"/>
    <n v="0"/>
    <n v="0"/>
    <m/>
    <m/>
    <m/>
    <m/>
    <m/>
    <n v="1559.8398199999983"/>
    <m/>
    <m/>
    <m/>
    <n v="5190.6371433684462"/>
    <m/>
    <m/>
    <m/>
    <m/>
    <m/>
    <m/>
    <m/>
    <m/>
    <m/>
    <m/>
    <m/>
    <m/>
    <n v="11439.601600000002"/>
    <n v="-3533.7286999999997"/>
    <m/>
    <m/>
    <m/>
    <m/>
    <n v="-4507.5906400000022"/>
    <n v="491.25593999999967"/>
    <n v="31"/>
    <n v="635.72500991840207"/>
    <n v="14.806748543603575"/>
    <n v="22.303566607056553"/>
    <n v="0"/>
    <n v="0"/>
    <n v="0"/>
    <n v="0"/>
    <n v="0"/>
    <n v="52.33536053099715"/>
    <n v="0"/>
    <n v="0"/>
    <n v="491.1071242310145"/>
    <n v="0"/>
    <n v="0"/>
    <n v="0"/>
    <n v="82.161303807010086"/>
    <n v="0"/>
    <n v="-23.08314104051783"/>
    <m/>
    <n v="0"/>
    <n v="0"/>
    <n v="0"/>
    <n v="0"/>
    <n v="-2.9990165087866387"/>
    <n v="-0.90693625197617678"/>
    <n v="0"/>
    <n v="0"/>
    <m/>
    <m/>
    <m/>
    <n v="8293.151501244738"/>
    <n v="0"/>
    <n v="0"/>
    <n v="-4507.5906400000022"/>
    <n v="491.25594000000001"/>
    <n v="0"/>
    <n v="0"/>
    <n v="-4652.3725660644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4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286.29399999999998"/>
    <n v="114.5176"/>
    <n v="286.29399999999998"/>
    <n v="114.5176"/>
    <m/>
    <n v="581.32000000000005"/>
    <n v="209.4"/>
    <m/>
    <n v="226378.39168"/>
    <n v="226378.39168"/>
    <n v="172941.61657999997"/>
    <n v="0"/>
    <n v="17617.93368312782"/>
    <n v="0"/>
    <n v="0"/>
    <n v="0"/>
    <n v="21240.479608172915"/>
    <n v="110339.22836217868"/>
    <n v="59162.86861549571"/>
    <n v="788.15735145722203"/>
    <n v="0"/>
    <n v="0"/>
    <n v="0"/>
    <n v="0"/>
    <n v="2722.5418933893079"/>
    <m/>
    <n v="521.90374583591051"/>
    <n v="1631.7271490150849"/>
    <n v="2457.8883774130554"/>
    <n v="0"/>
    <n v="0"/>
    <n v="0"/>
    <n v="0"/>
    <n v="0"/>
    <n v="0"/>
    <n v="0"/>
    <n v="0"/>
    <n v="0"/>
    <n v="0"/>
    <m/>
    <n v="0"/>
    <n v="0"/>
    <n v="0"/>
    <n v="0"/>
    <n v="0"/>
    <n v="9897.8373201640115"/>
    <n v="0"/>
    <n v="0"/>
    <n v="0"/>
    <n v="0"/>
    <n v="0"/>
    <m/>
    <m/>
    <m/>
    <m/>
    <m/>
    <m/>
    <n v="112066.35077199998"/>
    <m/>
    <m/>
    <n v="69060.705935659716"/>
    <m/>
    <m/>
    <m/>
    <m/>
    <m/>
    <m/>
    <m/>
    <m/>
    <m/>
    <m/>
    <m/>
    <m/>
    <n v="60876.541599999997"/>
    <n v="-18810.560360000003"/>
    <m/>
    <m/>
    <m/>
    <m/>
    <n v="-59972.867120000017"/>
    <n v="6536.0920199999955"/>
    <n v="31"/>
    <n v="8458.2329207909061"/>
    <n v="197.0017319240842"/>
    <n v="296.74585454970929"/>
    <n v="0"/>
    <n v="0"/>
    <n v="0"/>
    <n v="0"/>
    <n v="0"/>
    <n v="696.3146996868345"/>
    <n v="0"/>
    <n v="0"/>
    <n v="6534.1120468721056"/>
    <n v="0"/>
    <n v="0"/>
    <n v="0"/>
    <n v="1093.1447305569363"/>
    <n v="0"/>
    <n v="-307.11798406236267"/>
    <m/>
    <n v="0"/>
    <n v="0"/>
    <n v="0"/>
    <n v="0"/>
    <n v="-39.901497925762669"/>
    <n v="-12.066660810636108"/>
    <n v="0"/>
    <n v="0"/>
    <m/>
    <m/>
    <m/>
    <n v="110339.22836217868"/>
    <n v="0"/>
    <n v="0"/>
    <n v="-59972.867120000024"/>
    <n v="6536.0920200000037"/>
    <n v="0"/>
    <n v="0"/>
    <n v="-61899.17052834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5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52.267000000000003"/>
    <n v="20.9068"/>
    <n v="52.267000000000003"/>
    <n v="20.9068"/>
    <m/>
    <n v="581.32000000000005"/>
    <n v="209.4"/>
    <m/>
    <n v="41328.562240000007"/>
    <n v="41328.562240000007"/>
    <n v="31572.92669"/>
    <n v="0"/>
    <n v="3216.4018100834874"/>
    <n v="0"/>
    <n v="0"/>
    <n v="0"/>
    <n v="3877.7485650428366"/>
    <n v="20143.979436544229"/>
    <n v="10801.014530259505"/>
    <n v="143.88921978321108"/>
    <n v="0"/>
    <n v="0"/>
    <n v="0"/>
    <n v="0"/>
    <n v="497.03834918572858"/>
    <m/>
    <n v="95.280875895427556"/>
    <n v="297.89476167007149"/>
    <n v="448.72212418789144"/>
    <n v="0"/>
    <n v="0"/>
    <n v="0"/>
    <n v="0"/>
    <n v="0"/>
    <n v="0"/>
    <n v="0"/>
    <n v="0"/>
    <n v="0"/>
    <n v="0"/>
    <m/>
    <n v="0"/>
    <n v="0"/>
    <n v="0"/>
    <n v="0"/>
    <n v="0"/>
    <n v="1806.989539469959"/>
    <n v="0"/>
    <n v="0"/>
    <n v="0"/>
    <n v="0"/>
    <n v="0"/>
    <m/>
    <m/>
    <m/>
    <m/>
    <m/>
    <m/>
    <n v="20459.289945999997"/>
    <m/>
    <m/>
    <n v="12608.004069729464"/>
    <m/>
    <m/>
    <m/>
    <m/>
    <m/>
    <m/>
    <m/>
    <m/>
    <m/>
    <m/>
    <m/>
    <m/>
    <n v="11115.337800000001"/>
    <n v="-3432.6889800000008"/>
    <m/>
    <m/>
    <m/>
    <m/>
    <n v="-10948.891160000005"/>
    <n v="1193.2556099999993"/>
    <n v="31"/>
    <n v="1544.1694903524985"/>
    <n v="35.965439452018245"/>
    <n v="54.175133183893649"/>
    <n v="0"/>
    <n v="0"/>
    <n v="0"/>
    <n v="0"/>
    <n v="0"/>
    <n v="127.12205078881061"/>
    <n v="0"/>
    <n v="0"/>
    <n v="1192.8941380324577"/>
    <n v="0"/>
    <n v="0"/>
    <n v="0"/>
    <n v="199.56895929366101"/>
    <n v="0"/>
    <n v="-56.068711439945218"/>
    <m/>
    <n v="0"/>
    <n v="0"/>
    <n v="0"/>
    <n v="0"/>
    <n v="-7.2845801591575423"/>
    <n v="-2.2029387992396465"/>
    <n v="0"/>
    <n v="0"/>
    <m/>
    <m/>
    <m/>
    <n v="20143.979436544229"/>
    <n v="0"/>
    <n v="0"/>
    <n v="-10948.891160000006"/>
    <n v="1193.2556100000002"/>
    <n v="0"/>
    <n v="0"/>
    <n v="-11300.56496470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6"/>
    <s v="Regular"/>
    <s v="Verde"/>
    <s v="A4"/>
    <s v="Rural"/>
    <s v="Agropecuária rural"/>
    <s v="Não se aplica"/>
    <s v="Não se aplica"/>
    <s v="Ponta"/>
    <s v="CATIVO"/>
    <x v="6"/>
    <n v="0"/>
    <n v="0"/>
    <n v="36.325000000000003"/>
    <n v="34.872"/>
    <n v="36.325000000000003"/>
    <n v="34.872"/>
    <m/>
    <n v="1614.19"/>
    <n v="209.4"/>
    <m/>
    <n v="66241.906750000009"/>
    <n v="66241.906750000009"/>
    <n v="44031.348750000005"/>
    <n v="0"/>
    <n v="1944.7671055085618"/>
    <n v="0"/>
    <n v="0"/>
    <n v="0"/>
    <n v="11312.258499245692"/>
    <n v="42240.040081371233"/>
    <n v="7506.5883408589834"/>
    <n v="100.00145232412693"/>
    <n v="0"/>
    <n v="0"/>
    <n v="0"/>
    <n v="0"/>
    <n v="345.43627975915189"/>
    <m/>
    <n v="48.233944506557464"/>
    <n v="878.88066416562697"/>
    <n v="1309.105916782248"/>
    <n v="0"/>
    <n v="0"/>
    <n v="0"/>
    <n v="0"/>
    <n v="0"/>
    <n v="0"/>
    <n v="0"/>
    <n v="0"/>
    <n v="0"/>
    <n v="0"/>
    <m/>
    <n v="0"/>
    <n v="0"/>
    <n v="0"/>
    <n v="0"/>
    <n v="0"/>
    <n v="556.66015082133833"/>
    <n v="0"/>
    <n v="0"/>
    <n v="0"/>
    <n v="0"/>
    <n v="0"/>
    <m/>
    <m/>
    <m/>
    <m/>
    <m/>
    <n v="1761.2539500000037"/>
    <m/>
    <m/>
    <m/>
    <n v="8063.2484916803214"/>
    <m/>
    <m/>
    <m/>
    <m/>
    <m/>
    <m/>
    <m/>
    <m/>
    <m/>
    <m/>
    <m/>
    <m/>
    <n v="42267.670499999993"/>
    <n v="-21324.589980000012"/>
    <m/>
    <m/>
    <m/>
    <m/>
    <n v="-23039.857750000006"/>
    <n v="829.29974999999945"/>
    <n v="31"/>
    <n v="1485.4517860419874"/>
    <n v="106.10904715271897"/>
    <n v="158.051015473902"/>
    <n v="0"/>
    <n v="0"/>
    <n v="0"/>
    <n v="0"/>
    <n v="0"/>
    <n v="370.84340961168527"/>
    <n v="0"/>
    <n v="0"/>
    <n v="829.04853089002609"/>
    <n v="0"/>
    <n v="0"/>
    <n v="0"/>
    <n v="61.479097998683528"/>
    <n v="0"/>
    <n v="-33.901419068605492"/>
    <m/>
    <n v="0"/>
    <n v="0"/>
    <n v="0"/>
    <n v="0"/>
    <n v="-5.0627044651768074"/>
    <n v="-1.1151915512459496"/>
    <n v="0"/>
    <n v="0"/>
    <m/>
    <m/>
    <m/>
    <n v="42240.040081371233"/>
    <n v="0"/>
    <n v="0"/>
    <n v="-23039.857750000003"/>
    <n v="829.29974999999922"/>
    <n v="0"/>
    <n v="0"/>
    <n v="-23696.227379246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7"/>
    <s v="Sistema de Compensação"/>
    <s v="Verde"/>
    <s v="A4"/>
    <s v="Rural"/>
    <s v="Agropecuária rural"/>
    <s v="Não se aplica"/>
    <s v="Não se aplica"/>
    <s v="Ponta"/>
    <s v="CATIVO"/>
    <x v="6"/>
    <n v="0"/>
    <n v="0"/>
    <n v="2.2450000000000001"/>
    <n v="2.1551999999999998"/>
    <n v="2.2450000000000001"/>
    <n v="2.1551999999999998"/>
    <m/>
    <n v="1614.19"/>
    <n v="209.4"/>
    <m/>
    <n v="4093.9595500000005"/>
    <n v="4093.9595500000005"/>
    <n v="2721.27675"/>
    <n v="0"/>
    <n v="120.19276398807216"/>
    <n v="0"/>
    <n v="0"/>
    <n v="0"/>
    <n v="699.13338832227339"/>
    <n v="2610.5682032395985"/>
    <n v="463.93092430085113"/>
    <n v="6.1804063446019262"/>
    <n v="0"/>
    <n v="0"/>
    <n v="0"/>
    <n v="0"/>
    <n v="21.349055693304773"/>
    <m/>
    <n v="2.9810104726007296"/>
    <n v="54.317607461853612"/>
    <n v="80.906890108083871"/>
    <n v="0"/>
    <n v="0"/>
    <n v="0"/>
    <n v="0"/>
    <n v="0"/>
    <n v="0"/>
    <n v="0"/>
    <n v="0"/>
    <n v="0"/>
    <n v="0"/>
    <m/>
    <n v="0"/>
    <n v="0"/>
    <n v="0"/>
    <n v="0"/>
    <n v="0"/>
    <n v="34.403359630940251"/>
    <n v="0"/>
    <n v="0"/>
    <n v="0"/>
    <n v="0"/>
    <n v="0"/>
    <m/>
    <m/>
    <m/>
    <m/>
    <m/>
    <n v="108.85107000000039"/>
    <m/>
    <m/>
    <m/>
    <n v="498.33428393179139"/>
    <m/>
    <m/>
    <m/>
    <m/>
    <m/>
    <m/>
    <m/>
    <m/>
    <m/>
    <m/>
    <m/>
    <m/>
    <n v="2618.2439999999997"/>
    <n v="-1311.9871680000006"/>
    <m/>
    <m/>
    <m/>
    <m/>
    <n v="-1423.9361500000002"/>
    <n v="51.253349999999969"/>
    <n v="31"/>
    <n v="91.80562311532708"/>
    <n v="6.5578750408218625"/>
    <n v="9.7680531242645543"/>
    <n v="0"/>
    <n v="0"/>
    <n v="0"/>
    <n v="0"/>
    <n v="0"/>
    <n v="22.919296753702156"/>
    <n v="0"/>
    <n v="0"/>
    <n v="51.237823863678216"/>
    <n v="0"/>
    <n v="0"/>
    <n v="0"/>
    <n v="3.7996028907651578"/>
    <n v="0"/>
    <n v="-2.0952150257128466"/>
    <m/>
    <n v="0"/>
    <n v="0"/>
    <n v="0"/>
    <n v="0"/>
    <n v="-0.31289116378037107"/>
    <n v="-6.8922368411483692E-2"/>
    <n v="0"/>
    <n v="0"/>
    <m/>
    <m/>
    <m/>
    <n v="2610.5682032395985"/>
    <n v="0"/>
    <n v="0"/>
    <n v="-1423.9361500000005"/>
    <n v="51.253350000000012"/>
    <n v="0"/>
    <n v="0"/>
    <n v="-1464.501871064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8"/>
    <s v="Regular"/>
    <s v="Verde"/>
    <s v="A4"/>
    <s v="Rural"/>
    <s v="Agropecuária rural"/>
    <s v="Não se aplica"/>
    <s v="Não se aplica"/>
    <s v="Fora ponta"/>
    <s v="CATIVO"/>
    <x v="6"/>
    <n v="0"/>
    <n v="0"/>
    <n v="2587.6770000000001"/>
    <n v="2484.1699199999998"/>
    <n v="2587.6770000000001"/>
    <n v="2484.1699199999998"/>
    <m/>
    <n v="79.7"/>
    <n v="209.4"/>
    <m/>
    <n v="748097.42070000002"/>
    <n v="748097.42070000002"/>
    <n v="808700.81603999995"/>
    <n v="0"/>
    <n v="138538.99819080738"/>
    <n v="0"/>
    <n v="0"/>
    <n v="0"/>
    <n v="0"/>
    <n v="0"/>
    <n v="534745.38191628223"/>
    <n v="7123.7841196349564"/>
    <n v="0"/>
    <n v="0"/>
    <n v="0"/>
    <n v="0"/>
    <n v="24607.777456251144"/>
    <m/>
    <n v="3436.0321767073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54.691509894241"/>
    <n v="0"/>
    <n v="0"/>
    <n v="0"/>
    <n v="0"/>
    <n v="0"/>
    <m/>
    <m/>
    <m/>
    <m/>
    <m/>
    <n v="32348.032641600097"/>
    <m/>
    <m/>
    <m/>
    <n v="574400.07342617644"/>
    <m/>
    <m/>
    <m/>
    <m/>
    <m/>
    <m/>
    <m/>
    <m/>
    <m/>
    <m/>
    <m/>
    <m/>
    <n v="776352.80839999998"/>
    <n v="58179.254528000019"/>
    <m/>
    <m/>
    <m/>
    <m/>
    <n v="1526.729430000009"/>
    <n v="59076.66590999996"/>
    <n v="31"/>
    <n v="60583.222059699008"/>
    <n v="0"/>
    <n v="0"/>
    <n v="0"/>
    <n v="0"/>
    <n v="0"/>
    <n v="0"/>
    <n v="0"/>
    <n v="0"/>
    <n v="0"/>
    <n v="0"/>
    <n v="59058.769862846821"/>
    <n v="0"/>
    <n v="0"/>
    <n v="0"/>
    <n v="4379.574614506244"/>
    <n v="0"/>
    <n v="-2415.028833893768"/>
    <m/>
    <n v="0"/>
    <n v="0"/>
    <n v="0"/>
    <n v="0"/>
    <n v="-360.65089889429873"/>
    <n v="-79.442684865889987"/>
    <n v="0"/>
    <n v="0"/>
    <m/>
    <m/>
    <m/>
    <n v="0"/>
    <n v="0"/>
    <n v="0"/>
    <n v="1526.7294300000067"/>
    <n v="59076.66590999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399"/>
    <s v="Sistema de Compensação"/>
    <s v="Verde"/>
    <s v="A4"/>
    <s v="Rural"/>
    <s v="Agropecuária rural"/>
    <s v="Não se aplica"/>
    <s v="Não se aplica"/>
    <s v="Fora ponta"/>
    <s v="CATIVO"/>
    <x v="6"/>
    <n v="0"/>
    <n v="0"/>
    <n v="590.45600000000002"/>
    <n v="566.83776"/>
    <n v="590.45600000000002"/>
    <n v="566.83776"/>
    <m/>
    <n v="79.7"/>
    <n v="209.4"/>
    <m/>
    <n v="170700.8296"/>
    <n v="170700.8296"/>
    <n v="184529.30911999999"/>
    <n v="0"/>
    <n v="31611.821226432574"/>
    <n v="0"/>
    <n v="0"/>
    <n v="0"/>
    <n v="0"/>
    <n v="0"/>
    <n v="122018.17275678547"/>
    <n v="1625.5046808945544"/>
    <n v="0"/>
    <n v="0"/>
    <n v="0"/>
    <n v="0"/>
    <n v="5615.001348973703"/>
    <m/>
    <n v="784.03363902447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48.4053961008703"/>
    <n v="0"/>
    <n v="0"/>
    <n v="0"/>
    <n v="0"/>
    <n v="0"/>
    <m/>
    <m/>
    <m/>
    <m/>
    <m/>
    <n v="7381.1723648000043"/>
    <m/>
    <m/>
    <m/>
    <n v="131066.57815288634"/>
    <m/>
    <m/>
    <m/>
    <m/>
    <m/>
    <m/>
    <m/>
    <m/>
    <m/>
    <m/>
    <m/>
    <m/>
    <n v="177148.83680000002"/>
    <n v="13276.010383999994"/>
    <m/>
    <m/>
    <m/>
    <m/>
    <n v="348.36904000000203"/>
    <n v="13480.11047999999"/>
    <n v="31"/>
    <n v="13823.876381975686"/>
    <n v="0"/>
    <n v="0"/>
    <n v="0"/>
    <n v="0"/>
    <n v="0"/>
    <n v="0"/>
    <n v="0"/>
    <n v="0"/>
    <n v="0"/>
    <n v="0"/>
    <n v="13476.026960913994"/>
    <n v="0"/>
    <n v="0"/>
    <n v="0"/>
    <n v="999.33110221364586"/>
    <n v="0"/>
    <n v="-551.06115065581253"/>
    <m/>
    <n v="0"/>
    <n v="0"/>
    <n v="0"/>
    <n v="0"/>
    <n v="-82.293302895814122"/>
    <n v="-18.127227600343417"/>
    <n v="0"/>
    <n v="0"/>
    <m/>
    <m/>
    <m/>
    <n v="0"/>
    <n v="0"/>
    <n v="0"/>
    <n v="348.36904000000504"/>
    <n v="13480.11047999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0"/>
    <s v="Sistema de Compensação"/>
    <s v="Verde"/>
    <s v="A4"/>
    <s v="Rural"/>
    <s v="Agropecuária rural"/>
    <s v="Não se aplica"/>
    <s v="Não se aplica"/>
    <s v="Fora ponta"/>
    <s v="CATIVO"/>
    <x v="6"/>
    <n v="0"/>
    <n v="0"/>
    <n v="9.1"/>
    <n v="8.7359999999999989"/>
    <n v="9.1"/>
    <n v="8.7359999999999989"/>
    <m/>
    <n v="79.7"/>
    <n v="209.4"/>
    <m/>
    <n v="2630.81"/>
    <n v="2630.81"/>
    <n v="2843.9319999999998"/>
    <n v="0"/>
    <n v="487.19561349285368"/>
    <n v="0"/>
    <n v="0"/>
    <n v="0"/>
    <n v="0"/>
    <n v="0"/>
    <n v="1880.5217866983276"/>
    <n v="25.051981174110253"/>
    <n v="0"/>
    <n v="0"/>
    <n v="0"/>
    <n v="0"/>
    <n v="86.537374970634048"/>
    <m/>
    <n v="12.083383207423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45237088710746"/>
    <n v="0"/>
    <n v="0"/>
    <n v="0"/>
    <n v="0"/>
    <n v="0"/>
    <m/>
    <m/>
    <m/>
    <m/>
    <m/>
    <n v="113.75728000000024"/>
    <m/>
    <m/>
    <m/>
    <n v="2019.974157585435"/>
    <m/>
    <m/>
    <m/>
    <m/>
    <m/>
    <m/>
    <m/>
    <m/>
    <m/>
    <m/>
    <m/>
    <m/>
    <n v="2731.4248000000002"/>
    <n v="205.81719999999996"/>
    <m/>
    <m/>
    <m/>
    <m/>
    <n v="5.3690000000000309"/>
    <n v="207.75299999999984"/>
    <n v="31"/>
    <n v="213.05105727772843"/>
    <n v="0"/>
    <n v="0"/>
    <n v="0"/>
    <n v="0"/>
    <n v="0"/>
    <n v="0"/>
    <n v="0"/>
    <n v="0"/>
    <n v="0"/>
    <n v="0"/>
    <n v="207.69006554987573"/>
    <n v="0"/>
    <n v="0"/>
    <n v="0"/>
    <n v="15.401508376820914"/>
    <n v="0"/>
    <n v="-8.4928537790587484"/>
    <m/>
    <n v="0"/>
    <n v="0"/>
    <n v="0"/>
    <n v="0"/>
    <n v="-1.2682893498447072"/>
    <n v="-0.27937352006436633"/>
    <n v="0"/>
    <n v="0"/>
    <m/>
    <m/>
    <m/>
    <n v="0"/>
    <n v="0"/>
    <n v="0"/>
    <n v="5.3690000000000282"/>
    <n v="207.7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1"/>
    <s v="Regular"/>
    <s v="Verde"/>
    <s v="A4"/>
    <s v="Rural"/>
    <s v="Agropecuária rural"/>
    <s v="Não se aplica"/>
    <s v="Não se aplica"/>
    <s v="Não se aplica"/>
    <s v="CATIVO"/>
    <x v="6"/>
    <n v="30994"/>
    <n v="29754.240000000002"/>
    <n v="0"/>
    <n v="0"/>
    <n v="0"/>
    <n v="0"/>
    <n v="44.35"/>
    <m/>
    <m/>
    <n v="1374583.9000000001"/>
    <m/>
    <n v="1374583.9000000001"/>
    <n v="897896.17999999993"/>
    <n v="0"/>
    <n v="0"/>
    <n v="0"/>
    <n v="0"/>
    <n v="0"/>
    <n v="406705.24194851576"/>
    <n v="890080.92778041144"/>
    <m/>
    <m/>
    <m/>
    <n v="0"/>
    <n v="0"/>
    <n v="0"/>
    <n v="0"/>
    <m/>
    <n v="0"/>
    <n v="30737.391117340012"/>
    <n v="47026.929447292205"/>
    <n v="0"/>
    <n v="0"/>
    <m/>
    <m/>
    <n v="0"/>
    <n v="0"/>
    <n v="0"/>
    <m/>
    <m/>
    <n v="0"/>
    <m/>
    <n v="0"/>
    <n v="0"/>
    <n v="0"/>
    <n v="0"/>
    <m/>
    <n v="0"/>
    <n v="0"/>
    <n v="7206.82"/>
    <n v="32948.089999999997"/>
    <n v="1736.21"/>
    <n v="125"/>
    <m/>
    <m/>
    <m/>
    <m/>
    <m/>
    <n v="35915.847199999953"/>
    <m/>
    <m/>
    <m/>
    <n v="0"/>
    <m/>
    <m/>
    <m/>
    <m/>
    <m/>
    <m/>
    <m/>
    <m/>
    <m/>
    <m/>
    <m/>
    <m/>
    <n v="861980.33279999997"/>
    <n v="-457620.24120000028"/>
    <m/>
    <m/>
    <m/>
    <m/>
    <n v="-476687.72000000009"/>
    <n v="0"/>
    <n v="31"/>
    <n v="22721.433582828497"/>
    <n v="3710.9876418976346"/>
    <n v="5677.6566803955211"/>
    <n v="0"/>
    <n v="0"/>
    <m/>
    <m/>
    <m/>
    <n v="13332.7892605353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0080.92778041144"/>
    <m/>
    <n v="0"/>
    <n v="0"/>
    <n v="-476687.7200000002"/>
    <m/>
    <n v="0"/>
    <m/>
    <n v="-499326.2319350154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02"/>
    <s v="Sistema de Compensação"/>
    <s v="Verde"/>
    <s v="A4"/>
    <s v="Rural"/>
    <s v="Agropecuária rural"/>
    <s v="Não se aplica"/>
    <s v="Não se aplica"/>
    <s v="Não se aplica"/>
    <s v="CATIVO"/>
    <x v="6"/>
    <n v="3927"/>
    <n v="3769.92"/>
    <n v="0"/>
    <n v="0"/>
    <n v="0"/>
    <n v="0"/>
    <n v="44.35"/>
    <m/>
    <m/>
    <n v="174162.45"/>
    <m/>
    <n v="174162.45"/>
    <n v="113765.19"/>
    <n v="0"/>
    <n v="0"/>
    <n v="0"/>
    <n v="0"/>
    <n v="0"/>
    <n v="51530.344103110969"/>
    <n v="112774.98236412453"/>
    <m/>
    <m/>
    <m/>
    <n v="0"/>
    <n v="0"/>
    <n v="0"/>
    <n v="0"/>
    <m/>
    <n v="0"/>
    <n v="3894.4871561526174"/>
    <n v="5958.4033019138051"/>
    <n v="0"/>
    <n v="0"/>
    <m/>
    <m/>
    <n v="0"/>
    <n v="0"/>
    <n v="0"/>
    <m/>
    <m/>
    <n v="0"/>
    <m/>
    <n v="0"/>
    <n v="0"/>
    <n v="0"/>
    <n v="0"/>
    <m/>
    <n v="0"/>
    <n v="0"/>
    <n v="728.21"/>
    <n v="3329.43"/>
    <n v="5450.15"/>
    <n v="16"/>
    <m/>
    <m/>
    <m/>
    <m/>
    <m/>
    <n v="4550.6075999999975"/>
    <m/>
    <m/>
    <m/>
    <n v="0"/>
    <m/>
    <m/>
    <m/>
    <m/>
    <m/>
    <m/>
    <m/>
    <m/>
    <m/>
    <m/>
    <m/>
    <m/>
    <n v="109214.5824"/>
    <n v="-57981.399600000048"/>
    <m/>
    <m/>
    <m/>
    <m/>
    <n v="-60397.260000000009"/>
    <n v="0"/>
    <n v="31"/>
    <n v="2878.8497670441866"/>
    <n v="470.18934212208887"/>
    <n v="719.3701291834941"/>
    <n v="0"/>
    <n v="0"/>
    <m/>
    <m/>
    <m/>
    <n v="1689.29029573860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2774.98236412453"/>
    <m/>
    <n v="0"/>
    <n v="0"/>
    <n v="-60397.260000000009"/>
    <m/>
    <n v="0"/>
    <m/>
    <n v="-63265.60343320661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03"/>
    <s v="Sistema de Compensação"/>
    <s v="Verde"/>
    <s v="A4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5.83"/>
    <n v="-118.78"/>
    <n v="11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04"/>
    <s v="Regular"/>
    <s v="Verde"/>
    <s v="A4"/>
    <s v="Rural"/>
    <s v="Agropecuária rural"/>
    <s v="IRRIG./AQUIC. PR"/>
    <s v="Não se aplica"/>
    <s v="Fora ponta"/>
    <s v="CATIVO"/>
    <x v="6"/>
    <n v="0"/>
    <n v="0"/>
    <n v="3047.645"/>
    <n v="914.29349999999999"/>
    <n v="3047.645"/>
    <n v="914.29349999999999"/>
    <m/>
    <n v="79.7"/>
    <n v="209.4"/>
    <m/>
    <n v="881074.16950000008"/>
    <n v="881074.16950000008"/>
    <n v="952450.01540000003"/>
    <n v="0"/>
    <n v="163164.75554762947"/>
    <n v="0"/>
    <n v="0"/>
    <n v="0"/>
    <n v="0"/>
    <n v="0"/>
    <n v="629798.11215628835"/>
    <n v="8390.0599082825556"/>
    <n v="0"/>
    <n v="0"/>
    <n v="0"/>
    <n v="0"/>
    <n v="28981.889905755823"/>
    <m/>
    <n v="4046.79806760322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703.441854092154"/>
    <n v="0"/>
    <n v="0"/>
    <n v="0"/>
    <n v="0"/>
    <n v="0"/>
    <m/>
    <m/>
    <m/>
    <m/>
    <m/>
    <m/>
    <n v="666715.0107799999"/>
    <m/>
    <m/>
    <n v="676501.55401038053"/>
    <m/>
    <m/>
    <m/>
    <m/>
    <m/>
    <m/>
    <m/>
    <m/>
    <m/>
    <m/>
    <m/>
    <m/>
    <n v="285733.91080000001"/>
    <n v="21411.629950000031"/>
    <m/>
    <m/>
    <m/>
    <m/>
    <n v="1798.1105500000103"/>
    <n v="69577.735349999944"/>
    <n v="31"/>
    <n v="71352.086753536831"/>
    <n v="0"/>
    <n v="0"/>
    <n v="0"/>
    <n v="0"/>
    <n v="0"/>
    <n v="0"/>
    <n v="0"/>
    <n v="0"/>
    <n v="0"/>
    <n v="0"/>
    <n v="69556.658222280443"/>
    <n v="0"/>
    <n v="0"/>
    <n v="0"/>
    <n v="5158.0582414369637"/>
    <n v="0"/>
    <n v="-2844.3080610416946"/>
    <m/>
    <n v="0"/>
    <n v="0"/>
    <n v="0"/>
    <n v="0"/>
    <n v="-424.75776874807343"/>
    <n v="-93.5638803908314"/>
    <n v="0"/>
    <n v="0"/>
    <m/>
    <m/>
    <m/>
    <n v="0"/>
    <n v="0"/>
    <n v="0"/>
    <n v="1798.1105500000122"/>
    <n v="69577.73534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5"/>
    <s v="Regular"/>
    <s v="Convencional"/>
    <s v="B1"/>
    <s v="Residencial"/>
    <s v="Residencial"/>
    <s v="Não se aplica"/>
    <s v="Não se aplica"/>
    <s v="Não se aplica"/>
    <s v="CATIVO"/>
    <x v="7"/>
    <n v="0"/>
    <n v="0"/>
    <n v="2236.2600000000002"/>
    <n v="2236.2600000000002"/>
    <n v="2236.2600000000002"/>
    <n v="2236.2600000000002"/>
    <m/>
    <n v="581.32000000000005"/>
    <n v="209.4"/>
    <m/>
    <n v="1768255.5072000003"/>
    <n v="1768255.5072000003"/>
    <n v="1350857.5782000001"/>
    <n v="0"/>
    <n v="137614.76097379415"/>
    <n v="0"/>
    <n v="0"/>
    <n v="0"/>
    <n v="165910.68946108813"/>
    <n v="861866.48276668647"/>
    <n v="462124.7967826376"/>
    <n v="6156.3454308149239"/>
    <n v="0"/>
    <n v="0"/>
    <n v="0"/>
    <n v="0"/>
    <n v="21265.941774926385"/>
    <m/>
    <n v="4076.622180915469"/>
    <n v="12745.520878036124"/>
    <n v="19198.716923420401"/>
    <n v="0"/>
    <n v="0"/>
    <n v="0"/>
    <n v="0"/>
    <n v="0"/>
    <n v="0"/>
    <n v="0"/>
    <n v="0"/>
    <n v="0"/>
    <n v="0"/>
    <m/>
    <n v="0"/>
    <n v="0"/>
    <n v="0"/>
    <n v="0"/>
    <n v="0"/>
    <n v="77312.614604532326"/>
    <n v="0"/>
    <n v="4181.66"/>
    <n v="19456.34"/>
    <n v="557518.79"/>
    <n v="9185"/>
    <m/>
    <m/>
    <m/>
    <m/>
    <m/>
    <m/>
    <m/>
    <m/>
    <m/>
    <n v="539437.41138716997"/>
    <m/>
    <m/>
    <m/>
    <m/>
    <m/>
    <m/>
    <m/>
    <m/>
    <m/>
    <m/>
    <m/>
    <m/>
    <n v="1350857.5782000001"/>
    <n v="-417397.95900000026"/>
    <m/>
    <m/>
    <m/>
    <m/>
    <n v="-468451.74480000022"/>
    <n v="51053.815799999968"/>
    <n v="29"/>
    <n v="66067.776311930851"/>
    <n v="1538.792615397293"/>
    <n v="2317.9000771770734"/>
    <n v="0"/>
    <n v="0"/>
    <n v="0"/>
    <n v="0"/>
    <n v="0"/>
    <n v="5438.9568426920741"/>
    <n v="0"/>
    <n v="0"/>
    <n v="51038.350108413782"/>
    <n v="0"/>
    <n v="0"/>
    <n v="0"/>
    <n v="8538.6205619232496"/>
    <n v="0"/>
    <n v="-2398.9174171980412"/>
    <m/>
    <n v="0"/>
    <n v="0"/>
    <n v="0"/>
    <n v="0"/>
    <n v="-311.67304851469453"/>
    <n v="-94.253427960044519"/>
    <n v="0"/>
    <n v="0"/>
    <m/>
    <m/>
    <m/>
    <n v="861866.48276668647"/>
    <n v="0"/>
    <n v="0"/>
    <n v="-468451.74480000022"/>
    <n v="51053.815799999982"/>
    <n v="0"/>
    <n v="0"/>
    <n v="-483498.21891380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6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32"/>
    <n v="-0.32"/>
    <n v="-0.32"/>
    <n v="-0.32"/>
    <m/>
    <n v="581.32000000000005"/>
    <n v="209.4"/>
    <m/>
    <n v="-253.03040000000004"/>
    <n v="-253.03040000000004"/>
    <n v="-193.30239999999998"/>
    <n v="0"/>
    <n v="-19.692130392536704"/>
    <n v="0"/>
    <n v="0"/>
    <n v="0"/>
    <n v="-23.74116633466064"/>
    <n v="-123.32969980473632"/>
    <n v="-66.128238653128008"/>
    <n v="-0.8809487885401408"/>
    <n v="0"/>
    <n v="0"/>
    <n v="0"/>
    <n v="0"/>
    <n v="-3.0430725264398788"/>
    <m/>
    <n v="-0.58334858106523846"/>
    <n v="-1.8238338480192642"/>
    <n v="-2.7472607905585789"/>
    <n v="0"/>
    <n v="0"/>
    <n v="0"/>
    <n v="0"/>
    <n v="0"/>
    <n v="0"/>
    <n v="0"/>
    <n v="0"/>
    <n v="0"/>
    <n v="0"/>
    <m/>
    <n v="0"/>
    <n v="0"/>
    <n v="0"/>
    <n v="0"/>
    <n v="0"/>
    <n v="-11.063130706380448"/>
    <n v="0"/>
    <n v="-0.67"/>
    <n v="-3.14"/>
    <n v="-102.02"/>
    <n v="0"/>
    <m/>
    <m/>
    <m/>
    <m/>
    <m/>
    <m/>
    <m/>
    <m/>
    <m/>
    <n v="-77.191369359508457"/>
    <m/>
    <m/>
    <m/>
    <m/>
    <m/>
    <m/>
    <m/>
    <m/>
    <m/>
    <m/>
    <m/>
    <m/>
    <n v="-193.30239999999998"/>
    <n v="59.698000000000093"/>
    <m/>
    <m/>
    <m/>
    <m/>
    <n v="67.033600000000021"/>
    <n v="-7.3055999999999948"/>
    <n v="29"/>
    <n v="-9.4540386269118244"/>
    <n v="-0.22019516376768955"/>
    <n v="-0.33168237355972163"/>
    <n v="0"/>
    <n v="0"/>
    <n v="0"/>
    <n v="0"/>
    <n v="0"/>
    <n v="-0.77829330653030127"/>
    <n v="0"/>
    <n v="0"/>
    <n v="-7.3033869204351873"/>
    <n v="0"/>
    <n v="0"/>
    <n v="0"/>
    <n v="-1.2218429788197422"/>
    <n v="0"/>
    <n v="0.34327563588463761"/>
    <m/>
    <n v="0"/>
    <n v="0"/>
    <n v="0"/>
    <n v="0"/>
    <n v="4.4599185928605234E-2"/>
    <n v="1.3487294387599991E-2"/>
    <n v="0"/>
    <n v="0"/>
    <m/>
    <m/>
    <m/>
    <n v="-123.32969980473632"/>
    <n v="0"/>
    <n v="0"/>
    <n v="67.033600000000035"/>
    <n v="-7.3055999999999841"/>
    <n v="0"/>
    <n v="0"/>
    <n v="69.18669119530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7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04.922"/>
    <n v="104.922"/>
    <n v="104.922"/>
    <n v="104.922"/>
    <m/>
    <n v="581.32000000000005"/>
    <n v="209.4"/>
    <m/>
    <n v="82963.923840000003"/>
    <n v="82963.923840000003"/>
    <n v="63380.232539999997"/>
    <n v="0"/>
    <n v="6456.6803282679248"/>
    <n v="0"/>
    <n v="0"/>
    <n v="0"/>
    <n v="7784.2832942664481"/>
    <n v="40437.496134101697"/>
    <n v="21682.209549885923"/>
    <n v="288.84658997252706"/>
    <n v="0"/>
    <n v="0"/>
    <n v="0"/>
    <n v="0"/>
    <n v="997.76642380976534"/>
    <m/>
    <n v="191.26906194539669"/>
    <n v="598.00092188086637"/>
    <n v="900.77530208433507"/>
    <n v="0"/>
    <n v="0"/>
    <n v="0"/>
    <n v="0"/>
    <n v="0"/>
    <n v="0"/>
    <n v="0"/>
    <n v="0"/>
    <n v="0"/>
    <n v="0"/>
    <m/>
    <n v="0"/>
    <n v="0"/>
    <n v="0"/>
    <n v="0"/>
    <n v="0"/>
    <n v="3627.3931249214043"/>
    <n v="0"/>
    <n v="198.06"/>
    <n v="933.88"/>
    <n v="69592.78"/>
    <n v="818"/>
    <m/>
    <m/>
    <m/>
    <m/>
    <m/>
    <m/>
    <m/>
    <m/>
    <m/>
    <n v="25309.602674807327"/>
    <m/>
    <m/>
    <m/>
    <m/>
    <m/>
    <m/>
    <m/>
    <m/>
    <m/>
    <m/>
    <m/>
    <m/>
    <n v="63379.024399999995"/>
    <n v="-19584.929440000007"/>
    <m/>
    <m/>
    <m/>
    <m/>
    <n v="-21979.060560000009"/>
    <n v="2395.3692599999981"/>
    <n v="29"/>
    <n v="3099.802002540142"/>
    <n v="72.197865540104772"/>
    <n v="108.75243124572842"/>
    <n v="0"/>
    <n v="0"/>
    <n v="0"/>
    <n v="0"/>
    <n v="0"/>
    <n v="255.18778221178945"/>
    <n v="0"/>
    <n v="0"/>
    <n v="2394.6436327059455"/>
    <n v="0"/>
    <n v="0"/>
    <n v="0"/>
    <n v="400.61940319914083"/>
    <n v="0"/>
    <n v="-112.55364458839995"/>
    <m/>
    <n v="0"/>
    <n v="0"/>
    <n v="0"/>
    <n v="0"/>
    <n v="-14.623236831253394"/>
    <n v="-4.4222309429242443"/>
    <n v="0"/>
    <n v="0"/>
    <m/>
    <m/>
    <m/>
    <n v="40437.496134101697"/>
    <n v="0"/>
    <n v="0"/>
    <n v="-21979.060560000005"/>
    <n v="2395.3692599999995"/>
    <n v="0"/>
    <n v="0"/>
    <n v="-22685.01879248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8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39.42"/>
    <n v="39.42"/>
    <n v="39.42"/>
    <n v="39.42"/>
    <m/>
    <n v="510.28"/>
    <n v="209.4"/>
    <m/>
    <n v="28369.785600000003"/>
    <n v="28369.785600000003"/>
    <n v="21059.346600000001"/>
    <n v="0"/>
    <n v="0"/>
    <n v="0"/>
    <n v="0"/>
    <n v="0"/>
    <n v="2924.6149278510075"/>
    <n v="15192.677394695957"/>
    <n v="8146.1723990822056"/>
    <n v="108.5218788882886"/>
    <n v="0"/>
    <n v="0"/>
    <n v="0"/>
    <n v="0"/>
    <n v="0"/>
    <m/>
    <n v="71.861253329974062"/>
    <n v="224.67353215287309"/>
    <n v="338.42818863693498"/>
    <n v="0"/>
    <n v="0"/>
    <n v="0"/>
    <n v="0"/>
    <n v="0"/>
    <n v="0"/>
    <n v="0"/>
    <n v="0"/>
    <n v="0"/>
    <n v="0"/>
    <m/>
    <n v="0"/>
    <n v="0"/>
    <n v="0"/>
    <n v="0"/>
    <n v="0"/>
    <n v="1362.8394138922415"/>
    <n v="0"/>
    <n v="13.14"/>
    <n v="78.91"/>
    <n v="2383.04"/>
    <n v="61"/>
    <m/>
    <m/>
    <m/>
    <m/>
    <m/>
    <m/>
    <m/>
    <n v="13688.595000000001"/>
    <m/>
    <n v="9509.0118129744478"/>
    <m/>
    <m/>
    <m/>
    <m/>
    <m/>
    <m/>
    <m/>
    <m/>
    <m/>
    <m/>
    <m/>
    <m/>
    <n v="7370.7516000000005"/>
    <n v="-2558.7822000000006"/>
    <m/>
    <m/>
    <m/>
    <m/>
    <n v="-8210.3975999999984"/>
    <n v="899.95859999999936"/>
    <n v="29"/>
    <n v="1212.4007129648144"/>
    <n v="27.125291736632278"/>
    <n v="40.859122392888196"/>
    <n v="0"/>
    <n v="0"/>
    <n v="0"/>
    <n v="0"/>
    <n v="0"/>
    <n v="95.876006698201763"/>
    <n v="0"/>
    <n v="0"/>
    <n v="899.68597626111023"/>
    <n v="0"/>
    <n v="0"/>
    <n v="0"/>
    <n v="150.51578195335719"/>
    <n v="0"/>
    <n v="0"/>
    <m/>
    <n v="0"/>
    <n v="0"/>
    <n v="0"/>
    <n v="0"/>
    <n v="0"/>
    <n v="-1.6614660773724808"/>
    <n v="0"/>
    <n v="0"/>
    <m/>
    <m/>
    <m/>
    <n v="15192.677394695957"/>
    <n v="0"/>
    <n v="0"/>
    <n v="-8210.3976000000002"/>
    <n v="899.95859999999993"/>
    <n v="0"/>
    <n v="0"/>
    <n v="-8522.9355216218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09"/>
    <s v="Sistema de Compensação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0.03"/>
    <n v="1.0500000000000001E-2"/>
    <n v="0.03"/>
    <n v="1.0500000000000001E-2"/>
    <m/>
    <n v="510.28"/>
    <n v="209.4"/>
    <m/>
    <n v="21.590399999999999"/>
    <n v="21.590399999999999"/>
    <n v="16.026900000000001"/>
    <n v="0"/>
    <n v="0"/>
    <n v="0"/>
    <n v="0"/>
    <n v="0"/>
    <n v="2.2257343438744348"/>
    <n v="11.56215935669403"/>
    <n v="6.1995223737307494"/>
    <n v="8.25889489256382E-2"/>
    <n v="0"/>
    <n v="0"/>
    <n v="0"/>
    <n v="0"/>
    <n v="0"/>
    <m/>
    <n v="5.4688929474866095E-2"/>
    <n v="0.17098442325180602"/>
    <n v="0.25755569911486675"/>
    <n v="0"/>
    <n v="0"/>
    <n v="0"/>
    <n v="0"/>
    <n v="0"/>
    <n v="0"/>
    <n v="0"/>
    <n v="0"/>
    <n v="0"/>
    <n v="0"/>
    <m/>
    <n v="0"/>
    <n v="0"/>
    <n v="0"/>
    <n v="0"/>
    <n v="0"/>
    <n v="1.037168503723167"/>
    <n v="0"/>
    <n v="0.01"/>
    <n v="0.06"/>
    <n v="1.89"/>
    <n v="0"/>
    <m/>
    <m/>
    <m/>
    <m/>
    <m/>
    <m/>
    <m/>
    <n v="14.063609999999999"/>
    <m/>
    <n v="7.2366908774539169"/>
    <m/>
    <m/>
    <m/>
    <m/>
    <m/>
    <m/>
    <m/>
    <m/>
    <m/>
    <m/>
    <m/>
    <m/>
    <n v="1.8698000000000001"/>
    <n v="-0.80504499999999979"/>
    <m/>
    <m/>
    <m/>
    <m/>
    <n v="-6.2483999999999993"/>
    <n v="0.68489999999999951"/>
    <n v="29"/>
    <n v="0.9226793858179736"/>
    <n v="2.0643296603220895E-2"/>
    <n v="3.1095222521223931E-2"/>
    <n v="0"/>
    <n v="0"/>
    <n v="0"/>
    <n v="0"/>
    <n v="0"/>
    <n v="7.2964997487215744E-2"/>
    <n v="0"/>
    <n v="0"/>
    <n v="0.68469252379080014"/>
    <n v="0"/>
    <n v="0"/>
    <n v="0"/>
    <n v="0.11454777926435078"/>
    <n v="0"/>
    <n v="0"/>
    <m/>
    <n v="0"/>
    <n v="0"/>
    <n v="0"/>
    <n v="0"/>
    <n v="0"/>
    <n v="-1.2644338488374957E-3"/>
    <n v="0"/>
    <n v="0"/>
    <m/>
    <m/>
    <m/>
    <n v="11.56215935669403"/>
    <n v="0"/>
    <n v="0"/>
    <n v="-6.2483999999999984"/>
    <n v="0.68489999999999984"/>
    <n v="0"/>
    <n v="0"/>
    <n v="-6.48625229956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0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83.677000000000007"/>
    <n v="83.677000000000007"/>
    <n v="83.677000000000007"/>
    <n v="83.677000000000007"/>
    <m/>
    <n v="510.28"/>
    <n v="209.4"/>
    <m/>
    <n v="60220.663360000006"/>
    <n v="60220.663360000006"/>
    <n v="44702.763709999999"/>
    <n v="0"/>
    <n v="0"/>
    <n v="0"/>
    <n v="0"/>
    <n v="0"/>
    <n v="6208.0924230793698"/>
    <n v="32249.56028300288"/>
    <n v="17291.914455555601"/>
    <n v="230.35984930835428"/>
    <n v="0"/>
    <n v="0"/>
    <n v="0"/>
    <n v="0"/>
    <n v="0"/>
    <m/>
    <n v="152.54018505561237"/>
    <n v="476.91545281471241"/>
    <n v="718.38294116115696"/>
    <n v="0"/>
    <n v="0"/>
    <n v="0"/>
    <n v="0"/>
    <n v="0"/>
    <n v="0"/>
    <n v="0"/>
    <n v="0"/>
    <n v="0"/>
    <n v="0"/>
    <m/>
    <n v="0"/>
    <n v="0"/>
    <n v="0"/>
    <n v="0"/>
    <n v="0"/>
    <n v="2892.904962868115"/>
    <n v="0"/>
    <n v="69.09"/>
    <n v="313.91000000000003"/>
    <n v="9031.94"/>
    <n v="156"/>
    <m/>
    <m/>
    <m/>
    <m/>
    <m/>
    <m/>
    <m/>
    <n v="17880.938130000002"/>
    <m/>
    <n v="20184.819418423715"/>
    <m/>
    <m/>
    <m/>
    <m/>
    <m/>
    <m/>
    <m/>
    <m/>
    <m/>
    <m/>
    <m/>
    <m/>
    <n v="26822.787200000002"/>
    <n v="-9309.8081700000002"/>
    <m/>
    <m/>
    <m/>
    <m/>
    <n v="-17428.245559999999"/>
    <n v="1910.3459099999989"/>
    <n v="29"/>
    <n v="2573.5680989030152"/>
    <n v="57.57897099559051"/>
    <n v="86.731831163615084"/>
    <n v="0"/>
    <n v="0"/>
    <n v="0"/>
    <n v="0"/>
    <n v="0"/>
    <n v="203.51640315792611"/>
    <n v="0"/>
    <n v="0"/>
    <n v="1909.7672104414232"/>
    <n v="0"/>
    <n v="0"/>
    <n v="0"/>
    <n v="319.50048418343658"/>
    <n v="0"/>
    <n v="0"/>
    <m/>
    <n v="0"/>
    <n v="0"/>
    <n v="0"/>
    <n v="0"/>
    <n v="0"/>
    <n v="-3.5268010389725077"/>
    <n v="0"/>
    <n v="0"/>
    <m/>
    <m/>
    <m/>
    <n v="32249.56028300288"/>
    <n v="0"/>
    <n v="0"/>
    <n v="-17428.245559999999"/>
    <n v="1910.34591"/>
    <n v="0"/>
    <n v="0"/>
    <n v="-18091.671122342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1"/>
    <s v="Refaturamento - 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-0.04"/>
    <n v="-0.04"/>
    <n v="-0.04"/>
    <n v="-0.04"/>
    <m/>
    <n v="510.28"/>
    <n v="209.4"/>
    <m/>
    <n v="-28.787200000000002"/>
    <n v="-28.787200000000002"/>
    <n v="-21.369199999999999"/>
    <n v="0"/>
    <n v="0"/>
    <n v="0"/>
    <n v="0"/>
    <n v="0"/>
    <n v="-2.96764579183258"/>
    <n v="-15.41621247559204"/>
    <n v="-8.266029831641001"/>
    <n v="-0.1101185985675176"/>
    <n v="0"/>
    <n v="0"/>
    <n v="0"/>
    <n v="0"/>
    <n v="0"/>
    <m/>
    <n v="-7.2918572633154807E-2"/>
    <n v="-0.22797923100240802"/>
    <n v="-0.34340759881982236"/>
    <n v="0"/>
    <n v="0"/>
    <n v="0"/>
    <n v="0"/>
    <n v="0"/>
    <n v="0"/>
    <n v="0"/>
    <n v="0"/>
    <n v="0"/>
    <n v="0"/>
    <m/>
    <n v="0"/>
    <n v="0"/>
    <n v="0"/>
    <n v="0"/>
    <n v="0"/>
    <n v="-1.3828913382975561"/>
    <n v="0"/>
    <n v="-0.03"/>
    <n v="-0.17"/>
    <n v="-4.34"/>
    <n v="0"/>
    <m/>
    <m/>
    <m/>
    <m/>
    <m/>
    <m/>
    <m/>
    <n v="-8.5475999999999992"/>
    <m/>
    <n v="-9.6489211699385571"/>
    <m/>
    <m/>
    <m/>
    <m/>
    <m/>
    <m/>
    <m/>
    <m/>
    <m/>
    <m/>
    <m/>
    <m/>
    <n v="-12.8216"/>
    <n v="4.4207999999999998"/>
    <m/>
    <m/>
    <m/>
    <m/>
    <n v="8.3311999999999991"/>
    <n v="-0.91319999999999935"/>
    <n v="29"/>
    <n v="-1.2302391810906261"/>
    <n v="-2.7524395470961194E-2"/>
    <n v="-4.1460296694965204E-2"/>
    <n v="0"/>
    <n v="0"/>
    <n v="0"/>
    <n v="0"/>
    <n v="0"/>
    <n v="-9.7286663316287658E-2"/>
    <n v="0"/>
    <n v="0"/>
    <n v="-0.91292336505439842"/>
    <n v="0"/>
    <n v="0"/>
    <n v="0"/>
    <n v="-0.15273037235246778"/>
    <n v="0"/>
    <n v="0"/>
    <m/>
    <n v="0"/>
    <n v="0"/>
    <n v="0"/>
    <n v="0"/>
    <n v="0"/>
    <n v="1.6859117984499988E-3"/>
    <n v="0"/>
    <n v="0"/>
    <m/>
    <m/>
    <m/>
    <n v="-15.41621247559204"/>
    <n v="0"/>
    <n v="0"/>
    <n v="8.3312000000000008"/>
    <n v="-0.91319999999999801"/>
    <n v="0"/>
    <n v="0"/>
    <n v="8.648336399413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2"/>
    <s v="Sistema de Compensação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7.0000000000000007E-2"/>
    <n v="4.2000000000000003E-2"/>
    <n v="7.0000000000000007E-2"/>
    <n v="4.2000000000000003E-2"/>
    <m/>
    <n v="510.28"/>
    <n v="209.4"/>
    <m/>
    <n v="50.377600000000001"/>
    <n v="50.377600000000001"/>
    <n v="37.396100000000004"/>
    <n v="0"/>
    <n v="0"/>
    <n v="0"/>
    <n v="0"/>
    <n v="0"/>
    <n v="5.1933801357070148"/>
    <n v="26.978371832286072"/>
    <n v="14.465552205371752"/>
    <n v="0.19270754749315583"/>
    <n v="0"/>
    <n v="0"/>
    <n v="0"/>
    <n v="0"/>
    <n v="0"/>
    <m/>
    <n v="0.12760750210802091"/>
    <n v="0.39896365425421404"/>
    <n v="0.60096329793468917"/>
    <n v="0"/>
    <n v="0"/>
    <n v="0"/>
    <n v="0"/>
    <n v="0"/>
    <n v="0"/>
    <n v="0"/>
    <n v="0"/>
    <n v="0"/>
    <n v="0"/>
    <m/>
    <n v="0"/>
    <n v="0"/>
    <n v="0"/>
    <n v="0"/>
    <n v="0"/>
    <n v="2.4200598420207231"/>
    <n v="0"/>
    <n v="0.06"/>
    <n v="0.26"/>
    <n v="7.58"/>
    <n v="0"/>
    <m/>
    <m/>
    <m/>
    <m/>
    <m/>
    <m/>
    <m/>
    <n v="23.933419999999998"/>
    <m/>
    <n v="16.885612047392474"/>
    <m/>
    <m/>
    <m/>
    <m/>
    <m/>
    <m/>
    <m/>
    <m/>
    <m/>
    <m/>
    <m/>
    <m/>
    <n v="12.8216"/>
    <n v="-5.3444200000000031"/>
    <m/>
    <m/>
    <m/>
    <m/>
    <n v="-14.579599999999999"/>
    <n v="1.598099999999999"/>
    <n v="29"/>
    <n v="2.1529185669086139"/>
    <n v="4.8167692074182145E-2"/>
    <n v="7.255551921618919E-2"/>
    <n v="0"/>
    <n v="0"/>
    <n v="0"/>
    <n v="0"/>
    <n v="0"/>
    <n v="0.17025166080350473"/>
    <n v="0"/>
    <n v="0"/>
    <n v="1.5976158888451994"/>
    <n v="0"/>
    <n v="0"/>
    <n v="0"/>
    <n v="0.26727815161681878"/>
    <n v="0"/>
    <n v="0"/>
    <m/>
    <n v="0"/>
    <n v="0"/>
    <n v="0"/>
    <n v="0"/>
    <n v="0"/>
    <n v="-2.9503456472874945E-3"/>
    <n v="0"/>
    <n v="0"/>
    <m/>
    <m/>
    <m/>
    <n v="26.978371832286072"/>
    <n v="0"/>
    <n v="0"/>
    <n v="-14.579599999999999"/>
    <n v="1.5980999999999987"/>
    <n v="0"/>
    <n v="0"/>
    <n v="-15.13458869897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3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93.858000000000004"/>
    <n v="93.858000000000004"/>
    <n v="93.858000000000004"/>
    <n v="93.858000000000004"/>
    <m/>
    <n v="510.28"/>
    <n v="209.4"/>
    <m/>
    <n v="67547.725440000009"/>
    <n v="67547.725440000009"/>
    <n v="50141.759340000004"/>
    <n v="0"/>
    <n v="0"/>
    <n v="0"/>
    <n v="0"/>
    <n v="0"/>
    <n v="6963.4324682455572"/>
    <n v="36173.371763352945"/>
    <n v="19395.825698454024"/>
    <n v="258.3877856087517"/>
    <n v="0"/>
    <n v="0"/>
    <n v="0"/>
    <n v="0"/>
    <n v="0"/>
    <m/>
    <n v="171.09978475506608"/>
    <n v="534.94186658560034"/>
    <n v="805.78876025077227"/>
    <n v="0"/>
    <n v="0"/>
    <n v="0"/>
    <n v="0"/>
    <n v="0"/>
    <n v="0"/>
    <n v="0"/>
    <n v="0"/>
    <n v="0"/>
    <n v="0"/>
    <m/>
    <n v="0"/>
    <n v="0"/>
    <n v="0"/>
    <n v="0"/>
    <n v="0"/>
    <n v="3244.8853807483006"/>
    <n v="0"/>
    <n v="113.68"/>
    <n v="529.27"/>
    <n v="15233.51"/>
    <n v="621"/>
    <m/>
    <m/>
    <m/>
    <m/>
    <m/>
    <m/>
    <m/>
    <n v="5014.8329399999984"/>
    <m/>
    <n v="22640.711079202323"/>
    <m/>
    <m/>
    <m/>
    <m/>
    <m/>
    <m/>
    <m/>
    <m/>
    <m/>
    <m/>
    <m/>
    <m/>
    <n v="45127.888000000006"/>
    <n v="-15664.907180000002"/>
    <m/>
    <m/>
    <m/>
    <m/>
    <n v="-19548.74424"/>
    <n v="2142.7781399999985"/>
    <n v="29"/>
    <n v="2886.6947264701266"/>
    <n v="64.584617752836834"/>
    <n v="97.284513179901069"/>
    <n v="0"/>
    <n v="0"/>
    <n v="0"/>
    <n v="0"/>
    <n v="0"/>
    <n v="228.27829113850385"/>
    <n v="0"/>
    <n v="0"/>
    <n v="2142.1290299318971"/>
    <n v="0"/>
    <n v="0"/>
    <n v="0"/>
    <n v="358.37418220644804"/>
    <n v="0"/>
    <n v="0"/>
    <m/>
    <n v="0"/>
    <n v="0"/>
    <n v="0"/>
    <n v="0"/>
    <n v="0"/>
    <n v="-3.9559077394729911"/>
    <n v="0"/>
    <n v="0"/>
    <m/>
    <m/>
    <m/>
    <n v="36173.371763352945"/>
    <n v="0"/>
    <n v="0"/>
    <n v="-19548.74424"/>
    <n v="2142.7781399999985"/>
    <n v="0"/>
    <n v="0"/>
    <n v="-20292.888944403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4"/>
    <s v="Refaturamento - 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-0.10100000000000001"/>
    <n v="-0.10100000000000001"/>
    <n v="-0.10100000000000001"/>
    <n v="-0.10100000000000001"/>
    <m/>
    <n v="510.28"/>
    <n v="209.4"/>
    <m/>
    <n v="-72.68768"/>
    <n v="-72.68768"/>
    <n v="-53.957230000000003"/>
    <n v="0"/>
    <n v="0"/>
    <n v="0"/>
    <n v="0"/>
    <n v="0"/>
    <n v="-7.4933056243772649"/>
    <n v="-38.925936500869902"/>
    <n v="-20.871725324893525"/>
    <n v="-0.27804946138298198"/>
    <n v="0"/>
    <n v="0"/>
    <n v="0"/>
    <n v="0"/>
    <n v="0"/>
    <m/>
    <n v="-0.18411939589871587"/>
    <n v="-0.57564755828108027"/>
    <n v="-0.86710418702005154"/>
    <n v="0"/>
    <n v="0"/>
    <n v="0"/>
    <n v="0"/>
    <n v="0"/>
    <n v="0"/>
    <n v="0"/>
    <n v="0"/>
    <n v="0"/>
    <n v="0"/>
    <m/>
    <n v="0"/>
    <n v="0"/>
    <n v="0"/>
    <n v="0"/>
    <n v="0"/>
    <n v="-3.4918006292013293"/>
    <n v="0"/>
    <n v="-0.14000000000000001"/>
    <n v="-0.63"/>
    <n v="-16.45"/>
    <n v="0"/>
    <m/>
    <m/>
    <m/>
    <m/>
    <m/>
    <m/>
    <m/>
    <n v="-5.3964299999999978"/>
    <m/>
    <n v="-24.363525954094854"/>
    <m/>
    <m/>
    <m/>
    <m/>
    <m/>
    <m/>
    <m/>
    <m/>
    <m/>
    <m/>
    <m/>
    <m/>
    <n v="-48.080000000000005"/>
    <n v="17.308709999999998"/>
    <m/>
    <m/>
    <m/>
    <m/>
    <n v="21.036279999999998"/>
    <n v="-2.3058299999999985"/>
    <n v="29"/>
    <n v="-3.1063539322538389"/>
    <n v="-6.949909856417702E-2"/>
    <n v="-0.10468724915478711"/>
    <n v="0"/>
    <n v="0"/>
    <n v="0"/>
    <n v="0"/>
    <n v="0"/>
    <n v="-0.24564882487362638"/>
    <n v="0"/>
    <n v="0"/>
    <n v="-2.3051314967623604"/>
    <n v="0"/>
    <n v="0"/>
    <n v="0"/>
    <n v="-0.3856441901899812"/>
    <n v="0"/>
    <n v="0"/>
    <m/>
    <n v="0"/>
    <n v="0"/>
    <n v="0"/>
    <n v="0"/>
    <n v="0"/>
    <n v="4.2569272910862321E-3"/>
    <n v="0"/>
    <n v="0"/>
    <m/>
    <m/>
    <m/>
    <n v="-38.925936500869902"/>
    <n v="0"/>
    <n v="0"/>
    <n v="21.036279999999998"/>
    <n v="-2.3058299999999967"/>
    <n v="0"/>
    <n v="0"/>
    <n v="21.837049408518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5"/>
    <s v="Sistema de Compensação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0.12"/>
    <n v="0.108"/>
    <n v="0.12"/>
    <n v="0.108"/>
    <m/>
    <n v="510.28"/>
    <n v="209.4"/>
    <m/>
    <n v="86.361599999999996"/>
    <n v="86.361599999999996"/>
    <n v="64.107600000000005"/>
    <n v="0"/>
    <n v="0"/>
    <n v="0"/>
    <n v="0"/>
    <n v="0"/>
    <n v="8.9029373754977392"/>
    <n v="46.248637426776121"/>
    <n v="24.798089494922998"/>
    <n v="0.3303557957025528"/>
    <n v="0"/>
    <n v="0"/>
    <n v="0"/>
    <n v="0"/>
    <n v="0"/>
    <m/>
    <n v="0.21875571789946438"/>
    <n v="0.68393769300722407"/>
    <n v="1.030222796459467"/>
    <n v="0"/>
    <n v="0"/>
    <n v="0"/>
    <n v="0"/>
    <n v="0"/>
    <n v="0"/>
    <n v="0"/>
    <n v="0"/>
    <n v="0"/>
    <n v="0"/>
    <m/>
    <n v="0"/>
    <n v="0"/>
    <n v="0"/>
    <n v="0"/>
    <n v="0"/>
    <n v="4.1486740148926682"/>
    <n v="0"/>
    <n v="0.15"/>
    <n v="0.67"/>
    <n v="19.5"/>
    <n v="0"/>
    <m/>
    <m/>
    <m/>
    <m/>
    <m/>
    <m/>
    <m/>
    <n v="12.181199999999997"/>
    <m/>
    <n v="28.946763509815668"/>
    <m/>
    <m/>
    <m/>
    <m/>
    <m/>
    <m/>
    <m/>
    <m/>
    <m/>
    <m/>
    <m/>
    <m/>
    <n v="52.887999999999998"/>
    <n v="-17.094680000000004"/>
    <m/>
    <m/>
    <m/>
    <m/>
    <n v="-24.993599999999997"/>
    <n v="2.739599999999998"/>
    <n v="29"/>
    <n v="3.6907175432718944"/>
    <n v="8.2573186412883581E-2"/>
    <n v="0.12438089008489572"/>
    <n v="0"/>
    <n v="0"/>
    <n v="0"/>
    <n v="0"/>
    <n v="0"/>
    <n v="0.29185998994886297"/>
    <n v="0"/>
    <n v="0"/>
    <n v="2.7387700951632006"/>
    <n v="0"/>
    <n v="0"/>
    <n v="0"/>
    <n v="0.45819111705740312"/>
    <n v="0"/>
    <n v="0"/>
    <m/>
    <n v="0"/>
    <n v="0"/>
    <n v="0"/>
    <n v="0"/>
    <n v="0"/>
    <n v="-5.0577353953499826E-3"/>
    <n v="0"/>
    <n v="0"/>
    <m/>
    <m/>
    <m/>
    <n v="46.248637426776121"/>
    <n v="0"/>
    <n v="0"/>
    <n v="-24.993599999999994"/>
    <n v="2.7395999999999994"/>
    <n v="0"/>
    <n v="0"/>
    <n v="-25.94500919824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6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55.606999999999999"/>
    <n v="55.606999999999999"/>
    <n v="55.606999999999999"/>
    <n v="55.606999999999999"/>
    <m/>
    <n v="510.28"/>
    <n v="209.4"/>
    <m/>
    <n v="40019.245759999998"/>
    <n v="40019.245759999998"/>
    <n v="29706.927609999999"/>
    <n v="0"/>
    <n v="0"/>
    <n v="0"/>
    <n v="0"/>
    <n v="0"/>
    <n v="4125.5469886608562"/>
    <n v="21431.233178256163"/>
    <n v="11491.228021201527"/>
    <n v="153.08412276359877"/>
    <n v="0"/>
    <n v="0"/>
    <n v="0"/>
    <n v="0"/>
    <n v="0"/>
    <m/>
    <n v="101.36957671029597"/>
    <n v="316.93102745877258"/>
    <n v="477.39665868934657"/>
    <n v="0"/>
    <n v="0"/>
    <n v="0"/>
    <n v="0"/>
    <n v="0"/>
    <n v="0"/>
    <n v="0"/>
    <n v="0"/>
    <n v="0"/>
    <n v="0"/>
    <m/>
    <n v="0"/>
    <n v="0"/>
    <n v="0"/>
    <n v="0"/>
    <n v="0"/>
    <n v="1922.460966217805"/>
    <n v="0"/>
    <n v="74.11"/>
    <n v="348.49"/>
    <n v="10042.299999999999"/>
    <n v="476"/>
    <m/>
    <m/>
    <m/>
    <m/>
    <m/>
    <m/>
    <m/>
    <m/>
    <m/>
    <n v="13413.688987419331"/>
    <m/>
    <m/>
    <m/>
    <m/>
    <m/>
    <m/>
    <m/>
    <m/>
    <m/>
    <m/>
    <m/>
    <m/>
    <n v="29708.530299999999"/>
    <n v="-10310.745459999998"/>
    <m/>
    <m/>
    <m/>
    <m/>
    <n v="-11581.825959999998"/>
    <n v="1269.5078099999992"/>
    <n v="29"/>
    <n v="1710.2477535726684"/>
    <n v="38.263726473843462"/>
    <n v="57.637067957923193"/>
    <n v="0"/>
    <n v="0"/>
    <n v="0"/>
    <n v="0"/>
    <n v="0"/>
    <n v="135.24548717572088"/>
    <n v="0"/>
    <n v="0"/>
    <n v="1269.1232390144996"/>
    <n v="0"/>
    <n v="0"/>
    <n v="0"/>
    <n v="212.32194538509202"/>
    <n v="0"/>
    <n v="0"/>
    <m/>
    <n v="0"/>
    <n v="0"/>
    <n v="0"/>
    <n v="0"/>
    <n v="0"/>
    <n v="-2.3437124344102216"/>
    <n v="0"/>
    <n v="0"/>
    <m/>
    <m/>
    <m/>
    <n v="21431.233178256163"/>
    <n v="0"/>
    <n v="0"/>
    <n v="-11581.825959999998"/>
    <n v="1269.5078099999992"/>
    <n v="0"/>
    <n v="0"/>
    <n v="-12022.701054054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7"/>
    <s v="Sistema de Compensação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0.16"/>
    <n v="0.16"/>
    <n v="0.16"/>
    <n v="0.16"/>
    <m/>
    <n v="510.28"/>
    <n v="209.4"/>
    <m/>
    <n v="115.14880000000001"/>
    <n v="115.14880000000001"/>
    <n v="85.476799999999997"/>
    <n v="0"/>
    <n v="0"/>
    <n v="0"/>
    <n v="0"/>
    <n v="0"/>
    <n v="11.87058316733032"/>
    <n v="61.664849902368161"/>
    <n v="33.064119326564004"/>
    <n v="0.4404743942700704"/>
    <n v="0"/>
    <n v="0"/>
    <n v="0"/>
    <n v="0"/>
    <n v="0"/>
    <m/>
    <n v="0.29167429053261923"/>
    <n v="0.91191692400963209"/>
    <n v="1.3736303952792894"/>
    <n v="0"/>
    <n v="0"/>
    <n v="0"/>
    <n v="0"/>
    <n v="0"/>
    <n v="0"/>
    <n v="0"/>
    <n v="0"/>
    <n v="0"/>
    <n v="0"/>
    <m/>
    <n v="0"/>
    <n v="0"/>
    <n v="0"/>
    <n v="0"/>
    <n v="0"/>
    <n v="5.5315653531902242"/>
    <n v="0"/>
    <n v="0.22"/>
    <n v="1"/>
    <n v="40.67"/>
    <n v="1"/>
    <m/>
    <m/>
    <m/>
    <m/>
    <m/>
    <m/>
    <m/>
    <m/>
    <m/>
    <n v="38.595684679754228"/>
    <m/>
    <m/>
    <m/>
    <m/>
    <m/>
    <m/>
    <m/>
    <m/>
    <m/>
    <m/>
    <m/>
    <m/>
    <n v="85.476799999999997"/>
    <n v="-29.702000000000027"/>
    <m/>
    <m/>
    <m/>
    <m/>
    <n v="-33.324799999999996"/>
    <n v="3.6527999999999974"/>
    <n v="29"/>
    <n v="4.9209567243625045"/>
    <n v="0.11009758188384478"/>
    <n v="0.16584118677986082"/>
    <n v="0"/>
    <n v="0"/>
    <n v="0"/>
    <n v="0"/>
    <n v="0"/>
    <n v="0.38914665326515063"/>
    <n v="0"/>
    <n v="0"/>
    <n v="3.6516934602175937"/>
    <n v="0"/>
    <n v="0"/>
    <n v="0"/>
    <n v="0.61092148940987112"/>
    <n v="0"/>
    <n v="0"/>
    <m/>
    <n v="0"/>
    <n v="0"/>
    <n v="0"/>
    <n v="0"/>
    <n v="0"/>
    <n v="-6.7436471937999953E-3"/>
    <n v="0"/>
    <n v="0"/>
    <m/>
    <m/>
    <m/>
    <n v="61.664849902368161"/>
    <n v="0"/>
    <n v="0"/>
    <n v="-33.324800000000003"/>
    <n v="3.6527999999999921"/>
    <n v="0"/>
    <n v="0"/>
    <n v="-34.593345597653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8"/>
    <s v="Regular"/>
    <s v="Branca"/>
    <s v="B1"/>
    <s v="Residencial"/>
    <s v="Residencial"/>
    <s v="Não se aplica"/>
    <s v="Não se aplica"/>
    <s v="Ponta"/>
    <s v="CATIVO"/>
    <x v="7"/>
    <n v="0"/>
    <n v="0"/>
    <n v="6.6000000000000003E-2"/>
    <n v="6.6000000000000003E-2"/>
    <n v="6.6000000000000003E-2"/>
    <n v="6.6000000000000003E-2"/>
    <m/>
    <n v="1292.1099999999999"/>
    <n v="209.4"/>
    <m/>
    <n v="99.09966"/>
    <n v="99.09966"/>
    <n v="65.787480000000002"/>
    <n v="0"/>
    <n v="4.0615018934606955"/>
    <n v="0"/>
    <n v="0"/>
    <n v="0"/>
    <n v="12.239360681542237"/>
    <n v="63.591898946607181"/>
    <n v="13.638949222207652"/>
    <n v="0.18169568763640406"/>
    <n v="0"/>
    <n v="0"/>
    <n v="0"/>
    <n v="0"/>
    <n v="0.62763370857822498"/>
    <m/>
    <n v="0.12031564484470543"/>
    <n v="0.9404227979876334"/>
    <n v="1.4165563451317675"/>
    <n v="0"/>
    <n v="0"/>
    <n v="0"/>
    <n v="0"/>
    <n v="0"/>
    <n v="0"/>
    <n v="0"/>
    <n v="0"/>
    <n v="0"/>
    <n v="0"/>
    <m/>
    <n v="0"/>
    <n v="0"/>
    <n v="0"/>
    <n v="0"/>
    <n v="0"/>
    <n v="2.2817707081909675"/>
    <n v="0"/>
    <n v="0"/>
    <n v="0"/>
    <n v="0"/>
    <n v="0"/>
    <m/>
    <m/>
    <m/>
    <m/>
    <m/>
    <m/>
    <m/>
    <m/>
    <m/>
    <n v="15.920719930398619"/>
    <m/>
    <m/>
    <m/>
    <m/>
    <m/>
    <m/>
    <m/>
    <m/>
    <m/>
    <m/>
    <m/>
    <m/>
    <n v="69.774600000000007"/>
    <n v="-29.355060000000009"/>
    <m/>
    <m/>
    <m/>
    <m/>
    <n v="-34.818959999999997"/>
    <n v="1.5067799999999991"/>
    <n v="29"/>
    <n v="2.3613466872057458"/>
    <n v="0.11353915393041536"/>
    <n v="0.17102372386672982"/>
    <n v="0"/>
    <n v="0"/>
    <n v="0"/>
    <n v="0"/>
    <n v="0"/>
    <n v="0.40123607915371196"/>
    <n v="0"/>
    <n v="0"/>
    <n v="1.506323552339758"/>
    <n v="0"/>
    <n v="0"/>
    <n v="0"/>
    <n v="0.25200511438157225"/>
    <n v="0"/>
    <n v="-7.0800599901206684E-2"/>
    <m/>
    <n v="0"/>
    <n v="0"/>
    <n v="0"/>
    <n v="0"/>
    <n v="-9.198582097774799E-3"/>
    <n v="-2.7817544674424988E-3"/>
    <n v="0"/>
    <n v="0"/>
    <m/>
    <m/>
    <m/>
    <n v="63.591898946607181"/>
    <n v="0"/>
    <n v="0"/>
    <n v="-34.818959999999997"/>
    <n v="1.5067799999999991"/>
    <n v="0"/>
    <n v="0"/>
    <n v="-35.67440026131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19"/>
    <s v="Regular"/>
    <s v="Branca"/>
    <s v="B1"/>
    <s v="Residencial"/>
    <s v="Residencial"/>
    <s v="Não se aplica"/>
    <s v="Não se aplica"/>
    <s v="Fora ponta"/>
    <s v="CATIVO"/>
    <x v="7"/>
    <n v="0"/>
    <n v="0"/>
    <n v="0.88"/>
    <n v="0.88"/>
    <n v="0.88"/>
    <n v="0.88"/>
    <m/>
    <n v="344.38"/>
    <n v="209.4"/>
    <m/>
    <n v="487.32640000000004"/>
    <n v="487.32640000000004"/>
    <n v="416.37199999999996"/>
    <n v="0"/>
    <n v="54.153358579475935"/>
    <n v="0"/>
    <n v="0"/>
    <n v="0"/>
    <n v="32.644103710158419"/>
    <n v="169.5783372315129"/>
    <n v="181.852656296102"/>
    <n v="2.4226091684853874"/>
    <n v="0"/>
    <n v="0"/>
    <n v="0"/>
    <n v="0"/>
    <n v="8.3684494477096667"/>
    <m/>
    <n v="1.6042085979294056"/>
    <n v="2.507771541026488"/>
    <n v="3.7774835870180459"/>
    <n v="0"/>
    <n v="0"/>
    <n v="0"/>
    <n v="0"/>
    <n v="0"/>
    <n v="0"/>
    <n v="0"/>
    <n v="0"/>
    <n v="0"/>
    <n v="0"/>
    <m/>
    <n v="0"/>
    <n v="0"/>
    <n v="0"/>
    <n v="0"/>
    <n v="0"/>
    <n v="30.423609442546233"/>
    <n v="0"/>
    <n v="0"/>
    <n v="0"/>
    <n v="0"/>
    <n v="0"/>
    <m/>
    <m/>
    <m/>
    <m/>
    <m/>
    <m/>
    <m/>
    <m/>
    <m/>
    <n v="212.27626573864822"/>
    <m/>
    <m/>
    <m/>
    <m/>
    <m/>
    <m/>
    <m/>
    <m/>
    <m/>
    <m/>
    <m/>
    <m/>
    <n v="416.37199999999996"/>
    <n v="-70.984400000000051"/>
    <m/>
    <m/>
    <m/>
    <m/>
    <n v="-91.044800000000009"/>
    <n v="20.090399999999985"/>
    <n v="29"/>
    <n v="24.169621313703033"/>
    <n v="0.30276835018056847"/>
    <n v="0.45606326364462202"/>
    <n v="0"/>
    <n v="0"/>
    <n v="0"/>
    <n v="0"/>
    <n v="0"/>
    <n v="1.0701532964791696"/>
    <n v="0"/>
    <n v="0"/>
    <n v="20.084314031196783"/>
    <n v="0"/>
    <n v="0"/>
    <n v="0"/>
    <n v="3.3600681917542907"/>
    <n v="0"/>
    <n v="-0.94400799868275698"/>
    <m/>
    <n v="0"/>
    <n v="0"/>
    <n v="0"/>
    <n v="0"/>
    <n v="-0.12264776130366428"/>
    <n v="-3.7090059565899836E-2"/>
    <n v="0"/>
    <n v="0"/>
    <m/>
    <m/>
    <m/>
    <n v="169.5783372315129"/>
    <n v="0"/>
    <n v="0"/>
    <n v="-91.044800000000009"/>
    <n v="20.09039999999996"/>
    <n v="0"/>
    <n v="0"/>
    <n v="-95.131700393547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0"/>
    <s v="Regular"/>
    <s v="Branca"/>
    <s v="B1"/>
    <s v="Residencial"/>
    <s v="Residencial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72"/>
    <n v="7.93"/>
    <n v="230.0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21"/>
    <s v="Regular"/>
    <s v="Branca"/>
    <s v="B1"/>
    <s v="Residencial"/>
    <s v="Residencial"/>
    <s v="Não se aplica"/>
    <s v="Não se aplica"/>
    <s v="Intermediário"/>
    <s v="CATIVO"/>
    <x v="7"/>
    <n v="0"/>
    <n v="0"/>
    <n v="7.2999999999999995E-2"/>
    <n v="7.2999999999999995E-2"/>
    <n v="7.2999999999999995E-2"/>
    <n v="7.2999999999999995E-2"/>
    <m/>
    <n v="818.26"/>
    <n v="209.4"/>
    <m/>
    <n v="75.019179999999992"/>
    <n v="75.019179999999992"/>
    <n v="53.653539999999992"/>
    <n v="0"/>
    <n v="4.4922672457974349"/>
    <n v="0"/>
    <n v="0"/>
    <n v="0"/>
    <n v="8.1239303551417059"/>
    <n v="42.201906521473667"/>
    <n v="15.085504442744824"/>
    <n v="0.20096644238571962"/>
    <n v="0"/>
    <n v="0"/>
    <n v="0"/>
    <n v="0"/>
    <n v="0.69420092009409728"/>
    <m/>
    <n v="0.1330763950555075"/>
    <n v="0.62410251331602162"/>
    <n v="0.94007830176926077"/>
    <n v="0"/>
    <n v="0"/>
    <n v="0"/>
    <n v="0"/>
    <n v="0"/>
    <n v="0"/>
    <n v="0"/>
    <n v="0"/>
    <n v="0"/>
    <n v="0"/>
    <m/>
    <n v="0"/>
    <n v="0"/>
    <n v="0"/>
    <n v="0"/>
    <n v="0"/>
    <n v="2.5237766923930396"/>
    <n v="0"/>
    <n v="0"/>
    <n v="0"/>
    <n v="0"/>
    <n v="0"/>
    <m/>
    <m/>
    <m/>
    <m/>
    <m/>
    <m/>
    <m/>
    <m/>
    <m/>
    <n v="17.609281135137863"/>
    <m/>
    <m/>
    <m/>
    <m/>
    <m/>
    <m/>
    <m/>
    <m/>
    <m/>
    <m/>
    <m/>
    <m/>
    <n v="51.448599999999999"/>
    <n v="-23.600579999999994"/>
    <m/>
    <m/>
    <m/>
    <m/>
    <n v="-23.032229999999998"/>
    <n v="1.6665899999999987"/>
    <n v="29"/>
    <n v="2.3084263047134144"/>
    <n v="7.5349163673375963E-2"/>
    <n v="0.11349756220246754"/>
    <n v="0"/>
    <n v="0"/>
    <n v="0"/>
    <n v="0"/>
    <n v="0"/>
    <n v="0.26632224082835165"/>
    <n v="0"/>
    <n v="0"/>
    <n v="1.6660851412242792"/>
    <n v="0"/>
    <n v="0"/>
    <n v="0"/>
    <n v="0.27873292954325368"/>
    <n v="0"/>
    <n v="-7.8309754436182821E-2"/>
    <m/>
    <n v="0"/>
    <n v="0"/>
    <n v="0"/>
    <n v="0"/>
    <n v="-1.0174189289963054E-2"/>
    <n v="-3.0767890321712343E-3"/>
    <n v="0"/>
    <n v="0"/>
    <m/>
    <m/>
    <m/>
    <n v="42.201906521473667"/>
    <n v="0"/>
    <n v="0"/>
    <n v="-23.032229999999998"/>
    <n v="1.6665899999999976"/>
    <n v="0"/>
    <n v="0"/>
    <n v="-23.67483484495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2"/>
    <s v="Regular"/>
    <s v="Convencional"/>
    <s v="B3"/>
    <s v="Industrial"/>
    <s v="Não se aplica"/>
    <s v="Não se aplica"/>
    <s v="Não se aplica"/>
    <s v="Não se aplica"/>
    <s v="CATIVO"/>
    <x v="7"/>
    <n v="0"/>
    <n v="0"/>
    <n v="11.3"/>
    <n v="11.3"/>
    <n v="11.3"/>
    <n v="11.3"/>
    <m/>
    <n v="581.32000000000005"/>
    <n v="209.4"/>
    <m/>
    <n v="8935.1360000000022"/>
    <n v="8935.1360000000022"/>
    <n v="6825.991"/>
    <n v="0"/>
    <n v="695.37835448645239"/>
    <n v="0"/>
    <n v="0"/>
    <n v="0"/>
    <n v="838.3599361927038"/>
    <n v="4355.0800243547519"/>
    <n v="2335.1534274385826"/>
    <n v="31.108504095323724"/>
    <n v="0"/>
    <n v="0"/>
    <n v="0"/>
    <n v="0"/>
    <n v="107.45849858990822"/>
    <m/>
    <n v="20.599496768866231"/>
    <n v="64.404132758180268"/>
    <n v="97.012646666599821"/>
    <n v="0"/>
    <n v="0"/>
    <n v="0"/>
    <n v="0"/>
    <n v="0"/>
    <n v="0"/>
    <n v="0"/>
    <n v="0"/>
    <n v="0"/>
    <n v="0"/>
    <m/>
    <n v="0"/>
    <n v="0"/>
    <n v="0"/>
    <n v="0"/>
    <n v="0"/>
    <n v="390.6668030690596"/>
    <n v="0"/>
    <n v="21.33"/>
    <n v="98.33"/>
    <n v="1751.2"/>
    <n v="7"/>
    <m/>
    <m/>
    <m/>
    <m/>
    <m/>
    <m/>
    <m/>
    <m/>
    <m/>
    <n v="2725.820230507642"/>
    <m/>
    <m/>
    <m/>
    <m/>
    <m/>
    <m/>
    <m/>
    <m/>
    <m/>
    <m/>
    <m/>
    <m/>
    <n v="6825.991"/>
    <n v="-2109.1750000000029"/>
    <m/>
    <m/>
    <m/>
    <m/>
    <n v="-2367.1240000000012"/>
    <n v="257.97899999999981"/>
    <n v="29"/>
    <n v="333.8457390128242"/>
    <n v="7.7756417205465453"/>
    <n v="11.712533816327678"/>
    <n v="0"/>
    <n v="0"/>
    <n v="0"/>
    <n v="0"/>
    <n v="0"/>
    <n v="27.483482386851392"/>
    <n v="0"/>
    <n v="0"/>
    <n v="257.90085062786784"/>
    <n v="0"/>
    <n v="0"/>
    <n v="0"/>
    <n v="43.146330189572154"/>
    <n v="0"/>
    <n v="-12.121920892176263"/>
    <m/>
    <n v="0"/>
    <n v="0"/>
    <n v="0"/>
    <n v="0"/>
    <n v="-1.5749087531038697"/>
    <n v="-0.47627008306212204"/>
    <n v="0"/>
    <n v="0"/>
    <m/>
    <m/>
    <m/>
    <n v="4355.0800243547519"/>
    <n v="0"/>
    <n v="0"/>
    <n v="-2367.1240000000007"/>
    <n v="257.97899999999981"/>
    <n v="0"/>
    <n v="0"/>
    <n v="-2443.1550328342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3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6339999999999999"/>
    <n v="2.6339999999999999"/>
    <n v="2.6339999999999999"/>
    <n v="2.6339999999999999"/>
    <m/>
    <n v="581.32000000000005"/>
    <n v="209.4"/>
    <m/>
    <n v="2082.75648"/>
    <n v="2082.75648"/>
    <n v="1591.1203799999998"/>
    <n v="0"/>
    <n v="162.09084829356775"/>
    <n v="0"/>
    <n v="0"/>
    <n v="0"/>
    <n v="195.41947539217537"/>
    <n v="1015.1575915177358"/>
    <n v="544.3180644135598"/>
    <n v="7.2513097156710344"/>
    <n v="0"/>
    <n v="0"/>
    <n v="0"/>
    <n v="0"/>
    <n v="25.048290733258249"/>
    <m/>
    <n v="4.8016880078932429"/>
    <n v="15.012432361508568"/>
    <n v="22.613390382285303"/>
    <n v="0"/>
    <n v="0"/>
    <n v="0"/>
    <n v="0"/>
    <n v="0"/>
    <n v="0"/>
    <n v="0"/>
    <n v="0"/>
    <n v="0"/>
    <n v="0"/>
    <m/>
    <n v="0"/>
    <n v="0"/>
    <n v="0"/>
    <n v="0"/>
    <n v="0"/>
    <n v="91.063394626894052"/>
    <n v="0"/>
    <n v="4.96"/>
    <n v="22.92"/>
    <n v="518.29999999999995"/>
    <n v="3"/>
    <m/>
    <m/>
    <m/>
    <m/>
    <m/>
    <m/>
    <m/>
    <m/>
    <m/>
    <n v="635.38145904045382"/>
    <m/>
    <m/>
    <m/>
    <m/>
    <m/>
    <m/>
    <m/>
    <m/>
    <m/>
    <m/>
    <m/>
    <m/>
    <n v="1588.7040999999999"/>
    <n v="-494.08238000000028"/>
    <m/>
    <m/>
    <m/>
    <m/>
    <n v="-551.7703200000002"/>
    <n v="60.134219999999956"/>
    <n v="29"/>
    <n v="77.818555447767721"/>
    <n v="1.8124814417627935"/>
    <n v="2.7301605373634565"/>
    <n v="0"/>
    <n v="0"/>
    <n v="0"/>
    <n v="0"/>
    <n v="0"/>
    <n v="6.4063267793775651"/>
    <n v="0"/>
    <n v="0"/>
    <n v="60.1160035888322"/>
    <n v="0"/>
    <n v="0"/>
    <n v="0"/>
    <n v="10.05729501941002"/>
    <n v="0"/>
    <n v="-2.8255875778754387"/>
    <m/>
    <n v="0"/>
    <n v="0"/>
    <n v="0"/>
    <n v="0"/>
    <n v="-0.36710704917483028"/>
    <n v="-0.11101729192793197"/>
    <n v="0"/>
    <n v="0"/>
    <m/>
    <m/>
    <m/>
    <n v="1015.1575915177358"/>
    <n v="0"/>
    <n v="0"/>
    <n v="-551.77032000000008"/>
    <n v="60.134219999999914"/>
    <n v="0"/>
    <n v="0"/>
    <n v="-569.49295190136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4"/>
    <s v="Regular"/>
    <s v="Verde"/>
    <s v="A4"/>
    <s v="Industrial"/>
    <s v="Não se aplica"/>
    <s v="Não se aplica"/>
    <s v="Não se aplica"/>
    <s v="Ponta"/>
    <s v="CATIVO"/>
    <x v="7"/>
    <n v="0"/>
    <n v="0"/>
    <n v="10.346"/>
    <n v="10.346"/>
    <n v="10.346"/>
    <n v="10.346"/>
    <m/>
    <n v="1614.19"/>
    <n v="209.4"/>
    <m/>
    <n v="18866.862139999997"/>
    <n v="18866.862139999997"/>
    <n v="12540.903899999999"/>
    <n v="0"/>
    <n v="553.90393595572141"/>
    <n v="0"/>
    <n v="0"/>
    <n v="0"/>
    <n v="3221.9305280989934"/>
    <n v="12030.707630608857"/>
    <n v="2138.0086159539446"/>
    <n v="28.482175519488429"/>
    <n v="0"/>
    <n v="0"/>
    <n v="0"/>
    <n v="0"/>
    <n v="98.386338620459327"/>
    <m/>
    <n v="13.737877215825009"/>
    <n v="250.3206979066091"/>
    <n v="372.8564298700382"/>
    <n v="0"/>
    <n v="0"/>
    <n v="0"/>
    <n v="0"/>
    <n v="0"/>
    <n v="0"/>
    <n v="0"/>
    <n v="0"/>
    <n v="0"/>
    <n v="0"/>
    <m/>
    <n v="0"/>
    <n v="0"/>
    <n v="0"/>
    <n v="0"/>
    <n v="0"/>
    <n v="158.54661859318833"/>
    <n v="0"/>
    <n v="0"/>
    <n v="0"/>
    <n v="0"/>
    <n v="0"/>
    <m/>
    <m/>
    <m/>
    <m/>
    <m/>
    <m/>
    <m/>
    <m/>
    <m/>
    <n v="2296.5552345471328"/>
    <m/>
    <m/>
    <m/>
    <m/>
    <m/>
    <m/>
    <m/>
    <m/>
    <m/>
    <m/>
    <m/>
    <m/>
    <n v="12545.752499999999"/>
    <n v="-6321.139639999994"/>
    <m/>
    <m/>
    <m/>
    <m/>
    <n v="-6562.1574200000014"/>
    <n v="236.19917999999984"/>
    <n v="29"/>
    <n v="423.08284042368541"/>
    <n v="30.221726134673929"/>
    <n v="45.015713863537201"/>
    <n v="0"/>
    <n v="0"/>
    <n v="0"/>
    <n v="0"/>
    <n v="0"/>
    <n v="105.62273684356478"/>
    <n v="0"/>
    <n v="0"/>
    <n v="236.1276283713205"/>
    <n v="0"/>
    <n v="0"/>
    <n v="0"/>
    <n v="17.510330293031785"/>
    <n v="0"/>
    <n v="-9.6557214503452542"/>
    <m/>
    <n v="0"/>
    <n v="0"/>
    <n v="0"/>
    <n v="0"/>
    <n v="-1.4419474300542134"/>
    <n v="-0.3176262020424101"/>
    <n v="0"/>
    <n v="0"/>
    <m/>
    <m/>
    <m/>
    <n v="12030.707630608857"/>
    <n v="0"/>
    <n v="0"/>
    <n v="-6562.1574199999995"/>
    <n v="236.19917999999961"/>
    <n v="0"/>
    <n v="0"/>
    <n v="-6749.103054802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5"/>
    <s v="Regular"/>
    <s v="Verde"/>
    <s v="A4"/>
    <s v="Industrial"/>
    <s v="Não se aplica"/>
    <s v="Não se aplica"/>
    <s v="Não se aplica"/>
    <s v="Fora ponta"/>
    <s v="CATIVO"/>
    <x v="7"/>
    <n v="0"/>
    <n v="0"/>
    <n v="332.30500000000001"/>
    <n v="332.30500000000001"/>
    <n v="332.30500000000001"/>
    <n v="332.30500000000001"/>
    <m/>
    <n v="79.7"/>
    <n v="209.4"/>
    <m/>
    <n v="96069.375499999995"/>
    <n v="96069.375499999995"/>
    <n v="103851.9586"/>
    <n v="0"/>
    <n v="17790.938279312391"/>
    <n v="0"/>
    <n v="0"/>
    <n v="0"/>
    <n v="0"/>
    <n v="0"/>
    <n v="68671.076080086568"/>
    <n v="914.82402242447347"/>
    <n v="0"/>
    <n v="0"/>
    <n v="0"/>
    <n v="0"/>
    <n v="3160.0881746831369"/>
    <m/>
    <n v="441.249302938790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92.3868250154119"/>
    <n v="0"/>
    <n v="0"/>
    <n v="0"/>
    <n v="0"/>
    <n v="0"/>
    <m/>
    <m/>
    <m/>
    <m/>
    <m/>
    <m/>
    <m/>
    <m/>
    <m/>
    <n v="73763.462905101973"/>
    <m/>
    <m/>
    <m/>
    <m/>
    <m/>
    <m/>
    <m/>
    <m/>
    <m/>
    <m/>
    <m/>
    <m/>
    <n v="103853.52119999999"/>
    <n v="7784.1156999999948"/>
    <m/>
    <m/>
    <m/>
    <m/>
    <n v="196.05995000000112"/>
    <n v="7586.5231499999945"/>
    <n v="29"/>
    <n v="7779.9924822720641"/>
    <n v="0"/>
    <n v="0"/>
    <n v="0"/>
    <n v="0"/>
    <n v="0"/>
    <n v="0"/>
    <n v="0"/>
    <n v="0"/>
    <n v="0"/>
    <n v="0"/>
    <n v="7584.2249706100556"/>
    <n v="0"/>
    <n v="0"/>
    <n v="0"/>
    <n v="562.41738913840345"/>
    <n v="0"/>
    <n v="-310.13382143407944"/>
    <m/>
    <n v="0"/>
    <n v="0"/>
    <n v="0"/>
    <n v="0"/>
    <n v="-46.314164000015808"/>
    <n v="-10.201892042306497"/>
    <n v="0"/>
    <n v="0"/>
    <m/>
    <m/>
    <m/>
    <n v="0"/>
    <n v="0"/>
    <n v="0"/>
    <n v="196.05995000000257"/>
    <n v="7586.523149999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6"/>
    <s v="Regular"/>
    <s v="Verde"/>
    <s v="A4"/>
    <s v="Industrial"/>
    <s v="Não se aplica"/>
    <s v="Não se aplica"/>
    <s v="Não se aplica"/>
    <s v="Não se aplica"/>
    <s v="CATIVO"/>
    <x v="7"/>
    <n v="1664"/>
    <n v="1664"/>
    <n v="0"/>
    <n v="0"/>
    <n v="0"/>
    <n v="0"/>
    <n v="44.35"/>
    <m/>
    <m/>
    <n v="73798.400000000009"/>
    <m/>
    <n v="73798.400000000009"/>
    <n v="48206.080000000002"/>
    <n v="0"/>
    <n v="0"/>
    <n v="0"/>
    <n v="0"/>
    <n v="0"/>
    <n v="21835.113976973938"/>
    <n v="47786.496219481342"/>
    <m/>
    <m/>
    <m/>
    <n v="0"/>
    <n v="0"/>
    <n v="0"/>
    <n v="0"/>
    <m/>
    <n v="0"/>
    <n v="1650.2232309238491"/>
    <n v="2524.7728786311618"/>
    <n v="0"/>
    <n v="0"/>
    <m/>
    <m/>
    <n v="0"/>
    <n v="0"/>
    <n v="0"/>
    <m/>
    <m/>
    <n v="0"/>
    <m/>
    <n v="0"/>
    <n v="0"/>
    <n v="0"/>
    <n v="0"/>
    <m/>
    <n v="0"/>
    <n v="0"/>
    <n v="540.66"/>
    <n v="2487.2600000000002"/>
    <n v="42583.83"/>
    <n v="7"/>
    <m/>
    <m/>
    <m/>
    <m/>
    <m/>
    <m/>
    <m/>
    <m/>
    <m/>
    <n v="0"/>
    <m/>
    <m/>
    <m/>
    <m/>
    <m/>
    <m/>
    <m/>
    <m/>
    <m/>
    <m/>
    <m/>
    <m/>
    <n v="48206.080000000002"/>
    <n v="-25592.349999999991"/>
    <m/>
    <m/>
    <m/>
    <m/>
    <n v="-25592.320000000003"/>
    <n v="0"/>
    <n v="29"/>
    <n v="1219.8640214824409"/>
    <n v="199.23480144923769"/>
    <n v="304.82095619081565"/>
    <n v="0"/>
    <n v="0"/>
    <m/>
    <m/>
    <m/>
    <n v="715.808263842383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786.496219481342"/>
    <m/>
    <n v="0"/>
    <n v="0"/>
    <n v="-25592.320000000007"/>
    <m/>
    <n v="0"/>
    <m/>
    <n v="-26807.732139764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27"/>
    <s v="Regular"/>
    <s v="Convencional"/>
    <s v="B3"/>
    <s v="Comercial"/>
    <s v="Não se aplica"/>
    <s v="Não se aplica"/>
    <s v="Não se aplica"/>
    <s v="Não se aplica"/>
    <s v="CATIVO"/>
    <x v="7"/>
    <n v="0"/>
    <n v="0"/>
    <n v="472.36399999999998"/>
    <n v="472.36399999999998"/>
    <n v="472.36399999999998"/>
    <n v="472.36399999999998"/>
    <m/>
    <n v="581.32000000000005"/>
    <n v="209.4"/>
    <m/>
    <n v="373507.66207999998"/>
    <n v="373507.66207999998"/>
    <n v="285340.92148000002"/>
    <n v="0"/>
    <n v="29068.292127313147"/>
    <n v="0"/>
    <n v="0"/>
    <n v="0"/>
    <n v="35045.225920330115"/>
    <n v="182051.59474551395"/>
    <n v="97614.372884831726"/>
    <n v="1300.4015423436722"/>
    <n v="0"/>
    <n v="0"/>
    <n v="0"/>
    <n v="0"/>
    <n v="4491.9934714976462"/>
    <m/>
    <n v="861.10271608218829"/>
    <n v="2692.2295368305363"/>
    <n v="4055.3346752231641"/>
    <n v="0"/>
    <n v="0"/>
    <n v="0"/>
    <n v="0"/>
    <n v="0"/>
    <n v="0"/>
    <n v="0"/>
    <n v="0"/>
    <n v="0"/>
    <n v="0"/>
    <m/>
    <n v="0"/>
    <n v="0"/>
    <n v="0"/>
    <n v="0"/>
    <n v="0"/>
    <n v="16330.702103089667"/>
    <n v="0"/>
    <n v="888.91"/>
    <n v="4109.71"/>
    <n v="119132.52"/>
    <n v="822"/>
    <m/>
    <m/>
    <m/>
    <m/>
    <m/>
    <m/>
    <m/>
    <m/>
    <m/>
    <n v="113945.0749879214"/>
    <m/>
    <m/>
    <m/>
    <m/>
    <m/>
    <m/>
    <m/>
    <m/>
    <m/>
    <m/>
    <m/>
    <m/>
    <n v="285338.50520000001"/>
    <n v="-88169.186879999994"/>
    <m/>
    <m/>
    <m/>
    <m/>
    <n v="-98950.810720000023"/>
    <n v="10784.070119999991"/>
    <n v="29"/>
    <n v="13955.460943633021"/>
    <n v="325.03833855612811"/>
    <n v="489.60878970051317"/>
    <n v="0"/>
    <n v="0"/>
    <n v="0"/>
    <n v="0"/>
    <n v="0"/>
    <n v="1148.8679357683795"/>
    <n v="0"/>
    <n v="0"/>
    <n v="10780.803310263917"/>
    <n v="0"/>
    <n v="0"/>
    <n v="0"/>
    <n v="1803.6082401475305"/>
    <n v="0"/>
    <n v="-506.72203896566134"/>
    <m/>
    <n v="0"/>
    <n v="0"/>
    <n v="0"/>
    <n v="0"/>
    <n v="-65.834530818686289"/>
    <n v="-19.90910101907582"/>
    <n v="0"/>
    <n v="0"/>
    <m/>
    <m/>
    <m/>
    <n v="182051.59474551395"/>
    <n v="0"/>
    <n v="0"/>
    <n v="-98950.810720000009"/>
    <n v="10784.070120000004"/>
    <n v="0"/>
    <n v="0"/>
    <n v="-102129.069374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8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1.0509999999999999"/>
    <n v="-1.0509999999999999"/>
    <n v="-1.0509999999999999"/>
    <n v="-1.0509999999999999"/>
    <m/>
    <n v="581.32000000000005"/>
    <n v="209.4"/>
    <m/>
    <n v="-831.04671999999994"/>
    <n v="-831.04671999999994"/>
    <n v="-634.87756999999988"/>
    <n v="0"/>
    <n v="-64.676340757987731"/>
    <n v="0"/>
    <n v="0"/>
    <n v="0"/>
    <n v="-77.974893180401025"/>
    <n v="-405.06098279618084"/>
    <n v="-217.18993382636725"/>
    <n v="-2.8933661773615249"/>
    <n v="0"/>
    <n v="0"/>
    <n v="0"/>
    <n v="0"/>
    <n v="-9.994591329025976"/>
    <m/>
    <n v="-1.9159354959361423"/>
    <n v="-5.9901542945882698"/>
    <n v="-9.0230346589908326"/>
    <n v="0"/>
    <n v="0"/>
    <n v="0"/>
    <n v="0"/>
    <n v="0"/>
    <n v="0"/>
    <n v="0"/>
    <n v="0"/>
    <n v="0"/>
    <n v="0"/>
    <m/>
    <n v="0"/>
    <n v="0"/>
    <n v="0"/>
    <n v="0"/>
    <n v="0"/>
    <n v="-36.335469913768279"/>
    <n v="0"/>
    <n v="-2.23"/>
    <n v="-10.199999999999999"/>
    <n v="-265.52"/>
    <n v="0"/>
    <m/>
    <m/>
    <m/>
    <m/>
    <m/>
    <m/>
    <m/>
    <m/>
    <m/>
    <n v="-253.52540374013552"/>
    <m/>
    <m/>
    <m/>
    <m/>
    <m/>
    <m/>
    <m/>
    <m/>
    <m/>
    <m/>
    <m/>
    <m/>
    <n v="-634.27350000000001"/>
    <n v="196.74321999999995"/>
    <m/>
    <m/>
    <m/>
    <m/>
    <n v="220.16348000000008"/>
    <n v="-23.99432999999998"/>
    <n v="29"/>
    <n v="-31.050608115263572"/>
    <n v="-0.72320349099950576"/>
    <n v="-1.0893692956602106"/>
    <n v="0"/>
    <n v="0"/>
    <n v="0"/>
    <n v="0"/>
    <n v="0"/>
    <n v="-2.5562070786354667"/>
    <n v="0"/>
    <n v="0"/>
    <n v="-23.987061416804352"/>
    <n v="0"/>
    <n v="0"/>
    <n v="0"/>
    <n v="-4.0129905335610943"/>
    <n v="0"/>
    <n v="1.1274459166086075"/>
    <m/>
    <n v="0"/>
    <n v="0"/>
    <n v="0"/>
    <n v="0"/>
    <n v="0.14648045128426368"/>
    <n v="4.4297332504273701E-2"/>
    <n v="0"/>
    <n v="0"/>
    <m/>
    <m/>
    <m/>
    <n v="-405.06098279618084"/>
    <n v="0"/>
    <n v="0"/>
    <n v="220.16348000000005"/>
    <n v="-23.994329999999991"/>
    <n v="0"/>
    <n v="0"/>
    <n v="227.2350388945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2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72.944000000000003"/>
    <n v="72.944000000000003"/>
    <n v="72.944000000000003"/>
    <n v="72.944000000000003"/>
    <m/>
    <n v="581.32000000000005"/>
    <n v="209.4"/>
    <m/>
    <n v="57678.279680000007"/>
    <n v="57678.279680000007"/>
    <n v="44063.282080000004"/>
    <n v="0"/>
    <n v="4488.8211229787421"/>
    <n v="0"/>
    <n v="0"/>
    <n v="0"/>
    <n v="5411.7988659858929"/>
    <n v="28113.005070489646"/>
    <n v="15073.932000980529"/>
    <n v="200.81227634772512"/>
    <n v="0"/>
    <n v="0"/>
    <n v="0"/>
    <n v="0"/>
    <n v="693.66838240197035"/>
    <m/>
    <n v="132.97430905382109"/>
    <n v="415.74292565599126"/>
    <n v="626.2380972078281"/>
    <n v="0"/>
    <n v="0"/>
    <n v="0"/>
    <n v="0"/>
    <n v="0"/>
    <n v="0"/>
    <n v="0"/>
    <n v="0"/>
    <n v="0"/>
    <n v="0"/>
    <m/>
    <n v="0"/>
    <n v="0"/>
    <n v="0"/>
    <n v="0"/>
    <n v="0"/>
    <n v="2521.8406445194232"/>
    <n v="0"/>
    <n v="137.56"/>
    <n v="635.9"/>
    <n v="33977.1"/>
    <n v="92"/>
    <m/>
    <m/>
    <m/>
    <m/>
    <m/>
    <m/>
    <m/>
    <m/>
    <m/>
    <n v="17595.77264549995"/>
    <m/>
    <m/>
    <m/>
    <m/>
    <m/>
    <m/>
    <m/>
    <m/>
    <m/>
    <m/>
    <m/>
    <m/>
    <n v="44060.8658"/>
    <n v="-13617.443880000013"/>
    <m/>
    <m/>
    <m/>
    <m/>
    <n v="-15280.309120000005"/>
    <n v="1665.3115199999988"/>
    <n v="29"/>
    <n v="2155.0481050045419"/>
    <n v="50.193487580844874"/>
    <n v="75.606997052938596"/>
    <n v="0"/>
    <n v="0"/>
    <n v="0"/>
    <n v="0"/>
    <n v="0"/>
    <n v="177.41195922358293"/>
    <n v="0"/>
    <n v="0"/>
    <n v="1664.807048513203"/>
    <n v="0"/>
    <n v="0"/>
    <n v="0"/>
    <n v="278.51910702196028"/>
    <n v="0"/>
    <n v="-78.249681199903534"/>
    <m/>
    <n v="0"/>
    <n v="0"/>
    <n v="0"/>
    <n v="0"/>
    <n v="-10.166384432425502"/>
    <n v="-3.0744287556534005"/>
    <n v="0"/>
    <n v="0"/>
    <m/>
    <m/>
    <m/>
    <n v="28113.005070489646"/>
    <n v="0"/>
    <n v="0"/>
    <n v="-15280.309120000002"/>
    <n v="1665.3115199999993"/>
    <n v="0"/>
    <n v="0"/>
    <n v="-15771.106257970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0"/>
    <s v="Regular"/>
    <s v="Verde"/>
    <s v="A4"/>
    <s v="Comercial"/>
    <s v="Não se aplica"/>
    <s v="Não se aplica"/>
    <s v="Não se aplica"/>
    <s v="Ponta"/>
    <s v="CATIVO"/>
    <x v="7"/>
    <n v="0"/>
    <n v="0"/>
    <n v="21.234000000000002"/>
    <n v="21.234000000000002"/>
    <n v="21.234000000000002"/>
    <n v="21.234000000000002"/>
    <m/>
    <n v="1614.19"/>
    <n v="209.4"/>
    <m/>
    <n v="38722.110060000006"/>
    <n v="38722.110060000006"/>
    <n v="25738.793099999999"/>
    <n v="0"/>
    <n v="1136.8254568029952"/>
    <n v="0"/>
    <n v="0"/>
    <n v="0"/>
    <n v="6612.6496069644336"/>
    <n v="24691.672707166876"/>
    <n v="4388.0219361266254"/>
    <n v="58.456458049566727"/>
    <n v="0"/>
    <n v="0"/>
    <n v="0"/>
    <n v="0"/>
    <n v="201.92688133257622"/>
    <m/>
    <n v="28.19544604686142"/>
    <n v="513.75504536525602"/>
    <n v="765.2458372182864"/>
    <n v="0"/>
    <n v="0"/>
    <n v="0"/>
    <n v="0"/>
    <n v="0"/>
    <n v="0"/>
    <n v="0"/>
    <n v="0"/>
    <n v="0"/>
    <n v="0"/>
    <m/>
    <n v="0"/>
    <n v="0"/>
    <n v="0"/>
    <n v="0"/>
    <n v="0"/>
    <n v="325.39908169415827"/>
    <n v="0"/>
    <n v="0"/>
    <n v="0"/>
    <n v="0"/>
    <n v="0"/>
    <m/>
    <m/>
    <m/>
    <m/>
    <m/>
    <m/>
    <m/>
    <m/>
    <m/>
    <n v="4713.4210178207841"/>
    <m/>
    <m/>
    <m/>
    <m/>
    <m/>
    <m/>
    <m/>
    <m/>
    <m/>
    <m/>
    <m/>
    <m/>
    <n v="25733.944500000001"/>
    <n v="-12988.195560000011"/>
    <m/>
    <m/>
    <m/>
    <m/>
    <n v="-13468.089180000003"/>
    <n v="484.77221999999972"/>
    <n v="29"/>
    <n v="868.32988918969386"/>
    <n v="62.026689807042885"/>
    <n v="92.389683759747641"/>
    <n v="0"/>
    <n v="0"/>
    <n v="0"/>
    <n v="0"/>
    <n v="0"/>
    <n v="216.77877383880332"/>
    <n v="0"/>
    <n v="0"/>
    <n v="484.62536833912782"/>
    <n v="0"/>
    <n v="0"/>
    <n v="0"/>
    <n v="35.937981194880763"/>
    <n v="0"/>
    <n v="-19.81728100489363"/>
    <m/>
    <n v="0"/>
    <n v="0"/>
    <n v="0"/>
    <n v="0"/>
    <n v="-2.959434731274996"/>
    <n v="-0.65189201374139927"/>
    <n v="0"/>
    <n v="0"/>
    <m/>
    <m/>
    <m/>
    <n v="24691.672707166876"/>
    <n v="0"/>
    <n v="0"/>
    <n v="-13468.089180000003"/>
    <n v="484.77221999999983"/>
    <n v="0"/>
    <n v="0"/>
    <n v="-13851.7740446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1"/>
    <s v="Regular"/>
    <s v="Verde"/>
    <s v="A4"/>
    <s v="Comercial"/>
    <s v="Não se aplica"/>
    <s v="Não se aplica"/>
    <s v="Não se aplica"/>
    <s v="Fora ponta"/>
    <s v="CATIVO"/>
    <x v="7"/>
    <n v="0"/>
    <n v="0"/>
    <n v="367.50599999999997"/>
    <n v="367.50599999999997"/>
    <n v="367.50599999999997"/>
    <n v="367.50599999999997"/>
    <m/>
    <n v="79.7"/>
    <n v="209.4"/>
    <m/>
    <n v="106245.9846"/>
    <n v="106245.9846"/>
    <n v="114852.97511999999"/>
    <n v="0"/>
    <n v="19675.528695857658"/>
    <n v="0"/>
    <n v="0"/>
    <n v="0"/>
    <n v="0"/>
    <n v="0"/>
    <n v="75945.388982676435"/>
    <n v="1011.7311421288531"/>
    <n v="0"/>
    <n v="0"/>
    <n v="0"/>
    <n v="0"/>
    <n v="3494.8356621931684"/>
    <m/>
    <n v="487.990750442585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31.8223093667375"/>
    <n v="0"/>
    <n v="0"/>
    <n v="0"/>
    <n v="0"/>
    <n v="0"/>
    <m/>
    <m/>
    <m/>
    <m/>
    <m/>
    <m/>
    <m/>
    <m/>
    <m/>
    <n v="81577.211292043168"/>
    <m/>
    <m/>
    <m/>
    <m/>
    <m/>
    <m/>
    <m/>
    <m/>
    <m/>
    <m/>
    <m/>
    <m/>
    <n v="114854.2252"/>
    <n v="8608.2106000000203"/>
    <m/>
    <m/>
    <m/>
    <m/>
    <n v="216.82854000000123"/>
    <n v="8390.1619799999935"/>
    <n v="29"/>
    <n v="8604.1254786713253"/>
    <n v="0"/>
    <n v="0"/>
    <n v="0"/>
    <n v="0"/>
    <n v="0"/>
    <n v="0"/>
    <n v="0"/>
    <n v="0"/>
    <n v="0"/>
    <n v="0"/>
    <n v="8387.6203549420461"/>
    <n v="0"/>
    <n v="0"/>
    <n v="0"/>
    <n v="621.99414698153214"/>
    <n v="0"/>
    <n v="-342.98623306887748"/>
    <m/>
    <n v="0"/>
    <n v="0"/>
    <n v="0"/>
    <n v="0"/>
    <n v="-51.22021382461844"/>
    <n v="-11.282576358766505"/>
    <n v="0"/>
    <n v="0"/>
    <m/>
    <m/>
    <m/>
    <n v="0"/>
    <n v="0"/>
    <n v="0"/>
    <n v="216.82854000000225"/>
    <n v="8390.161979999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2"/>
    <s v="Regular"/>
    <s v="Verde"/>
    <s v="A4"/>
    <s v="Comercial"/>
    <s v="Não se aplica"/>
    <s v="Não se aplica"/>
    <s v="Não se aplica"/>
    <s v="Não se aplica"/>
    <s v="CATIVO"/>
    <x v="7"/>
    <n v="3946"/>
    <n v="3946"/>
    <n v="0"/>
    <n v="0"/>
    <n v="0"/>
    <n v="0"/>
    <n v="44.35"/>
    <m/>
    <m/>
    <n v="175005.1"/>
    <m/>
    <n v="175005.1"/>
    <n v="114315.62"/>
    <n v="0"/>
    <n v="0"/>
    <n v="0"/>
    <n v="0"/>
    <n v="0"/>
    <n v="51779.663313184596"/>
    <n v="113320.62144355371"/>
    <m/>
    <m/>
    <m/>
    <n v="0"/>
    <n v="0"/>
    <n v="0"/>
    <n v="0"/>
    <m/>
    <n v="0"/>
    <n v="3913.3298492941758"/>
    <n v="5987.2318383885595"/>
    <n v="0"/>
    <n v="0"/>
    <m/>
    <m/>
    <n v="0"/>
    <n v="0"/>
    <n v="0"/>
    <m/>
    <m/>
    <n v="0"/>
    <m/>
    <n v="0"/>
    <n v="0"/>
    <n v="0"/>
    <n v="0"/>
    <m/>
    <n v="0"/>
    <n v="0"/>
    <n v="815.06"/>
    <n v="3749.98"/>
    <n v="103054.29"/>
    <n v="34"/>
    <m/>
    <m/>
    <m/>
    <m/>
    <m/>
    <m/>
    <m/>
    <m/>
    <m/>
    <n v="0"/>
    <m/>
    <m/>
    <m/>
    <m/>
    <m/>
    <m/>
    <m/>
    <m/>
    <m/>
    <m/>
    <m/>
    <m/>
    <n v="114315.62"/>
    <n v="-60689.510000000038"/>
    <m/>
    <m/>
    <m/>
    <m/>
    <n v="-60689.48000000001"/>
    <n v="0"/>
    <n v="29"/>
    <n v="2892.7785028664002"/>
    <n v="472.46425872517557"/>
    <n v="722.85065692846183"/>
    <n v="0"/>
    <n v="0"/>
    <m/>
    <m/>
    <m/>
    <n v="1697.46358721276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3320.62144355371"/>
    <m/>
    <n v="0"/>
    <n v="0"/>
    <n v="-60689.48000000001"/>
    <m/>
    <n v="0"/>
    <m/>
    <n v="-63571.70133624479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33"/>
    <s v="Sistema de Compensação"/>
    <s v="Verde"/>
    <s v="A4"/>
    <s v="Comercial"/>
    <s v="Não se aplica"/>
    <s v="Não se aplica"/>
    <s v="Não se aplica"/>
    <s v="Não se aplica"/>
    <s v="CATIVO"/>
    <x v="7"/>
    <n v="388"/>
    <n v="388"/>
    <n v="0"/>
    <n v="0"/>
    <n v="0"/>
    <n v="0"/>
    <n v="44.35"/>
    <m/>
    <m/>
    <n v="17207.8"/>
    <m/>
    <n v="17207.8"/>
    <n v="11240.359999999999"/>
    <n v="0"/>
    <n v="0"/>
    <n v="0"/>
    <n v="0"/>
    <n v="0"/>
    <n v="5091.3607109770965"/>
    <n v="11142.524358869448"/>
    <m/>
    <m/>
    <m/>
    <n v="0"/>
    <n v="0"/>
    <n v="0"/>
    <n v="0"/>
    <m/>
    <n v="0"/>
    <n v="384.7876283644552"/>
    <n v="588.70906064236215"/>
    <n v="0"/>
    <n v="0"/>
    <m/>
    <m/>
    <n v="0"/>
    <n v="0"/>
    <n v="0"/>
    <m/>
    <m/>
    <n v="0"/>
    <m/>
    <n v="0"/>
    <n v="0"/>
    <n v="0"/>
    <n v="0"/>
    <m/>
    <n v="0"/>
    <n v="0"/>
    <n v="28.9"/>
    <n v="133.02000000000001"/>
    <n v="4561.6099999999997"/>
    <n v="3"/>
    <m/>
    <m/>
    <m/>
    <m/>
    <m/>
    <m/>
    <m/>
    <m/>
    <m/>
    <n v="0"/>
    <m/>
    <m/>
    <m/>
    <m/>
    <m/>
    <m/>
    <m/>
    <m/>
    <m/>
    <m/>
    <m/>
    <m/>
    <n v="11240.359999999999"/>
    <n v="-5967.4699999999957"/>
    <m/>
    <m/>
    <m/>
    <m/>
    <n v="-5967.4400000000014"/>
    <n v="0"/>
    <n v="29"/>
    <n v="284.43944731681859"/>
    <n v="46.456191684077055"/>
    <n v="71.076040265647066"/>
    <n v="0"/>
    <n v="0"/>
    <m/>
    <m/>
    <m/>
    <n v="166.9072153670940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42.524358869448"/>
    <m/>
    <n v="0"/>
    <n v="0"/>
    <n v="-5967.4400000000005"/>
    <m/>
    <n v="0"/>
    <m/>
    <n v="-6250.841388358587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34"/>
    <s v="Regular"/>
    <s v="Convencional"/>
    <s v="B2"/>
    <s v="Rural"/>
    <s v="Não se aplica"/>
    <s v="Não se aplica"/>
    <s v="Não se aplica"/>
    <s v="Não se aplica"/>
    <s v="CATIVO"/>
    <x v="7"/>
    <n v="0"/>
    <n v="0"/>
    <n v="5277.7030000000004"/>
    <n v="5277.7030000000004"/>
    <n v="5277.7030000000004"/>
    <n v="5277.7030000000004"/>
    <m/>
    <n v="581.32000000000005"/>
    <n v="209.4"/>
    <m/>
    <n v="4173185.3161600004"/>
    <n v="4173185.3161600004"/>
    <n v="3188102.0512100002"/>
    <n v="0"/>
    <n v="324778.79890338168"/>
    <n v="0"/>
    <n v="0"/>
    <n v="0"/>
    <n v="391558.82746230456"/>
    <n v="2034054.7707767386"/>
    <n v="1090641.2610135302"/>
    <n v="14529.331450389585"/>
    <n v="0"/>
    <n v="0"/>
    <n v="0"/>
    <n v="0"/>
    <n v="50188.853131279146"/>
    <m/>
    <n v="9621.0642385429746"/>
    <n v="30080.166784977548"/>
    <n v="45310.082862854331"/>
    <n v="0"/>
    <n v="0"/>
    <n v="0"/>
    <n v="0"/>
    <n v="0"/>
    <n v="0"/>
    <n v="0"/>
    <n v="0"/>
    <n v="0"/>
    <n v="0"/>
    <m/>
    <n v="0"/>
    <n v="0"/>
    <n v="0"/>
    <n v="0"/>
    <n v="0"/>
    <n v="182462.24412017566"/>
    <n v="0"/>
    <n v="8949.2999999999993"/>
    <n v="41451.51"/>
    <n v="291538.26"/>
    <n v="13663"/>
    <m/>
    <m/>
    <m/>
    <m/>
    <m/>
    <n v="382580.69046999968"/>
    <m/>
    <m/>
    <m/>
    <n v="1273103.5051337059"/>
    <m/>
    <m/>
    <m/>
    <m/>
    <m/>
    <m/>
    <m/>
    <m/>
    <m/>
    <m/>
    <m/>
    <m/>
    <n v="2805519.7660000003"/>
    <n v="-866969.89654999925"/>
    <m/>
    <m/>
    <m/>
    <m/>
    <n v="-1105573.2244400005"/>
    <n v="120489.95948999992"/>
    <n v="29"/>
    <n v="155923.77507302584"/>
    <n v="3631.6396137569609"/>
    <n v="5470.3783061976937"/>
    <n v="0"/>
    <n v="0"/>
    <n v="0"/>
    <n v="0"/>
    <n v="0"/>
    <n v="12836.252871109114"/>
    <n v="0"/>
    <n v="0"/>
    <n v="120453.45956294239"/>
    <n v="0"/>
    <n v="0"/>
    <n v="0"/>
    <n v="20151.638608893438"/>
    <n v="0"/>
    <n v="-5661.5839166726801"/>
    <m/>
    <n v="0"/>
    <n v="0"/>
    <n v="0"/>
    <n v="0"/>
    <n v="-735.56642929048394"/>
    <n v="-222.44354391037268"/>
    <n v="0"/>
    <n v="0"/>
    <m/>
    <m/>
    <m/>
    <n v="2034054.7707767386"/>
    <n v="0"/>
    <n v="0"/>
    <n v="-1105573.2244400003"/>
    <n v="120489.95949000004"/>
    <n v="0"/>
    <n v="0"/>
    <n v="-1141083.7740048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5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1.659"/>
    <n v="-1.659"/>
    <n v="-1.659"/>
    <n v="-1.659"/>
    <m/>
    <n v="581.32000000000005"/>
    <n v="209.4"/>
    <m/>
    <n v="-1311.80448"/>
    <n v="-1311.80448"/>
    <n v="-1002.1521299999999"/>
    <n v="0"/>
    <n v="-102.09138850380748"/>
    <n v="0"/>
    <n v="0"/>
    <n v="0"/>
    <n v="-123.08310921625625"/>
    <n v="-639.38741242517983"/>
    <n v="-342.83358726731046"/>
    <n v="-4.5671688755877931"/>
    <n v="0"/>
    <n v="0"/>
    <n v="0"/>
    <n v="0"/>
    <n v="-15.776429129261745"/>
    <m/>
    <n v="-3.0242977999600953"/>
    <n v="-9.4554386058248721"/>
    <n v="-14.242830161052133"/>
    <n v="0"/>
    <n v="0"/>
    <n v="0"/>
    <n v="0"/>
    <n v="0"/>
    <n v="0"/>
    <n v="0"/>
    <n v="0"/>
    <n v="0"/>
    <n v="0"/>
    <m/>
    <n v="0"/>
    <n v="0"/>
    <n v="0"/>
    <n v="0"/>
    <n v="0"/>
    <n v="-57.355418255891138"/>
    <n v="0"/>
    <n v="-3.13"/>
    <n v="-14.38"/>
    <n v="33.51"/>
    <n v="0"/>
    <m/>
    <m/>
    <m/>
    <m/>
    <m/>
    <n v="-120.26090999999988"/>
    <m/>
    <m/>
    <m/>
    <n v="-400.18900552320162"/>
    <m/>
    <m/>
    <m/>
    <m/>
    <m/>
    <m/>
    <m/>
    <m/>
    <m/>
    <m/>
    <m/>
    <m/>
    <n v="-882.42280000000005"/>
    <n v="271.96235000000001"/>
    <m/>
    <m/>
    <m/>
    <m/>
    <n v="347.52732000000015"/>
    <n v="-37.874969999999976"/>
    <n v="29"/>
    <n v="-49.013281506396083"/>
    <n v="-1.1415743021581157"/>
    <n v="-1.7195658054236826"/>
    <n v="0"/>
    <n v="0"/>
    <n v="0"/>
    <n v="0"/>
    <n v="0"/>
    <n v="-4.0349643610430519"/>
    <n v="0"/>
    <n v="0"/>
    <n v="-37.863496565631237"/>
    <n v="0"/>
    <n v="0"/>
    <n v="0"/>
    <n v="-6.3344921933186029"/>
    <n v="0"/>
    <n v="1.7796696247894346"/>
    <m/>
    <n v="0"/>
    <n v="0"/>
    <n v="0"/>
    <n v="0"/>
    <n v="0.23121890454861038"/>
    <n v="6.9923191840713272E-2"/>
    <n v="0"/>
    <n v="0"/>
    <m/>
    <m/>
    <m/>
    <n v="-639.38741242517983"/>
    <n v="0"/>
    <n v="0"/>
    <n v="347.52732000000003"/>
    <n v="-37.874969999999962"/>
    <n v="0"/>
    <n v="0"/>
    <n v="358.68975216566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6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203.977"/>
    <n v="203.977"/>
    <n v="203.977"/>
    <n v="203.977"/>
    <m/>
    <n v="581.32000000000005"/>
    <n v="209.4"/>
    <m/>
    <n v="161288.69344"/>
    <n v="161288.69344"/>
    <n v="123216.38639"/>
    <n v="0"/>
    <n v="12552.317753370186"/>
    <n v="0"/>
    <n v="0"/>
    <n v="0"/>
    <n v="15133.287142015854"/>
    <n v="78613.819303345939"/>
    <n v="42151.999174215911"/>
    <n v="561.54153450016349"/>
    <n v="0"/>
    <n v="0"/>
    <n v="0"/>
    <n v="0"/>
    <n v="1939.7400147675846"/>
    <m/>
    <n v="371.84279224982544"/>
    <n v="1162.5629900544545"/>
    <n v="1751.1812946117727"/>
    <n v="0"/>
    <n v="0"/>
    <n v="0"/>
    <n v="0"/>
    <n v="0"/>
    <n v="0"/>
    <n v="0"/>
    <n v="0"/>
    <n v="0"/>
    <n v="0"/>
    <m/>
    <n v="0"/>
    <n v="0"/>
    <n v="0"/>
    <n v="0"/>
    <n v="0"/>
    <n v="7051.9506627980145"/>
    <n v="0"/>
    <n v="349.03"/>
    <n v="1614.93"/>
    <n v="10105.11"/>
    <n v="843"/>
    <m/>
    <m/>
    <m/>
    <m/>
    <m/>
    <n v="14786.292729999986"/>
    <m/>
    <m/>
    <m/>
    <n v="49203.949837013926"/>
    <m/>
    <m/>
    <m/>
    <m/>
    <m/>
    <m/>
    <m/>
    <m/>
    <m/>
    <m/>
    <m/>
    <m/>
    <n v="108431.68840000001"/>
    <n v="-33505.737049999996"/>
    <m/>
    <m/>
    <m/>
    <m/>
    <n v="-42729.101960000015"/>
    <n v="4656.7949099999969"/>
    <n v="29"/>
    <n v="6026.2701156299736"/>
    <n v="140.35859037450632"/>
    <n v="211.42367347372306"/>
    <n v="0"/>
    <n v="0"/>
    <n v="0"/>
    <n v="0"/>
    <n v="0"/>
    <n v="496.10604308166148"/>
    <n v="0"/>
    <n v="0"/>
    <n v="4655.3842308425301"/>
    <n v="0"/>
    <n v="0"/>
    <n v="0"/>
    <n v="778.83707903348386"/>
    <n v="0"/>
    <n v="-218.81354494012885"/>
    <m/>
    <n v="0"/>
    <n v="0"/>
    <n v="0"/>
    <n v="0"/>
    <n v="-28.42877546299701"/>
    <n v="-8.5971807728108729"/>
    <n v="0"/>
    <n v="0"/>
    <m/>
    <m/>
    <m/>
    <n v="78613.819303345939"/>
    <n v="0"/>
    <n v="0"/>
    <n v="-42729.101960000015"/>
    <n v="4656.7949099999969"/>
    <n v="0"/>
    <n v="0"/>
    <n v="-44101.542843578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7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-1.6120000000000001"/>
    <n v="-1.6120000000000001"/>
    <n v="-1.6120000000000001"/>
    <n v="-1.6120000000000001"/>
    <m/>
    <n v="581.32000000000005"/>
    <n v="209.4"/>
    <m/>
    <n v="-1274.6406400000001"/>
    <n v="-1274.6406400000001"/>
    <n v="-973.76083999999992"/>
    <n v="0"/>
    <n v="-99.199106852403645"/>
    <n v="0"/>
    <n v="0"/>
    <n v="0"/>
    <n v="-119.59612541085298"/>
    <n v="-621.27336276635924"/>
    <n v="-333.12100221513231"/>
    <n v="-4.4377795222709597"/>
    <n v="0"/>
    <n v="0"/>
    <n v="0"/>
    <n v="0"/>
    <n v="-15.329477851940888"/>
    <m/>
    <n v="-2.9386184771161385"/>
    <n v="-9.187563009397044"/>
    <n v="-13.839326232438843"/>
    <n v="0"/>
    <n v="0"/>
    <n v="0"/>
    <n v="0"/>
    <n v="0"/>
    <n v="0"/>
    <n v="0"/>
    <n v="0"/>
    <n v="0"/>
    <n v="0"/>
    <m/>
    <n v="0"/>
    <n v="0"/>
    <n v="0"/>
    <n v="0"/>
    <n v="0"/>
    <n v="-55.73052093339151"/>
    <n v="0"/>
    <n v="-3.1"/>
    <n v="-14.12"/>
    <n v="2.19"/>
    <n v="5"/>
    <m/>
    <m/>
    <m/>
    <m/>
    <m/>
    <n v="-116.85387999999989"/>
    <m/>
    <m/>
    <m/>
    <n v="-388.85152314852382"/>
    <m/>
    <m/>
    <m/>
    <m/>
    <m/>
    <m/>
    <m/>
    <m/>
    <m/>
    <m/>
    <m/>
    <m/>
    <n v="-855.8438000000001"/>
    <n v="265.83639999999991"/>
    <m/>
    <m/>
    <m/>
    <m/>
    <n v="337.68176000000017"/>
    <n v="-36.80195999999998"/>
    <n v="29"/>
    <n v="-47.62471958306844"/>
    <n v="-1.1092331374797357"/>
    <n v="-1.670849956807098"/>
    <n v="0"/>
    <n v="0"/>
    <n v="0"/>
    <n v="0"/>
    <n v="0"/>
    <n v="-3.9206525316463967"/>
    <n v="0"/>
    <n v="0"/>
    <n v="-36.790811611692334"/>
    <n v="0"/>
    <n v="0"/>
    <n v="0"/>
    <n v="-6.1550340058044597"/>
    <n v="0"/>
    <n v="1.7292510157688668"/>
    <m/>
    <n v="0"/>
    <n v="0"/>
    <n v="0"/>
    <n v="0"/>
    <n v="0.22466839911534642"/>
    <n v="6.7942245477534691E-2"/>
    <n v="0"/>
    <n v="0"/>
    <m/>
    <m/>
    <m/>
    <n v="-621.27336276635924"/>
    <n v="0"/>
    <n v="0"/>
    <n v="337.68176000000017"/>
    <n v="-36.801959999999951"/>
    <n v="0"/>
    <n v="0"/>
    <n v="348.52795689635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8"/>
    <s v="Regular"/>
    <s v="Verde"/>
    <s v="A4"/>
    <s v="Rural"/>
    <s v="Não se aplica"/>
    <s v="Não se aplica"/>
    <s v="Não se aplica"/>
    <s v="Ponta"/>
    <s v="CATIVO"/>
    <x v="7"/>
    <n v="0"/>
    <n v="0"/>
    <n v="14.007"/>
    <n v="13.446719999999999"/>
    <n v="14.007"/>
    <n v="13.446719999999999"/>
    <m/>
    <n v="1614.19"/>
    <n v="209.4"/>
    <m/>
    <n v="25543.025130000002"/>
    <n v="25543.025130000002"/>
    <n v="16978.585049999998"/>
    <n v="0"/>
    <n v="749.9064789224617"/>
    <n v="0"/>
    <n v="0"/>
    <n v="0"/>
    <n v="4362.0317907483659"/>
    <n v="16287.852482306038"/>
    <n v="2894.5569962948871"/>
    <n v="38.560780253380479"/>
    <n v="0"/>
    <n v="0"/>
    <n v="0"/>
    <n v="0"/>
    <n v="133.20099024326055"/>
    <m/>
    <n v="18.599115229273234"/>
    <n v="338.89831969629557"/>
    <n v="504.79412460754151"/>
    <n v="0"/>
    <n v="0"/>
    <n v="0"/>
    <n v="0"/>
    <n v="0"/>
    <n v="0"/>
    <n v="0"/>
    <n v="0"/>
    <n v="0"/>
    <n v="0"/>
    <m/>
    <n v="0"/>
    <n v="0"/>
    <n v="0"/>
    <n v="0"/>
    <n v="0"/>
    <n v="214.64938011161695"/>
    <n v="0"/>
    <n v="0"/>
    <n v="0"/>
    <n v="0"/>
    <n v="0"/>
    <m/>
    <m/>
    <m/>
    <m/>
    <m/>
    <n v="679.14340200000061"/>
    <m/>
    <m/>
    <m/>
    <n v="3109.2063764065042"/>
    <m/>
    <m/>
    <m/>
    <m/>
    <m/>
    <m/>
    <m/>
    <m/>
    <m/>
    <m/>
    <m/>
    <m/>
    <n v="16303.4175"/>
    <n v="-8217.9166247999965"/>
    <m/>
    <m/>
    <m/>
    <m/>
    <n v="-8884.2198900000003"/>
    <n v="319.77980999999977"/>
    <n v="29"/>
    <n v="572.79348016765653"/>
    <n v="40.915882270285863"/>
    <n v="60.944819648807822"/>
    <n v="0"/>
    <n v="0"/>
    <n v="0"/>
    <n v="0"/>
    <n v="0"/>
    <n v="142.99803546953535"/>
    <n v="0"/>
    <n v="0"/>
    <n v="319.68293935792417"/>
    <n v="0"/>
    <n v="0"/>
    <n v="0"/>
    <n v="23.706475586168182"/>
    <n v="0"/>
    <n v="-13.07246185530505"/>
    <m/>
    <n v="0"/>
    <n v="0"/>
    <n v="0"/>
    <n v="0"/>
    <n v="-1.9521899915686447"/>
    <n v="-0.43002031819138153"/>
    <n v="0"/>
    <n v="0"/>
    <m/>
    <m/>
    <m/>
    <n v="16287.852482306038"/>
    <n v="0"/>
    <n v="0"/>
    <n v="-8884.2198900000021"/>
    <n v="319.77981"/>
    <n v="0"/>
    <n v="0"/>
    <n v="-9137.317464586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39"/>
    <s v="Sistema de Compensação"/>
    <s v="Verde"/>
    <s v="A4"/>
    <s v="Rural"/>
    <s v="Não se aplica"/>
    <s v="Não se aplica"/>
    <s v="Não se aplica"/>
    <s v="Ponta"/>
    <s v="CATIVO"/>
    <x v="7"/>
    <n v="0"/>
    <n v="0"/>
    <n v="0.223"/>
    <n v="0.21407999999999999"/>
    <n v="0.223"/>
    <n v="0.21407999999999999"/>
    <m/>
    <n v="1614.19"/>
    <n v="209.4"/>
    <m/>
    <n v="406.66057000000001"/>
    <n v="406.66057000000001"/>
    <n v="270.30944999999997"/>
    <n v="0"/>
    <n v="11.938969429550152"/>
    <n v="0"/>
    <n v="0"/>
    <n v="0"/>
    <n v="69.446211846711336"/>
    <n v="259.31256539974629"/>
    <n v="46.083116311398577"/>
    <n v="0.61391118701391068"/>
    <n v="0"/>
    <n v="0"/>
    <n v="0"/>
    <n v="0"/>
    <n v="2.1206411668627903"/>
    <m/>
    <n v="0.29610928079731075"/>
    <n v="5.3954683581262159"/>
    <n v="8.036630955056884"/>
    <n v="0"/>
    <n v="0"/>
    <n v="0"/>
    <n v="0"/>
    <n v="0"/>
    <n v="0"/>
    <n v="0"/>
    <n v="0"/>
    <n v="0"/>
    <n v="0"/>
    <m/>
    <n v="0"/>
    <n v="0"/>
    <n v="0"/>
    <n v="0"/>
    <n v="0"/>
    <n v="3.4173493085521938"/>
    <n v="0"/>
    <n v="0"/>
    <n v="0"/>
    <n v="0"/>
    <n v="0"/>
    <m/>
    <m/>
    <m/>
    <m/>
    <m/>
    <n v="10.812378000000013"/>
    <m/>
    <m/>
    <m/>
    <n v="49.500465619950774"/>
    <m/>
    <m/>
    <m/>
    <m/>
    <m/>
    <m/>
    <m/>
    <m/>
    <m/>
    <m/>
    <m/>
    <m/>
    <n v="254.55149999999998"/>
    <n v="-135.87264720000002"/>
    <m/>
    <m/>
    <m/>
    <m/>
    <n v="-141.44221000000002"/>
    <n v="5.0910899999999968"/>
    <n v="29"/>
    <n v="9.119222251544727"/>
    <n v="0.65140585038007881"/>
    <n v="0.97027877359064263"/>
    <n v="0"/>
    <n v="0"/>
    <n v="0"/>
    <n v="0"/>
    <n v="0"/>
    <n v="2.2766161140648506"/>
    <n v="0"/>
    <n v="0"/>
    <n v="5.0895477601782773"/>
    <n v="0"/>
    <n v="0"/>
    <n v="0"/>
    <n v="0.37742157890451278"/>
    <n v="0"/>
    <n v="-0.20812158161869299"/>
    <m/>
    <n v="0"/>
    <n v="0"/>
    <n v="0"/>
    <n v="0"/>
    <n v="-3.1080057693996466E-2"/>
    <n v="-6.8461862609179858E-3"/>
    <n v="0"/>
    <n v="0"/>
    <m/>
    <m/>
    <m/>
    <n v="259.31256539974629"/>
    <n v="0"/>
    <n v="0"/>
    <n v="-141.44221000000005"/>
    <n v="5.0910899999999941"/>
    <n v="0"/>
    <n v="0"/>
    <n v="-145.47167806116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0"/>
    <s v="Regular"/>
    <s v="Verde"/>
    <s v="A4"/>
    <s v="Rural"/>
    <s v="Não se aplica"/>
    <s v="Não se aplica"/>
    <s v="Não se aplica"/>
    <s v="Fora ponta"/>
    <s v="CATIVO"/>
    <x v="7"/>
    <n v="0"/>
    <n v="0"/>
    <n v="183.601"/>
    <n v="176.25695999999999"/>
    <n v="183.601"/>
    <n v="176.25695999999999"/>
    <m/>
    <n v="79.7"/>
    <n v="209.4"/>
    <m/>
    <n v="53079.049100000004"/>
    <n v="53079.049100000004"/>
    <n v="57378.984519999998"/>
    <n v="0"/>
    <n v="9829.6265750441144"/>
    <n v="0"/>
    <n v="0"/>
    <n v="0"/>
    <n v="0"/>
    <n v="0"/>
    <n v="37941.283577977978"/>
    <n v="505.44712038987001"/>
    <n v="0"/>
    <n v="0"/>
    <n v="0"/>
    <n v="0"/>
    <n v="1745.9723716465255"/>
    <m/>
    <n v="243.79354288639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13.5818403564635"/>
    <n v="0"/>
    <n v="0"/>
    <n v="0"/>
    <n v="0"/>
    <n v="0"/>
    <m/>
    <m/>
    <m/>
    <m/>
    <m/>
    <n v="2295.1593808000021"/>
    <m/>
    <m/>
    <m/>
    <n v="40754.865418334441"/>
    <m/>
    <m/>
    <m/>
    <m/>
    <m/>
    <m/>
    <m/>
    <m/>
    <m/>
    <m/>
    <m/>
    <m/>
    <n v="55084.775199999996"/>
    <n v="4128.8580639999927"/>
    <m/>
    <m/>
    <m/>
    <m/>
    <n v="108.32459000000063"/>
    <n v="4191.6108299999969"/>
    <n v="29"/>
    <n v="4298.5040843130046"/>
    <n v="0"/>
    <n v="0"/>
    <n v="0"/>
    <n v="0"/>
    <n v="0"/>
    <n v="0"/>
    <n v="0"/>
    <n v="0"/>
    <n v="0"/>
    <n v="0"/>
    <n v="4190.3410686838251"/>
    <n v="0"/>
    <n v="0"/>
    <n v="0"/>
    <n v="310.73981752666987"/>
    <n v="0"/>
    <n v="-171.35125787790821"/>
    <m/>
    <n v="0"/>
    <n v="0"/>
    <n v="0"/>
    <n v="0"/>
    <n v="-25.588922298993339"/>
    <n v="-5.636621720586561"/>
    <n v="0"/>
    <n v="0"/>
    <m/>
    <m/>
    <m/>
    <n v="0"/>
    <n v="0"/>
    <n v="0"/>
    <n v="108.32459000000017"/>
    <n v="4191.610829999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1"/>
    <s v="Sistema de Compensação"/>
    <s v="Verde"/>
    <s v="A4"/>
    <s v="Rural"/>
    <s v="Não se aplica"/>
    <s v="Não se aplica"/>
    <s v="Não se aplica"/>
    <s v="Fora ponta"/>
    <s v="CATIVO"/>
    <x v="7"/>
    <n v="0"/>
    <n v="0"/>
    <n v="4.7270000000000003"/>
    <n v="4.5379199999999997"/>
    <n v="4.7270000000000003"/>
    <n v="4.5379199999999997"/>
    <m/>
    <n v="79.7"/>
    <n v="209.4"/>
    <m/>
    <n v="1366.5757000000001"/>
    <n v="1366.5757000000001"/>
    <n v="1477.2820400000001"/>
    <n v="0"/>
    <n v="253.07402911876039"/>
    <n v="0"/>
    <n v="0"/>
    <n v="0"/>
    <n v="0"/>
    <n v="0"/>
    <n v="976.8380753541752"/>
    <n v="13.013265385716394"/>
    <n v="0"/>
    <n v="0"/>
    <n v="0"/>
    <n v="0"/>
    <n v="44.951886976504085"/>
    <m/>
    <n v="6.2767200463178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438610679489784"/>
    <n v="0"/>
    <n v="0"/>
    <n v="0"/>
    <n v="0"/>
    <n v="0"/>
    <m/>
    <m/>
    <m/>
    <m/>
    <m/>
    <n v="59.091281600000187"/>
    <m/>
    <m/>
    <m/>
    <n v="1049.2766860336651"/>
    <m/>
    <m/>
    <m/>
    <m/>
    <m/>
    <m/>
    <m/>
    <m/>
    <m/>
    <m/>
    <m/>
    <m/>
    <n v="1418.8407999999999"/>
    <n v="106.89812800000004"/>
    <m/>
    <m/>
    <m/>
    <m/>
    <n v="2.7889300000000161"/>
    <n v="107.91740999999993"/>
    <n v="29"/>
    <n v="110.66948876393667"/>
    <n v="0"/>
    <n v="0"/>
    <n v="0"/>
    <n v="0"/>
    <n v="0"/>
    <n v="0"/>
    <n v="0"/>
    <n v="0"/>
    <n v="0"/>
    <n v="0"/>
    <n v="107.88471866530369"/>
    <n v="0"/>
    <n v="0"/>
    <n v="0"/>
    <n v="8.0003219887068582"/>
    <n v="0"/>
    <n v="-4.4116175619352305"/>
    <m/>
    <n v="0"/>
    <n v="0"/>
    <n v="0"/>
    <n v="0"/>
    <n v="-0.65881359963911734"/>
    <n v="-0.14512072849936963"/>
    <n v="0"/>
    <n v="0"/>
    <m/>
    <m/>
    <m/>
    <n v="0"/>
    <n v="0"/>
    <n v="0"/>
    <n v="2.7889299999999935"/>
    <n v="107.91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2"/>
    <s v="Regular"/>
    <s v="Verde"/>
    <s v="A4"/>
    <s v="Rural"/>
    <s v="Não se aplica"/>
    <s v="Não se aplica"/>
    <s v="Não se aplica"/>
    <s v="Não se aplica"/>
    <s v="CATIVO"/>
    <x v="7"/>
    <n v="1634"/>
    <n v="1568.64"/>
    <n v="0"/>
    <n v="0"/>
    <n v="0"/>
    <n v="0"/>
    <n v="44.35"/>
    <m/>
    <m/>
    <n v="72467.900000000009"/>
    <m/>
    <n v="72467.900000000009"/>
    <n v="47336.979999999996"/>
    <n v="0"/>
    <n v="0"/>
    <n v="0"/>
    <n v="0"/>
    <n v="0"/>
    <n v="21441.452066331378"/>
    <n v="46924.96083090896"/>
    <m/>
    <m/>
    <m/>
    <n v="0"/>
    <n v="0"/>
    <n v="0"/>
    <n v="0"/>
    <m/>
    <n v="0"/>
    <n v="1620.47161017402"/>
    <n v="2479.2541368289171"/>
    <n v="0"/>
    <n v="0"/>
    <m/>
    <m/>
    <n v="0"/>
    <n v="0"/>
    <n v="0"/>
    <m/>
    <m/>
    <n v="0"/>
    <m/>
    <n v="0"/>
    <n v="0"/>
    <n v="0"/>
    <n v="0"/>
    <m/>
    <n v="0"/>
    <n v="0"/>
    <n v="369.96"/>
    <n v="1702.17"/>
    <n v="105.95"/>
    <n v="15"/>
    <m/>
    <m/>
    <m/>
    <m/>
    <m/>
    <n v="1893.479199999997"/>
    <m/>
    <m/>
    <m/>
    <n v="0"/>
    <m/>
    <m/>
    <m/>
    <m/>
    <m/>
    <m/>
    <m/>
    <m/>
    <m/>
    <m/>
    <m/>
    <m/>
    <n v="45443.500800000002"/>
    <n v="-24125.713199999991"/>
    <m/>
    <m/>
    <m/>
    <m/>
    <n v="-25130.920000000006"/>
    <n v="0"/>
    <n v="29"/>
    <n v="1197.8712807105185"/>
    <n v="195.6428278654173"/>
    <n v="299.32538606718344"/>
    <n v="0"/>
    <n v="0"/>
    <m/>
    <m/>
    <m/>
    <n v="702.903066777918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924.96083090896"/>
    <m/>
    <n v="0"/>
    <n v="0"/>
    <n v="-25130.920000000013"/>
    <m/>
    <n v="0"/>
    <m/>
    <n v="-26324.419661283322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43"/>
    <s v="Sistema de Compensação"/>
    <s v="Verde"/>
    <s v="A4"/>
    <s v="Rural"/>
    <s v="Não se aplica"/>
    <s v="Não se aplica"/>
    <s v="Não se aplica"/>
    <s v="Não se aplica"/>
    <s v="CATIVO"/>
    <x v="7"/>
    <n v="604"/>
    <n v="579.84"/>
    <n v="0"/>
    <n v="0"/>
    <n v="0"/>
    <n v="0"/>
    <n v="44.35"/>
    <m/>
    <m/>
    <n v="26787.4"/>
    <m/>
    <n v="26787.4"/>
    <n v="17497.88"/>
    <n v="0"/>
    <n v="0"/>
    <n v="0"/>
    <n v="0"/>
    <n v="0"/>
    <n v="7925.7264676035211"/>
    <n v="17345.579156590582"/>
    <m/>
    <m/>
    <m/>
    <n v="0"/>
    <n v="0"/>
    <n v="0"/>
    <n v="0"/>
    <m/>
    <n v="0"/>
    <n v="598.99929776322404"/>
    <n v="916.44400161852263"/>
    <n v="0"/>
    <n v="0"/>
    <m/>
    <m/>
    <n v="0"/>
    <n v="0"/>
    <n v="0"/>
    <m/>
    <m/>
    <n v="0"/>
    <m/>
    <n v="0"/>
    <n v="0"/>
    <n v="0"/>
    <n v="0"/>
    <m/>
    <n v="0"/>
    <n v="0"/>
    <n v="54.23"/>
    <n v="249.68"/>
    <n v="26.75"/>
    <n v="9"/>
    <m/>
    <m/>
    <m/>
    <m/>
    <m/>
    <n v="699.915199999999"/>
    <m/>
    <m/>
    <m/>
    <n v="0"/>
    <m/>
    <m/>
    <m/>
    <m/>
    <m/>
    <m/>
    <m/>
    <m/>
    <m/>
    <m/>
    <m/>
    <m/>
    <n v="16797.964800000002"/>
    <n v="-8917.9691999999959"/>
    <m/>
    <m/>
    <m/>
    <m/>
    <n v="-9289.5200000000023"/>
    <n v="0"/>
    <n v="29"/>
    <n v="442.78718087463312"/>
    <n v="72.318401487583856"/>
    <n v="110.64414515580097"/>
    <n v="0"/>
    <n v="0"/>
    <m/>
    <m/>
    <m/>
    <n v="259.8246342312495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345.579156590582"/>
    <m/>
    <n v="0"/>
    <n v="0"/>
    <n v="-9289.52"/>
    <m/>
    <n v="0"/>
    <m/>
    <n v="-9730.691233424189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44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342.98"/>
    <n v="342.98"/>
    <n v="342.98"/>
    <n v="342.98"/>
    <m/>
    <n v="581.32000000000005"/>
    <n v="209.4"/>
    <m/>
    <n v="271201.14560000005"/>
    <n v="271201.14560000005"/>
    <n v="207183.92859999998"/>
    <n v="0"/>
    <n v="21106.271506350746"/>
    <n v="0"/>
    <n v="0"/>
    <n v="0"/>
    <n v="25446.078842068458"/>
    <n v="132186.31387196394"/>
    <n v="70877.072791405764"/>
    <n v="944.21192341717972"/>
    <n v="0"/>
    <n v="0"/>
    <n v="0"/>
    <n v="0"/>
    <n v="3261.6031722448424"/>
    <m/>
    <n v="625.24030104298583"/>
    <n v="1954.8079162301476"/>
    <n v="2944.5484560805671"/>
    <n v="0"/>
    <n v="0"/>
    <n v="0"/>
    <n v="0"/>
    <n v="0"/>
    <n v="0"/>
    <n v="0"/>
    <n v="0"/>
    <n v="0"/>
    <n v="0"/>
    <m/>
    <n v="0"/>
    <n v="0"/>
    <n v="0"/>
    <n v="0"/>
    <n v="0"/>
    <n v="11857.601780232395"/>
    <n v="0"/>
    <n v="646.02"/>
    <n v="2984.34"/>
    <n v="76714.02"/>
    <n v="483"/>
    <m/>
    <m/>
    <m/>
    <m/>
    <m/>
    <m/>
    <m/>
    <m/>
    <m/>
    <n v="82734.674571638156"/>
    <m/>
    <m/>
    <m/>
    <m/>
    <m/>
    <m/>
    <m/>
    <m/>
    <m/>
    <m/>
    <m/>
    <m/>
    <n v="207183.92859999998"/>
    <n v="-64017.24700000009"/>
    <m/>
    <m/>
    <m/>
    <m/>
    <n v="-71847.450400000031"/>
    <n v="7830.2333999999946"/>
    <n v="29"/>
    <n v="10132.956775806844"/>
    <n v="236.00792896575672"/>
    <n v="355.50131401097906"/>
    <n v="0"/>
    <n v="0"/>
    <n v="0"/>
    <n v="0"/>
    <n v="0"/>
    <n v="834.18449460550983"/>
    <n v="0"/>
    <n v="0"/>
    <n v="7827.8613936589391"/>
    <n v="0"/>
    <n v="0"/>
    <n v="0"/>
    <n v="1309.586577736236"/>
    <n v="0"/>
    <n v="-367.9271174866044"/>
    <m/>
    <n v="0"/>
    <n v="0"/>
    <n v="0"/>
    <n v="0"/>
    <n v="-47.801964968102766"/>
    <n v="-14.455850715809447"/>
    <n v="0"/>
    <n v="0"/>
    <m/>
    <m/>
    <m/>
    <n v="132186.31387196394"/>
    <n v="0"/>
    <n v="0"/>
    <n v="-71847.450400000031"/>
    <n v="7830.2333999999973"/>
    <n v="0"/>
    <n v="0"/>
    <n v="-74155.16045676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5"/>
    <s v="Sistema de Compensação"/>
    <s v="Convencional"/>
    <s v="B3"/>
    <s v="Poder público"/>
    <s v="Não se aplica"/>
    <s v="Não se aplica"/>
    <s v="Não se aplica"/>
    <s v="Não se aplica"/>
    <s v="CATIVO"/>
    <x v="7"/>
    <n v="0"/>
    <n v="0"/>
    <n v="8.56"/>
    <n v="8.56"/>
    <n v="8.56"/>
    <n v="8.56"/>
    <m/>
    <n v="581.32000000000005"/>
    <n v="209.4"/>
    <m/>
    <n v="6768.5632000000005"/>
    <n v="6768.5632000000005"/>
    <n v="5170.8392000000003"/>
    <n v="0"/>
    <n v="526.76448800035689"/>
    <n v="0"/>
    <n v="0"/>
    <n v="0"/>
    <n v="635.07619945217209"/>
    <n v="3299.0694697766967"/>
    <n v="1768.930383971174"/>
    <n v="23.56538009344877"/>
    <n v="0"/>
    <n v="0"/>
    <n v="0"/>
    <n v="0"/>
    <n v="81.402190082266756"/>
    <m/>
    <n v="15.604574543495128"/>
    <n v="48.787555434515319"/>
    <n v="73.489226147441997"/>
    <n v="0"/>
    <n v="0"/>
    <n v="0"/>
    <n v="0"/>
    <n v="0"/>
    <n v="0"/>
    <n v="0"/>
    <n v="0"/>
    <n v="0"/>
    <n v="0"/>
    <m/>
    <n v="0"/>
    <n v="0"/>
    <n v="0"/>
    <n v="0"/>
    <n v="0"/>
    <n v="295.93874639567701"/>
    <n v="0"/>
    <n v="16.149999999999999"/>
    <n v="74.489999999999995"/>
    <n v="1958.46"/>
    <n v="5"/>
    <m/>
    <m/>
    <m/>
    <m/>
    <m/>
    <m/>
    <m/>
    <m/>
    <m/>
    <n v="2064.8691303668511"/>
    <m/>
    <m/>
    <m/>
    <m/>
    <m/>
    <m/>
    <m/>
    <m/>
    <m/>
    <m/>
    <m/>
    <m/>
    <n v="5170.8392000000003"/>
    <n v="-1597.7540000000008"/>
    <m/>
    <m/>
    <m/>
    <m/>
    <n v="-1793.1488000000008"/>
    <n v="195.42479999999986"/>
    <n v="29"/>
    <n v="252.89553326989017"/>
    <n v="5.8902206307856986"/>
    <n v="8.8725034927225437"/>
    <n v="0"/>
    <n v="0"/>
    <n v="0"/>
    <n v="0"/>
    <n v="0"/>
    <n v="20.819345949685612"/>
    <n v="0"/>
    <n v="0"/>
    <n v="195.36560012164159"/>
    <n v="0"/>
    <n v="0"/>
    <n v="0"/>
    <n v="32.684299683428094"/>
    <n v="0"/>
    <n v="-9.1826232599140667"/>
    <m/>
    <n v="0"/>
    <n v="0"/>
    <n v="0"/>
    <n v="0"/>
    <n v="-1.1930282235901899"/>
    <n v="-0.36078512486829872"/>
    <n v="0"/>
    <n v="0"/>
    <m/>
    <m/>
    <m/>
    <n v="3299.0694697766967"/>
    <n v="0"/>
    <n v="0"/>
    <n v="-1793.1488000000004"/>
    <n v="195.42479999999978"/>
    <n v="0"/>
    <n v="0"/>
    <n v="-1850.7439894744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6"/>
    <s v="Regular"/>
    <s v="Verde"/>
    <s v="A4"/>
    <s v="Poder público"/>
    <s v="Não se aplica"/>
    <s v="Não se aplica"/>
    <s v="Não se aplica"/>
    <s v="Ponta"/>
    <s v="CATIVO"/>
    <x v="7"/>
    <n v="0"/>
    <n v="0"/>
    <n v="0.38100000000000001"/>
    <n v="0.38100000000000001"/>
    <n v="0.38100000000000001"/>
    <n v="0.38100000000000001"/>
    <m/>
    <n v="1614.19"/>
    <n v="209.4"/>
    <m/>
    <n v="694.78778999999997"/>
    <n v="694.78778999999997"/>
    <n v="461.82914999999997"/>
    <n v="0"/>
    <n v="20.397970191294206"/>
    <n v="0"/>
    <n v="0"/>
    <n v="0"/>
    <n v="118.65025432106286"/>
    <n v="443.04075075023917"/>
    <n v="78.733934146380534"/>
    <n v="1.0488796513556051"/>
    <n v="0"/>
    <n v="0"/>
    <n v="0"/>
    <n v="0"/>
    <n v="3.6231582267924805"/>
    <m/>
    <n v="0.50590868154159374"/>
    <n v="9.2182665670228179"/>
    <n v="13.730746160881939"/>
    <n v="0"/>
    <n v="0"/>
    <n v="0"/>
    <n v="0"/>
    <n v="0"/>
    <n v="0"/>
    <n v="0"/>
    <n v="0"/>
    <n v="0"/>
    <n v="0"/>
    <m/>
    <n v="0"/>
    <n v="0"/>
    <n v="0"/>
    <n v="0"/>
    <n v="0"/>
    <n v="5.838610253625049"/>
    <n v="0"/>
    <n v="0"/>
    <n v="0"/>
    <n v="0"/>
    <n v="0"/>
    <m/>
    <m/>
    <m/>
    <m/>
    <m/>
    <m/>
    <m/>
    <m/>
    <m/>
    <n v="84.572544400005583"/>
    <m/>
    <m/>
    <m/>
    <m/>
    <m/>
    <m/>
    <m/>
    <m/>
    <m/>
    <m/>
    <m/>
    <m/>
    <n v="460.61699999999996"/>
    <n v="-234.20078999999998"/>
    <m/>
    <m/>
    <m/>
    <m/>
    <n v="-241.65687000000003"/>
    <n v="8.6982299999999935"/>
    <n v="29"/>
    <n v="15.580375236944207"/>
    <n v="1.1129400403354701"/>
    <n v="1.6577408642961231"/>
    <n v="0"/>
    <n v="0"/>
    <n v="0"/>
    <n v="0"/>
    <n v="0"/>
    <n v="3.8896445715637213"/>
    <n v="0"/>
    <n v="0"/>
    <n v="8.6955950521431475"/>
    <n v="0"/>
    <n v="0"/>
    <n v="0"/>
    <n v="0.64483238368887541"/>
    <n v="0"/>
    <n v="-0.35557992195839461"/>
    <m/>
    <n v="0"/>
    <n v="0"/>
    <n v="0"/>
    <n v="0"/>
    <n v="-5.3100905746245264E-2"/>
    <n v="-1.169684737851906E-2"/>
    <n v="0"/>
    <n v="0"/>
    <m/>
    <m/>
    <m/>
    <n v="443.04075075023917"/>
    <n v="0"/>
    <n v="0"/>
    <n v="-241.65687000000003"/>
    <n v="8.6982299999999952"/>
    <n v="0"/>
    <n v="0"/>
    <n v="-248.5412974946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7"/>
    <s v="Regular"/>
    <s v="Verde"/>
    <s v="A4"/>
    <s v="Poder público"/>
    <s v="Não se aplica"/>
    <s v="Não se aplica"/>
    <s v="Não se aplica"/>
    <s v="Fora ponta"/>
    <s v="CATIVO"/>
    <x v="7"/>
    <n v="0"/>
    <n v="0"/>
    <n v="11.935"/>
    <n v="11.935"/>
    <n v="11.935"/>
    <n v="11.935"/>
    <m/>
    <n v="79.7"/>
    <n v="209.4"/>
    <m/>
    <n v="3450.4085000000005"/>
    <n v="3450.4085000000005"/>
    <n v="3729.9262000000003"/>
    <n v="0"/>
    <n v="638.97578538870437"/>
    <n v="0"/>
    <n v="0"/>
    <n v="0"/>
    <n v="0"/>
    <n v="0"/>
    <n v="2466.3766510158835"/>
    <n v="32.856636847583069"/>
    <n v="0"/>
    <n v="0"/>
    <n v="0"/>
    <n v="0"/>
    <n v="113.49709563456234"/>
    <m/>
    <n v="15.847821822044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.89714797116787"/>
    <n v="0"/>
    <n v="0"/>
    <n v="0"/>
    <n v="0"/>
    <n v="0"/>
    <m/>
    <m/>
    <m/>
    <m/>
    <m/>
    <m/>
    <m/>
    <m/>
    <m/>
    <n v="2649.2737989870511"/>
    <m/>
    <m/>
    <m/>
    <m/>
    <m/>
    <m/>
    <m/>
    <m/>
    <m/>
    <m/>
    <m/>
    <m/>
    <n v="3731.4888000000001"/>
    <n v="281.05029999999942"/>
    <m/>
    <m/>
    <m/>
    <m/>
    <n v="7.0416500000000406"/>
    <n v="272.47604999999982"/>
    <n v="29"/>
    <n v="279.42465589117546"/>
    <n v="0"/>
    <n v="0"/>
    <n v="0"/>
    <n v="0"/>
    <n v="0"/>
    <n v="0"/>
    <n v="0"/>
    <n v="0"/>
    <n v="0"/>
    <n v="0"/>
    <n v="272.39350904810635"/>
    <n v="0"/>
    <n v="0"/>
    <n v="0"/>
    <n v="20.199670601907428"/>
    <n v="0"/>
    <n v="-11.138704379457863"/>
    <m/>
    <n v="0"/>
    <n v="0"/>
    <n v="0"/>
    <n v="0"/>
    <n v="-1.6634102626809408"/>
    <n v="-0.36640911669980269"/>
    <n v="0"/>
    <n v="0"/>
    <m/>
    <m/>
    <m/>
    <n v="0"/>
    <n v="0"/>
    <n v="0"/>
    <n v="7.0416500000001179"/>
    <n v="272.4760499999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48"/>
    <s v="Regular"/>
    <s v="Verde"/>
    <s v="A4"/>
    <s v="Poder público"/>
    <s v="Não se aplica"/>
    <s v="Não se aplica"/>
    <s v="Não se aplica"/>
    <s v="Não se aplica"/>
    <s v="CATIVO"/>
    <x v="7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25.56"/>
    <n v="117.6"/>
    <n v="2938.7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29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49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421.13"/>
    <n v="421.13"/>
    <n v="421.13"/>
    <n v="421.13"/>
    <m/>
    <n v="319.73"/>
    <n v="115.17"/>
    <m/>
    <n v="183149.43700000001"/>
    <n v="183149.43700000001"/>
    <n v="139912.01990000001"/>
    <n v="0"/>
    <n v="14253.502436609206"/>
    <n v="0"/>
    <n v="0"/>
    <n v="0"/>
    <n v="17184.26424432376"/>
    <n v="89268.156447883724"/>
    <n v="47864.755716236003"/>
    <n v="637.64587445265397"/>
    <n v="0"/>
    <n v="0"/>
    <n v="0"/>
    <n v="0"/>
    <n v="2202.6281974462318"/>
    <m/>
    <n v="422.23772927875723"/>
    <n v="1320.122286340606"/>
    <n v="1988.5145787511383"/>
    <n v="0"/>
    <n v="0"/>
    <n v="0"/>
    <n v="0"/>
    <n v="0"/>
    <n v="0"/>
    <n v="0"/>
    <n v="0"/>
    <n v="0"/>
    <n v="0"/>
    <m/>
    <n v="0"/>
    <n v="0"/>
    <n v="0"/>
    <n v="0"/>
    <n v="0"/>
    <n v="8007.684152837186"/>
    <n v="0"/>
    <n v="506.2"/>
    <n v="2329.2399999999998"/>
    <n v="50636.639999999999"/>
    <n v="41"/>
    <m/>
    <m/>
    <m/>
    <m/>
    <m/>
    <m/>
    <m/>
    <m/>
    <m/>
    <n v="55872.43986907319"/>
    <m/>
    <m/>
    <m/>
    <m/>
    <m/>
    <m/>
    <m/>
    <m/>
    <m/>
    <m/>
    <m/>
    <m/>
    <n v="139912.01990000001"/>
    <n v="-43237.447100000019"/>
    <m/>
    <m/>
    <m/>
    <m/>
    <n v="-48522.598600000012"/>
    <n v="5285.1814999999988"/>
    <n v="29"/>
    <n v="6842.995649447621"/>
    <n v="159.38104413943256"/>
    <n v="240.07740277332141"/>
    <n v="0"/>
    <n v="0"/>
    <n v="0"/>
    <n v="0"/>
    <n v="0"/>
    <n v="563.34207218281153"/>
    <n v="0"/>
    <n v="0"/>
    <n v="5286.3169799736934"/>
    <n v="0"/>
    <n v="0"/>
    <n v="0"/>
    <n v="884.39094849591311"/>
    <n v="0"/>
    <n v="-248.46880530332601"/>
    <m/>
    <n v="0"/>
    <n v="0"/>
    <n v="0"/>
    <n v="0"/>
    <n v="-32.281657323632771"/>
    <n v="-9.7623354906169766"/>
    <n v="0"/>
    <n v="0"/>
    <m/>
    <m/>
    <m/>
    <n v="89268.156447883724"/>
    <n v="0"/>
    <n v="0"/>
    <n v="-48522.598600000012"/>
    <n v="5285.1814999999988"/>
    <n v="0"/>
    <n v="0"/>
    <n v="-50078.51623341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0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01.619"/>
    <n v="95.521860000000004"/>
    <n v="101.619"/>
    <n v="95.521860000000004"/>
    <m/>
    <n v="581.32000000000005"/>
    <n v="209.4"/>
    <m/>
    <n v="80352.17568"/>
    <n v="80352.17568"/>
    <n v="61384.989329999997"/>
    <n v="0"/>
    <n v="6253.4206198724605"/>
    <n v="0"/>
    <n v="0"/>
    <n v="0"/>
    <n v="7539.2299430058729"/>
    <n v="39164.502388929686"/>
    <n v="20999.642136538168"/>
    <n v="279.75354669581429"/>
    <n v="0"/>
    <n v="0"/>
    <n v="0"/>
    <n v="0"/>
    <n v="966.3562095759188"/>
    <m/>
    <n v="185.24781081021393"/>
    <n v="579.17553688084251"/>
    <n v="872.41841961178818"/>
    <n v="0"/>
    <n v="0"/>
    <n v="0"/>
    <n v="0"/>
    <n v="0"/>
    <n v="0"/>
    <n v="0"/>
    <n v="0"/>
    <n v="0"/>
    <n v="0"/>
    <m/>
    <n v="0"/>
    <n v="0"/>
    <n v="0"/>
    <n v="0"/>
    <n v="0"/>
    <n v="3513.2008726614836"/>
    <n v="0"/>
    <n v="182.77"/>
    <n v="841.31"/>
    <n v="25630.240000000002"/>
    <n v="21"/>
    <m/>
    <m/>
    <m/>
    <m/>
    <n v="3683.0993597999977"/>
    <m/>
    <m/>
    <m/>
    <m/>
    <n v="24512.843009199652"/>
    <m/>
    <m/>
    <m/>
    <m/>
    <m/>
    <m/>
    <m/>
    <m/>
    <m/>
    <m/>
    <m/>
    <m/>
    <n v="57700.766399999993"/>
    <n v="-17830.308739200016"/>
    <m/>
    <m/>
    <m/>
    <m/>
    <n v="-21287.148120000009"/>
    <n v="2319.9617699999985"/>
    <n v="29"/>
    <n v="3002.2185975879693"/>
    <n v="69.925038584090089"/>
    <n v="105.32884724614178"/>
    <n v="0"/>
    <n v="0"/>
    <n v="0"/>
    <n v="0"/>
    <n v="0"/>
    <n v="247.1543359884472"/>
    <n v="0"/>
    <n v="0"/>
    <n v="2319.2589858365754"/>
    <n v="0"/>
    <n v="0"/>
    <n v="0"/>
    <n v="388.00769270213596"/>
    <n v="0"/>
    <n v="-109.01039638425391"/>
    <m/>
    <n v="0"/>
    <n v="0"/>
    <n v="0"/>
    <n v="0"/>
    <n v="-14.162889608996579"/>
    <n v="-4.2830167761672442"/>
    <n v="0"/>
    <n v="0"/>
    <m/>
    <m/>
    <m/>
    <n v="39164.502388929686"/>
    <n v="0"/>
    <n v="0"/>
    <n v="-21287.148120000005"/>
    <n v="2319.9617699999981"/>
    <n v="0"/>
    <n v="0"/>
    <n v="-21970.882414299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1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53.040999999999997"/>
    <n v="53.040999999999997"/>
    <n v="53.040999999999997"/>
    <n v="53.040999999999997"/>
    <m/>
    <n v="581.32000000000005"/>
    <n v="209.4"/>
    <m/>
    <n v="41940.579519999999"/>
    <n v="41940.579519999999"/>
    <n v="32040.476869999999"/>
    <n v="0"/>
    <n v="3264.0321504704352"/>
    <n v="0"/>
    <n v="0"/>
    <n v="0"/>
    <n v="3935.1725111147962"/>
    <n v="20442.283147946935"/>
    <n v="10960.962207501756"/>
    <n v="146.02001466549251"/>
    <n v="0"/>
    <n v="0"/>
    <n v="0"/>
    <n v="0"/>
    <n v="504.39878085905497"/>
    <m/>
    <n v="96.691850275879091"/>
    <n v="302.30615978996809"/>
    <n v="455.36706122505495"/>
    <n v="0"/>
    <n v="0"/>
    <n v="0"/>
    <n v="0"/>
    <n v="0"/>
    <n v="0"/>
    <n v="0"/>
    <n v="0"/>
    <n v="0"/>
    <n v="0"/>
    <m/>
    <n v="0"/>
    <n v="0"/>
    <n v="0"/>
    <n v="0"/>
    <n v="0"/>
    <n v="1833.7484868660165"/>
    <n v="0"/>
    <n v="100.23"/>
    <n v="461.55"/>
    <n v="13377.9"/>
    <n v="17"/>
    <m/>
    <m/>
    <m/>
    <m/>
    <m/>
    <m/>
    <m/>
    <m/>
    <m/>
    <n v="12794.710694367772"/>
    <m/>
    <m/>
    <m/>
    <m/>
    <m/>
    <m/>
    <m/>
    <m/>
    <m/>
    <m/>
    <m/>
    <m/>
    <n v="32039.872799999997"/>
    <n v="-9900.7367200000008"/>
    <m/>
    <m/>
    <m/>
    <m/>
    <n v="-11111.028680000003"/>
    <n v="1210.9260299999992"/>
    <n v="29"/>
    <n v="1567.0364462813486"/>
    <n v="36.498036504381275"/>
    <n v="54.977389924941235"/>
    <n v="0"/>
    <n v="0"/>
    <n v="0"/>
    <n v="0"/>
    <n v="0"/>
    <n v="129.00454772398098"/>
    <n v="0"/>
    <n v="0"/>
    <n v="1210.5592051462609"/>
    <n v="0"/>
    <n v="0"/>
    <n v="0"/>
    <n v="202.52429199868129"/>
    <n v="0"/>
    <n v="-56.899009384241253"/>
    <m/>
    <n v="0"/>
    <n v="0"/>
    <n v="0"/>
    <n v="0"/>
    <n v="-7.3924544401223216"/>
    <n v="-2.235561192539663"/>
    <n v="0"/>
    <n v="0"/>
    <m/>
    <m/>
    <m/>
    <n v="20442.283147946935"/>
    <n v="0"/>
    <n v="0"/>
    <n v="-11111.028680000003"/>
    <n v="1210.9260300000005"/>
    <n v="0"/>
    <n v="0"/>
    <n v="-11467.91027403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2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37.95000000000005"/>
    <n v="2937.52"/>
    <n v="1260.3499999999999"/>
    <n v="12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53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7.32"/>
    <n v="503.01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54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5.319999999999993"/>
    <n v="301.06"/>
    <n v="307.39999999999998"/>
    <n v="3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55"/>
    <s v="Regular"/>
    <s v="Convencional"/>
    <s v="B2"/>
    <s v="Rural"/>
    <s v="Agropecuária rural"/>
    <s v="IRRIG./AQUIC."/>
    <s v="Não se aplica"/>
    <s v="Não se aplica"/>
    <s v="CATIVO"/>
    <x v="7"/>
    <n v="0"/>
    <n v="0"/>
    <n v="256.887"/>
    <n v="256.887"/>
    <n v="256.887"/>
    <n v="256.887"/>
    <m/>
    <n v="581.32000000000005"/>
    <n v="209.4"/>
    <m/>
    <n v="203125.68864000001"/>
    <n v="203125.68864000001"/>
    <n v="155177.73009"/>
    <n v="0"/>
    <n v="15808.288437961175"/>
    <n v="0"/>
    <n v="0"/>
    <n v="0"/>
    <n v="19058.740613162397"/>
    <n v="99005.614355435304"/>
    <n v="53085.890134019042"/>
    <n v="707.20091075534742"/>
    <n v="0"/>
    <n v="0"/>
    <n v="0"/>
    <n v="0"/>
    <n v="2442.8930378111286"/>
    <m/>
    <n v="468.29583420033094"/>
    <n v="1464.1225178628897"/>
    <n v="2205.4236959506929"/>
    <n v="0"/>
    <n v="0"/>
    <n v="0"/>
    <n v="0"/>
    <n v="0"/>
    <n v="0"/>
    <n v="0"/>
    <n v="0"/>
    <n v="0"/>
    <n v="0"/>
    <m/>
    <n v="0"/>
    <n v="0"/>
    <n v="0"/>
    <n v="0"/>
    <n v="0"/>
    <n v="8881.1701805311059"/>
    <n v="0"/>
    <n v="0"/>
    <n v="0"/>
    <n v="0"/>
    <n v="0"/>
    <m/>
    <m/>
    <m/>
    <m/>
    <m/>
    <n v="18621.738629999978"/>
    <m/>
    <m/>
    <m/>
    <n v="61967.060314550152"/>
    <m/>
    <m/>
    <m/>
    <m/>
    <m/>
    <m/>
    <m/>
    <m/>
    <m/>
    <m/>
    <m/>
    <m/>
    <n v="136557.58620000002"/>
    <n v="-42197.262750000024"/>
    <m/>
    <m/>
    <m/>
    <m/>
    <n v="-53812.688760000019"/>
    <n v="5864.7302099999961"/>
    <n v="29"/>
    <n v="7589.4363148484263"/>
    <n v="176.76648448372021"/>
    <n v="266.265280926988"/>
    <n v="0"/>
    <n v="0"/>
    <n v="0"/>
    <n v="0"/>
    <n v="0"/>
    <n v="624.79197698328426"/>
    <n v="0"/>
    <n v="0"/>
    <n v="5862.953611968238"/>
    <n v="0"/>
    <n v="0"/>
    <n v="0"/>
    <n v="980.86117906271102"/>
    <n v="0"/>
    <n v="-275.57202586092717"/>
    <m/>
    <n v="0"/>
    <n v="0"/>
    <n v="0"/>
    <n v="0"/>
    <n v="-35.802972111380313"/>
    <n v="-10.827220604210595"/>
    <n v="0"/>
    <n v="0"/>
    <m/>
    <m/>
    <m/>
    <n v="99005.614355435304"/>
    <n v="0"/>
    <n v="0"/>
    <n v="-53812.688760000019"/>
    <n v="5864.7302099999943"/>
    <n v="0"/>
    <n v="0"/>
    <n v="-55541.129815902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6"/>
    <s v="Refaturamento - Regular"/>
    <s v="Convencional"/>
    <s v="B2"/>
    <s v="Rural"/>
    <s v="Agropecuária rural"/>
    <s v="IRRIG./AQUIC."/>
    <s v="Não se aplica"/>
    <s v="Não se aplica"/>
    <s v="CATIVO"/>
    <x v="7"/>
    <n v="0"/>
    <n v="0"/>
    <n v="97.988"/>
    <n v="97.988"/>
    <n v="97.988"/>
    <n v="97.988"/>
    <m/>
    <n v="581.32000000000005"/>
    <n v="209.4"/>
    <m/>
    <n v="77481.071360000002"/>
    <n v="77481.071360000002"/>
    <n v="59191.611159999993"/>
    <n v="0"/>
    <n v="6029.9764778246454"/>
    <n v="0"/>
    <n v="0"/>
    <n v="0"/>
    <n v="7269.841896252271"/>
    <n v="37765.095701457823"/>
    <n v="20249.293278570956"/>
    <n v="269.75753091084789"/>
    <n v="0"/>
    <n v="0"/>
    <n v="0"/>
    <n v="0"/>
    <n v="931.82684600247126"/>
    <m/>
    <n v="178.62862737943931"/>
    <n v="558.48072218659888"/>
    <n v="841.2455948289188"/>
    <n v="0"/>
    <n v="0"/>
    <n v="0"/>
    <n v="0"/>
    <n v="0"/>
    <n v="0"/>
    <n v="0"/>
    <n v="0"/>
    <n v="0"/>
    <n v="0"/>
    <m/>
    <n v="0"/>
    <n v="0"/>
    <n v="0"/>
    <n v="0"/>
    <n v="0"/>
    <n v="3387.6689114275227"/>
    <n v="0"/>
    <n v="0"/>
    <n v="0"/>
    <n v="0"/>
    <n v="0"/>
    <m/>
    <m/>
    <m/>
    <m/>
    <m/>
    <n v="7103.150119999993"/>
    <m/>
    <m/>
    <m/>
    <n v="23636.962189998478"/>
    <m/>
    <m/>
    <m/>
    <m/>
    <m/>
    <m/>
    <m/>
    <m/>
    <m/>
    <m/>
    <m/>
    <m/>
    <n v="52089.5242"/>
    <n v="-16095.455600000001"/>
    <m/>
    <m/>
    <m/>
    <m/>
    <n v="-20526.526240000007"/>
    <n v="2237.0660399999983"/>
    <n v="29"/>
    <n v="2894.9448030432395"/>
    <n v="67.426511585213689"/>
    <n v="101.56528881365637"/>
    <n v="0"/>
    <n v="0"/>
    <n v="0"/>
    <n v="0"/>
    <n v="0"/>
    <n v="238.32313912591053"/>
    <n v="0"/>
    <n v="0"/>
    <n v="2236.3883673737655"/>
    <n v="0"/>
    <n v="0"/>
    <n v="0"/>
    <n v="374.14359315184083"/>
    <n v="0"/>
    <n v="-105.11529065332525"/>
    <m/>
    <n v="0"/>
    <n v="0"/>
    <n v="0"/>
    <n v="0"/>
    <n v="-13.656828221162982"/>
    <n v="-4.1299781326629557"/>
    <n v="0"/>
    <n v="0"/>
    <m/>
    <m/>
    <m/>
    <n v="37765.095701457823"/>
    <n v="0"/>
    <n v="0"/>
    <n v="-20526.526240000007"/>
    <n v="2237.0660399999979"/>
    <n v="0"/>
    <n v="0"/>
    <n v="-21185.82967764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7"/>
    <s v="Sistema de Compensação"/>
    <s v="Convencional"/>
    <s v="B2"/>
    <s v="Rural"/>
    <s v="Agropecuária rural"/>
    <s v="IRRIG./AQUIC."/>
    <s v="Não se aplica"/>
    <s v="Não se aplica"/>
    <s v="CATIVO"/>
    <x v="7"/>
    <n v="0"/>
    <n v="0"/>
    <n v="21.326000000000001"/>
    <n v="21.326000000000001"/>
    <n v="21.326000000000001"/>
    <n v="21.326000000000001"/>
    <m/>
    <n v="581.32000000000005"/>
    <n v="209.4"/>
    <m/>
    <n v="16862.89472"/>
    <n v="16862.89472"/>
    <n v="12882.39682"/>
    <n v="0"/>
    <n v="1312.357414847618"/>
    <n v="0"/>
    <n v="0"/>
    <n v="0"/>
    <n v="1582.2003539155401"/>
    <n v="8219.1536813618968"/>
    <n v="4407.0338047393989"/>
    <n v="58.709730826272015"/>
    <n v="0"/>
    <n v="0"/>
    <n v="0"/>
    <n v="0"/>
    <n v="202.80176468392767"/>
    <m/>
    <n v="38.876536999366479"/>
    <n v="121.54712700893384"/>
    <n v="183.0877613107883"/>
    <n v="0"/>
    <n v="0"/>
    <n v="0"/>
    <n v="0"/>
    <n v="0"/>
    <n v="0"/>
    <n v="0"/>
    <n v="0"/>
    <n v="0"/>
    <n v="0"/>
    <m/>
    <n v="0"/>
    <n v="0"/>
    <n v="0"/>
    <n v="0"/>
    <n v="0"/>
    <n v="737.28851701334202"/>
    <n v="0"/>
    <n v="0"/>
    <n v="0"/>
    <n v="0"/>
    <n v="0"/>
    <m/>
    <m/>
    <m/>
    <m/>
    <m/>
    <n v="1545.9217399999984"/>
    <m/>
    <m/>
    <m/>
    <n v="5144.3223217527411"/>
    <m/>
    <m/>
    <m/>
    <m/>
    <m/>
    <m/>
    <m/>
    <m/>
    <m/>
    <m/>
    <m/>
    <m/>
    <n v="11338.6014"/>
    <n v="-3501.1257000000005"/>
    <m/>
    <m/>
    <m/>
    <m/>
    <n v="-4467.3704800000014"/>
    <n v="486.87257999999969"/>
    <n v="29"/>
    <n v="630.05258674225479"/>
    <n v="14.674631445342953"/>
    <n v="22.104557182920701"/>
    <n v="0"/>
    <n v="0"/>
    <n v="0"/>
    <n v="0"/>
    <n v="0"/>
    <n v="51.868384547078904"/>
    <n v="0"/>
    <n v="0"/>
    <n v="486.72509207875373"/>
    <n v="0"/>
    <n v="0"/>
    <n v="0"/>
    <n v="81.428198019718252"/>
    <n v="0"/>
    <n v="-22.877175658986971"/>
    <m/>
    <n v="0"/>
    <n v="0"/>
    <n v="0"/>
    <n v="0"/>
    <n v="-2.9722569972294934"/>
    <n v="-0.89884387534360854"/>
    <n v="0"/>
    <n v="0"/>
    <m/>
    <m/>
    <m/>
    <n v="8219.1536813618968"/>
    <n v="0"/>
    <n v="0"/>
    <n v="-4467.3704800000005"/>
    <n v="486.87257999999929"/>
    <n v="0"/>
    <n v="0"/>
    <n v="-4610.860551347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8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292.58199999999999"/>
    <n v="117.03279999999999"/>
    <n v="292.58199999999999"/>
    <n v="117.03279999999999"/>
    <m/>
    <n v="581.32000000000005"/>
    <n v="209.4"/>
    <m/>
    <n v="231350.43904"/>
    <n v="231350.43904"/>
    <n v="176740.00873999999"/>
    <n v="0"/>
    <n v="18004.884045341169"/>
    <n v="0"/>
    <n v="0"/>
    <n v="0"/>
    <n v="21706.993526648996"/>
    <n v="112762.65696334175"/>
    <n v="60462.288505029675"/>
    <n v="805.46799515203588"/>
    <n v="0"/>
    <n v="0"/>
    <n v="0"/>
    <n v="0"/>
    <n v="2782.3382685338515"/>
    <m/>
    <n v="533.36654545384238"/>
    <n v="1667.5654841286635"/>
    <n v="2511.8720519475319"/>
    <n v="0"/>
    <n v="0"/>
    <n v="0"/>
    <n v="0"/>
    <n v="0"/>
    <n v="0"/>
    <n v="0"/>
    <n v="0"/>
    <n v="0"/>
    <n v="0"/>
    <m/>
    <n v="0"/>
    <n v="0"/>
    <n v="0"/>
    <n v="0"/>
    <n v="0"/>
    <n v="10115.227838544388"/>
    <n v="0"/>
    <n v="0"/>
    <n v="0"/>
    <n v="0"/>
    <n v="0"/>
    <m/>
    <m/>
    <m/>
    <m/>
    <m/>
    <m/>
    <n v="114527.71291599997"/>
    <m/>
    <m/>
    <n v="70577.516343574069"/>
    <m/>
    <m/>
    <m/>
    <m/>
    <m/>
    <m/>
    <m/>
    <m/>
    <m/>
    <m/>
    <m/>
    <m/>
    <n v="62210.807400000005"/>
    <n v="-19226.496479999987"/>
    <m/>
    <m/>
    <m/>
    <m/>
    <n v="-61290.077360000018"/>
    <n v="6679.6470599999948"/>
    <n v="29"/>
    <n v="8644.0047798097221"/>
    <n v="201.3285668921194"/>
    <n v="303.26341319015773"/>
    <n v="0"/>
    <n v="0"/>
    <n v="0"/>
    <n v="0"/>
    <n v="0"/>
    <n v="711.60816316015553"/>
    <n v="0"/>
    <n v="0"/>
    <n v="6677.6235998586635"/>
    <n v="0"/>
    <n v="0"/>
    <n v="0"/>
    <n v="1117.1539450907439"/>
    <n v="0"/>
    <n v="-313.86335030749979"/>
    <m/>
    <n v="0"/>
    <n v="0"/>
    <n v="0"/>
    <n v="0"/>
    <n v="-40.777871929259618"/>
    <n v="-12.331686145352364"/>
    <n v="0"/>
    <n v="0"/>
    <m/>
    <m/>
    <m/>
    <n v="112762.65696334175"/>
    <n v="0"/>
    <n v="0"/>
    <n v="-61290.07736000001"/>
    <n v="6679.6470599999957"/>
    <n v="0"/>
    <n v="0"/>
    <n v="-63258.68901032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59"/>
    <s v="Refaturamento - Regular"/>
    <s v="Convencional"/>
    <s v="B2"/>
    <s v="Rural"/>
    <s v="Agropecuária rural"/>
    <s v="IRRIG./AQUIC. PR"/>
    <s v="Não se aplica"/>
    <s v="Não se aplica"/>
    <s v="CATIVO"/>
    <x v="7"/>
    <n v="0"/>
    <n v="0"/>
    <n v="1.19"/>
    <n v="0.47599999999999998"/>
    <n v="1.19"/>
    <n v="0.47599999999999998"/>
    <m/>
    <n v="581.32000000000005"/>
    <n v="209.4"/>
    <m/>
    <n v="940.95680000000004"/>
    <n v="940.95680000000004"/>
    <n v="718.8433"/>
    <n v="0"/>
    <n v="73.230109897245868"/>
    <n v="0"/>
    <n v="0"/>
    <n v="0"/>
    <n v="88.28746230701924"/>
    <n v="458.63232114886318"/>
    <n v="245.91438749131973"/>
    <n v="3.2760283073836485"/>
    <n v="0"/>
    <n v="0"/>
    <n v="0"/>
    <n v="0"/>
    <n v="11.316425957698298"/>
    <m/>
    <n v="2.1693275358363553"/>
    <n v="6.7823821223216383"/>
    <n v="10.216376064889715"/>
    <n v="0"/>
    <n v="0"/>
    <n v="0"/>
    <n v="0"/>
    <n v="0"/>
    <n v="0"/>
    <n v="0"/>
    <n v="0"/>
    <n v="0"/>
    <n v="0"/>
    <m/>
    <n v="0"/>
    <n v="0"/>
    <n v="0"/>
    <n v="0"/>
    <n v="0"/>
    <n v="41.14101731435229"/>
    <n v="0"/>
    <n v="0"/>
    <n v="0"/>
    <n v="0"/>
    <n v="0"/>
    <m/>
    <m/>
    <m/>
    <m/>
    <m/>
    <m/>
    <n v="465.81121999999993"/>
    <m/>
    <m/>
    <n v="287.05540480567203"/>
    <m/>
    <m/>
    <m/>
    <m/>
    <m/>
    <m/>
    <m/>
    <m/>
    <m/>
    <m/>
    <m/>
    <m/>
    <n v="255.15840000000003"/>
    <n v="-76.096199999999953"/>
    <m/>
    <m/>
    <m/>
    <m/>
    <n v="-249.28120000000007"/>
    <n v="27.167699999999979"/>
    <n v="29"/>
    <n v="35.157206143828375"/>
    <n v="0.81885076526109568"/>
    <n v="1.2334438266752148"/>
    <n v="0"/>
    <n v="0"/>
    <n v="0"/>
    <n v="0"/>
    <n v="0"/>
    <n v="2.8942782336595769"/>
    <n v="0"/>
    <n v="0"/>
    <n v="27.159470110368403"/>
    <n v="0"/>
    <n v="0"/>
    <n v="0"/>
    <n v="4.543728577485922"/>
    <n v="0"/>
    <n v="-1.2765562709460028"/>
    <m/>
    <n v="0"/>
    <n v="0"/>
    <n v="0"/>
    <n v="0"/>
    <n v="-0.1658532226720002"/>
    <n v="-5.0155876003887379E-2"/>
    <n v="0"/>
    <n v="0"/>
    <m/>
    <m/>
    <m/>
    <n v="458.63232114886318"/>
    <n v="0"/>
    <n v="0"/>
    <n v="-249.28120000000007"/>
    <n v="27.167699999999996"/>
    <n v="0"/>
    <n v="0"/>
    <n v="-257.2880078825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0"/>
    <s v="Sistema de Compensação"/>
    <s v="Convencional"/>
    <s v="B2"/>
    <s v="Rural"/>
    <s v="Agropecuária rural"/>
    <s v="IRRIG./AQUIC. PR"/>
    <s v="Não se aplica"/>
    <s v="Não se aplica"/>
    <s v="CATIVO"/>
    <x v="7"/>
    <n v="0"/>
    <n v="0"/>
    <n v="36.558"/>
    <n v="14.623200000000001"/>
    <n v="36.558"/>
    <n v="14.623200000000001"/>
    <m/>
    <n v="581.32000000000005"/>
    <n v="209.4"/>
    <m/>
    <n v="28907.141760000002"/>
    <n v="28907.141760000002"/>
    <n v="22083.591059999999"/>
    <n v="0"/>
    <n v="2249.7028215323649"/>
    <n v="0"/>
    <n v="0"/>
    <n v="0"/>
    <n v="2712.2798714453861"/>
    <n v="14089.647392067345"/>
    <n v="7554.7379646282916"/>
    <n v="100.64289316078272"/>
    <n v="0"/>
    <n v="0"/>
    <n v="0"/>
    <n v="0"/>
    <n v="347.65201694246588"/>
    <m/>
    <n v="66.643929458071824"/>
    <n v="208.3616181746508"/>
    <n v="313.85737494137663"/>
    <n v="0"/>
    <n v="0"/>
    <n v="0"/>
    <n v="0"/>
    <n v="0"/>
    <n v="0"/>
    <n v="0"/>
    <n v="0"/>
    <n v="0"/>
    <n v="0"/>
    <m/>
    <n v="0"/>
    <n v="0"/>
    <n v="0"/>
    <n v="0"/>
    <n v="0"/>
    <n v="1263.8935386370513"/>
    <n v="0"/>
    <n v="0"/>
    <n v="0"/>
    <n v="0"/>
    <n v="0"/>
    <m/>
    <m/>
    <m/>
    <m/>
    <m/>
    <m/>
    <n v="14310.190403999997"/>
    <m/>
    <m/>
    <n v="8818.6315032653438"/>
    <m/>
    <m/>
    <m/>
    <m/>
    <m/>
    <m/>
    <m/>
    <m/>
    <m/>
    <m/>
    <m/>
    <m/>
    <n v="7771.6995999999999"/>
    <n v="-2403.8841200000006"/>
    <m/>
    <m/>
    <m/>
    <m/>
    <n v="-7658.1698400000023"/>
    <n v="834.61913999999945"/>
    <n v="29"/>
    <n v="1080.0648253832587"/>
    <n v="25.155921240684989"/>
    <n v="37.892638164363461"/>
    <n v="0"/>
    <n v="0"/>
    <n v="0"/>
    <n v="0"/>
    <n v="0"/>
    <n v="88.915145937921807"/>
    <n v="0"/>
    <n v="0"/>
    <n v="834.3663094914682"/>
    <n v="0"/>
    <n v="0"/>
    <n v="0"/>
    <n v="139.58792381153808"/>
    <n v="0"/>
    <n v="-39.21709592709567"/>
    <m/>
    <n v="0"/>
    <n v="0"/>
    <n v="0"/>
    <n v="0"/>
    <n v="-5.0951782474310789"/>
    <n v="-1.5408390881933656"/>
    <n v="0"/>
    <n v="0"/>
    <m/>
    <m/>
    <m/>
    <n v="14089.647392067345"/>
    <n v="0"/>
    <n v="0"/>
    <n v="-7658.1698400000023"/>
    <n v="834.61913999999979"/>
    <n v="0"/>
    <n v="0"/>
    <n v="-7904.147052243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1"/>
    <s v="Regular"/>
    <s v="Verde"/>
    <s v="A4"/>
    <s v="Rural"/>
    <s v="Agropecuária rural"/>
    <s v="Não se aplica"/>
    <s v="Não se aplica"/>
    <s v="Ponta"/>
    <s v="CATIVO"/>
    <x v="7"/>
    <n v="0"/>
    <n v="0"/>
    <n v="33.893999999999998"/>
    <n v="32.538240000000002"/>
    <n v="33.893999999999998"/>
    <n v="32.538240000000002"/>
    <m/>
    <n v="1614.19"/>
    <n v="209.4"/>
    <m/>
    <n v="61808.759459999994"/>
    <n v="61808.759459999994"/>
    <n v="41084.612099999998"/>
    <n v="0"/>
    <n v="1814.6162773326134"/>
    <n v="0"/>
    <n v="0"/>
    <n v="0"/>
    <n v="10555.201364719434"/>
    <n v="39413.184267529148"/>
    <n v="7004.2203778410012"/>
    <n v="93.308994496186031"/>
    <n v="0"/>
    <n v="0"/>
    <n v="0"/>
    <n v="0"/>
    <n v="322.31843815985388"/>
    <m/>
    <n v="45.005954992574217"/>
    <n v="820.06280058443929"/>
    <n v="1221.4958277609776"/>
    <n v="0"/>
    <n v="0"/>
    <n v="0"/>
    <n v="0"/>
    <n v="0"/>
    <n v="0"/>
    <n v="0"/>
    <n v="0"/>
    <n v="0"/>
    <n v="0"/>
    <m/>
    <n v="0"/>
    <n v="0"/>
    <n v="0"/>
    <n v="0"/>
    <n v="0"/>
    <n v="519.40644602721102"/>
    <n v="0"/>
    <n v="0"/>
    <n v="0"/>
    <n v="0"/>
    <n v="0"/>
    <m/>
    <m/>
    <m/>
    <m/>
    <m/>
    <n v="1643.3844839999956"/>
    <m/>
    <m/>
    <m/>
    <n v="7523.6268238682123"/>
    <m/>
    <m/>
    <m/>
    <m/>
    <m/>
    <m/>
    <m/>
    <m/>
    <m/>
    <m/>
    <m/>
    <m/>
    <n v="39443.360999999997"/>
    <n v="-19893.078081600012"/>
    <m/>
    <m/>
    <m/>
    <m/>
    <n v="-21497.947380000001"/>
    <n v="773.80001999999945"/>
    <n v="29"/>
    <n v="1386.0399954881505"/>
    <n v="99.0078470528357"/>
    <n v="147.47367153399659"/>
    <n v="0"/>
    <n v="0"/>
    <n v="0"/>
    <n v="0"/>
    <n v="0"/>
    <n v="346.02523125611697"/>
    <n v="0"/>
    <n v="0"/>
    <n v="773.56561337884523"/>
    <n v="0"/>
    <n v="0"/>
    <n v="0"/>
    <n v="57.364695046589873"/>
    <n v="0"/>
    <n v="-31.632613844770958"/>
    <m/>
    <n v="0"/>
    <n v="0"/>
    <n v="0"/>
    <n v="0"/>
    <n v="-4.7238900245754394"/>
    <n v="-1.0405589108858919"/>
    <n v="0"/>
    <n v="0"/>
    <m/>
    <m/>
    <m/>
    <n v="39413.184267529148"/>
    <n v="0"/>
    <n v="0"/>
    <n v="-21497.947379999998"/>
    <n v="773.80001999999968"/>
    <n v="0"/>
    <n v="0"/>
    <n v="-22110.39038657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2"/>
    <s v="Refaturamento - Regular"/>
    <s v="Verde"/>
    <s v="A4"/>
    <s v="Rural"/>
    <s v="Agropecuária rural"/>
    <s v="Não se aplica"/>
    <s v="Não se aplica"/>
    <s v="Ponta"/>
    <s v="CATIVO"/>
    <x v="7"/>
    <n v="0"/>
    <n v="0"/>
    <n v="1.6E-2"/>
    <n v="1.536E-2"/>
    <n v="1.6E-2"/>
    <n v="1.536E-2"/>
    <m/>
    <n v="1614.19"/>
    <n v="209.4"/>
    <m/>
    <n v="29.177440000000001"/>
    <n v="29.177440000000001"/>
    <n v="19.394400000000001"/>
    <n v="0"/>
    <n v="0.85660767207534716"/>
    <n v="0"/>
    <n v="0"/>
    <n v="0"/>
    <n v="4.9826878455039525"/>
    <n v="18.60538585827776"/>
    <n v="3.3064119326564003"/>
    <n v="4.4047439427007042E-2"/>
    <n v="0"/>
    <n v="0"/>
    <n v="0"/>
    <n v="0"/>
    <n v="0.15215362632199392"/>
    <m/>
    <n v="2.124550893612992E-2"/>
    <n v="0.38711880596421283"/>
    <n v="0.5766192613493728"/>
    <n v="0"/>
    <n v="0"/>
    <n v="0"/>
    <n v="0"/>
    <n v="0"/>
    <n v="0"/>
    <n v="0"/>
    <n v="0"/>
    <n v="0"/>
    <n v="0"/>
    <m/>
    <n v="0"/>
    <n v="0"/>
    <n v="0"/>
    <n v="0"/>
    <n v="0"/>
    <n v="0.24519098177952961"/>
    <n v="0"/>
    <n v="0"/>
    <n v="0"/>
    <n v="0"/>
    <n v="0"/>
    <m/>
    <m/>
    <m/>
    <m/>
    <m/>
    <n v="0.77577599999999991"/>
    <m/>
    <m/>
    <m/>
    <n v="3.55160291443593"/>
    <m/>
    <m/>
    <m/>
    <m/>
    <m/>
    <m/>
    <m/>
    <m/>
    <m/>
    <m/>
    <m/>
    <m/>
    <n v="24.242999999999999"/>
    <n v="-3.7973424000000087"/>
    <m/>
    <m/>
    <m/>
    <m/>
    <n v="-10.148320000000002"/>
    <n v="0.36527999999999977"/>
    <n v="29"/>
    <n v="0.65429397320500371"/>
    <n v="4.6737639489153604E-2"/>
    <n v="6.9616414248656056E-2"/>
    <n v="0"/>
    <n v="0"/>
    <n v="0"/>
    <n v="0"/>
    <n v="0"/>
    <n v="0.16334465392393582"/>
    <n v="0"/>
    <n v="0"/>
    <n v="0.36516934602175954"/>
    <n v="0"/>
    <n v="0"/>
    <n v="0"/>
    <n v="2.7079575168036746E-2"/>
    <n v="0"/>
    <n v="-1.4932490160982415E-2"/>
    <m/>
    <n v="0"/>
    <n v="0"/>
    <n v="0"/>
    <n v="0"/>
    <n v="-2.229959296430245E-3"/>
    <n v="-4.9120618912415828E-4"/>
    <n v="0"/>
    <n v="0"/>
    <m/>
    <m/>
    <m/>
    <n v="18.60538585827776"/>
    <n v="0"/>
    <n v="0"/>
    <n v="-10.14832"/>
    <n v="0.36527999999999983"/>
    <n v="0"/>
    <n v="0"/>
    <n v="-10.437429816047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3"/>
    <s v="Sistema de Compensação"/>
    <s v="Verde"/>
    <s v="A4"/>
    <s v="Rural"/>
    <s v="Agropecuária rural"/>
    <s v="Não se aplica"/>
    <s v="Não se aplica"/>
    <s v="Ponta"/>
    <s v="CATIVO"/>
    <x v="7"/>
    <n v="0"/>
    <n v="0"/>
    <n v="1.159"/>
    <n v="1.1126400000000001"/>
    <n v="1.159"/>
    <n v="1.1126400000000001"/>
    <m/>
    <n v="1614.19"/>
    <n v="209.4"/>
    <m/>
    <n v="2113.54081"/>
    <n v="2113.54081"/>
    <n v="1404.88185"/>
    <n v="0"/>
    <n v="62.05051824595796"/>
    <n v="0"/>
    <n v="0"/>
    <n v="0"/>
    <n v="360.93345080869256"/>
    <n v="1347.7276381089953"/>
    <n v="239.50821437179798"/>
    <n v="3.1906863934938228"/>
    <n v="0"/>
    <n v="0"/>
    <n v="0"/>
    <n v="0"/>
    <n v="11.021628306699435"/>
    <m/>
    <n v="1.538971553560911"/>
    <n v="28.041918507032666"/>
    <n v="41.768857743995191"/>
    <n v="0"/>
    <n v="0"/>
    <n v="0"/>
    <n v="0"/>
    <n v="0"/>
    <n v="0"/>
    <n v="0"/>
    <n v="0"/>
    <n v="0"/>
    <n v="0"/>
    <m/>
    <n v="0"/>
    <n v="0"/>
    <n v="0"/>
    <n v="0"/>
    <n v="0"/>
    <n v="17.761021742654677"/>
    <n v="0"/>
    <n v="0"/>
    <n v="0"/>
    <n v="0"/>
    <n v="0"/>
    <m/>
    <m/>
    <m/>
    <m/>
    <m/>
    <n v="56.195273999999941"/>
    <m/>
    <m/>
    <m/>
    <n v="257.26923611445267"/>
    <m/>
    <m/>
    <m/>
    <m/>
    <m/>
    <m/>
    <m/>
    <m/>
    <m/>
    <m/>
    <m/>
    <m/>
    <n v="1345.4865"/>
    <n v="-683.54267760000016"/>
    <m/>
    <m/>
    <m/>
    <m/>
    <n v="-735.11893000000009"/>
    <n v="26.459969999999981"/>
    <n v="29"/>
    <n v="47.39541968403762"/>
    <n v="3.3855577604955656"/>
    <n v="5.0428390071370259"/>
    <n v="0"/>
    <n v="0"/>
    <n v="0"/>
    <n v="0"/>
    <n v="0"/>
    <n v="11.832278368615107"/>
    <n v="0"/>
    <n v="0"/>
    <n v="26.451954502451258"/>
    <n v="0"/>
    <n v="0"/>
    <n v="0"/>
    <n v="1.9615767262346644"/>
    <n v="0"/>
    <n v="-1.0816722560361569"/>
    <m/>
    <n v="0"/>
    <n v="0"/>
    <n v="0"/>
    <n v="0"/>
    <n v="-0.16153267653516679"/>
    <n v="-3.5581748324681195E-2"/>
    <n v="0"/>
    <n v="0"/>
    <m/>
    <m/>
    <m/>
    <n v="1347.7276381089953"/>
    <n v="0"/>
    <n v="0"/>
    <n v="-735.11893000000009"/>
    <n v="26.45996999999997"/>
    <n v="0"/>
    <n v="0"/>
    <n v="-756.0613222999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4"/>
    <s v="Regular"/>
    <s v="Verde"/>
    <s v="A4"/>
    <s v="Rural"/>
    <s v="Agropecuária rural"/>
    <s v="Não se aplica"/>
    <s v="Não se aplica"/>
    <s v="Fora ponta"/>
    <s v="CATIVO"/>
    <x v="7"/>
    <n v="0"/>
    <n v="0"/>
    <n v="2172.1579999999999"/>
    <n v="2085.2716799999998"/>
    <n v="2172.1579999999999"/>
    <n v="2085.2716799999998"/>
    <m/>
    <n v="79.7"/>
    <n v="209.4"/>
    <m/>
    <n v="627970.87780000002"/>
    <n v="627970.87780000002"/>
    <n v="678842.81816000002"/>
    <n v="0"/>
    <n v="116292.95048499011"/>
    <n v="0"/>
    <n v="0"/>
    <n v="0"/>
    <n v="0"/>
    <n v="0"/>
    <n v="448878.07067594124"/>
    <n v="5979.8748706805472"/>
    <n v="0"/>
    <n v="0"/>
    <n v="0"/>
    <n v="0"/>
    <n v="20656.357290270604"/>
    <m/>
    <n v="2884.2876374803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287.097037516214"/>
    <n v="0"/>
    <n v="0"/>
    <n v="0"/>
    <n v="0"/>
    <n v="0"/>
    <m/>
    <m/>
    <m/>
    <m/>
    <m/>
    <n v="27153.712726400023"/>
    <m/>
    <m/>
    <m/>
    <n v="482165.16771345749"/>
    <m/>
    <m/>
    <m/>
    <m/>
    <m/>
    <m/>
    <m/>
    <m/>
    <m/>
    <m/>
    <m/>
    <m/>
    <n v="651688.58039999998"/>
    <n v="48836.507711999933"/>
    <m/>
    <m/>
    <m/>
    <m/>
    <n v="1281.5732200000073"/>
    <n v="49590.367139999966"/>
    <n v="29"/>
    <n v="50855.006425744854"/>
    <n v="0"/>
    <n v="0"/>
    <n v="0"/>
    <n v="0"/>
    <n v="0"/>
    <n v="0"/>
    <n v="0"/>
    <n v="0"/>
    <n v="0"/>
    <n v="0"/>
    <n v="49575.344769745891"/>
    <n v="0"/>
    <n v="0"/>
    <n v="0"/>
    <n v="3676.3197398657794"/>
    <n v="0"/>
    <n v="-2027.2329976937035"/>
    <m/>
    <n v="0"/>
    <n v="0"/>
    <n v="0"/>
    <n v="0"/>
    <n v="-302.73899533845906"/>
    <n v="-66.686090834722563"/>
    <n v="0"/>
    <n v="0"/>
    <m/>
    <m/>
    <m/>
    <n v="0"/>
    <n v="0"/>
    <n v="0"/>
    <n v="1281.5732200000202"/>
    <n v="49590.36713999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5"/>
    <s v="Refaturamento - Regular"/>
    <s v="Verde"/>
    <s v="A4"/>
    <s v="Rural"/>
    <s v="Agropecuária rural"/>
    <s v="Não se aplica"/>
    <s v="Não se aplica"/>
    <s v="Fora ponta"/>
    <s v="CATIVO"/>
    <x v="7"/>
    <n v="0"/>
    <n v="0"/>
    <n v="21.54"/>
    <n v="20.6784"/>
    <n v="21.54"/>
    <n v="20.6784"/>
    <m/>
    <n v="79.7"/>
    <n v="209.4"/>
    <m/>
    <n v="6227.2139999999999"/>
    <n v="6227.2139999999999"/>
    <n v="6731.6808000000001"/>
    <n v="0"/>
    <n v="1153.2080785314361"/>
    <n v="0"/>
    <n v="0"/>
    <n v="0"/>
    <n v="0"/>
    <n v="0"/>
    <n v="4451.257064338678"/>
    <n v="59.29886532860823"/>
    <n v="0"/>
    <n v="0"/>
    <n v="0"/>
    <n v="0"/>
    <n v="204.83681943598432"/>
    <m/>
    <n v="28.601766405264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0.0883592206917"/>
    <n v="0"/>
    <n v="0"/>
    <n v="0"/>
    <n v="0"/>
    <n v="0"/>
    <m/>
    <m/>
    <m/>
    <m/>
    <m/>
    <n v="269.26723199999975"/>
    <m/>
    <m/>
    <m/>
    <n v="4781.3454235593699"/>
    <m/>
    <m/>
    <m/>
    <m/>
    <m/>
    <m/>
    <m/>
    <m/>
    <m/>
    <m/>
    <m/>
    <m/>
    <n v="6462.9135999999999"/>
    <n v="484.75815999999941"/>
    <m/>
    <m/>
    <m/>
    <m/>
    <n v="12.708600000000073"/>
    <n v="491.75819999999965"/>
    <n v="29"/>
    <n v="504.2988762376126"/>
    <n v="0"/>
    <n v="0"/>
    <n v="0"/>
    <n v="0"/>
    <n v="0"/>
    <n v="0"/>
    <n v="0"/>
    <n v="0"/>
    <n v="0"/>
    <n v="0"/>
    <n v="491.60923208179429"/>
    <n v="0"/>
    <n v="0"/>
    <n v="0"/>
    <n v="36.455878069969515"/>
    <n v="0"/>
    <n v="-20.102864879222579"/>
    <m/>
    <n v="0"/>
    <n v="0"/>
    <n v="0"/>
    <n v="0"/>
    <n v="-3.002082702819223"/>
    <n v="-0.66128633210839993"/>
    <n v="0"/>
    <n v="0"/>
    <m/>
    <m/>
    <m/>
    <n v="0"/>
    <n v="0"/>
    <n v="0"/>
    <n v="12.708599999999933"/>
    <n v="491.7582000000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6"/>
    <s v="Sistema de Compensação"/>
    <s v="Verde"/>
    <s v="A4"/>
    <s v="Rural"/>
    <s v="Agropecuária rural"/>
    <s v="Não se aplica"/>
    <s v="Não se aplica"/>
    <s v="Fora ponta"/>
    <s v="CATIVO"/>
    <x v="7"/>
    <n v="0"/>
    <n v="0"/>
    <n v="614.33500000000004"/>
    <n v="589.76160000000004"/>
    <n v="614.33500000000004"/>
    <n v="589.76160000000004"/>
    <m/>
    <n v="79.7"/>
    <n v="209.4"/>
    <m/>
    <n v="177604.24850000002"/>
    <n v="177604.24850000002"/>
    <n v="191991.9742"/>
    <n v="0"/>
    <n v="32890.25463902553"/>
    <n v="0"/>
    <n v="0"/>
    <n v="0"/>
    <n v="0"/>
    <n v="0"/>
    <n v="126952.78591552936"/>
    <n v="1691.2427312743982"/>
    <n v="0"/>
    <n v="0"/>
    <n v="0"/>
    <n v="0"/>
    <n v="5842.0811266576338"/>
    <m/>
    <n v="815.74123326733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14.337611970459"/>
    <n v="0"/>
    <n v="0"/>
    <n v="0"/>
    <n v="0"/>
    <n v="0"/>
    <m/>
    <m/>
    <m/>
    <m/>
    <m/>
    <n v="7679.6789679999983"/>
    <m/>
    <m/>
    <m/>
    <n v="136367.12352749982"/>
    <m/>
    <m/>
    <m/>
    <m/>
    <m/>
    <m/>
    <m/>
    <m/>
    <m/>
    <m/>
    <m/>
    <m/>
    <n v="184311.79519999999"/>
    <n v="13811.686639999971"/>
    <m/>
    <m/>
    <m/>
    <m/>
    <n v="362.4576500000021"/>
    <n v="14025.268049999991"/>
    <n v="29"/>
    <n v="14382.936403594853"/>
    <n v="0"/>
    <n v="0"/>
    <n v="0"/>
    <n v="0"/>
    <n v="0"/>
    <n v="0"/>
    <n v="0"/>
    <n v="0"/>
    <n v="0"/>
    <n v="0"/>
    <n v="14021.019386767352"/>
    <n v="0"/>
    <n v="0"/>
    <n v="0"/>
    <n v="1039.7456756784904"/>
    <n v="0"/>
    <n v="-573.34695894044853"/>
    <m/>
    <n v="0"/>
    <n v="0"/>
    <n v="0"/>
    <n v="0"/>
    <n v="-85.621377773280074"/>
    <n v="-18.860322137224443"/>
    <n v="0"/>
    <n v="0"/>
    <m/>
    <m/>
    <m/>
    <n v="0"/>
    <n v="0"/>
    <n v="0"/>
    <n v="362.45765000000392"/>
    <n v="14025.26804999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67"/>
    <s v="Regular"/>
    <s v="Verde"/>
    <s v="A4"/>
    <s v="Rural"/>
    <s v="Agropecuária rural"/>
    <s v="Não se aplica"/>
    <s v="Não se aplica"/>
    <s v="Não se aplica"/>
    <s v="CATIVO"/>
    <x v="7"/>
    <n v="29706"/>
    <n v="28517.759999999998"/>
    <n v="0"/>
    <n v="0"/>
    <n v="0"/>
    <n v="0"/>
    <n v="44.35"/>
    <m/>
    <m/>
    <n v="1317461.1000000001"/>
    <m/>
    <n v="1317461.1000000001"/>
    <n v="860582.82"/>
    <n v="0"/>
    <n v="0"/>
    <n v="0"/>
    <n v="0"/>
    <n v="0"/>
    <n v="389804.02391826193"/>
    <n v="853092.34176437068"/>
    <m/>
    <m/>
    <m/>
    <n v="0"/>
    <n v="0"/>
    <n v="0"/>
    <n v="0"/>
    <m/>
    <n v="0"/>
    <n v="29460.054866480685"/>
    <n v="45072.658132582503"/>
    <n v="0"/>
    <n v="0"/>
    <m/>
    <m/>
    <n v="0"/>
    <n v="0"/>
    <n v="0"/>
    <m/>
    <m/>
    <n v="0"/>
    <m/>
    <n v="0"/>
    <n v="0"/>
    <n v="0"/>
    <n v="0"/>
    <m/>
    <n v="0"/>
    <n v="0"/>
    <n v="5684.85"/>
    <n v="26153.11"/>
    <n v="713.93"/>
    <n v="125"/>
    <m/>
    <m/>
    <m/>
    <m/>
    <m/>
    <n v="34423.312800000043"/>
    <m/>
    <m/>
    <m/>
    <n v="0"/>
    <m/>
    <m/>
    <m/>
    <m/>
    <m/>
    <m/>
    <m/>
    <m/>
    <m/>
    <m/>
    <m/>
    <m/>
    <n v="826159.50719999988"/>
    <n v="-438603.17880000011"/>
    <m/>
    <m/>
    <m/>
    <m/>
    <n v="-456878.28000000009"/>
    <n v="0"/>
    <n v="29"/>
    <n v="21777.211912354047"/>
    <n v="3556.7722426989494"/>
    <n v="5441.7135364209025"/>
    <n v="0"/>
    <n v="0"/>
    <m/>
    <m/>
    <m/>
    <n v="12778.726133234217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3092.34176437068"/>
    <m/>
    <n v="0"/>
    <n v="0"/>
    <n v="-456878.28000000014"/>
    <m/>
    <n v="0"/>
    <m/>
    <n v="-478576.0161922169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68"/>
    <s v="Refaturamento - Regular"/>
    <s v="Verde"/>
    <s v="A4"/>
    <s v="Rural"/>
    <s v="Agropecuária rural"/>
    <s v="Não se aplica"/>
    <s v="Não se aplica"/>
    <s v="Não se aplica"/>
    <s v="CATIVO"/>
    <x v="7"/>
    <n v="149"/>
    <n v="143.04"/>
    <n v="0"/>
    <n v="0"/>
    <n v="0"/>
    <n v="0"/>
    <n v="44.35"/>
    <m/>
    <m/>
    <n v="6608.1500000000005"/>
    <m/>
    <n v="6608.1500000000005"/>
    <n v="4316.53"/>
    <n v="0"/>
    <n v="0"/>
    <n v="0"/>
    <n v="0"/>
    <n v="0"/>
    <n v="1955.1874895247097"/>
    <n v="4278.9590965761536"/>
    <m/>
    <m/>
    <m/>
    <n v="0"/>
    <n v="0"/>
    <n v="0"/>
    <n v="0"/>
    <m/>
    <n v="0"/>
    <n v="147.76638305748409"/>
    <n v="226.07641761781434"/>
    <n v="0"/>
    <n v="0"/>
    <m/>
    <m/>
    <n v="0"/>
    <n v="0"/>
    <n v="0"/>
    <m/>
    <m/>
    <n v="0"/>
    <m/>
    <n v="0"/>
    <n v="0"/>
    <n v="0"/>
    <n v="0"/>
    <m/>
    <n v="0"/>
    <n v="0"/>
    <n v="48.91"/>
    <n v="223.45"/>
    <n v="4.28"/>
    <n v="0"/>
    <m/>
    <m/>
    <m/>
    <m/>
    <m/>
    <n v="172.66120000000024"/>
    <m/>
    <m/>
    <m/>
    <n v="0"/>
    <m/>
    <m/>
    <m/>
    <m/>
    <m/>
    <m/>
    <m/>
    <m/>
    <m/>
    <m/>
    <m/>
    <m/>
    <n v="4143.8687999999993"/>
    <n v="-2199.985200000001"/>
    <m/>
    <m/>
    <m/>
    <m/>
    <n v="-2291.6200000000003"/>
    <n v="0"/>
    <n v="29"/>
    <n v="109.23061250053024"/>
    <n v="17.840135466307942"/>
    <n v="27.294664947374741"/>
    <n v="0"/>
    <n v="0"/>
    <m/>
    <m/>
    <m/>
    <n v="64.095812086847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278.9590965761536"/>
    <m/>
    <n v="0"/>
    <n v="0"/>
    <n v="-2291.6200000000008"/>
    <m/>
    <n v="0"/>
    <m/>
    <n v="-2400.451976457291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69"/>
    <s v="Sistema de Compensação"/>
    <s v="Verde"/>
    <s v="A4"/>
    <s v="Rural"/>
    <s v="Agropecuária rural"/>
    <s v="Não se aplica"/>
    <s v="Não se aplica"/>
    <s v="Não se aplica"/>
    <s v="CATIVO"/>
    <x v="7"/>
    <n v="4747"/>
    <n v="4557.12"/>
    <n v="0"/>
    <n v="0"/>
    <n v="0"/>
    <n v="0"/>
    <n v="44.35"/>
    <m/>
    <m/>
    <n v="210529.45"/>
    <m/>
    <n v="210529.45"/>
    <n v="137520.59"/>
    <n v="0"/>
    <n v="0"/>
    <n v="0"/>
    <n v="0"/>
    <n v="0"/>
    <n v="62290.436327340918"/>
    <n v="136323.61631843625"/>
    <m/>
    <m/>
    <m/>
    <n v="0"/>
    <n v="0"/>
    <n v="0"/>
    <n v="0"/>
    <m/>
    <n v="0"/>
    <n v="4707.6981233146107"/>
    <n v="7202.5822445084877"/>
    <n v="0"/>
    <n v="0"/>
    <m/>
    <m/>
    <n v="0"/>
    <n v="0"/>
    <n v="0"/>
    <m/>
    <m/>
    <n v="0"/>
    <m/>
    <n v="0"/>
    <n v="0"/>
    <n v="0"/>
    <n v="0"/>
    <m/>
    <n v="0"/>
    <n v="0"/>
    <n v="761.58"/>
    <n v="3503.69"/>
    <n v="5375.32"/>
    <n v="18"/>
    <m/>
    <m/>
    <m/>
    <m/>
    <m/>
    <n v="5500.8236000000034"/>
    <m/>
    <m/>
    <m/>
    <n v="0"/>
    <m/>
    <m/>
    <m/>
    <m/>
    <m/>
    <m/>
    <m/>
    <m/>
    <m/>
    <m/>
    <m/>
    <m/>
    <n v="132019.76639999999"/>
    <n v="-70088.535600000032"/>
    <m/>
    <m/>
    <m/>
    <m/>
    <n v="-73008.860000000015"/>
    <n v="0"/>
    <n v="29"/>
    <n v="3479.9846814766206"/>
    <n v="568.36995341317925"/>
    <n v="869.58237922944954"/>
    <n v="0"/>
    <n v="0"/>
    <m/>
    <m/>
    <m/>
    <n v="2042.032348834007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6323.61631843625"/>
    <m/>
    <n v="0"/>
    <n v="0"/>
    <n v="-73008.860000000015"/>
    <m/>
    <n v="0"/>
    <m/>
    <n v="-76476.14451169641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70"/>
    <s v="Regular"/>
    <s v="Verde"/>
    <s v="A4"/>
    <s v="Rural"/>
    <s v="Agropecuária rural"/>
    <s v="IRRIG./AQUIC. PR"/>
    <s v="Não se aplica"/>
    <s v="Fora ponta"/>
    <s v="CATIVO"/>
    <x v="7"/>
    <n v="0"/>
    <n v="0"/>
    <n v="2656.578"/>
    <n v="796.97339999999997"/>
    <n v="2656.578"/>
    <n v="796.97339999999997"/>
    <m/>
    <n v="79.7"/>
    <n v="209.4"/>
    <m/>
    <n v="768016.69979999994"/>
    <n v="768016.69979999994"/>
    <n v="830233.75655999989"/>
    <n v="0"/>
    <n v="142227.81851666135"/>
    <n v="0"/>
    <n v="0"/>
    <n v="0"/>
    <n v="0"/>
    <n v="0"/>
    <n v="548983.82495202962"/>
    <n v="7313.4661586324692"/>
    <n v="0"/>
    <n v="0"/>
    <n v="0"/>
    <n v="0"/>
    <n v="25262.998519201872"/>
    <m/>
    <n v="3527.521977407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10.560499618703"/>
    <n v="0"/>
    <n v="0"/>
    <n v="0"/>
    <n v="0"/>
    <n v="0"/>
    <m/>
    <m/>
    <m/>
    <m/>
    <m/>
    <m/>
    <n v="581163.62959200004"/>
    <m/>
    <m/>
    <n v="589694.38545164838"/>
    <m/>
    <m/>
    <m/>
    <m/>
    <m/>
    <m/>
    <m/>
    <m/>
    <m/>
    <m/>
    <m/>
    <m/>
    <n v="249069.0644"/>
    <n v="18664.024459999986"/>
    <m/>
    <m/>
    <m/>
    <m/>
    <n v="1567.3810200000091"/>
    <n v="60649.675739999955"/>
    <n v="29"/>
    <n v="62196.34633414878"/>
    <n v="0"/>
    <n v="0"/>
    <n v="0"/>
    <n v="0"/>
    <n v="0"/>
    <n v="0"/>
    <n v="0"/>
    <n v="0"/>
    <n v="0"/>
    <n v="0"/>
    <n v="60631.3031822372"/>
    <n v="0"/>
    <n v="0"/>
    <n v="0"/>
    <n v="4496.187727547047"/>
    <n v="0"/>
    <n v="-2479.3328029301483"/>
    <m/>
    <n v="0"/>
    <n v="0"/>
    <n v="0"/>
    <n v="0"/>
    <n v="-370.2538004870039"/>
    <n v="-81.55797221819239"/>
    <n v="0"/>
    <n v="0"/>
    <m/>
    <m/>
    <m/>
    <n v="0"/>
    <n v="0"/>
    <n v="0"/>
    <n v="1567.3810200000007"/>
    <n v="60649.67573999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1"/>
    <s v="Refaturamento - Regular"/>
    <s v="Verde"/>
    <s v="A4"/>
    <s v="Rural"/>
    <s v="Agropecuária rural"/>
    <s v="IRRIG./AQUIC. PR"/>
    <s v="Não se aplica"/>
    <s v="Fora ponta"/>
    <s v="CATIVO"/>
    <x v="7"/>
    <n v="0"/>
    <n v="0"/>
    <n v="21.184000000000001"/>
    <n v="6.3552"/>
    <n v="21.184000000000001"/>
    <n v="6.3552"/>
    <m/>
    <n v="79.7"/>
    <n v="209.4"/>
    <m/>
    <n v="6124.2944000000007"/>
    <n v="6124.2944000000007"/>
    <n v="6620.4236799999999"/>
    <n v="0"/>
    <n v="1134.1485578277598"/>
    <n v="0"/>
    <n v="0"/>
    <n v="0"/>
    <n v="0"/>
    <n v="0"/>
    <n v="4377.6893988370739"/>
    <n v="58.318809801357325"/>
    <n v="0"/>
    <n v="0"/>
    <n v="0"/>
    <n v="0"/>
    <n v="201.45140125031998"/>
    <m/>
    <n v="28.129053831436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.6328598760972"/>
    <n v="0"/>
    <n v="0"/>
    <n v="0"/>
    <n v="0"/>
    <n v="0"/>
    <m/>
    <m/>
    <m/>
    <m/>
    <m/>
    <m/>
    <n v="4634.2965760000006"/>
    <m/>
    <m/>
    <n v="4702.3222587131713"/>
    <m/>
    <m/>
    <m/>
    <m/>
    <m/>
    <m/>
    <m/>
    <m/>
    <m/>
    <m/>
    <m/>
    <m/>
    <n v="1987.6272000000001"/>
    <n v="150.30888000000004"/>
    <m/>
    <m/>
    <m/>
    <m/>
    <n v="12.498560000000072"/>
    <n v="483.63071999999971"/>
    <n v="29"/>
    <n v="495.96413157927509"/>
    <n v="0"/>
    <n v="0"/>
    <n v="0"/>
    <n v="0"/>
    <n v="0"/>
    <n v="0"/>
    <n v="0"/>
    <n v="0"/>
    <n v="0"/>
    <n v="0"/>
    <n v="483.48421413280994"/>
    <n v="0"/>
    <n v="0"/>
    <n v="0"/>
    <n v="35.853357522480678"/>
    <n v="0"/>
    <n v="-19.770616973140704"/>
    <m/>
    <n v="0"/>
    <n v="0"/>
    <n v="0"/>
    <n v="0"/>
    <n v="-2.9524661084736579"/>
    <n v="-0.65035699440038641"/>
    <n v="0"/>
    <n v="0"/>
    <m/>
    <m/>
    <m/>
    <n v="0"/>
    <n v="0"/>
    <n v="0"/>
    <n v="12.498560000000225"/>
    <n v="483.63071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2"/>
    <s v="Regular"/>
    <s v="Convencional"/>
    <s v="B1"/>
    <s v="Residencial"/>
    <s v="Residencial"/>
    <s v="Não se aplica"/>
    <s v="Não se aplica"/>
    <s v="Não se aplica"/>
    <s v="CATIVO"/>
    <x v="8"/>
    <n v="0"/>
    <n v="0"/>
    <n v="1729.8489999999999"/>
    <n v="1729.8489999999999"/>
    <n v="1729.8489999999999"/>
    <n v="1729.8489999999999"/>
    <m/>
    <n v="581.32000000000005"/>
    <n v="209.4"/>
    <m/>
    <n v="1367826.2012799999"/>
    <n v="1367826.2012799999"/>
    <n v="1044949.8854299999"/>
    <n v="0"/>
    <n v="106451.28771062256"/>
    <n v="0"/>
    <n v="0"/>
    <n v="0"/>
    <n v="128339.4776338949"/>
    <n v="666692.99336726032"/>
    <n v="357474.58595585881"/>
    <n v="4762.213690335544"/>
    <n v="0"/>
    <n v="0"/>
    <n v="0"/>
    <n v="0"/>
    <n v="16450.174896217181"/>
    <m/>
    <n v="3153.4529987722549"/>
    <n v="9859.2411192571126"/>
    <n v="14851.082285271772"/>
    <n v="0"/>
    <n v="0"/>
    <n v="0"/>
    <n v="0"/>
    <n v="0"/>
    <n v="0"/>
    <n v="0"/>
    <n v="0"/>
    <n v="0"/>
    <n v="0"/>
    <m/>
    <n v="0"/>
    <n v="0"/>
    <n v="0"/>
    <n v="0"/>
    <n v="0"/>
    <n v="59804.829966567224"/>
    <n v="0"/>
    <n v="2672.81"/>
    <n v="1257.9100000000001"/>
    <n v="424222.18"/>
    <n v="8683"/>
    <m/>
    <m/>
    <m/>
    <m/>
    <m/>
    <m/>
    <m/>
    <m/>
    <m/>
    <n v="417279.41592242604"/>
    <m/>
    <m/>
    <m/>
    <m/>
    <m/>
    <m/>
    <m/>
    <m/>
    <m/>
    <m/>
    <m/>
    <m/>
    <n v="1044950.4894999999"/>
    <n v="-322875.74178000004"/>
    <m/>
    <m/>
    <m/>
    <m/>
    <n v="-362368.7685200001"/>
    <n v="39492.45266999997"/>
    <n v="31"/>
    <n v="51106.435202265042"/>
    <n v="1190.3261995261691"/>
    <n v="1793.0013194372223"/>
    <n v="0"/>
    <n v="0"/>
    <n v="0"/>
    <n v="0"/>
    <n v="0"/>
    <n v="4207.2809312754398"/>
    <n v="0"/>
    <n v="0"/>
    <n v="39480.489252899657"/>
    <n v="0"/>
    <n v="0"/>
    <n v="0"/>
    <n v="6605.0120470886031"/>
    <n v="0"/>
    <n v="-1855.6719233106414"/>
    <m/>
    <n v="0"/>
    <n v="0"/>
    <n v="0"/>
    <n v="0"/>
    <n v="-241.09330368566225"/>
    <n v="-72.909320965923143"/>
    <n v="0"/>
    <n v="0"/>
    <m/>
    <m/>
    <m/>
    <n v="666692.99336726032"/>
    <n v="0"/>
    <n v="0"/>
    <n v="-362368.76852000004"/>
    <n v="39492.45266999997"/>
    <n v="0"/>
    <n v="0"/>
    <n v="-374007.9018047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3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3.5939999999999999"/>
    <n v="-3.5939999999999999"/>
    <n v="-3.5939999999999999"/>
    <n v="-3.5939999999999999"/>
    <m/>
    <n v="581.32000000000005"/>
    <n v="209.4"/>
    <m/>
    <n v="-2841.8476799999999"/>
    <n v="-2841.8476799999999"/>
    <n v="-2171.0275799999999"/>
    <n v="0"/>
    <n v="-221.16723947117785"/>
    <n v="0"/>
    <n v="0"/>
    <n v="0"/>
    <n v="-266.64297439615729"/>
    <n v="-1385.1466909319447"/>
    <n v="-742.70278037294383"/>
    <n v="-9.894156081291456"/>
    <n v="0"/>
    <n v="0"/>
    <n v="0"/>
    <n v="0"/>
    <n v="-34.177508312577885"/>
    <m/>
    <n v="-6.5517337510889586"/>
    <n v="-20.48393390556636"/>
    <n v="-30.855172753961039"/>
    <n v="0"/>
    <n v="0"/>
    <n v="0"/>
    <n v="0"/>
    <n v="0"/>
    <n v="0"/>
    <n v="0"/>
    <n v="0"/>
    <n v="0"/>
    <n v="0"/>
    <m/>
    <n v="0"/>
    <n v="0"/>
    <n v="0"/>
    <n v="0"/>
    <n v="0"/>
    <n v="-124.2527867460354"/>
    <n v="0"/>
    <n v="-6.92"/>
    <n v="-31.73"/>
    <n v="-920.1"/>
    <n v="0"/>
    <m/>
    <m/>
    <m/>
    <m/>
    <m/>
    <m/>
    <m/>
    <m/>
    <m/>
    <n v="-866.95556711897927"/>
    <m/>
    <m/>
    <m/>
    <m/>
    <m/>
    <m/>
    <m/>
    <m/>
    <m/>
    <m/>
    <m/>
    <m/>
    <n v="-2168.6112999999996"/>
    <n v="673.20637999999963"/>
    <m/>
    <m/>
    <m/>
    <m/>
    <n v="752.87112000000025"/>
    <n v="-82.051019999999937"/>
    <n v="31"/>
    <n v="-106.18067132850297"/>
    <n v="-2.4730669330658621"/>
    <n v="-3.7252076580426241"/>
    <n v="0"/>
    <n v="0"/>
    <n v="0"/>
    <n v="0"/>
    <n v="0"/>
    <n v="-8.7412066989684831"/>
    <n v="0"/>
    <n v="0"/>
    <n v="-82.026164350137833"/>
    <n v="0"/>
    <n v="0"/>
    <n v="0"/>
    <n v="-13.722823955869231"/>
    <n v="0"/>
    <n v="3.8554144855293657"/>
    <m/>
    <n v="0"/>
    <n v="0"/>
    <n v="0"/>
    <n v="0"/>
    <n v="0.50090460696064554"/>
    <n v="0.15147917509073228"/>
    <n v="0"/>
    <n v="0"/>
    <m/>
    <m/>
    <m/>
    <n v="-1385.1466909319447"/>
    <n v="0"/>
    <n v="0"/>
    <n v="752.87112000000002"/>
    <n v="-82.05101999999988"/>
    <n v="0"/>
    <n v="0"/>
    <n v="777.0530254872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4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01.075"/>
    <n v="101.075"/>
    <n v="101.075"/>
    <n v="101.075"/>
    <m/>
    <n v="581.32000000000005"/>
    <n v="209.4"/>
    <m/>
    <n v="79922.024000000005"/>
    <n v="79922.024000000005"/>
    <n v="61056.375249999997"/>
    <n v="0"/>
    <n v="6219.9439982051481"/>
    <n v="0"/>
    <n v="0"/>
    <n v="0"/>
    <n v="7498.8699602369506"/>
    <n v="38954.841899261635"/>
    <n v="20887.224130827854"/>
    <n v="278.25593375529604"/>
    <n v="0"/>
    <n v="0"/>
    <n v="0"/>
    <n v="0"/>
    <n v="961.18298628097102"/>
    <m/>
    <n v="184.25611822240305"/>
    <n v="576.0750193392098"/>
    <n v="867.74807626783866"/>
    <n v="0"/>
    <n v="0"/>
    <n v="0"/>
    <n v="0"/>
    <n v="0"/>
    <n v="0"/>
    <n v="0"/>
    <n v="0"/>
    <n v="0"/>
    <n v="0"/>
    <m/>
    <n v="0"/>
    <n v="0"/>
    <n v="0"/>
    <n v="0"/>
    <n v="0"/>
    <n v="3494.393550460637"/>
    <n v="0"/>
    <n v="153.69"/>
    <n v="72.97"/>
    <n v="60609.78"/>
    <n v="871"/>
    <m/>
    <m/>
    <m/>
    <m/>
    <m/>
    <m/>
    <m/>
    <m/>
    <m/>
    <n v="24381.617681288491"/>
    <m/>
    <m/>
    <m/>
    <m/>
    <m/>
    <m/>
    <m/>
    <m/>
    <m/>
    <m/>
    <m/>
    <m/>
    <n v="61059.395599999989"/>
    <n v="-18862.658400000015"/>
    <m/>
    <m/>
    <m/>
    <m/>
    <n v="-21173.19100000001"/>
    <n v="2307.5422499999986"/>
    <n v="31"/>
    <n v="2986.1467319222211"/>
    <n v="69.550706805685081"/>
    <n v="104.76498721109022"/>
    <n v="0"/>
    <n v="0"/>
    <n v="0"/>
    <n v="0"/>
    <n v="0"/>
    <n v="245.83123736734524"/>
    <n v="0"/>
    <n v="0"/>
    <n v="2306.8432280718334"/>
    <n v="0"/>
    <n v="0"/>
    <n v="0"/>
    <n v="385.93055963814231"/>
    <n v="0"/>
    <n v="-108.42682780324958"/>
    <m/>
    <n v="0"/>
    <n v="0"/>
    <n v="0"/>
    <n v="0"/>
    <n v="-14.087070992918029"/>
    <n v="-4.2600883757083352"/>
    <n v="0"/>
    <n v="0"/>
    <m/>
    <m/>
    <m/>
    <n v="38954.841899261635"/>
    <n v="0"/>
    <n v="0"/>
    <n v="-21173.191000000013"/>
    <n v="2307.5422499999986"/>
    <n v="0"/>
    <n v="0"/>
    <n v="-21853.265039267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5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56.97"/>
    <n v="56.97"/>
    <n v="56.97"/>
    <n v="56.97"/>
    <m/>
    <n v="510.28"/>
    <n v="209.4"/>
    <m/>
    <n v="41000.169599999994"/>
    <n v="41000.169599999994"/>
    <n v="30435.083099999996"/>
    <n v="0"/>
    <n v="0"/>
    <n v="0"/>
    <n v="0"/>
    <n v="0"/>
    <n v="4226.6695190175515"/>
    <n v="21956.540618361963"/>
    <n v="11772.892987714695"/>
    <n v="156.83641400978695"/>
    <n v="0"/>
    <n v="0"/>
    <n v="0"/>
    <n v="0"/>
    <n v="0"/>
    <m/>
    <n v="103.85427707277071"/>
    <n v="324.69941975517963"/>
    <n v="489.09827261913199"/>
    <n v="0"/>
    <n v="0"/>
    <n v="0"/>
    <n v="0"/>
    <n v="0"/>
    <n v="0"/>
    <n v="0"/>
    <n v="0"/>
    <n v="0"/>
    <n v="0"/>
    <m/>
    <n v="0"/>
    <n v="0"/>
    <n v="0"/>
    <n v="0"/>
    <n v="0"/>
    <n v="1969.582988570294"/>
    <n v="0"/>
    <n v="18.989999999999998"/>
    <n v="0.02"/>
    <n v="3362.02"/>
    <n v="102"/>
    <m/>
    <m/>
    <m/>
    <m/>
    <m/>
    <m/>
    <m/>
    <n v="19782.8325"/>
    <m/>
    <n v="13742.475976284988"/>
    <m/>
    <m/>
    <m/>
    <m/>
    <m/>
    <m/>
    <m/>
    <m/>
    <m/>
    <m/>
    <m/>
    <m/>
    <n v="10652.250599999999"/>
    <n v="-3697.9526999999998"/>
    <m/>
    <m/>
    <m/>
    <m/>
    <n v="-11865.711599999999"/>
    <n v="1300.6250999999991"/>
    <n v="31"/>
    <n v="1752.1681536683391"/>
    <n v="39.201620249516452"/>
    <n v="59.049827567804186"/>
    <n v="0"/>
    <n v="0"/>
    <n v="0"/>
    <n v="0"/>
    <n v="0"/>
    <n v="138.5605302282238"/>
    <n v="0"/>
    <n v="0"/>
    <n v="1300.2311026787283"/>
    <n v="0"/>
    <n v="0"/>
    <n v="0"/>
    <n v="217.5262328230026"/>
    <n v="0"/>
    <n v="0"/>
    <m/>
    <n v="0"/>
    <n v="0"/>
    <n v="0"/>
    <n v="0"/>
    <n v="0"/>
    <n v="-2.4011598789423942"/>
    <n v="0"/>
    <n v="0"/>
    <m/>
    <m/>
    <m/>
    <n v="21956.540618361963"/>
    <n v="0"/>
    <n v="0"/>
    <n v="-11865.711599999999"/>
    <n v="1300.6250999999993"/>
    <n v="0"/>
    <n v="0"/>
    <n v="-12317.39311686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6"/>
    <s v="Sistema de Compensação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15"/>
    <n v="-0.82499999999999996"/>
    <n v="0.15"/>
    <n v="-0.82499999999999996"/>
    <m/>
    <n v="510.28"/>
    <n v="209.4"/>
    <m/>
    <n v="107.95199999999998"/>
    <n v="107.95199999999998"/>
    <n v="80.134500000000003"/>
    <n v="0"/>
    <n v="0"/>
    <n v="0"/>
    <n v="0"/>
    <n v="0"/>
    <n v="11.128671719372173"/>
    <n v="57.810796783470145"/>
    <n v="30.997611868653749"/>
    <n v="0.41294474462819103"/>
    <n v="0"/>
    <n v="0"/>
    <n v="0"/>
    <n v="0"/>
    <n v="0"/>
    <m/>
    <n v="0.2734446473743305"/>
    <n v="0.85492211625903003"/>
    <n v="1.2877784955743339"/>
    <n v="0"/>
    <n v="0"/>
    <n v="0"/>
    <n v="0"/>
    <n v="0"/>
    <n v="0"/>
    <n v="0"/>
    <n v="0"/>
    <n v="0"/>
    <n v="0"/>
    <m/>
    <n v="0"/>
    <n v="0"/>
    <n v="0"/>
    <n v="0"/>
    <n v="0"/>
    <n v="5.1858425186158348"/>
    <n v="0"/>
    <n v="0.05"/>
    <n v="0"/>
    <n v="14.6"/>
    <n v="0"/>
    <m/>
    <m/>
    <m/>
    <m/>
    <m/>
    <m/>
    <m/>
    <n v="234.39299999999997"/>
    <m/>
    <n v="36.183454387269585"/>
    <m/>
    <m/>
    <m/>
    <m/>
    <m/>
    <m/>
    <m/>
    <m/>
    <m/>
    <m/>
    <m/>
    <m/>
    <n v="-155.1934"/>
    <n v="52.585850000000022"/>
    <m/>
    <m/>
    <m/>
    <m/>
    <n v="-31.241999999999994"/>
    <n v="3.4244999999999974"/>
    <n v="31"/>
    <n v="4.6133969290898591"/>
    <n v="0.10321648301610453"/>
    <n v="0.15547611260611949"/>
    <n v="0"/>
    <n v="0"/>
    <n v="0"/>
    <n v="0"/>
    <n v="0"/>
    <n v="0.36482498743608005"/>
    <n v="0"/>
    <n v="0"/>
    <n v="3.4234626189539981"/>
    <n v="0"/>
    <n v="0"/>
    <n v="0"/>
    <n v="0.57273889632175479"/>
    <n v="0"/>
    <n v="0"/>
    <m/>
    <n v="0"/>
    <n v="0"/>
    <n v="0"/>
    <n v="0"/>
    <n v="0"/>
    <n v="-6.3221692441874922E-3"/>
    <n v="0"/>
    <n v="0"/>
    <m/>
    <m/>
    <m/>
    <n v="57.810796783470145"/>
    <n v="0"/>
    <n v="0"/>
    <n v="-31.24199999999999"/>
    <n v="3.4244999999999983"/>
    <n v="0"/>
    <n v="0"/>
    <n v="-32.43126149780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7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15.798"/>
    <n v="115.798"/>
    <n v="115.798"/>
    <n v="115.798"/>
    <m/>
    <n v="510.28"/>
    <n v="209.4"/>
    <m/>
    <n v="83337.504639999999"/>
    <n v="83337.504639999999"/>
    <n v="61862.765539999993"/>
    <n v="0"/>
    <n v="0"/>
    <n v="0"/>
    <n v="0"/>
    <n v="0"/>
    <n v="8591.1861850657278"/>
    <n v="44629.164306215178"/>
    <n v="23929.743061109115"/>
    <n v="318.78783692303512"/>
    <n v="0"/>
    <n v="0"/>
    <n v="0"/>
    <n v="0"/>
    <n v="0"/>
    <m/>
    <n v="211.09562184435148"/>
    <n v="659.98847479042104"/>
    <n v="994.14782820344476"/>
    <n v="0"/>
    <n v="0"/>
    <n v="0"/>
    <n v="0"/>
    <n v="0"/>
    <n v="0"/>
    <n v="0"/>
    <n v="0"/>
    <n v="0"/>
    <n v="0"/>
    <m/>
    <n v="0"/>
    <n v="0"/>
    <n v="0"/>
    <n v="0"/>
    <n v="0"/>
    <n v="4003.4012798045096"/>
    <n v="0"/>
    <n v="80.25"/>
    <n v="36.18"/>
    <n v="12347.11"/>
    <n v="356"/>
    <m/>
    <m/>
    <m/>
    <m/>
    <m/>
    <m/>
    <m/>
    <n v="24744.874620000002"/>
    <m/>
    <n v="27933.144340913626"/>
    <m/>
    <m/>
    <m/>
    <m/>
    <m/>
    <m/>
    <m/>
    <m/>
    <m/>
    <m/>
    <m/>
    <m/>
    <n v="37118.531999999999"/>
    <n v="-12884.232380000016"/>
    <m/>
    <m/>
    <m/>
    <m/>
    <n v="-24118.407439999995"/>
    <n v="2643.6683399999984"/>
    <n v="31"/>
    <n v="3561.480917298315"/>
    <n v="79.681748668659225"/>
    <n v="120.02548591708955"/>
    <n v="0"/>
    <n v="0"/>
    <n v="0"/>
    <n v="0"/>
    <n v="0"/>
    <n v="281.64002596748651"/>
    <n v="0"/>
    <n v="0"/>
    <n v="2642.8674956642317"/>
    <n v="0"/>
    <n v="0"/>
    <n v="0"/>
    <n v="442.14679144177717"/>
    <n v="0"/>
    <n v="0"/>
    <m/>
    <n v="0"/>
    <n v="0"/>
    <n v="0"/>
    <n v="0"/>
    <n v="0"/>
    <n v="-4.8806303609228223"/>
    <n v="0"/>
    <n v="0"/>
    <m/>
    <m/>
    <m/>
    <n v="44629.164306215178"/>
    <n v="0"/>
    <n v="0"/>
    <n v="-24118.407439999995"/>
    <n v="2643.6683399999965"/>
    <n v="0"/>
    <n v="0"/>
    <n v="-25036.50145948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8"/>
    <s v="Sistema de Compensação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11899999999999999"/>
    <n v="-0.35699999999999998"/>
    <n v="0.11899999999999999"/>
    <n v="-0.35699999999999998"/>
    <m/>
    <n v="510.28"/>
    <n v="209.4"/>
    <m/>
    <n v="85.641919999999999"/>
    <n v="85.641919999999999"/>
    <n v="63.573369999999997"/>
    <n v="0"/>
    <n v="0"/>
    <n v="0"/>
    <n v="0"/>
    <n v="0"/>
    <n v="8.828746230701924"/>
    <n v="45.863232114886316"/>
    <n v="24.591438749131974"/>
    <n v="0.32760283073836488"/>
    <n v="0"/>
    <n v="0"/>
    <n v="0"/>
    <n v="0"/>
    <n v="0"/>
    <m/>
    <n v="0.21693275358363551"/>
    <n v="0.67823821223216385"/>
    <n v="1.0216376064889714"/>
    <n v="0"/>
    <n v="0"/>
    <n v="0"/>
    <n v="0"/>
    <n v="0"/>
    <n v="0"/>
    <n v="0"/>
    <n v="0"/>
    <n v="0"/>
    <n v="0"/>
    <m/>
    <n v="0"/>
    <n v="0"/>
    <n v="0"/>
    <n v="0"/>
    <n v="0"/>
    <n v="4.1141017314352286"/>
    <n v="0"/>
    <n v="0.08"/>
    <n v="0.04"/>
    <n v="46.3"/>
    <n v="0"/>
    <m/>
    <m/>
    <m/>
    <m/>
    <m/>
    <m/>
    <m/>
    <n v="178.00615000000002"/>
    <m/>
    <n v="28.705540480567201"/>
    <m/>
    <m/>
    <m/>
    <m/>
    <m/>
    <m/>
    <m/>
    <m/>
    <m/>
    <m/>
    <m/>
    <m/>
    <n v="-115.39439999999999"/>
    <n v="38.731770000000012"/>
    <m/>
    <m/>
    <m/>
    <m/>
    <n v="-24.785319999999995"/>
    <n v="2.7167699999999981"/>
    <n v="31"/>
    <n v="3.6599615637446234"/>
    <n v="8.1885076526109546E-2"/>
    <n v="0.12334438266752157"/>
    <n v="0"/>
    <n v="0"/>
    <n v="0"/>
    <n v="0"/>
    <n v="0"/>
    <n v="0.28942782336595663"/>
    <n v="0"/>
    <n v="0"/>
    <n v="2.7159470110368389"/>
    <n v="0"/>
    <n v="0"/>
    <n v="0"/>
    <n v="0.45437285774859237"/>
    <n v="0"/>
    <n v="0"/>
    <m/>
    <n v="0"/>
    <n v="0"/>
    <n v="0"/>
    <n v="0"/>
    <n v="0"/>
    <n v="-5.0155876003887268E-3"/>
    <n v="0"/>
    <n v="0"/>
    <m/>
    <m/>
    <m/>
    <n v="45.863232114886316"/>
    <n v="0"/>
    <n v="0"/>
    <n v="-24.785319999999999"/>
    <n v="2.7167700000000004"/>
    <n v="0"/>
    <n v="0"/>
    <n v="-25.72880078825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79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13.736"/>
    <n v="113.736"/>
    <n v="113.736"/>
    <n v="113.736"/>
    <m/>
    <n v="510.28"/>
    <n v="209.4"/>
    <m/>
    <n v="81853.524479999993"/>
    <n v="81853.524479999993"/>
    <n v="60761.183280000005"/>
    <n v="0"/>
    <n v="0"/>
    <n v="0"/>
    <n v="0"/>
    <n v="0"/>
    <n v="8438.204044496757"/>
    <n v="43834.458553098411"/>
    <n v="23503.629223288022"/>
    <n v="313.1112231668796"/>
    <n v="0"/>
    <n v="0"/>
    <n v="0"/>
    <n v="0"/>
    <n v="0"/>
    <m/>
    <n v="207.33666942511238"/>
    <n v="648.23614543224699"/>
    <n v="976.44516648428294"/>
    <n v="0"/>
    <n v="0"/>
    <n v="0"/>
    <n v="0"/>
    <n v="0"/>
    <n v="0"/>
    <n v="0"/>
    <n v="0"/>
    <n v="0"/>
    <n v="0"/>
    <m/>
    <n v="0"/>
    <n v="0"/>
    <n v="0"/>
    <n v="0"/>
    <n v="0"/>
    <n v="3932.1132313152707"/>
    <n v="0"/>
    <n v="110.1"/>
    <n v="60.65"/>
    <n v="18266.689999999999"/>
    <n v="924"/>
    <m/>
    <m/>
    <m/>
    <m/>
    <m/>
    <m/>
    <m/>
    <n v="6076.9144799999976"/>
    <m/>
    <n v="27435.742454603293"/>
    <m/>
    <m/>
    <m/>
    <m/>
    <m/>
    <m/>
    <m/>
    <m/>
    <m/>
    <m/>
    <m/>
    <m/>
    <n v="54686.191999999995"/>
    <n v="-18981.782560000007"/>
    <m/>
    <m/>
    <m/>
    <m/>
    <n v="-23688.934079999999"/>
    <n v="2596.5928799999983"/>
    <n v="31"/>
    <n v="3498.0620875131062"/>
    <n v="78.26286608213104"/>
    <n v="117.88820762246405"/>
    <n v="0"/>
    <n v="0"/>
    <n v="0"/>
    <n v="0"/>
    <n v="0"/>
    <n v="276.6248984735339"/>
    <n v="0"/>
    <n v="0"/>
    <n v="2595.8062961956784"/>
    <n v="0"/>
    <n v="0"/>
    <n v="0"/>
    <n v="434.2735407470077"/>
    <n v="0"/>
    <n v="0"/>
    <m/>
    <n v="0"/>
    <n v="0"/>
    <n v="0"/>
    <n v="0"/>
    <n v="0"/>
    <n v="-4.7937216077127403"/>
    <n v="0"/>
    <n v="0"/>
    <m/>
    <m/>
    <m/>
    <n v="43834.458553098411"/>
    <n v="0"/>
    <n v="0"/>
    <n v="-23688.934079999992"/>
    <n v="2596.5928800000002"/>
    <n v="0"/>
    <n v="0"/>
    <n v="-24590.67971809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0"/>
    <s v="Sistema de Compensação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12"/>
    <n v="0"/>
    <n v="0.12"/>
    <n v="0"/>
    <m/>
    <n v="510.28"/>
    <n v="209.4"/>
    <m/>
    <n v="86.361599999999996"/>
    <n v="86.361599999999996"/>
    <n v="64.107600000000005"/>
    <n v="0"/>
    <n v="0"/>
    <n v="0"/>
    <n v="0"/>
    <n v="0"/>
    <n v="8.9029373754977392"/>
    <n v="46.248637426776121"/>
    <n v="24.798089494922998"/>
    <n v="0.3303557957025528"/>
    <n v="0"/>
    <n v="0"/>
    <n v="0"/>
    <n v="0"/>
    <n v="0"/>
    <m/>
    <n v="0.21875571789946438"/>
    <n v="0.68393769300722407"/>
    <n v="1.030222796459467"/>
    <n v="0"/>
    <n v="0"/>
    <n v="0"/>
    <n v="0"/>
    <n v="0"/>
    <n v="0"/>
    <n v="0"/>
    <n v="0"/>
    <n v="0"/>
    <n v="0"/>
    <m/>
    <n v="0"/>
    <n v="0"/>
    <n v="0"/>
    <n v="0"/>
    <n v="0"/>
    <n v="4.1486740148926682"/>
    <n v="0"/>
    <n v="0.12"/>
    <n v="0.06"/>
    <n v="115.58"/>
    <n v="1"/>
    <m/>
    <m/>
    <m/>
    <m/>
    <m/>
    <m/>
    <m/>
    <n v="64.107599999999991"/>
    <m/>
    <n v="28.946763509815668"/>
    <m/>
    <m/>
    <m/>
    <m/>
    <m/>
    <m/>
    <m/>
    <m/>
    <m/>
    <m/>
    <m/>
    <m/>
    <n v="0"/>
    <n v="-0.03"/>
    <m/>
    <m/>
    <m/>
    <m/>
    <n v="-24.993599999999997"/>
    <n v="2.739599999999998"/>
    <n v="31"/>
    <n v="3.6907175432718944"/>
    <n v="8.2573186412883581E-2"/>
    <n v="0.12438089008489572"/>
    <n v="0"/>
    <n v="0"/>
    <n v="0"/>
    <n v="0"/>
    <n v="0"/>
    <n v="0.29185998994886297"/>
    <n v="0"/>
    <n v="0"/>
    <n v="2.7387700951632006"/>
    <n v="0"/>
    <n v="0"/>
    <n v="0"/>
    <n v="0.45819111705740312"/>
    <n v="0"/>
    <n v="0"/>
    <m/>
    <n v="0"/>
    <n v="0"/>
    <n v="0"/>
    <n v="0"/>
    <n v="0"/>
    <n v="-5.0577353953499826E-3"/>
    <n v="0"/>
    <n v="0"/>
    <m/>
    <m/>
    <m/>
    <n v="46.248637426776121"/>
    <n v="0"/>
    <n v="0"/>
    <n v="-24.993599999999994"/>
    <n v="2.7395999999999994"/>
    <n v="0"/>
    <n v="0"/>
    <n v="-25.94500919824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1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50.764000000000003"/>
    <n v="50.764000000000003"/>
    <n v="50.764000000000003"/>
    <n v="50.764000000000003"/>
    <m/>
    <n v="510.28"/>
    <n v="209.4"/>
    <m/>
    <n v="36533.835520000001"/>
    <n v="36533.835520000001"/>
    <n v="27119.651720000002"/>
    <n v="0"/>
    <n v="0"/>
    <n v="0"/>
    <n v="0"/>
    <n v="0"/>
    <n v="3766.2392744147273"/>
    <n v="19564.715252773858"/>
    <n v="10490.418459335593"/>
    <n v="139.75151344203661"/>
    <n v="0"/>
    <n v="0"/>
    <n v="0"/>
    <n v="0"/>
    <n v="0"/>
    <m/>
    <n v="92.540960528736761"/>
    <n v="289.32844206515603"/>
    <n v="435.81858366223662"/>
    <n v="0"/>
    <n v="0"/>
    <n v="0"/>
    <n v="0"/>
    <n v="0"/>
    <n v="0"/>
    <n v="0"/>
    <n v="0"/>
    <n v="0"/>
    <n v="0"/>
    <m/>
    <n v="0"/>
    <n v="0"/>
    <n v="0"/>
    <n v="0"/>
    <n v="0"/>
    <n v="1755.0273974334284"/>
    <n v="0"/>
    <n v="54.41"/>
    <n v="28.47"/>
    <n v="9064.8700000000008"/>
    <n v="516"/>
    <m/>
    <m/>
    <m/>
    <m/>
    <m/>
    <m/>
    <m/>
    <m/>
    <m/>
    <n v="12245.445856769022"/>
    <m/>
    <m/>
    <m/>
    <m/>
    <m/>
    <m/>
    <m/>
    <m/>
    <m/>
    <m/>
    <m/>
    <m/>
    <n v="27117.514799999997"/>
    <n v="-9416.3507200000022"/>
    <m/>
    <m/>
    <m/>
    <m/>
    <n v="-10573.125919999999"/>
    <n v="1158.9421199999992"/>
    <n v="31"/>
    <n v="1561.2965447221213"/>
    <n v="34.931210292196852"/>
    <n v="52.617262535580323"/>
    <n v="0"/>
    <n v="0"/>
    <n v="0"/>
    <n v="0"/>
    <n v="0"/>
    <n v="123.46650441470092"/>
    <n v="0"/>
    <n v="0"/>
    <n v="1158.5910425905386"/>
    <n v="0"/>
    <n v="0"/>
    <n v="0"/>
    <n v="193.8301155525171"/>
    <n v="0"/>
    <n v="0"/>
    <m/>
    <n v="0"/>
    <n v="0"/>
    <n v="0"/>
    <n v="0"/>
    <n v="0"/>
    <n v="-2.1395906634128892"/>
    <n v="0"/>
    <n v="0"/>
    <m/>
    <m/>
    <m/>
    <n v="19564.715252773858"/>
    <n v="0"/>
    <n v="0"/>
    <n v="-10573.12592"/>
    <n v="1158.9421199999997"/>
    <n v="0"/>
    <n v="0"/>
    <n v="-10975.60372449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2"/>
    <s v="Sistema de Compensação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.3E-2"/>
    <n v="2.3E-2"/>
    <n v="2.3E-2"/>
    <n v="2.3E-2"/>
    <m/>
    <n v="510.28"/>
    <n v="209.4"/>
    <m/>
    <n v="16.55264"/>
    <n v="16.55264"/>
    <n v="12.287289999999999"/>
    <n v="0"/>
    <n v="0"/>
    <n v="0"/>
    <n v="0"/>
    <n v="0"/>
    <n v="1.7063963303037333"/>
    <n v="8.8643221734654229"/>
    <n v="4.7529671531935751"/>
    <n v="6.3318194176322617E-2"/>
    <n v="0"/>
    <n v="0"/>
    <n v="0"/>
    <n v="0"/>
    <n v="0"/>
    <m/>
    <n v="4.192817926406401E-2"/>
    <n v="0.13108805782638461"/>
    <n v="0.19745936932139785"/>
    <n v="0"/>
    <n v="0"/>
    <n v="0"/>
    <n v="0"/>
    <n v="0"/>
    <n v="0"/>
    <n v="0"/>
    <n v="0"/>
    <n v="0"/>
    <n v="0"/>
    <m/>
    <n v="0"/>
    <n v="0"/>
    <n v="0"/>
    <n v="0"/>
    <n v="0"/>
    <n v="0.79516251952109473"/>
    <n v="0"/>
    <n v="0.03"/>
    <n v="0.01"/>
    <n v="84.52"/>
    <n v="9"/>
    <m/>
    <m/>
    <m/>
    <m/>
    <m/>
    <m/>
    <m/>
    <m/>
    <m/>
    <n v="5.5481296727146701"/>
    <m/>
    <m/>
    <m/>
    <m/>
    <m/>
    <m/>
    <m/>
    <m/>
    <m/>
    <m/>
    <m/>
    <m/>
    <n v="10.6846"/>
    <n v="-5.8980400000000017"/>
    <m/>
    <m/>
    <m/>
    <m/>
    <n v="-4.7904399999999994"/>
    <n v="0.52508999999999961"/>
    <n v="31"/>
    <n v="0.70738752912711433"/>
    <n v="1.5826527395802703E-2"/>
    <n v="2.3839670599605012E-2"/>
    <n v="0"/>
    <n v="0"/>
    <n v="0"/>
    <n v="0"/>
    <n v="0"/>
    <n v="5.5939831406865759E-2"/>
    <n v="0"/>
    <n v="0"/>
    <n v="0.52493093490627984"/>
    <n v="0"/>
    <n v="0"/>
    <n v="0"/>
    <n v="8.7819964102669013E-2"/>
    <n v="0"/>
    <n v="0"/>
    <m/>
    <n v="0"/>
    <n v="0"/>
    <n v="0"/>
    <n v="0"/>
    <n v="0"/>
    <n v="-9.6939928410874621E-4"/>
    <n v="0"/>
    <n v="0"/>
    <m/>
    <m/>
    <m/>
    <n v="8.8643221734654229"/>
    <n v="0"/>
    <n v="0"/>
    <n v="-4.7904400000000003"/>
    <n v="0.52508999999999961"/>
    <n v="0"/>
    <n v="0"/>
    <n v="-4.9727934296626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3"/>
    <s v="Regular"/>
    <s v="Branca"/>
    <s v="B1"/>
    <s v="Residencial"/>
    <s v="Residencial"/>
    <s v="Não se aplica"/>
    <s v="Não se aplica"/>
    <s v="Ponta"/>
    <s v="CATIVO"/>
    <x v="8"/>
    <n v="0"/>
    <n v="0"/>
    <n v="5.1999999999999998E-2"/>
    <n v="5.1999999999999998E-2"/>
    <n v="5.1999999999999998E-2"/>
    <n v="5.1999999999999998E-2"/>
    <m/>
    <n v="1292.1099999999999"/>
    <n v="209.4"/>
    <m/>
    <n v="78.078519999999997"/>
    <n v="78.078519999999997"/>
    <n v="51.832560000000001"/>
    <n v="0"/>
    <n v="3.199971188787214"/>
    <n v="0"/>
    <n v="0"/>
    <n v="0"/>
    <n v="9.6431326581847916"/>
    <n v="50.102708260963226"/>
    <n v="10.745838781133299"/>
    <n v="0.14315417813777287"/>
    <n v="0"/>
    <n v="0"/>
    <n v="0"/>
    <n v="0"/>
    <n v="0.49449928554648026"/>
    <m/>
    <n v="9.4794144423101231E-2"/>
    <n v="0.74093917417207478"/>
    <n v="1.1160746961644228"/>
    <n v="0"/>
    <n v="0"/>
    <n v="0"/>
    <n v="0"/>
    <n v="0"/>
    <n v="0"/>
    <n v="0"/>
    <n v="0"/>
    <n v="0"/>
    <n v="0"/>
    <m/>
    <n v="0"/>
    <n v="0"/>
    <n v="0"/>
    <n v="0"/>
    <n v="0"/>
    <n v="1.7977587397868227"/>
    <n v="0"/>
    <n v="0"/>
    <n v="0"/>
    <n v="0"/>
    <n v="0"/>
    <m/>
    <m/>
    <m/>
    <m/>
    <m/>
    <m/>
    <m/>
    <m/>
    <m/>
    <n v="12.543597520920121"/>
    <m/>
    <m/>
    <m/>
    <m/>
    <m/>
    <m/>
    <m/>
    <m/>
    <m/>
    <m/>
    <m/>
    <m/>
    <n v="49.838999999999999"/>
    <n v="-28.269520000000014"/>
    <m/>
    <m/>
    <m/>
    <m/>
    <n v="-27.433119999999995"/>
    <n v="1.1871599999999991"/>
    <n v="31"/>
    <n v="1.860454965677274"/>
    <n v="8.9455090975478768E-2"/>
    <n v="0.13474596425863572"/>
    <n v="0"/>
    <n v="0"/>
    <n v="0"/>
    <n v="0"/>
    <n v="0"/>
    <n v="0.31612539569686504"/>
    <n v="0"/>
    <n v="0"/>
    <n v="1.1868003745707192"/>
    <n v="0"/>
    <n v="0"/>
    <n v="0"/>
    <n v="0.19854948405820827"/>
    <n v="0"/>
    <n v="-5.5782290831253523E-2"/>
    <m/>
    <n v="0"/>
    <n v="0"/>
    <n v="0"/>
    <n v="0"/>
    <n v="-7.247367713398345E-3"/>
    <n v="-2.191685337984986E-3"/>
    <n v="0"/>
    <n v="0"/>
    <m/>
    <m/>
    <m/>
    <n v="50.102708260963226"/>
    <n v="0"/>
    <n v="0"/>
    <n v="-27.433119999999995"/>
    <n v="1.1871599999999987"/>
    <n v="0"/>
    <n v="0"/>
    <n v="-28.107103236188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4"/>
    <s v="Regular"/>
    <s v="Branca"/>
    <s v="B1"/>
    <s v="Residencial"/>
    <s v="Residencial"/>
    <s v="Não se aplica"/>
    <s v="Não se aplica"/>
    <s v="Fora ponta"/>
    <s v="CATIVO"/>
    <x v="8"/>
    <n v="0"/>
    <n v="0"/>
    <n v="0.52600000000000002"/>
    <n v="0.52600000000000002"/>
    <n v="0.52600000000000002"/>
    <n v="0.52600000000000002"/>
    <m/>
    <n v="344.38"/>
    <n v="209.4"/>
    <m/>
    <n v="291.28827999999999"/>
    <n v="291.28827999999999"/>
    <n v="248.87689999999998"/>
    <n v="0"/>
    <n v="32.368939332732211"/>
    <n v="0"/>
    <n v="0"/>
    <n v="0"/>
    <n v="19.512271081299239"/>
    <n v="101.36159702701794"/>
    <n v="108.69829228607915"/>
    <n v="1.4480595711628566"/>
    <n v="0"/>
    <n v="0"/>
    <n v="0"/>
    <n v="0"/>
    <n v="5.0020504653355502"/>
    <m/>
    <n v="0.95887923012598564"/>
    <n v="1.4989634438408328"/>
    <n v="2.2579049622403322"/>
    <n v="0"/>
    <n v="0"/>
    <n v="0"/>
    <n v="0"/>
    <n v="0"/>
    <n v="0"/>
    <n v="0"/>
    <n v="0"/>
    <n v="0"/>
    <n v="0"/>
    <m/>
    <n v="0"/>
    <n v="0"/>
    <n v="0"/>
    <n v="0"/>
    <n v="0"/>
    <n v="18.185021098612861"/>
    <n v="0"/>
    <n v="0"/>
    <n v="0"/>
    <n v="0"/>
    <n v="0"/>
    <m/>
    <m/>
    <m/>
    <m/>
    <m/>
    <m/>
    <m/>
    <m/>
    <m/>
    <n v="126.88331338469202"/>
    <m/>
    <m/>
    <m/>
    <m/>
    <m/>
    <m/>
    <m/>
    <m/>
    <m/>
    <m/>
    <m/>
    <m/>
    <n v="250.76949999999999"/>
    <n v="-40.548779999999965"/>
    <m/>
    <m/>
    <m/>
    <m/>
    <n v="-54.419960000000003"/>
    <n v="12.008579999999991"/>
    <n v="31"/>
    <n v="14.446841830690801"/>
    <n v="0.18097290022156698"/>
    <n v="0.27260145076939901"/>
    <n v="0"/>
    <n v="0"/>
    <n v="0"/>
    <n v="0"/>
    <n v="0"/>
    <n v="0.63965981130459326"/>
    <n v="0"/>
    <n v="0"/>
    <n v="12.004942250465362"/>
    <n v="0"/>
    <n v="0"/>
    <n v="0"/>
    <n v="2.0084043964349547"/>
    <n v="0"/>
    <n v="-0.56425932648537724"/>
    <m/>
    <n v="0"/>
    <n v="0"/>
    <n v="0"/>
    <n v="0"/>
    <n v="-7.3309911870143907E-2"/>
    <n v="-2.2169740149617478E-2"/>
    <n v="0"/>
    <n v="0"/>
    <m/>
    <m/>
    <m/>
    <n v="101.36159702701794"/>
    <n v="0"/>
    <n v="0"/>
    <n v="-54.419960000000003"/>
    <n v="12.008579999999995"/>
    <n v="0"/>
    <n v="0"/>
    <n v="-56.862811826143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5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87"/>
    <n v="0.41"/>
    <n v="139.97999999999999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486"/>
    <s v="Regular"/>
    <s v="Branca"/>
    <s v="B1"/>
    <s v="Residencial"/>
    <s v="Residencial"/>
    <s v="Não se aplica"/>
    <s v="Não se aplica"/>
    <s v="Intermediário"/>
    <s v="CATIVO"/>
    <x v="8"/>
    <n v="0"/>
    <n v="0"/>
    <n v="4.1000000000000002E-2"/>
    <n v="4.1000000000000002E-2"/>
    <n v="4.1000000000000002E-2"/>
    <n v="4.1000000000000002E-2"/>
    <m/>
    <n v="818.26"/>
    <n v="209.4"/>
    <m/>
    <n v="42.134059999999998"/>
    <n v="42.134059999999998"/>
    <n v="30.134180000000001"/>
    <n v="0"/>
    <n v="2.5230542065437653"/>
    <n v="0"/>
    <n v="0"/>
    <n v="0"/>
    <n v="4.5627554049426022"/>
    <n v="23.70244064904686"/>
    <n v="8.4726805774320262"/>
    <n v="0.11287156353170555"/>
    <n v="0"/>
    <n v="0"/>
    <n v="0"/>
    <n v="0"/>
    <n v="0.38989366745010945"/>
    <m/>
    <n v="7.4741536948983667E-2"/>
    <n v="0.35052332939666975"/>
    <n v="0.52798918318547527"/>
    <n v="0"/>
    <n v="0"/>
    <n v="0"/>
    <n v="0"/>
    <n v="0"/>
    <n v="0"/>
    <n v="0"/>
    <n v="0"/>
    <n v="0"/>
    <n v="0"/>
    <m/>
    <n v="0"/>
    <n v="0"/>
    <n v="0"/>
    <n v="0"/>
    <n v="0"/>
    <n v="1.417463621754995"/>
    <n v="0"/>
    <n v="0"/>
    <n v="0"/>
    <n v="0"/>
    <n v="0"/>
    <m/>
    <m/>
    <m/>
    <m/>
    <m/>
    <m/>
    <m/>
    <m/>
    <m/>
    <n v="9.8901441991870218"/>
    <m/>
    <m/>
    <m/>
    <m/>
    <m/>
    <m/>
    <m/>
    <m/>
    <m/>
    <m/>
    <m/>
    <m/>
    <n v="29.3992"/>
    <n v="-12.764859999999992"/>
    <m/>
    <m/>
    <m/>
    <m/>
    <n v="-12.93591"/>
    <n v="0.93602999999999936"/>
    <n v="31"/>
    <n v="1.2965134040171193"/>
    <n v="4.2319393296005647E-2"/>
    <n v="6.3745206168509205E-2"/>
    <n v="0"/>
    <n v="0"/>
    <n v="0"/>
    <n v="0"/>
    <n v="0"/>
    <n v="0.14957824484880078"/>
    <n v="0"/>
    <n v="0"/>
    <n v="0.93574644918075833"/>
    <n v="0"/>
    <n v="0"/>
    <n v="0"/>
    <n v="0.15654863166127964"/>
    <n v="0"/>
    <n v="-4.3982190847719593E-2"/>
    <m/>
    <n v="0"/>
    <n v="0"/>
    <n v="0"/>
    <n v="0"/>
    <n v="-5.7142706971025081E-3"/>
    <n v="-1.7280595934112408E-3"/>
    <n v="0"/>
    <n v="0"/>
    <m/>
    <m/>
    <m/>
    <n v="23.70244064904686"/>
    <n v="0"/>
    <n v="0"/>
    <n v="-12.935909999999996"/>
    <n v="0.93603000000000058"/>
    <n v="0"/>
    <n v="0"/>
    <n v="-13.29682504990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7"/>
    <s v="Regular"/>
    <s v="Convencional"/>
    <s v="B3"/>
    <s v="Industrial"/>
    <s v="Não se aplica"/>
    <s v="Não se aplica"/>
    <s v="Não se aplica"/>
    <s v="Não se aplica"/>
    <s v="CATIVO"/>
    <x v="8"/>
    <n v="0"/>
    <n v="0"/>
    <n v="9.6419999999999995"/>
    <n v="9.6419999999999995"/>
    <n v="9.6419999999999995"/>
    <n v="9.6419999999999995"/>
    <m/>
    <n v="581.32000000000005"/>
    <n v="209.4"/>
    <m/>
    <n v="7624.1222400000006"/>
    <n v="7624.1222400000006"/>
    <n v="5824.442939999999"/>
    <n v="0"/>
    <n v="593.34850389012149"/>
    <n v="0"/>
    <n v="0"/>
    <n v="0"/>
    <n v="715.35101812124333"/>
    <n v="3716.0780172414611"/>
    <n v="1992.526490917063"/>
    <n v="26.544088184700119"/>
    <n v="0"/>
    <n v="0"/>
    <n v="0"/>
    <n v="0"/>
    <n v="91.691579062291581"/>
    <m/>
    <n v="17.577021933221964"/>
    <n v="54.954393633130451"/>
    <n v="82.778401695518184"/>
    <n v="0"/>
    <n v="0"/>
    <n v="0"/>
    <n v="0"/>
    <n v="0"/>
    <n v="0"/>
    <n v="0"/>
    <n v="0"/>
    <n v="0"/>
    <n v="0"/>
    <m/>
    <n v="0"/>
    <n v="0"/>
    <n v="0"/>
    <n v="0"/>
    <n v="0"/>
    <n v="333.34595709662585"/>
    <n v="0"/>
    <n v="15.11"/>
    <n v="7"/>
    <n v="1477.87"/>
    <n v="7"/>
    <m/>
    <m/>
    <m/>
    <m/>
    <m/>
    <m/>
    <m/>
    <m/>
    <m/>
    <n v="2325.8724480136889"/>
    <m/>
    <m/>
    <m/>
    <m/>
    <m/>
    <m/>
    <m/>
    <m/>
    <m/>
    <m/>
    <m/>
    <m/>
    <n v="5823.2348000000002"/>
    <n v="-1800.9174400000011"/>
    <m/>
    <m/>
    <m/>
    <m/>
    <n v="-2019.8061600000005"/>
    <n v="220.12685999999982"/>
    <n v="31"/>
    <n v="284.86200137713558"/>
    <n v="6.6347555282751927"/>
    <n v="9.9940045183213613"/>
    <n v="0"/>
    <n v="0"/>
    <n v="0"/>
    <n v="0"/>
    <n v="0"/>
    <n v="23.450950192391247"/>
    <n v="0"/>
    <n v="0"/>
    <n v="220.06017714636278"/>
    <n v="0"/>
    <n v="0"/>
    <n v="0"/>
    <n v="36.815656255562374"/>
    <n v="0"/>
    <n v="-10.34332400374899"/>
    <m/>
    <n v="0"/>
    <n v="0"/>
    <n v="0"/>
    <n v="0"/>
    <n v="-1.3438292210112763"/>
    <n v="-0.40638903901637136"/>
    <n v="0"/>
    <n v="0"/>
    <m/>
    <m/>
    <m/>
    <n v="3716.0780172414611"/>
    <n v="0"/>
    <n v="0"/>
    <n v="-2019.8061600000005"/>
    <n v="220.12685999999985"/>
    <n v="0"/>
    <n v="0"/>
    <n v="-2084.681489078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8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2.4180000000000001"/>
    <n v="2.4180000000000001"/>
    <n v="2.4180000000000001"/>
    <n v="2.4180000000000001"/>
    <m/>
    <n v="581.32000000000005"/>
    <n v="209.4"/>
    <m/>
    <n v="1911.9609600000003"/>
    <n v="1911.9609600000003"/>
    <n v="1460.6412599999999"/>
    <n v="0"/>
    <n v="148.79866027860547"/>
    <n v="0"/>
    <n v="0"/>
    <n v="0"/>
    <n v="179.39418811627945"/>
    <n v="931.91004414953886"/>
    <n v="499.68150332269846"/>
    <n v="6.6566692834064396"/>
    <n v="0"/>
    <n v="0"/>
    <n v="0"/>
    <n v="0"/>
    <n v="22.994216777911333"/>
    <m/>
    <n v="4.4079277156742078"/>
    <n v="13.781344514095565"/>
    <n v="20.758989348658265"/>
    <n v="0"/>
    <n v="0"/>
    <n v="0"/>
    <n v="0"/>
    <n v="0"/>
    <n v="0"/>
    <n v="0"/>
    <n v="0"/>
    <n v="0"/>
    <n v="0"/>
    <m/>
    <n v="0"/>
    <n v="0"/>
    <n v="0"/>
    <n v="0"/>
    <n v="0"/>
    <n v="83.595781400087262"/>
    <n v="0"/>
    <n v="3.78"/>
    <n v="1.75"/>
    <n v="460.01"/>
    <n v="3"/>
    <m/>
    <m/>
    <m/>
    <m/>
    <m/>
    <m/>
    <m/>
    <m/>
    <m/>
    <n v="583.27728472278568"/>
    <m/>
    <m/>
    <m/>
    <m/>
    <m/>
    <m/>
    <m/>
    <m/>
    <m/>
    <m/>
    <m/>
    <m/>
    <n v="1461.8493999999998"/>
    <n v="-450.14156000000048"/>
    <m/>
    <m/>
    <m/>
    <m/>
    <n v="-506.52264000000019"/>
    <n v="55.202939999999963"/>
    <n v="31"/>
    <n v="71.437079374602376"/>
    <n v="1.6638497062196045"/>
    <n v="2.5062749352106444"/>
    <n v="0"/>
    <n v="0"/>
    <n v="0"/>
    <n v="0"/>
    <n v="0"/>
    <n v="5.8809787974696235"/>
    <n v="0"/>
    <n v="0"/>
    <n v="55.186217417538444"/>
    <n v="0"/>
    <n v="0"/>
    <n v="0"/>
    <n v="9.2325510087066931"/>
    <n v="0"/>
    <n v="-2.5938765236532788"/>
    <m/>
    <n v="0"/>
    <n v="0"/>
    <n v="0"/>
    <n v="0"/>
    <n v="-0.33700259867302051"/>
    <n v="-0.10191336821630248"/>
    <n v="0"/>
    <n v="0"/>
    <m/>
    <m/>
    <m/>
    <n v="931.91004414953886"/>
    <n v="0"/>
    <n v="0"/>
    <n v="-506.52264000000025"/>
    <n v="55.202939999999955"/>
    <n v="0"/>
    <n v="0"/>
    <n v="-522.7919353445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89"/>
    <s v="Regular"/>
    <s v="Verde"/>
    <s v="A4"/>
    <s v="Industrial"/>
    <s v="Não se aplica"/>
    <s v="Não se aplica"/>
    <s v="Não se aplica"/>
    <s v="Ponta"/>
    <s v="CATIVO"/>
    <x v="8"/>
    <n v="0"/>
    <n v="0"/>
    <n v="12.345000000000001"/>
    <n v="12.345000000000001"/>
    <n v="12.345000000000001"/>
    <n v="12.345000000000001"/>
    <m/>
    <n v="1614.19"/>
    <n v="209.4"/>
    <m/>
    <n v="22512.218550000001"/>
    <n v="22512.218550000001"/>
    <n v="14963.991750000001"/>
    <n v="0"/>
    <n v="660.92635698563504"/>
    <n v="0"/>
    <n v="0"/>
    <n v="0"/>
    <n v="3844.4550907966436"/>
    <n v="14355.218026277436"/>
    <n v="2551.1034567902038"/>
    <n v="33.985352482900126"/>
    <n v="0"/>
    <n v="0"/>
    <n v="0"/>
    <n v="0"/>
    <n v="117.39603230906344"/>
    <m/>
    <n v="16.392237988532742"/>
    <n v="298.68635372676295"/>
    <n v="444.89779883487546"/>
    <n v="0"/>
    <n v="0"/>
    <n v="0"/>
    <n v="0"/>
    <n v="0"/>
    <n v="0"/>
    <n v="0"/>
    <n v="0"/>
    <n v="0"/>
    <n v="0"/>
    <m/>
    <n v="0"/>
    <n v="0"/>
    <n v="0"/>
    <n v="0"/>
    <n v="0"/>
    <n v="189.18016687926831"/>
    <n v="0"/>
    <n v="0"/>
    <n v="0"/>
    <n v="0"/>
    <n v="0"/>
    <m/>
    <m/>
    <m/>
    <m/>
    <m/>
    <m/>
    <m/>
    <m/>
    <m/>
    <n v="2740.283623669472"/>
    <m/>
    <m/>
    <m/>
    <m/>
    <m/>
    <m/>
    <m/>
    <m/>
    <m/>
    <m/>
    <m/>
    <m/>
    <n v="14970.052499999998"/>
    <n v="-7542.1960499999986"/>
    <m/>
    <m/>
    <m/>
    <m/>
    <n v="-7830.0631500000018"/>
    <n v="281.83634999999981"/>
    <n v="31"/>
    <n v="504.82869370098706"/>
    <n v="36.061009968350106"/>
    <n v="53.713414618728677"/>
    <n v="0"/>
    <n v="0"/>
    <n v="0"/>
    <n v="0"/>
    <n v="0"/>
    <n v="126.03060954318653"/>
    <n v="0"/>
    <n v="0"/>
    <n v="281.75097353991396"/>
    <n v="0"/>
    <n v="0"/>
    <n v="0"/>
    <n v="20.893584715588389"/>
    <n v="0"/>
    <n v="-11.521349439832989"/>
    <m/>
    <n v="0"/>
    <n v="0"/>
    <n v="0"/>
    <n v="0"/>
    <n v="-1.7205529696519619"/>
    <n v="-0.37899627529611024"/>
    <n v="0"/>
    <n v="0"/>
    <m/>
    <m/>
    <m/>
    <n v="14355.218026277436"/>
    <n v="0"/>
    <n v="0"/>
    <n v="-7830.06315"/>
    <n v="281.83635000000004"/>
    <n v="0"/>
    <n v="0"/>
    <n v="-8053.1294424444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0"/>
    <s v="Regular"/>
    <s v="Verde"/>
    <s v="A4"/>
    <s v="Industrial"/>
    <s v="Não se aplica"/>
    <s v="Não se aplica"/>
    <s v="Não se aplica"/>
    <s v="Fora ponta"/>
    <s v="CATIVO"/>
    <x v="8"/>
    <n v="0"/>
    <n v="0"/>
    <n v="339.55799999999999"/>
    <n v="339.55799999999999"/>
    <n v="339.55799999999999"/>
    <n v="339.55799999999999"/>
    <m/>
    <n v="79.7"/>
    <n v="209.4"/>
    <m/>
    <n v="98166.217799999999"/>
    <n v="98166.217799999999"/>
    <n v="106118.66615999999"/>
    <n v="0"/>
    <n v="18179.249244660044"/>
    <n v="0"/>
    <n v="0"/>
    <n v="0"/>
    <n v="0"/>
    <n v="0"/>
    <n v="70169.91393930887"/>
    <n v="934.79127730972857"/>
    <n v="0"/>
    <n v="0"/>
    <n v="0"/>
    <n v="0"/>
    <n v="3229.0613154152256"/>
    <m/>
    <n v="450.880157708400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03.5349619433446"/>
    <n v="0"/>
    <n v="0"/>
    <n v="0"/>
    <n v="0"/>
    <n v="0"/>
    <m/>
    <m/>
    <m/>
    <m/>
    <m/>
    <m/>
    <m/>
    <m/>
    <m/>
    <n v="75373.44890125221"/>
    <m/>
    <m/>
    <m/>
    <m/>
    <m/>
    <m/>
    <m/>
    <m/>
    <m/>
    <m/>
    <m/>
    <m/>
    <n v="106119.29119999999"/>
    <n v="7953.043399999995"/>
    <m/>
    <m/>
    <m/>
    <m/>
    <n v="200.33922000000115"/>
    <n v="7752.1091399999941"/>
    <n v="31"/>
    <n v="7949.8011985836492"/>
    <n v="0"/>
    <n v="0"/>
    <n v="0"/>
    <n v="0"/>
    <n v="0"/>
    <n v="0"/>
    <n v="0"/>
    <n v="0"/>
    <n v="0"/>
    <n v="0"/>
    <n v="7749.7607997785381"/>
    <n v="0"/>
    <n v="0"/>
    <n v="0"/>
    <n v="574.69289905676396"/>
    <n v="0"/>
    <n v="-316.90290588017888"/>
    <m/>
    <n v="0"/>
    <n v="0"/>
    <n v="0"/>
    <n v="0"/>
    <n v="-47.325032423578705"/>
    <n v="-10.424561947913844"/>
    <n v="0"/>
    <n v="0"/>
    <m/>
    <m/>
    <m/>
    <n v="0"/>
    <n v="0"/>
    <n v="0"/>
    <n v="200.33922000000166"/>
    <n v="7752.1091399999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1"/>
    <s v="Regular"/>
    <s v="Verde"/>
    <s v="A4"/>
    <s v="Industrial"/>
    <s v="Não se aplica"/>
    <s v="Não se aplica"/>
    <s v="Não se aplica"/>
    <s v="Não se aplica"/>
    <s v="CATIVO"/>
    <x v="8"/>
    <n v="1675"/>
    <n v="1675"/>
    <n v="0"/>
    <n v="0"/>
    <n v="0"/>
    <n v="0"/>
    <n v="44.35"/>
    <m/>
    <m/>
    <n v="74286.25"/>
    <m/>
    <n v="74286.25"/>
    <n v="48524.75"/>
    <n v="0"/>
    <n v="0"/>
    <n v="0"/>
    <n v="0"/>
    <n v="0"/>
    <n v="21979.456677542876"/>
    <n v="48102.39252862455"/>
    <m/>
    <m/>
    <m/>
    <n v="0"/>
    <n v="0"/>
    <n v="0"/>
    <n v="0"/>
    <m/>
    <n v="0"/>
    <n v="1661.1321585321198"/>
    <n v="2541.4630839586512"/>
    <n v="0"/>
    <n v="0"/>
    <m/>
    <m/>
    <n v="0"/>
    <n v="0"/>
    <n v="0"/>
    <m/>
    <m/>
    <n v="0"/>
    <m/>
    <n v="0"/>
    <n v="0"/>
    <n v="0"/>
    <n v="0"/>
    <m/>
    <n v="0"/>
    <n v="0"/>
    <n v="463.94"/>
    <n v="214.35"/>
    <n v="44118.17"/>
    <n v="7"/>
    <m/>
    <m/>
    <m/>
    <m/>
    <m/>
    <m/>
    <m/>
    <m/>
    <m/>
    <n v="0"/>
    <m/>
    <m/>
    <m/>
    <m/>
    <m/>
    <m/>
    <m/>
    <m/>
    <m/>
    <m/>
    <m/>
    <m/>
    <n v="48524.75"/>
    <n v="-25761.529999999984"/>
    <m/>
    <m/>
    <m/>
    <m/>
    <n v="-25761.500000000004"/>
    <n v="0"/>
    <n v="31"/>
    <n v="1227.9280264321387"/>
    <n v="200.55185842997162"/>
    <n v="306.83599856948103"/>
    <n v="0"/>
    <n v="0"/>
    <m/>
    <m/>
    <m/>
    <n v="720.540169432686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102.39252862455"/>
    <m/>
    <n v="0"/>
    <n v="0"/>
    <n v="-25761.5"/>
    <m/>
    <n v="0"/>
    <m/>
    <n v="-26984.94671520781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492"/>
    <s v="Regular"/>
    <s v="Convencional"/>
    <s v="B3"/>
    <s v="Comercial"/>
    <s v="Não se aplica"/>
    <s v="Não se aplica"/>
    <s v="Não se aplica"/>
    <s v="Não se aplica"/>
    <s v="CATIVO"/>
    <x v="8"/>
    <n v="0"/>
    <n v="0"/>
    <n v="386.274"/>
    <n v="386.274"/>
    <n v="386.274"/>
    <n v="386.274"/>
    <m/>
    <n v="581.32000000000005"/>
    <n v="209.4"/>
    <m/>
    <n v="305434.57728000003"/>
    <n v="305434.57728000003"/>
    <n v="233336.53517999998"/>
    <n v="0"/>
    <n v="23770.493672646007"/>
    <n v="0"/>
    <n v="0"/>
    <n v="0"/>
    <n v="28658.110264858449"/>
    <n v="148872.051444921"/>
    <n v="79823.81017968239"/>
    <n v="1063.3987885767324"/>
    <n v="0"/>
    <n v="0"/>
    <n v="0"/>
    <n v="0"/>
    <n v="3673.3118658688677"/>
    <m/>
    <n v="704.16371813248088"/>
    <n v="2201.5612369056039"/>
    <n v="3316.2356706632017"/>
    <n v="0"/>
    <n v="0"/>
    <n v="0"/>
    <n v="0"/>
    <n v="0"/>
    <n v="0"/>
    <n v="0"/>
    <n v="0"/>
    <n v="0"/>
    <n v="0"/>
    <m/>
    <n v="0"/>
    <n v="0"/>
    <n v="0"/>
    <n v="0"/>
    <n v="0"/>
    <n v="13354.374220238753"/>
    <n v="0"/>
    <n v="602.19000000000005"/>
    <n v="280.04000000000002"/>
    <n v="96348.74"/>
    <n v="817"/>
    <m/>
    <m/>
    <m/>
    <m/>
    <m/>
    <m/>
    <m/>
    <m/>
    <m/>
    <n v="93178.184399921141"/>
    <m/>
    <m/>
    <m/>
    <m/>
    <m/>
    <m/>
    <m/>
    <m/>
    <m/>
    <m/>
    <m/>
    <m/>
    <n v="233334.11889999997"/>
    <n v="-72100.488380000083"/>
    <m/>
    <m/>
    <m/>
    <m/>
    <n v="-80916.677520000027"/>
    <n v="8818.6354199999932"/>
    <n v="31"/>
    <n v="11412.029114286677"/>
    <n v="265.79895840375184"/>
    <n v="400.37586613877465"/>
    <n v="0"/>
    <n v="0"/>
    <n v="0"/>
    <n v="0"/>
    <n v="0"/>
    <n v="939.48271464589561"/>
    <n v="0"/>
    <n v="0"/>
    <n v="8815.9639978255727"/>
    <n v="0"/>
    <n v="0"/>
    <n v="0"/>
    <n v="1474.8942962519304"/>
    <n v="0"/>
    <n v="-414.3701655490695"/>
    <m/>
    <n v="0"/>
    <n v="0"/>
    <n v="0"/>
    <n v="0"/>
    <n v="-53.835956079331481"/>
    <n v="-16.28059735086174"/>
    <n v="0"/>
    <n v="0"/>
    <m/>
    <m/>
    <m/>
    <n v="148872.051444921"/>
    <n v="0"/>
    <n v="0"/>
    <n v="-80916.677520000056"/>
    <n v="8818.6354199999914"/>
    <n v="0"/>
    <n v="0"/>
    <n v="-83515.687358674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3"/>
    <s v="Refaturamento - Regular"/>
    <s v="Convencional"/>
    <s v="B3"/>
    <s v="Comercial"/>
    <s v="Não se aplica"/>
    <s v="Não se aplica"/>
    <s v="Não se aplica"/>
    <s v="Não se aplica"/>
    <s v="CATIVO"/>
    <x v="8"/>
    <n v="0"/>
    <n v="0"/>
    <n v="-0.20699999999999999"/>
    <n v="-0.20699999999999999"/>
    <n v="-0.20699999999999999"/>
    <n v="-0.20699999999999999"/>
    <m/>
    <n v="581.32000000000005"/>
    <n v="209.4"/>
    <m/>
    <n v="-163.67903999999999"/>
    <n v="-163.67903999999999"/>
    <n v="-125.04248999999999"/>
    <n v="0"/>
    <n v="-12.73834684767218"/>
    <n v="0"/>
    <n v="0"/>
    <n v="0"/>
    <n v="-15.357566972733599"/>
    <n v="-79.778899561188808"/>
    <n v="-42.776704378742174"/>
    <n v="-0.56986374758690361"/>
    <n v="0"/>
    <n v="0"/>
    <n v="0"/>
    <n v="0"/>
    <n v="-1.9684875405407962"/>
    <m/>
    <n v="-0.37735361337657608"/>
    <n v="-1.1797925204374615"/>
    <n v="-1.7771343238925807"/>
    <n v="0"/>
    <n v="0"/>
    <n v="0"/>
    <n v="0"/>
    <n v="0"/>
    <n v="0"/>
    <n v="0"/>
    <n v="0"/>
    <n v="0"/>
    <n v="0"/>
    <m/>
    <n v="0"/>
    <n v="0"/>
    <n v="0"/>
    <n v="0"/>
    <n v="0"/>
    <n v="-7.1564626756898519"/>
    <n v="0"/>
    <n v="-0.4"/>
    <n v="-1.79"/>
    <n v="-68.45"/>
    <n v="0"/>
    <m/>
    <m/>
    <m/>
    <m/>
    <m/>
    <m/>
    <m/>
    <m/>
    <m/>
    <n v="-49.933167054432026"/>
    <m/>
    <m/>
    <m/>
    <m/>
    <m/>
    <m/>
    <m/>
    <m/>
    <m/>
    <m/>
    <m/>
    <m/>
    <n v="-126.85469999999999"/>
    <n v="36.79434000000002"/>
    <m/>
    <m/>
    <m/>
    <m/>
    <n v="43.362360000000017"/>
    <n v="-4.7258099999999965"/>
    <n v="31"/>
    <n v="-6.1155812367835694"/>
    <n v="-0.14243874656222411"/>
    <n v="-0.21455703539644477"/>
    <n v="0"/>
    <n v="0"/>
    <n v="0"/>
    <n v="0"/>
    <n v="0"/>
    <n v="-0.50345848266179161"/>
    <n v="0"/>
    <n v="0"/>
    <n v="-4.7243784141565186"/>
    <n v="0"/>
    <n v="0"/>
    <n v="0"/>
    <n v="-0.79037967692402145"/>
    <n v="0"/>
    <n v="0.22205642696287597"/>
    <m/>
    <n v="0"/>
    <n v="0"/>
    <n v="0"/>
    <n v="0"/>
    <n v="2.8850098397566359E-2"/>
    <n v="8.7245935569787436E-3"/>
    <n v="0"/>
    <n v="0"/>
    <m/>
    <m/>
    <m/>
    <n v="-79.778899561188808"/>
    <n v="0"/>
    <n v="0"/>
    <n v="43.36236000000001"/>
    <n v="-4.7258099999999956"/>
    <n v="0"/>
    <n v="0"/>
    <n v="44.75514086696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4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61.664000000000001"/>
    <n v="61.664000000000001"/>
    <n v="61.664000000000001"/>
    <n v="61.664000000000001"/>
    <m/>
    <n v="581.32000000000005"/>
    <n v="209.4"/>
    <m/>
    <n v="48758.958080000004"/>
    <n v="48758.958080000004"/>
    <n v="37249.372479999998"/>
    <n v="0"/>
    <n v="3794.6735266418227"/>
    <n v="0"/>
    <n v="0"/>
    <n v="0"/>
    <n v="4574.9227526891054"/>
    <n v="23765.633152372688"/>
    <n v="12742.911588457766"/>
    <n v="169.75883155168515"/>
    <n v="0"/>
    <n v="0"/>
    <n v="0"/>
    <n v="0"/>
    <n v="586.40007584496459"/>
    <m/>
    <n v="112.41127157127144"/>
    <n v="351.45278251331223"/>
    <n v="529.39715434063817"/>
    <n v="0"/>
    <n v="0"/>
    <n v="0"/>
    <n v="0"/>
    <n v="0"/>
    <n v="0"/>
    <n v="0"/>
    <n v="0"/>
    <n v="0"/>
    <n v="0"/>
    <m/>
    <n v="0"/>
    <n v="0"/>
    <n v="0"/>
    <n v="0"/>
    <n v="0"/>
    <n v="2131.8652871195122"/>
    <n v="0"/>
    <n v="96.51"/>
    <n v="44.72"/>
    <n v="30609.27"/>
    <n v="94"/>
    <m/>
    <m/>
    <m/>
    <m/>
    <m/>
    <m/>
    <m/>
    <m/>
    <m/>
    <n v="14874.776875577278"/>
    <m/>
    <m/>
    <m/>
    <m/>
    <m/>
    <m/>
    <m/>
    <m/>
    <m/>
    <m/>
    <m/>
    <m/>
    <n v="37246.956199999993"/>
    <n v="-11512.031880000017"/>
    <m/>
    <m/>
    <m/>
    <m/>
    <n v="-12917.374720000005"/>
    <n v="1407.789119999999"/>
    <n v="31"/>
    <n v="1821.7932434059112"/>
    <n v="42.43160805803376"/>
    <n v="63.915193384958343"/>
    <n v="0"/>
    <n v="0"/>
    <n v="0"/>
    <n v="0"/>
    <n v="0"/>
    <n v="149.97712016838886"/>
    <n v="0"/>
    <n v="0"/>
    <n v="1407.3626595678616"/>
    <n v="0"/>
    <n v="0"/>
    <n v="0"/>
    <n v="235.44914201856454"/>
    <n v="0"/>
    <n v="-66.149215034969529"/>
    <m/>
    <n v="0"/>
    <n v="0"/>
    <n v="0"/>
    <n v="0"/>
    <n v="-8.5942631284422077"/>
    <n v="-2.5990016284905124"/>
    <n v="0"/>
    <n v="0"/>
    <m/>
    <m/>
    <m/>
    <n v="23765.633152372688"/>
    <n v="0"/>
    <n v="0"/>
    <n v="-12917.374720000007"/>
    <n v="1407.7891199999995"/>
    <n v="0"/>
    <n v="0"/>
    <n v="-13332.27539333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5"/>
    <s v="Regular"/>
    <s v="Verde"/>
    <s v="A4"/>
    <s v="Comercial"/>
    <s v="Não se aplica"/>
    <s v="Não se aplica"/>
    <s v="Não se aplica"/>
    <s v="Ponta"/>
    <s v="CATIVO"/>
    <x v="8"/>
    <n v="0"/>
    <n v="0"/>
    <n v="21.683"/>
    <n v="21.683"/>
    <n v="21.683"/>
    <n v="21.683"/>
    <m/>
    <n v="1614.19"/>
    <n v="209.4"/>
    <m/>
    <n v="39540.901969999999"/>
    <n v="39540.901969999999"/>
    <n v="26283.048449999998"/>
    <n v="0"/>
    <n v="1160.8640096006095"/>
    <n v="0"/>
    <n v="0"/>
    <n v="0"/>
    <n v="6752.4762846288877"/>
    <n v="25213.786347814792"/>
    <n v="4480.8081209867951"/>
    <n v="59.692539318487107"/>
    <n v="0"/>
    <n v="0"/>
    <n v="0"/>
    <n v="0"/>
    <n v="206.19669247123713"/>
    <m/>
    <n v="28.791648141381565"/>
    <n v="524.61856685762666"/>
    <n v="781.42721523990315"/>
    <n v="0"/>
    <n v="0"/>
    <n v="0"/>
    <n v="0"/>
    <n v="0"/>
    <n v="0"/>
    <n v="0"/>
    <n v="0"/>
    <n v="0"/>
    <n v="0"/>
    <m/>
    <n v="0"/>
    <n v="0"/>
    <n v="0"/>
    <n v="0"/>
    <n v="0"/>
    <n v="332.2797536203463"/>
    <n v="0"/>
    <n v="0"/>
    <n v="0"/>
    <n v="0"/>
    <n v="0"/>
    <m/>
    <m/>
    <m/>
    <m/>
    <m/>
    <m/>
    <m/>
    <m/>
    <m/>
    <n v="4813.0878746071412"/>
    <m/>
    <m/>
    <m/>
    <m/>
    <m/>
    <m/>
    <m/>
    <m/>
    <m/>
    <m/>
    <m/>
    <m/>
    <n v="26279.412"/>
    <n v="-13261.519970000005"/>
    <m/>
    <m/>
    <m/>
    <m/>
    <n v="-13752.876410000003"/>
    <n v="495.02288999999968"/>
    <n v="31"/>
    <n v="886.69101381275868"/>
    <n v="63.338264815207367"/>
    <n v="94.34329438460054"/>
    <n v="0"/>
    <n v="0"/>
    <n v="0"/>
    <n v="0"/>
    <n v="0"/>
    <n v="221.36263318954298"/>
    <n v="0"/>
    <n v="0"/>
    <n v="494.87293311186386"/>
    <n v="0"/>
    <n v="0"/>
    <n v="0"/>
    <n v="36.697901773033834"/>
    <n v="0"/>
    <n v="-20.236324010036242"/>
    <m/>
    <n v="0"/>
    <n v="0"/>
    <n v="0"/>
    <n v="0"/>
    <n v="-3.0220129640310631"/>
    <n v="-0.66567648742369556"/>
    <n v="0"/>
    <n v="0"/>
    <m/>
    <m/>
    <m/>
    <n v="25213.786347814792"/>
    <n v="0"/>
    <n v="0"/>
    <n v="-13752.876410000001"/>
    <n v="495.02288999999928"/>
    <n v="0"/>
    <n v="0"/>
    <n v="-14144.674418835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6"/>
    <s v="Sistema de Compensação"/>
    <s v="Verde"/>
    <s v="A4"/>
    <s v="Comercial"/>
    <s v="Não se aplica"/>
    <s v="Não se aplica"/>
    <s v="Não se aplica"/>
    <s v="Ponta"/>
    <s v="CATIVO"/>
    <x v="8"/>
    <n v="0"/>
    <n v="0"/>
    <n v="3.2040000000000002"/>
    <n v="3.2040000000000002"/>
    <n v="3.2040000000000002"/>
    <n v="3.2040000000000002"/>
    <m/>
    <n v="1614.19"/>
    <n v="209.4"/>
    <m/>
    <n v="5842.7823600000002"/>
    <n v="5842.7823600000002"/>
    <n v="3883.7286000000004"/>
    <n v="0"/>
    <n v="171.53568633308828"/>
    <n v="0"/>
    <n v="0"/>
    <n v="0"/>
    <n v="997.78324106216655"/>
    <n v="3725.7285181201219"/>
    <n v="662.10898951444415"/>
    <n v="8.8204997452581608"/>
    <n v="0"/>
    <n v="0"/>
    <n v="0"/>
    <n v="0"/>
    <n v="30.468763670979286"/>
    <m/>
    <n v="4.2544131644600167"/>
    <n v="77.520540894333621"/>
    <n v="115.46800708521191"/>
    <n v="0"/>
    <n v="0"/>
    <n v="0"/>
    <n v="0"/>
    <n v="0"/>
    <n v="0"/>
    <n v="0"/>
    <n v="0"/>
    <n v="0"/>
    <n v="0"/>
    <m/>
    <n v="0"/>
    <n v="0"/>
    <n v="0"/>
    <n v="0"/>
    <n v="0"/>
    <n v="49.099494101350807"/>
    <n v="0"/>
    <n v="0"/>
    <n v="0"/>
    <n v="0"/>
    <n v="0"/>
    <m/>
    <m/>
    <m/>
    <m/>
    <m/>
    <m/>
    <m/>
    <m/>
    <m/>
    <n v="711.20848361579499"/>
    <m/>
    <m/>
    <m/>
    <m/>
    <m/>
    <m/>
    <m/>
    <m/>
    <m/>
    <m/>
    <m/>
    <m/>
    <n v="3878.88"/>
    <n v="-1963.9323600000007"/>
    <m/>
    <m/>
    <m/>
    <m/>
    <n v="-2032.2010800000005"/>
    <n v="73.147319999999951"/>
    <n v="31"/>
    <n v="131.02236813430227"/>
    <n v="9.3592123077030038"/>
    <n v="13.940686953293365"/>
    <n v="0"/>
    <n v="0"/>
    <n v="0"/>
    <n v="0"/>
    <n v="0"/>
    <n v="32.709766948267998"/>
    <n v="0"/>
    <n v="0"/>
    <n v="73.125161540857448"/>
    <n v="0"/>
    <n v="0"/>
    <n v="0"/>
    <n v="5.4226849273993665"/>
    <n v="0"/>
    <n v="-2.9902311547367333"/>
    <m/>
    <n v="0"/>
    <n v="0"/>
    <n v="0"/>
    <n v="0"/>
    <n v="-0.44654934911015687"/>
    <n v="-9.8364039372112799E-2"/>
    <n v="0"/>
    <n v="0"/>
    <m/>
    <m/>
    <m/>
    <n v="3725.7285181201219"/>
    <n v="0"/>
    <n v="0"/>
    <n v="-2032.2010800000003"/>
    <n v="73.147319999999922"/>
    <n v="0"/>
    <n v="0"/>
    <n v="-2090.095320663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7"/>
    <s v="Regular"/>
    <s v="Verde"/>
    <s v="A4"/>
    <s v="Comercial"/>
    <s v="Não se aplica"/>
    <s v="Não se aplica"/>
    <s v="Não se aplica"/>
    <s v="Fora ponta"/>
    <s v="CATIVO"/>
    <x v="8"/>
    <n v="0"/>
    <n v="0"/>
    <n v="371.46100000000001"/>
    <n v="371.46100000000001"/>
    <n v="371.46100000000001"/>
    <n v="371.46100000000001"/>
    <m/>
    <n v="79.7"/>
    <n v="209.4"/>
    <m/>
    <n v="107389.3751"/>
    <n v="107389.3751"/>
    <n v="116088.99172000001"/>
    <n v="0"/>
    <n v="19887.271404798783"/>
    <n v="0"/>
    <n v="0"/>
    <n v="0"/>
    <n v="0"/>
    <n v="0"/>
    <n v="76762.692682279943"/>
    <n v="1022.6191185622165"/>
    <n v="0"/>
    <n v="0"/>
    <n v="0"/>
    <n v="0"/>
    <n v="3532.4461366996366"/>
    <m/>
    <n v="493.24237468273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92.4304551753658"/>
    <n v="0"/>
    <n v="0"/>
    <n v="0"/>
    <n v="0"/>
    <n v="0"/>
    <m/>
    <m/>
    <m/>
    <m/>
    <m/>
    <m/>
    <m/>
    <m/>
    <m/>
    <n v="82455.123137455303"/>
    <m/>
    <m/>
    <m/>
    <m/>
    <m/>
    <m/>
    <m/>
    <m/>
    <m/>
    <m/>
    <m/>
    <m/>
    <n v="116088.6792"/>
    <n v="8699.2740999999951"/>
    <m/>
    <m/>
    <m/>
    <m/>
    <n v="219.16199000000128"/>
    <n v="8480.4546299999947"/>
    <n v="31"/>
    <n v="8696.7207458727935"/>
    <n v="0"/>
    <n v="0"/>
    <n v="0"/>
    <n v="0"/>
    <n v="0"/>
    <n v="0"/>
    <n v="0"/>
    <n v="0"/>
    <n v="0"/>
    <n v="0"/>
    <n v="8477.8856526618038"/>
    <n v="0"/>
    <n v="0"/>
    <n v="0"/>
    <n v="628.68787946838165"/>
    <n v="0"/>
    <n v="-346.67735798054127"/>
    <m/>
    <n v="0"/>
    <n v="0"/>
    <n v="0"/>
    <n v="0"/>
    <n v="-51.771431888204916"/>
    <n v="-11.403996388640564"/>
    <n v="0"/>
    <n v="0"/>
    <m/>
    <m/>
    <m/>
    <n v="0"/>
    <n v="0"/>
    <n v="0"/>
    <n v="219.16199000000051"/>
    <n v="8480.454629999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8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8.0950000000000006"/>
    <n v="8.0950000000000006"/>
    <n v="8.0950000000000006"/>
    <n v="8.0950000000000006"/>
    <m/>
    <n v="79.7"/>
    <n v="209.4"/>
    <m/>
    <n v="2340.2645000000002"/>
    <n v="2340.2645000000002"/>
    <n v="2529.8494000000001"/>
    <n v="0"/>
    <n v="433.38994409062099"/>
    <n v="0"/>
    <n v="0"/>
    <n v="0"/>
    <n v="0"/>
    <n v="0"/>
    <n v="1672.8377871783475"/>
    <n v="22.285251385101375"/>
    <n v="0"/>
    <n v="0"/>
    <n v="0"/>
    <n v="0"/>
    <n v="76.980225317283811"/>
    <m/>
    <n v="10.7488996773732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.05131234408077"/>
    <n v="0"/>
    <n v="0"/>
    <n v="0"/>
    <n v="0"/>
    <n v="0"/>
    <m/>
    <m/>
    <m/>
    <m/>
    <m/>
    <m/>
    <m/>
    <m/>
    <m/>
    <n v="1796.8890995224283"/>
    <m/>
    <m/>
    <m/>
    <m/>
    <m/>
    <m/>
    <m/>
    <m/>
    <m/>
    <m/>
    <m/>
    <m/>
    <n v="2531.4119999999998"/>
    <n v="191.11749999999938"/>
    <m/>
    <m/>
    <m/>
    <m/>
    <n v="4.7760500000000281"/>
    <n v="184.80884999999989"/>
    <n v="31"/>
    <n v="189.52179216079321"/>
    <n v="0"/>
    <n v="0"/>
    <n v="0"/>
    <n v="0"/>
    <n v="0"/>
    <n v="0"/>
    <n v="0"/>
    <n v="0"/>
    <n v="0"/>
    <n v="0"/>
    <n v="184.75286600288405"/>
    <n v="0"/>
    <n v="0"/>
    <n v="0"/>
    <n v="13.70057256157861"/>
    <n v="0"/>
    <n v="-7.5549067408220481"/>
    <m/>
    <n v="0"/>
    <n v="0"/>
    <n v="0"/>
    <n v="0"/>
    <n v="-1.1282200315376798"/>
    <n v="-0.2485196313100051"/>
    <n v="0"/>
    <n v="0"/>
    <m/>
    <m/>
    <m/>
    <n v="0"/>
    <n v="0"/>
    <n v="0"/>
    <n v="4.7760500000000548"/>
    <n v="184.8088499999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499"/>
    <s v="Regular"/>
    <s v="Verde"/>
    <s v="A4"/>
    <s v="Comercial"/>
    <s v="Não se aplica"/>
    <s v="Não se aplica"/>
    <s v="Não se aplica"/>
    <s v="Não se aplica"/>
    <s v="CATIVO"/>
    <x v="8"/>
    <n v="3836"/>
    <n v="3836"/>
    <n v="0"/>
    <n v="0"/>
    <n v="0"/>
    <n v="0"/>
    <n v="44.35"/>
    <m/>
    <m/>
    <n v="170126.6"/>
    <m/>
    <n v="170126.6"/>
    <n v="111128.92"/>
    <n v="0"/>
    <n v="0"/>
    <n v="0"/>
    <n v="0"/>
    <n v="0"/>
    <n v="50336.236307495208"/>
    <n v="110161.65835212165"/>
    <m/>
    <m/>
    <m/>
    <n v="0"/>
    <n v="0"/>
    <n v="0"/>
    <n v="0"/>
    <m/>
    <n v="0"/>
    <n v="3804.2405732114694"/>
    <n v="5820.3297851136631"/>
    <n v="0"/>
    <n v="0"/>
    <m/>
    <m/>
    <n v="0"/>
    <n v="0"/>
    <n v="0"/>
    <m/>
    <m/>
    <n v="0"/>
    <m/>
    <n v="0"/>
    <n v="0"/>
    <n v="0"/>
    <n v="0"/>
    <m/>
    <n v="0"/>
    <n v="0"/>
    <n v="672.83"/>
    <n v="310.93"/>
    <n v="103571.44"/>
    <n v="33"/>
    <m/>
    <m/>
    <m/>
    <m/>
    <m/>
    <m/>
    <m/>
    <m/>
    <m/>
    <n v="0"/>
    <m/>
    <m/>
    <m/>
    <m/>
    <m/>
    <m/>
    <m/>
    <m/>
    <m/>
    <m/>
    <m/>
    <m/>
    <n v="111128.92"/>
    <n v="-58997.710000000036"/>
    <m/>
    <m/>
    <m/>
    <m/>
    <n v="-58997.680000000008"/>
    <n v="0"/>
    <n v="31"/>
    <n v="2812.1384533693563"/>
    <n v="459.29368891783361"/>
    <n v="702.70023314180889"/>
    <n v="0"/>
    <n v="0"/>
    <m/>
    <m/>
    <m/>
    <n v="1650.14453130972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0161.65835212165"/>
    <m/>
    <n v="0"/>
    <n v="0"/>
    <n v="-58997.680000000008"/>
    <m/>
    <n v="0"/>
    <m/>
    <n v="-61799.55558181323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00"/>
    <s v="Sistema de Compensação"/>
    <s v="Verde"/>
    <s v="A4"/>
    <s v="Comercial"/>
    <s v="Não se aplica"/>
    <s v="Não se aplica"/>
    <s v="Não se aplica"/>
    <s v="Não se aplica"/>
    <s v="CATIVO"/>
    <x v="8"/>
    <n v="489"/>
    <n v="489"/>
    <n v="0"/>
    <n v="0"/>
    <n v="0"/>
    <n v="0"/>
    <n v="44.35"/>
    <m/>
    <m/>
    <n v="21687.15"/>
    <m/>
    <n v="21687.15"/>
    <n v="14166.33"/>
    <n v="0"/>
    <n v="0"/>
    <n v="0"/>
    <n v="0"/>
    <n v="0"/>
    <n v="6416.6891434737117"/>
    <n v="14043.026833729793"/>
    <m/>
    <m/>
    <m/>
    <n v="0"/>
    <n v="0"/>
    <n v="0"/>
    <n v="0"/>
    <m/>
    <n v="0"/>
    <n v="484.95141822221285"/>
    <n v="741.95549137658531"/>
    <n v="0"/>
    <n v="0"/>
    <m/>
    <m/>
    <n v="0"/>
    <n v="0"/>
    <n v="0"/>
    <m/>
    <m/>
    <n v="0"/>
    <m/>
    <n v="0"/>
    <n v="0"/>
    <n v="0"/>
    <n v="0"/>
    <m/>
    <n v="0"/>
    <n v="0"/>
    <n v="52.69"/>
    <n v="24.34"/>
    <n v="8349.16"/>
    <n v="4"/>
    <m/>
    <m/>
    <m/>
    <m/>
    <m/>
    <m/>
    <m/>
    <m/>
    <m/>
    <n v="0"/>
    <m/>
    <m/>
    <m/>
    <m/>
    <m/>
    <m/>
    <m/>
    <m/>
    <m/>
    <m/>
    <m/>
    <m/>
    <n v="14166.33"/>
    <n v="-7520.8499999999967"/>
    <m/>
    <m/>
    <m/>
    <m/>
    <n v="-7520.8200000000015"/>
    <n v="0"/>
    <n v="31"/>
    <n v="358.48167458227817"/>
    <n v="58.549169416272321"/>
    <n v="89.57779301520975"/>
    <n v="0"/>
    <n v="0"/>
    <m/>
    <m/>
    <m/>
    <n v="210.354712150796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043.026833729793"/>
    <m/>
    <n v="0"/>
    <n v="0"/>
    <n v="-7520.8200000000015"/>
    <m/>
    <n v="0"/>
    <m/>
    <n v="-7877.993399245743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01"/>
    <s v="Regular"/>
    <s v="Convencional"/>
    <s v="B2"/>
    <s v="Rural"/>
    <s v="Não se aplica"/>
    <s v="Não se aplica"/>
    <s v="Não se aplica"/>
    <s v="Não se aplica"/>
    <s v="CATIVO"/>
    <x v="8"/>
    <n v="0"/>
    <n v="0"/>
    <n v="4773.4780000000001"/>
    <n v="4773.4780000000001"/>
    <n v="4773.4780000000001"/>
    <n v="4773.4780000000001"/>
    <m/>
    <n v="581.32000000000005"/>
    <n v="209.4"/>
    <m/>
    <n v="3774484.5241600005"/>
    <n v="3774484.5241600005"/>
    <n v="2883514.8554599998"/>
    <n v="0"/>
    <n v="293749.84750595409"/>
    <n v="0"/>
    <n v="0"/>
    <n v="0"/>
    <n v="354149.79747763497"/>
    <n v="1839723.7773891035"/>
    <n v="986442.78871705045"/>
    <n v="13141.217691321921"/>
    <n v="0"/>
    <n v="0"/>
    <n v="0"/>
    <n v="0"/>
    <n v="45393.874241766185"/>
    <m/>
    <n v="8701.8800563941622"/>
    <n v="27206.346091172814"/>
    <n v="40981.215449981202"/>
    <n v="0"/>
    <n v="0"/>
    <n v="0"/>
    <n v="0"/>
    <n v="0"/>
    <n v="0"/>
    <n v="0"/>
    <n v="0"/>
    <n v="0"/>
    <n v="0"/>
    <m/>
    <n v="0"/>
    <n v="0"/>
    <n v="0"/>
    <n v="0"/>
    <n v="0"/>
    <n v="165030.03449384854"/>
    <n v="0"/>
    <n v="6709.43"/>
    <n v="3135.69"/>
    <n v="269101.46999999997"/>
    <n v="13503"/>
    <m/>
    <m/>
    <m/>
    <m/>
    <m/>
    <n v="346029.42021999962"/>
    <m/>
    <m/>
    <m/>
    <n v="1151472.823210899"/>
    <m/>
    <m/>
    <m/>
    <m/>
    <m/>
    <m/>
    <m/>
    <m/>
    <m/>
    <m/>
    <m/>
    <m/>
    <n v="2537486.4983999999"/>
    <n v="-784138.1978999991"/>
    <m/>
    <m/>
    <m/>
    <m/>
    <n v="-999948.17144000041"/>
    <n v="108978.50273999992"/>
    <n v="31"/>
    <n v="141027.01686473028"/>
    <n v="3284.6774060983262"/>
    <n v="4947.7453536722242"/>
    <n v="0"/>
    <n v="0"/>
    <n v="0"/>
    <n v="0"/>
    <n v="0"/>
    <n v="11609.89367584273"/>
    <n v="0"/>
    <n v="0"/>
    <n v="108945.48996932863"/>
    <n v="0"/>
    <n v="0"/>
    <n v="0"/>
    <n v="18226.376808907837"/>
    <n v="0"/>
    <n v="-5120.683424472867"/>
    <m/>
    <n v="0"/>
    <n v="0"/>
    <n v="0"/>
    <n v="0"/>
    <n v="-665.29135265033256"/>
    <n v="-201.19157199603615"/>
    <n v="0"/>
    <n v="0"/>
    <m/>
    <m/>
    <m/>
    <n v="1839723.7773891035"/>
    <n v="0"/>
    <n v="0"/>
    <n v="-999948.17144000041"/>
    <n v="108978.50273999979"/>
    <n v="0"/>
    <n v="0"/>
    <n v="-1032066.0884799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2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33.889000000000003"/>
    <n v="-33.889000000000003"/>
    <n v="-33.889000000000003"/>
    <n v="-33.889000000000003"/>
    <m/>
    <n v="581.32000000000005"/>
    <n v="209.4"/>
    <m/>
    <n v="-26796.710080000004"/>
    <n v="-26796.710080000004"/>
    <n v="-20471.328229999999"/>
    <n v="0"/>
    <n v="-2085.4581464771136"/>
    <n v="0"/>
    <n v="0"/>
    <n v="0"/>
    <n v="-2514.2637059853578"/>
    <n v="-13061.000614633467"/>
    <n v="-7003.1871241120471"/>
    <n v="-93.295229671365107"/>
    <n v="0"/>
    <n v="0"/>
    <n v="0"/>
    <n v="0"/>
    <n v="-322.27089015162829"/>
    <m/>
    <n v="-61.778437699124581"/>
    <n v="-193.14970398601514"/>
    <n v="-290.94350291012404"/>
    <n v="0"/>
    <n v="0"/>
    <n v="0"/>
    <n v="0"/>
    <n v="0"/>
    <n v="0"/>
    <n v="0"/>
    <n v="0"/>
    <n v="0"/>
    <n v="0"/>
    <m/>
    <n v="0"/>
    <n v="0"/>
    <n v="0"/>
    <n v="0"/>
    <n v="0"/>
    <n v="-1171.6201140891469"/>
    <n v="0"/>
    <n v="-58.49"/>
    <n v="-269.01"/>
    <n v="-819.63"/>
    <n v="0"/>
    <m/>
    <m/>
    <m/>
    <m/>
    <m/>
    <n v="-2456.6136099999976"/>
    <m/>
    <m/>
    <m/>
    <n v="-8174.8072382011942"/>
    <m/>
    <m/>
    <m/>
    <m/>
    <m/>
    <m/>
    <m/>
    <m/>
    <m/>
    <m/>
    <m/>
    <m/>
    <n v="-18015.246200000001"/>
    <n v="5566.384450000005"/>
    <m/>
    <m/>
    <m/>
    <m/>
    <n v="7099.0677200000027"/>
    <n v="-773.68586999999957"/>
    <n v="31"/>
    <n v="-1001.2122344606705"/>
    <n v="-23.319355952885104"/>
    <n v="-35.126199867391904"/>
    <n v="0"/>
    <n v="0"/>
    <n v="0"/>
    <n v="0"/>
    <n v="0"/>
    <n v="-82.423693328141781"/>
    <n v="0"/>
    <n v="0"/>
    <n v="-773.45149795821362"/>
    <n v="0"/>
    <n v="0"/>
    <n v="0"/>
    <n v="-129.39698971631969"/>
    <n v="0"/>
    <n v="36.3539625765452"/>
    <m/>
    <n v="0"/>
    <n v="0"/>
    <n v="0"/>
    <n v="0"/>
    <n v="4.7231931622953311"/>
    <n v="1.4283466234417972"/>
    <n v="0"/>
    <n v="0"/>
    <m/>
    <m/>
    <m/>
    <n v="-13061.000614633467"/>
    <n v="0"/>
    <n v="0"/>
    <n v="7099.0677200000009"/>
    <n v="-773.68586999999934"/>
    <n v="0"/>
    <n v="0"/>
    <n v="7327.086805992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3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185.73599999999999"/>
    <n v="185.73599999999999"/>
    <n v="185.73599999999999"/>
    <n v="185.73599999999999"/>
    <m/>
    <n v="581.32000000000005"/>
    <n v="209.4"/>
    <m/>
    <n v="146865.16992000001"/>
    <n v="146865.16992000001"/>
    <n v="112197.54551999999"/>
    <n v="0"/>
    <n v="11429.804783088115"/>
    <n v="0"/>
    <n v="0"/>
    <n v="0"/>
    <n v="13779.966469795399"/>
    <n v="71583.641009164072"/>
    <n v="38382.482920241819"/>
    <n v="511.32470058841125"/>
    <n v="0"/>
    <n v="0"/>
    <n v="0"/>
    <n v="0"/>
    <n v="1766.2753711588664"/>
    <m/>
    <n v="338.59010016479095"/>
    <n v="1058.5987612365814"/>
    <n v="1594.5788443599631"/>
    <n v="0"/>
    <n v="0"/>
    <n v="0"/>
    <n v="0"/>
    <n v="0"/>
    <n v="0"/>
    <n v="0"/>
    <n v="0"/>
    <n v="0"/>
    <n v="0"/>
    <m/>
    <n v="0"/>
    <n v="0"/>
    <n v="0"/>
    <n v="0"/>
    <n v="0"/>
    <n v="6421.3176402508716"/>
    <n v="0"/>
    <n v="264.04000000000002"/>
    <n v="121.61"/>
    <n v="10556.33"/>
    <n v="890"/>
    <m/>
    <m/>
    <m/>
    <m/>
    <m/>
    <n v="13464.002639999984"/>
    <m/>
    <m/>
    <m/>
    <n v="44803.800560492688"/>
    <m/>
    <m/>
    <m/>
    <m/>
    <m/>
    <m/>
    <m/>
    <m/>
    <m/>
    <m/>
    <m/>
    <m/>
    <n v="98735.669200000004"/>
    <n v="-30508.756399999969"/>
    <m/>
    <m/>
    <m/>
    <m/>
    <n v="-38907.977280000014"/>
    <n v="4240.3528799999967"/>
    <n v="31"/>
    <n v="5487.3603700253152"/>
    <n v="127.80677792986125"/>
    <n v="192.51674167340138"/>
    <n v="0"/>
    <n v="0"/>
    <n v="0"/>
    <n v="0"/>
    <n v="0"/>
    <n v="451.74089244285278"/>
    <n v="0"/>
    <n v="0"/>
    <n v="4239.0683532935946"/>
    <n v="0"/>
    <n v="0"/>
    <n v="0"/>
    <n v="709.18821098144872"/>
    <n v="0"/>
    <n v="-199.24576095834163"/>
    <m/>
    <n v="0"/>
    <n v="0"/>
    <n v="0"/>
    <n v="0"/>
    <n v="-25.886482492610639"/>
    <n v="-7.8283628449227081"/>
    <n v="0"/>
    <n v="0"/>
    <m/>
    <m/>
    <m/>
    <n v="71583.641009164072"/>
    <n v="0"/>
    <n v="0"/>
    <n v="-38907.977280000021"/>
    <n v="4240.3528799999985"/>
    <n v="0"/>
    <n v="0"/>
    <n v="-40157.685237035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4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-1.0860000000000001"/>
    <n v="-1.0860000000000001"/>
    <n v="-1.0860000000000001"/>
    <n v="-1.0860000000000001"/>
    <m/>
    <n v="581.32000000000005"/>
    <n v="209.4"/>
    <m/>
    <n v="-858.72192000000018"/>
    <n v="-858.72192000000018"/>
    <n v="-656.02002000000005"/>
    <n v="0"/>
    <n v="-66.830167519671448"/>
    <n v="0"/>
    <n v="0"/>
    <n v="0"/>
    <n v="-80.571583248254541"/>
    <n v="-418.55016871232391"/>
    <n v="-224.42270992905316"/>
    <n v="-2.9897199511081034"/>
    <n v="0"/>
    <n v="0"/>
    <n v="0"/>
    <n v="0"/>
    <n v="-10.327427386605338"/>
    <m/>
    <n v="-1.9797392469901529"/>
    <n v="-6.1896361217153784"/>
    <n v="-9.3235163079581778"/>
    <n v="0"/>
    <n v="0"/>
    <n v="0"/>
    <n v="0"/>
    <n v="0"/>
    <n v="0"/>
    <n v="0"/>
    <n v="0"/>
    <n v="0"/>
    <n v="0"/>
    <m/>
    <n v="0"/>
    <n v="0"/>
    <n v="0"/>
    <n v="0"/>
    <n v="0"/>
    <n v="-37.545499834778646"/>
    <n v="0"/>
    <n v="-2.02"/>
    <n v="-9.35"/>
    <n v="-89.43"/>
    <n v="6"/>
    <m/>
    <m/>
    <m/>
    <m/>
    <m/>
    <n v="-78.72413999999992"/>
    <m/>
    <m/>
    <m/>
    <n v="-261.96820976383179"/>
    <m/>
    <m/>
    <m/>
    <m/>
    <m/>
    <m/>
    <m/>
    <m/>
    <m/>
    <m/>
    <m/>
    <m/>
    <n v="-579.42220000000009"/>
    <n v="176.2408999999999"/>
    <m/>
    <m/>
    <m/>
    <m/>
    <n v="227.49528000000009"/>
    <n v="-24.793379999999985"/>
    <n v="31"/>
    <n v="-32.084643590081953"/>
    <n v="-0.747287337036596"/>
    <n v="-1.1256470552683062"/>
    <n v="0"/>
    <n v="0"/>
    <n v="0"/>
    <n v="0"/>
    <n v="0"/>
    <n v="-2.6413329090372315"/>
    <n v="0"/>
    <n v="0"/>
    <n v="-24.785869361226958"/>
    <n v="0"/>
    <n v="0"/>
    <n v="0"/>
    <n v="-4.146629609369505"/>
    <n v="0"/>
    <n v="1.1649916892834966"/>
    <m/>
    <n v="0"/>
    <n v="0"/>
    <n v="0"/>
    <n v="0"/>
    <n v="0.15135848724520251"/>
    <n v="4.5772505327917434E-2"/>
    <n v="0"/>
    <n v="0"/>
    <m/>
    <m/>
    <m/>
    <n v="-418.55016871232391"/>
    <n v="0"/>
    <n v="0"/>
    <n v="227.49528000000015"/>
    <n v="-24.793379999999985"/>
    <n v="0"/>
    <n v="0"/>
    <n v="234.80233324407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5"/>
    <s v="Regular"/>
    <s v="Verde"/>
    <s v="A4"/>
    <s v="Rural"/>
    <s v="Não se aplica"/>
    <s v="Não se aplica"/>
    <s v="Não se aplica"/>
    <s v="Ponta"/>
    <s v="CATIVO"/>
    <x v="8"/>
    <n v="0"/>
    <n v="0"/>
    <n v="18.577000000000002"/>
    <n v="17.833919999999999"/>
    <n v="18.577000000000002"/>
    <n v="17.833919999999999"/>
    <m/>
    <n v="1614.19"/>
    <n v="209.4"/>
    <m/>
    <n v="33876.831430000006"/>
    <n v="33876.831430000006"/>
    <n v="22518.110550000001"/>
    <n v="0"/>
    <n v="994.57504525898287"/>
    <n v="0"/>
    <n v="0"/>
    <n v="0"/>
    <n v="5785.2120066204334"/>
    <n v="21602.015818076627"/>
    <n v="3838.950904559872"/>
    <n v="51.141830139719367"/>
    <n v="0"/>
    <n v="0"/>
    <n v="0"/>
    <n v="0"/>
    <n v="176.65986976148008"/>
    <m/>
    <n v="24.667363719155347"/>
    <n v="449.46912864982386"/>
    <n v="669.4910011304562"/>
    <n v="0"/>
    <n v="0"/>
    <n v="0"/>
    <n v="0"/>
    <n v="0"/>
    <n v="0"/>
    <n v="0"/>
    <n v="0"/>
    <n v="0"/>
    <n v="0"/>
    <m/>
    <n v="0"/>
    <n v="0"/>
    <n v="0"/>
    <n v="0"/>
    <n v="0"/>
    <n v="284.68205428239514"/>
    <n v="0"/>
    <n v="0"/>
    <n v="0"/>
    <n v="0"/>
    <n v="0"/>
    <m/>
    <m/>
    <m/>
    <m/>
    <m/>
    <n v="900.72442200000319"/>
    <m/>
    <m/>
    <m/>
    <n v="4123.6329588422668"/>
    <m/>
    <m/>
    <m/>
    <m/>
    <m/>
    <m/>
    <m/>
    <m/>
    <m/>
    <m/>
    <m/>
    <m/>
    <n v="21612.634499999996"/>
    <n v="-10909.153672799996"/>
    <m/>
    <m/>
    <m/>
    <m/>
    <n v="-11782.833790000002"/>
    <n v="424.11290999999977"/>
    <n v="31"/>
    <n v="759.67619626433225"/>
    <n v="54.265320549375417"/>
    <n v="80.829007968580186"/>
    <n v="0"/>
    <n v="0"/>
    <n v="0"/>
    <n v="0"/>
    <n v="0"/>
    <n v="189.65335224655973"/>
    <n v="0"/>
    <n v="0"/>
    <n v="423.98443381538937"/>
    <n v="0"/>
    <n v="0"/>
    <n v="0"/>
    <n v="31.441079243538695"/>
    <n v="0"/>
    <n v="-17.337554357535623"/>
    <m/>
    <n v="0"/>
    <n v="0"/>
    <n v="0"/>
    <n v="0"/>
    <n v="-2.5891221156115307"/>
    <n v="-0.57032108595997144"/>
    <n v="0"/>
    <n v="0"/>
    <m/>
    <m/>
    <m/>
    <n v="21602.015818076627"/>
    <n v="0"/>
    <n v="0"/>
    <n v="-11782.833790000001"/>
    <n v="424.11290999999937"/>
    <n v="0"/>
    <n v="0"/>
    <n v="-12118.50835579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6"/>
    <s v="Sistema de Compensação"/>
    <s v="Verde"/>
    <s v="A4"/>
    <s v="Rural"/>
    <s v="Não se aplica"/>
    <s v="Não se aplica"/>
    <s v="Não se aplica"/>
    <s v="Ponta"/>
    <s v="CATIVO"/>
    <x v="8"/>
    <n v="0"/>
    <n v="0"/>
    <n v="0.42599999999999999"/>
    <n v="0.40895999999999999"/>
    <n v="0.42599999999999999"/>
    <n v="0.40895999999999999"/>
    <m/>
    <n v="1614.19"/>
    <n v="209.4"/>
    <m/>
    <n v="776.84933999999998"/>
    <n v="776.84933999999998"/>
    <n v="516.37589999999989"/>
    <n v="0"/>
    <n v="22.807179269006117"/>
    <n v="0"/>
    <n v="0"/>
    <n v="0"/>
    <n v="132.66406388654272"/>
    <n v="495.36839847664538"/>
    <n v="88.033217706976643"/>
    <n v="1.1727630747440625"/>
    <n v="0"/>
    <n v="0"/>
    <n v="0"/>
    <n v="0"/>
    <n v="4.0510903008230885"/>
    <m/>
    <n v="0.56566167542445911"/>
    <n v="10.307038208797167"/>
    <n v="15.35248783342705"/>
    <n v="0"/>
    <n v="0"/>
    <n v="0"/>
    <n v="0"/>
    <n v="0"/>
    <n v="0"/>
    <n v="0"/>
    <n v="0"/>
    <n v="0"/>
    <n v="0"/>
    <m/>
    <n v="0"/>
    <n v="0"/>
    <n v="0"/>
    <n v="0"/>
    <n v="0"/>
    <n v="6.5282098898799754"/>
    <n v="0"/>
    <n v="0"/>
    <n v="0"/>
    <n v="0"/>
    <n v="0"/>
    <m/>
    <m/>
    <m/>
    <m/>
    <m/>
    <n v="20.655035999999996"/>
    <m/>
    <m/>
    <m/>
    <n v="94.561427596856618"/>
    <m/>
    <m/>
    <m/>
    <m/>
    <m/>
    <m/>
    <m/>
    <m/>
    <m/>
    <m/>
    <m/>
    <m/>
    <n v="496.98149999999993"/>
    <n v="-248.82386639999999"/>
    <m/>
    <m/>
    <m/>
    <m/>
    <n v="-270.19902000000002"/>
    <n v="9.7255799999999937"/>
    <n v="31"/>
    <n v="17.420577036583211"/>
    <n v="1.2443896513987145"/>
    <n v="1.8535370293704663"/>
    <n v="0"/>
    <n v="0"/>
    <n v="0"/>
    <n v="0"/>
    <n v="0"/>
    <n v="4.3490514107247975"/>
    <n v="0"/>
    <n v="0"/>
    <n v="9.7226338378293633"/>
    <n v="0"/>
    <n v="0"/>
    <n v="0"/>
    <n v="0.72099368884897963"/>
    <n v="0"/>
    <n v="-0.3975775505361554"/>
    <m/>
    <n v="0"/>
    <n v="0"/>
    <n v="0"/>
    <n v="0"/>
    <n v="-5.9372666267455632E-2"/>
    <n v="-1.3078364785430785E-2"/>
    <n v="0"/>
    <n v="0"/>
    <m/>
    <m/>
    <m/>
    <n v="495.36839847664538"/>
    <n v="0"/>
    <n v="0"/>
    <n v="-270.19902000000008"/>
    <n v="9.7255799999999795"/>
    <n v="0"/>
    <n v="0"/>
    <n v="-277.89656885227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7"/>
    <s v="Regular"/>
    <s v="Verde"/>
    <s v="A4"/>
    <s v="Rural"/>
    <s v="Não se aplica"/>
    <s v="Não se aplica"/>
    <s v="Não se aplica"/>
    <s v="Fora ponta"/>
    <s v="CATIVO"/>
    <x v="8"/>
    <n v="0"/>
    <n v="0"/>
    <n v="203.86699999999999"/>
    <n v="195.71232000000001"/>
    <n v="203.86699999999999"/>
    <n v="195.71232000000001"/>
    <m/>
    <n v="79.7"/>
    <n v="209.4"/>
    <m/>
    <n v="58937.949699999997"/>
    <n v="58937.949699999997"/>
    <n v="63712.514839999996"/>
    <n v="0"/>
    <n v="10914.62726768655"/>
    <n v="0"/>
    <n v="0"/>
    <n v="0"/>
    <n v="0"/>
    <n v="0"/>
    <n v="42129.26759217889"/>
    <n v="561.23870835410276"/>
    <n v="0"/>
    <n v="0"/>
    <n v="0"/>
    <n v="0"/>
    <n v="1938.693958586621"/>
    <m/>
    <n v="270.70363564262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24.1468676529598"/>
    <n v="0"/>
    <n v="0"/>
    <n v="0"/>
    <n v="0"/>
    <n v="0"/>
    <m/>
    <m/>
    <m/>
    <m/>
    <m/>
    <n v="2548.5005935999952"/>
    <m/>
    <m/>
    <m/>
    <n v="45253.414459831853"/>
    <m/>
    <m/>
    <m/>
    <m/>
    <m/>
    <m/>
    <m/>
    <m/>
    <m/>
    <m/>
    <m/>
    <m/>
    <n v="61163.289199999999"/>
    <n v="4582.8274879999881"/>
    <m/>
    <m/>
    <m/>
    <m/>
    <n v="120.28153000000069"/>
    <n v="4654.2836099999968"/>
    <n v="31"/>
    <n v="4772.9758125317312"/>
    <n v="0"/>
    <n v="0"/>
    <n v="0"/>
    <n v="0"/>
    <n v="0"/>
    <n v="0"/>
    <n v="0"/>
    <n v="0"/>
    <n v="0"/>
    <n v="0"/>
    <n v="4652.8736915886329"/>
    <n v="0"/>
    <n v="0"/>
    <n v="0"/>
    <n v="345.03948442388446"/>
    <n v="0"/>
    <n v="-190.26512322806229"/>
    <m/>
    <n v="0"/>
    <n v="0"/>
    <n v="0"/>
    <n v="0"/>
    <n v="-28.413444492834287"/>
    <n v="-6.2587957598859134"/>
    <n v="0"/>
    <n v="0"/>
    <m/>
    <m/>
    <m/>
    <n v="0"/>
    <n v="0"/>
    <n v="0"/>
    <n v="120.2815300000002"/>
    <n v="4654.283609999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8"/>
    <s v="Sistema de Compensação"/>
    <s v="Verde"/>
    <s v="A4"/>
    <s v="Rural"/>
    <s v="Não se aplica"/>
    <s v="Não se aplica"/>
    <s v="Não se aplica"/>
    <s v="Fora ponta"/>
    <s v="CATIVO"/>
    <x v="8"/>
    <n v="0"/>
    <n v="0"/>
    <n v="4.0629999999999997"/>
    <n v="3.9004799999999999"/>
    <n v="4.0629999999999997"/>
    <n v="3.9004799999999999"/>
    <m/>
    <n v="79.7"/>
    <n v="209.4"/>
    <m/>
    <n v="1174.6133"/>
    <n v="1174.6133"/>
    <n v="1269.7687599999999"/>
    <n v="0"/>
    <n v="217.52481072763345"/>
    <n v="0"/>
    <n v="0"/>
    <n v="0"/>
    <n v="0"/>
    <n v="0"/>
    <n v="839.62198014893454"/>
    <n v="11.1852966494956"/>
    <n v="0"/>
    <n v="0"/>
    <n v="0"/>
    <n v="0"/>
    <n v="38.637511484141328"/>
    <m/>
    <n v="5.395031425468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263184935639295"/>
    <n v="0"/>
    <n v="0"/>
    <n v="0"/>
    <n v="0"/>
    <n v="0"/>
    <m/>
    <m/>
    <m/>
    <m/>
    <m/>
    <n v="50.790750399999936"/>
    <m/>
    <m/>
    <m/>
    <n v="901.88516508457383"/>
    <m/>
    <m/>
    <m/>
    <m/>
    <m/>
    <m/>
    <m/>
    <m/>
    <m/>
    <m/>
    <m/>
    <m/>
    <n v="1218.828"/>
    <n v="91.169231999999965"/>
    <m/>
    <m/>
    <m/>
    <m/>
    <n v="2.3971700000000138"/>
    <n v="92.758289999999931"/>
    <n v="31"/>
    <n v="95.123785243891234"/>
    <n v="0"/>
    <n v="0"/>
    <n v="0"/>
    <n v="0"/>
    <n v="0"/>
    <n v="0"/>
    <n v="0"/>
    <n v="0"/>
    <n v="0"/>
    <n v="0"/>
    <n v="92.730190805400639"/>
    <n v="0"/>
    <n v="0"/>
    <n v="0"/>
    <n v="6.876519619233342"/>
    <n v="0"/>
    <n v="-3.7919192202544707"/>
    <m/>
    <n v="0"/>
    <n v="0"/>
    <n v="0"/>
    <n v="0"/>
    <n v="-0.56627028883725217"/>
    <n v="-0.12473567165071664"/>
    <n v="0"/>
    <n v="0"/>
    <m/>
    <m/>
    <m/>
    <n v="0"/>
    <n v="0"/>
    <n v="0"/>
    <n v="2.3971700000000169"/>
    <n v="92.75828999999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09"/>
    <s v="Regular"/>
    <s v="Verde"/>
    <s v="A4"/>
    <s v="Rural"/>
    <s v="Não se aplica"/>
    <s v="Não se aplica"/>
    <s v="Não se aplica"/>
    <s v="Não se aplica"/>
    <s v="CATIVO"/>
    <x v="8"/>
    <n v="1665"/>
    <n v="1598.4"/>
    <n v="0"/>
    <n v="0"/>
    <n v="0"/>
    <n v="0"/>
    <n v="44.35"/>
    <m/>
    <m/>
    <n v="73842.75"/>
    <m/>
    <n v="73842.75"/>
    <n v="48235.049999999996"/>
    <n v="0"/>
    <n v="0"/>
    <n v="0"/>
    <n v="0"/>
    <n v="0"/>
    <n v="21848.236040662025"/>
    <n v="47815.21406576709"/>
    <m/>
    <m/>
    <m/>
    <n v="0"/>
    <n v="0"/>
    <n v="0"/>
    <n v="0"/>
    <m/>
    <n v="0"/>
    <n v="1651.21495161551"/>
    <n v="2526.2901700245698"/>
    <n v="0"/>
    <n v="0"/>
    <m/>
    <m/>
    <n v="0"/>
    <n v="0"/>
    <n v="0"/>
    <m/>
    <m/>
    <n v="0"/>
    <m/>
    <n v="0"/>
    <n v="0"/>
    <n v="0"/>
    <n v="0"/>
    <m/>
    <n v="0"/>
    <n v="0"/>
    <n v="338.38"/>
    <n v="156.35"/>
    <n v="108.01"/>
    <n v="15"/>
    <m/>
    <m/>
    <m/>
    <m/>
    <m/>
    <n v="1929.4019999999973"/>
    <m/>
    <m/>
    <m/>
    <n v="0"/>
    <m/>
    <m/>
    <m/>
    <m/>
    <m/>
    <m/>
    <m/>
    <m/>
    <m/>
    <m/>
    <m/>
    <m/>
    <n v="46305.648000000001"/>
    <n v="-24583.421999999991"/>
    <m/>
    <m/>
    <m/>
    <m/>
    <n v="-25607.700000000004"/>
    <n v="0"/>
    <n v="31"/>
    <n v="1220.5971128414967"/>
    <n v="199.35453390203179"/>
    <n v="305.00414186160378"/>
    <n v="0"/>
    <n v="0"/>
    <m/>
    <m/>
    <m/>
    <n v="716.238437077863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815.21406576709"/>
    <m/>
    <n v="0"/>
    <n v="0"/>
    <n v="-25607.700000000004"/>
    <m/>
    <n v="0"/>
    <m/>
    <n v="-26823.84255571403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10"/>
    <s v="Sistema de Compensação"/>
    <s v="Verde"/>
    <s v="A4"/>
    <s v="Rural"/>
    <s v="Não se aplica"/>
    <s v="Não se aplica"/>
    <s v="Não se aplica"/>
    <s v="Não se aplica"/>
    <s v="CATIVO"/>
    <x v="8"/>
    <n v="840"/>
    <n v="806.4"/>
    <n v="0"/>
    <n v="0"/>
    <n v="0"/>
    <n v="0"/>
    <n v="44.35"/>
    <m/>
    <m/>
    <n v="37254"/>
    <m/>
    <n v="37254"/>
    <n v="24334.799999999999"/>
    <n v="0"/>
    <n v="0"/>
    <n v="0"/>
    <n v="0"/>
    <n v="0"/>
    <n v="11022.533497991652"/>
    <n v="24122.990880026638"/>
    <m/>
    <m/>
    <m/>
    <n v="0"/>
    <n v="0"/>
    <n v="0"/>
    <n v="0"/>
    <m/>
    <n v="0"/>
    <n v="833.04538099521233"/>
    <n v="1274.5247704628459"/>
    <n v="0"/>
    <n v="0"/>
    <m/>
    <m/>
    <n v="0"/>
    <n v="0"/>
    <n v="0"/>
    <m/>
    <m/>
    <n v="0"/>
    <m/>
    <n v="0"/>
    <n v="0"/>
    <n v="0"/>
    <n v="0"/>
    <m/>
    <n v="0"/>
    <n v="0"/>
    <n v="66.45"/>
    <n v="30.72"/>
    <n v="28.33"/>
    <n v="9"/>
    <m/>
    <m/>
    <m/>
    <m/>
    <m/>
    <n v="973.39200000000062"/>
    <m/>
    <m/>
    <m/>
    <n v="0"/>
    <m/>
    <m/>
    <m/>
    <m/>
    <m/>
    <m/>
    <m/>
    <m/>
    <m/>
    <m/>
    <m/>
    <m/>
    <n v="23361.407999999999"/>
    <n v="-12402.462000000003"/>
    <m/>
    <m/>
    <m/>
    <m/>
    <n v="-12919.200000000003"/>
    <n v="0"/>
    <n v="31"/>
    <n v="615.79674161372895"/>
    <n v="100.57526034697082"/>
    <n v="153.87596346170994"/>
    <n v="0"/>
    <n v="0"/>
    <m/>
    <m/>
    <m/>
    <n v="361.345517805048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122.990880026638"/>
    <m/>
    <n v="0"/>
    <n v="0"/>
    <n v="-12919.2"/>
    <m/>
    <n v="0"/>
    <m/>
    <n v="-13532.7493974773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11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364.24400000000003"/>
    <n v="364.24400000000003"/>
    <n v="364.24400000000003"/>
    <n v="364.24400000000003"/>
    <m/>
    <n v="581.32000000000005"/>
    <n v="209.4"/>
    <m/>
    <n v="288015.01568000007"/>
    <n v="288015.01568000007"/>
    <n v="220028.87307999999"/>
    <n v="0"/>
    <n v="22414.81357093481"/>
    <n v="0"/>
    <n v="0"/>
    <n v="0"/>
    <n v="27023.679345006658"/>
    <n v="140381.57242398869"/>
    <n v="75271.294249906117"/>
    <n v="1002.7509704156721"/>
    <n v="0"/>
    <n v="0"/>
    <n v="0"/>
    <n v="0"/>
    <n v="3463.8153416267724"/>
    <m/>
    <n v="664.00381425477099"/>
    <n v="2076.0016754310277"/>
    <n v="3127.1039356131846"/>
    <n v="0"/>
    <n v="0"/>
    <n v="0"/>
    <n v="0"/>
    <n v="0"/>
    <n v="0"/>
    <n v="0"/>
    <n v="0"/>
    <n v="0"/>
    <n v="0"/>
    <m/>
    <n v="0"/>
    <n v="0"/>
    <n v="0"/>
    <n v="0"/>
    <n v="0"/>
    <n v="12592.746815671375"/>
    <n v="0"/>
    <n v="569.87"/>
    <n v="264.01"/>
    <n v="77142.289999999994"/>
    <n v="486"/>
    <m/>
    <m/>
    <m/>
    <m/>
    <m/>
    <m/>
    <m/>
    <m/>
    <m/>
    <n v="87864.04106557749"/>
    <m/>
    <m/>
    <m/>
    <m/>
    <m/>
    <m/>
    <m/>
    <m/>
    <m/>
    <m/>
    <m/>
    <m/>
    <n v="220026.45679999999"/>
    <n v="-67988.588880000112"/>
    <m/>
    <m/>
    <m/>
    <m/>
    <n v="-76301.833120000039"/>
    <n v="8315.6905199999946"/>
    <n v="31"/>
    <n v="10761.177642565191"/>
    <n v="250.63989759812011"/>
    <n v="377.54160773402282"/>
    <n v="0"/>
    <n v="0"/>
    <n v="0"/>
    <n v="0"/>
    <n v="0"/>
    <n v="885.90208482445087"/>
    <n v="0"/>
    <n v="0"/>
    <n v="8313.1714545218711"/>
    <n v="0"/>
    <n v="0"/>
    <n v="0"/>
    <n v="1390.7780436788089"/>
    <n v="0"/>
    <n v="-390.73778349113854"/>
    <m/>
    <n v="0"/>
    <n v="0"/>
    <n v="0"/>
    <n v="0"/>
    <n v="-50.765580873058752"/>
    <n v="-15.352081427865528"/>
    <n v="0"/>
    <n v="0"/>
    <m/>
    <m/>
    <m/>
    <n v="140381.57242398869"/>
    <n v="0"/>
    <n v="0"/>
    <n v="-76301.833120000054"/>
    <n v="8315.6905199999892"/>
    <n v="0"/>
    <n v="0"/>
    <n v="-78752.616086698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2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9.15"/>
    <n v="9.15"/>
    <n v="9.15"/>
    <n v="9.15"/>
    <m/>
    <n v="581.32000000000005"/>
    <n v="209.4"/>
    <m/>
    <n v="7235.0880000000006"/>
    <n v="7235.0880000000006"/>
    <n v="5527.2404999999999"/>
    <n v="0"/>
    <n v="563.07185341159641"/>
    <n v="0"/>
    <n v="0"/>
    <n v="0"/>
    <n v="678.8489748817027"/>
    <n v="3526.4586037916793"/>
    <n v="1890.8543239878788"/>
    <n v="25.189629422319655"/>
    <n v="0"/>
    <n v="0"/>
    <n v="0"/>
    <n v="0"/>
    <n v="87.012855052890274"/>
    <m/>
    <n v="16.680123489834163"/>
    <n v="52.150249091800838"/>
    <n v="78.554488230034366"/>
    <n v="0"/>
    <n v="0"/>
    <n v="0"/>
    <n v="0"/>
    <n v="0"/>
    <n v="0"/>
    <n v="0"/>
    <n v="0"/>
    <n v="0"/>
    <n v="0"/>
    <m/>
    <n v="0"/>
    <n v="0"/>
    <n v="0"/>
    <n v="0"/>
    <n v="0"/>
    <n v="316.33639363556597"/>
    <n v="0"/>
    <n v="14.35"/>
    <n v="6.64"/>
    <n v="1558.71"/>
    <n v="5"/>
    <m/>
    <m/>
    <m/>
    <m/>
    <m/>
    <m/>
    <m/>
    <m/>
    <m/>
    <n v="2207.1907176234449"/>
    <m/>
    <m/>
    <m/>
    <m/>
    <m/>
    <m/>
    <m/>
    <m/>
    <m/>
    <m/>
    <m/>
    <m/>
    <n v="5527.2404999999999"/>
    <n v="-1707.8775000000014"/>
    <m/>
    <m/>
    <m/>
    <m/>
    <n v="-1916.7420000000009"/>
    <n v="208.89449999999985"/>
    <n v="31"/>
    <n v="270.32641698825864"/>
    <n v="6.2962054639823748"/>
    <n v="9.4840428689732903"/>
    <n v="0"/>
    <n v="0"/>
    <n v="0"/>
    <n v="0"/>
    <n v="0"/>
    <n v="22.254324233600869"/>
    <n v="0"/>
    <n v="0"/>
    <n v="208.83121975619383"/>
    <n v="0"/>
    <n v="0"/>
    <n v="0"/>
    <n v="34.937072675627007"/>
    <n v="0"/>
    <n v="-9.8155377135764184"/>
    <m/>
    <n v="0"/>
    <n v="0"/>
    <n v="0"/>
    <n v="0"/>
    <n v="-1.2752579726460453"/>
    <n v="-0.3856523238954388"/>
    <n v="0"/>
    <n v="0"/>
    <m/>
    <m/>
    <m/>
    <n v="3526.4586037916793"/>
    <n v="0"/>
    <n v="0"/>
    <n v="-1916.7420000000006"/>
    <n v="208.89449999999988"/>
    <n v="0"/>
    <n v="0"/>
    <n v="-1978.3069513658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3"/>
    <s v="Regular"/>
    <s v="Verde"/>
    <s v="A4"/>
    <s v="Poder público"/>
    <s v="Não se aplica"/>
    <s v="Não se aplica"/>
    <s v="Não se aplica"/>
    <s v="Ponta"/>
    <s v="CATIVO"/>
    <x v="8"/>
    <n v="0"/>
    <n v="0"/>
    <n v="0.35799999999999998"/>
    <n v="0.35799999999999998"/>
    <n v="0.35799999999999998"/>
    <n v="0.35799999999999998"/>
    <m/>
    <n v="1614.19"/>
    <n v="209.4"/>
    <m/>
    <n v="652.84521999999993"/>
    <n v="652.84521999999993"/>
    <n v="433.94970000000001"/>
    <n v="0"/>
    <n v="19.166596662685894"/>
    <n v="0"/>
    <n v="0"/>
    <n v="0"/>
    <n v="111.48764054315093"/>
    <n v="416.29550857896487"/>
    <n v="73.980966993186954"/>
    <n v="0.98556145717928256"/>
    <n v="0"/>
    <n v="0"/>
    <n v="0"/>
    <n v="0"/>
    <n v="3.404437388954614"/>
    <m/>
    <n v="0.47536826244590691"/>
    <n v="8.6617832834492621"/>
    <n v="12.901855972692216"/>
    <n v="0"/>
    <n v="0"/>
    <n v="0"/>
    <n v="0"/>
    <n v="0"/>
    <n v="0"/>
    <n v="0"/>
    <n v="0"/>
    <n v="0"/>
    <n v="0"/>
    <m/>
    <n v="0"/>
    <n v="0"/>
    <n v="0"/>
    <n v="0"/>
    <n v="0"/>
    <n v="5.4861482173169751"/>
    <n v="0"/>
    <n v="0"/>
    <n v="0"/>
    <n v="0"/>
    <n v="0"/>
    <m/>
    <m/>
    <m/>
    <m/>
    <m/>
    <m/>
    <m/>
    <m/>
    <m/>
    <n v="79.467115210503934"/>
    <m/>
    <m/>
    <m/>
    <m/>
    <m/>
    <m/>
    <m/>
    <m/>
    <m/>
    <m/>
    <m/>
    <m/>
    <n v="436.37399999999997"/>
    <n v="-216.50121999999993"/>
    <m/>
    <m/>
    <m/>
    <m/>
    <n v="-227.06866000000002"/>
    <n v="8.1731399999999947"/>
    <n v="31"/>
    <n v="14.639827650462024"/>
    <n v="1.045754683569811"/>
    <n v="1.5576672688136775"/>
    <n v="0"/>
    <n v="0"/>
    <n v="0"/>
    <n v="0"/>
    <n v="0"/>
    <n v="3.6548366315480649"/>
    <n v="0"/>
    <n v="0"/>
    <n v="8.1706641172368677"/>
    <n v="0"/>
    <n v="0"/>
    <n v="0"/>
    <n v="0.60590549438482189"/>
    <n v="0"/>
    <n v="-0.33411446735198425"/>
    <m/>
    <n v="0"/>
    <n v="0"/>
    <n v="0"/>
    <n v="0"/>
    <n v="-4.9895339257627125E-2"/>
    <n v="-1.0990738481653051E-2"/>
    <n v="0"/>
    <n v="0"/>
    <m/>
    <m/>
    <m/>
    <n v="416.29550857896487"/>
    <n v="0"/>
    <n v="0"/>
    <n v="-227.06865999999997"/>
    <n v="8.1731400000000036"/>
    <n v="0"/>
    <n v="0"/>
    <n v="-233.53749213407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4"/>
    <s v="Regular"/>
    <s v="Verde"/>
    <s v="A4"/>
    <s v="Poder público"/>
    <s v="Não se aplica"/>
    <s v="Não se aplica"/>
    <s v="Não se aplica"/>
    <s v="Fora ponta"/>
    <s v="CATIVO"/>
    <x v="8"/>
    <n v="0"/>
    <n v="0"/>
    <n v="10.363"/>
    <n v="10.363"/>
    <n v="10.363"/>
    <n v="10.363"/>
    <m/>
    <n v="79.7"/>
    <n v="209.4"/>
    <m/>
    <n v="2995.9432999999999"/>
    <n v="2995.9432999999999"/>
    <n v="3238.6447599999997"/>
    <n v="0"/>
    <n v="554.81408160730143"/>
    <n v="0"/>
    <n v="0"/>
    <n v="0"/>
    <n v="0"/>
    <n v="0"/>
    <n v="2141.5216786323922"/>
    <n v="28.528975923879621"/>
    <n v="0"/>
    <n v="0"/>
    <n v="0"/>
    <n v="0"/>
    <n v="98.548001848426438"/>
    <m/>
    <n v="13.760450569069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.80713401132908"/>
    <n v="0"/>
    <n v="0"/>
    <n v="0"/>
    <n v="0"/>
    <n v="0"/>
    <m/>
    <m/>
    <m/>
    <m/>
    <m/>
    <m/>
    <m/>
    <m/>
    <m/>
    <n v="2300.3288126437214"/>
    <m/>
    <m/>
    <m/>
    <m/>
    <m/>
    <m/>
    <m/>
    <m/>
    <m/>
    <m/>
    <m/>
    <m/>
    <n v="3237.7071999999998"/>
    <n v="241.73389999999927"/>
    <m/>
    <m/>
    <m/>
    <m/>
    <n v="6.1141700000000352"/>
    <n v="236.58728999999983"/>
    <n v="31"/>
    <n v="242.62067105154983"/>
    <n v="0"/>
    <n v="0"/>
    <n v="0"/>
    <n v="0"/>
    <n v="0"/>
    <n v="0"/>
    <n v="0"/>
    <n v="0"/>
    <n v="0"/>
    <n v="0"/>
    <n v="236.51562080146823"/>
    <n v="0"/>
    <n v="0"/>
    <n v="0"/>
    <n v="17.539102341647805"/>
    <n v="0"/>
    <n v="-9.6715872211412943"/>
    <m/>
    <n v="0"/>
    <n v="0"/>
    <n v="0"/>
    <n v="0"/>
    <n v="-1.4443167618066752"/>
    <n v="-0.31814810861835419"/>
    <n v="0"/>
    <n v="0"/>
    <m/>
    <m/>
    <m/>
    <n v="0"/>
    <n v="0"/>
    <n v="0"/>
    <n v="6.1141700000000583"/>
    <n v="236.5872899999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5"/>
    <s v="Regular"/>
    <s v="Verde"/>
    <s v="A4"/>
    <s v="Poder público"/>
    <s v="Não se aplica"/>
    <s v="Não se aplica"/>
    <s v="Não se aplica"/>
    <s v="Não se aplica"/>
    <s v="CATIVO"/>
    <x v="8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19.649999999999999"/>
    <n v="9.09"/>
    <n v="2589.37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16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501.32499999999999"/>
    <n v="501.32499999999999"/>
    <n v="501.32499999999999"/>
    <n v="501.32499999999999"/>
    <m/>
    <n v="319.73"/>
    <n v="115.17"/>
    <m/>
    <n v="218026.24249999999"/>
    <n v="218026.24249999999"/>
    <n v="166555.20475"/>
    <n v="0"/>
    <n v="16967.77030615988"/>
    <n v="0"/>
    <n v="0"/>
    <n v="0"/>
    <n v="20456.63161561895"/>
    <n v="106267.3248907352"/>
    <n v="56979.55182352721"/>
    <n v="759.07158836933195"/>
    <n v="0"/>
    <n v="0"/>
    <n v="0"/>
    <n v="0"/>
    <n v="2622.0705746081544"/>
    <m/>
    <n v="502.64367209810024"/>
    <n v="1571.51070975638"/>
    <n v="2367.1836990772786"/>
    <n v="0"/>
    <n v="0"/>
    <n v="0"/>
    <n v="0"/>
    <n v="0"/>
    <n v="0"/>
    <n v="0"/>
    <n v="0"/>
    <n v="0"/>
    <n v="0"/>
    <m/>
    <n v="0"/>
    <n v="0"/>
    <n v="0"/>
    <n v="0"/>
    <n v="0"/>
    <n v="9532.5725023653085"/>
    <n v="0"/>
    <n v="500.56"/>
    <n v="231.37"/>
    <n v="59618.48"/>
    <n v="41"/>
    <m/>
    <m/>
    <m/>
    <m/>
    <m/>
    <m/>
    <m/>
    <m/>
    <m/>
    <n v="66512.124325892524"/>
    <m/>
    <m/>
    <m/>
    <m/>
    <m/>
    <m/>
    <m/>
    <m/>
    <m/>
    <m/>
    <m/>
    <m/>
    <n v="166556.86589999998"/>
    <n v="-51469.406600000046"/>
    <m/>
    <m/>
    <m/>
    <m/>
    <n v="-57762.666500000014"/>
    <n v="6291.628749999998"/>
    <n v="31"/>
    <n v="8146.0945407815452"/>
    <n v="189.73167894284666"/>
    <n v="285.79489455829662"/>
    <n v="0"/>
    <n v="0"/>
    <n v="0"/>
    <n v="0"/>
    <n v="0"/>
    <n v="670.61825169674194"/>
    <n v="0"/>
    <n v="0"/>
    <n v="6292.9804573060828"/>
    <n v="0"/>
    <n v="0"/>
    <n v="0"/>
    <n v="1052.8038663944953"/>
    <n v="0"/>
    <n v="-295.78425621231145"/>
    <m/>
    <n v="0"/>
    <n v="0"/>
    <n v="0"/>
    <n v="0"/>
    <n v="-38.428993084724425"/>
    <n v="-11.621358819921454"/>
    <n v="0"/>
    <n v="0"/>
    <m/>
    <m/>
    <m/>
    <n v="106267.3248907352"/>
    <n v="0"/>
    <n v="0"/>
    <n v="-57762.666500000007"/>
    <n v="6291.6287499999962"/>
    <n v="0"/>
    <n v="0"/>
    <n v="-59614.874624743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7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82.992000000000004"/>
    <n v="78.012479999999996"/>
    <n v="82.992000000000004"/>
    <n v="78.012479999999996"/>
    <m/>
    <n v="581.32000000000005"/>
    <n v="209.4"/>
    <m/>
    <n v="65623.434240000017"/>
    <n v="65623.434240000017"/>
    <n v="50132.977440000002"/>
    <n v="0"/>
    <n v="5107.1540173043941"/>
    <n v="0"/>
    <n v="0"/>
    <n v="0"/>
    <n v="6157.2714888942364"/>
    <n v="31985.557644358367"/>
    <n v="17150.358694688748"/>
    <n v="228.47406830788555"/>
    <n v="0"/>
    <n v="0"/>
    <n v="0"/>
    <n v="0"/>
    <n v="789.22085973218259"/>
    <m/>
    <n v="151.29145449926958"/>
    <n v="473.0113084837962"/>
    <n v="712.50208603136753"/>
    <n v="0"/>
    <n v="0"/>
    <n v="0"/>
    <n v="0"/>
    <n v="0"/>
    <n v="0"/>
    <n v="0"/>
    <n v="0"/>
    <n v="0"/>
    <n v="0"/>
    <m/>
    <n v="0"/>
    <n v="0"/>
    <n v="0"/>
    <n v="0"/>
    <n v="0"/>
    <n v="2869.2229486997694"/>
    <n v="0"/>
    <n v="123.99"/>
    <n v="57.31"/>
    <n v="20702.599999999999"/>
    <n v="21"/>
    <m/>
    <m/>
    <m/>
    <m/>
    <n v="3007.9786464000044"/>
    <m/>
    <m/>
    <m/>
    <m/>
    <n v="20019.581643388519"/>
    <m/>
    <m/>
    <m/>
    <m/>
    <m/>
    <m/>
    <m/>
    <m/>
    <m/>
    <m/>
    <m/>
    <m/>
    <n v="47123.500700000004"/>
    <n v="-14562.557485600002"/>
    <m/>
    <m/>
    <m/>
    <m/>
    <n v="-17385.164160000008"/>
    <n v="1894.7073599999987"/>
    <n v="31"/>
    <n v="2451.904917889573"/>
    <n v="57.107615723150332"/>
    <n v="86.021823582713751"/>
    <n v="0"/>
    <n v="0"/>
    <n v="0"/>
    <n v="0"/>
    <n v="0"/>
    <n v="201.850369048635"/>
    <n v="0"/>
    <n v="0"/>
    <n v="1894.1333978148687"/>
    <n v="0"/>
    <n v="0"/>
    <n v="0"/>
    <n v="316.88497655690026"/>
    <n v="0"/>
    <n v="-89.028536166681079"/>
    <m/>
    <n v="0"/>
    <n v="0"/>
    <n v="0"/>
    <n v="0"/>
    <n v="-11.566798870583739"/>
    <n v="-3.4979297994240426"/>
    <n v="0"/>
    <n v="0"/>
    <m/>
    <m/>
    <m/>
    <n v="31985.557644358367"/>
    <n v="0"/>
    <n v="0"/>
    <n v="-17385.164160000011"/>
    <n v="1894.7073599999967"/>
    <n v="0"/>
    <n v="0"/>
    <n v="-17943.56836150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8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39.551000000000002"/>
    <n v="39.551000000000002"/>
    <n v="39.551000000000002"/>
    <n v="39.551000000000002"/>
    <m/>
    <n v="581.32000000000005"/>
    <n v="209.4"/>
    <m/>
    <n v="31273.766720000003"/>
    <n v="31273.766720000003"/>
    <n v="23891.57257"/>
    <n v="0"/>
    <n v="2433.8857786100598"/>
    <n v="0"/>
    <n v="0"/>
    <n v="0"/>
    <n v="2934.3339678192592"/>
    <n v="15243.16549055352"/>
    <n v="8173.2436467808302"/>
    <n v="108.88251729859722"/>
    <n v="0"/>
    <n v="0"/>
    <n v="0"/>
    <n v="0"/>
    <n v="376.11425466632386"/>
    <m/>
    <n v="72.100061655347645"/>
    <n v="225.42016413440601"/>
    <n v="339.55284852306988"/>
    <n v="0"/>
    <n v="0"/>
    <n v="0"/>
    <n v="0"/>
    <n v="0"/>
    <n v="0"/>
    <n v="0"/>
    <n v="0"/>
    <n v="0"/>
    <n v="0"/>
    <m/>
    <n v="0"/>
    <n v="0"/>
    <n v="0"/>
    <n v="0"/>
    <n v="0"/>
    <n v="1367.3683830251659"/>
    <n v="0"/>
    <n v="62.05"/>
    <n v="28.71"/>
    <n v="9866.02"/>
    <n v="18"/>
    <m/>
    <m/>
    <m/>
    <m/>
    <m/>
    <m/>
    <m/>
    <m/>
    <m/>
    <n v="9540.6120298059959"/>
    <m/>
    <m/>
    <m/>
    <m/>
    <m/>
    <m/>
    <m/>
    <m/>
    <m/>
    <m/>
    <m/>
    <m/>
    <n v="23890.968499999995"/>
    <n v="-7382.8282200000031"/>
    <m/>
    <m/>
    <m/>
    <m/>
    <n v="-8285.1434800000043"/>
    <n v="902.94932999999946"/>
    <n v="31"/>
    <n v="1168.48963041559"/>
    <n v="27.21543413179964"/>
    <n v="40.994904864564205"/>
    <n v="0"/>
    <n v="0"/>
    <n v="0"/>
    <n v="0"/>
    <n v="0"/>
    <n v="96.194620520562694"/>
    <n v="0"/>
    <n v="0"/>
    <n v="902.67580028166321"/>
    <n v="0"/>
    <n v="0"/>
    <n v="0"/>
    <n v="151.01597392281155"/>
    <n v="0"/>
    <n v="-42.427795858979152"/>
    <m/>
    <n v="0"/>
    <n v="0"/>
    <n v="0"/>
    <n v="0"/>
    <n v="-5.5123200083195343"/>
    <n v="-1.6669874385123933"/>
    <n v="0"/>
    <n v="0"/>
    <m/>
    <m/>
    <m/>
    <n v="15243.16549055352"/>
    <n v="0"/>
    <n v="0"/>
    <n v="-8285.1434800000025"/>
    <n v="902.94932999999946"/>
    <n v="0"/>
    <n v="0"/>
    <n v="-8551.258823329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19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41.92"/>
    <n v="111.89"/>
    <n v="1261.81"/>
    <n v="13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20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87.69"/>
    <n v="-412.54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21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.26"/>
    <n v="10.77"/>
    <n v="262.83"/>
    <n v="2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22"/>
    <s v="Regular"/>
    <s v="Convencional"/>
    <s v="B2"/>
    <s v="Rural"/>
    <s v="Agropecuária rural"/>
    <s v="IRRIG./AQUIC."/>
    <s v="Não se aplica"/>
    <s v="Não se aplica"/>
    <s v="CATIVO"/>
    <x v="8"/>
    <n v="0"/>
    <n v="0"/>
    <n v="128.22399999999999"/>
    <n v="128.22399999999999"/>
    <n v="128.22399999999999"/>
    <n v="128.22399999999999"/>
    <m/>
    <n v="581.32000000000005"/>
    <n v="209.4"/>
    <m/>
    <n v="101389.28128"/>
    <n v="101389.28128"/>
    <n v="77456.271679999991"/>
    <n v="0"/>
    <n v="7890.6366482894564"/>
    <n v="0"/>
    <n v="0"/>
    <n v="0"/>
    <n v="9513.0853502985174"/>
    <n v="49418.210711757842"/>
    <n v="26497.585228308388"/>
    <n v="352.99617956803439"/>
    <n v="0"/>
    <n v="0"/>
    <n v="0"/>
    <n v="0"/>
    <n v="1219.3591613444592"/>
    <m/>
    <n v="233.74777643284099"/>
    <n v="730.81022290131909"/>
    <n v="1100.8273987768225"/>
    <n v="0"/>
    <n v="0"/>
    <n v="0"/>
    <n v="0"/>
    <n v="0"/>
    <n v="0"/>
    <n v="0"/>
    <n v="0"/>
    <n v="0"/>
    <n v="0"/>
    <m/>
    <n v="0"/>
    <n v="0"/>
    <n v="0"/>
    <n v="0"/>
    <n v="0"/>
    <n v="4432.9964740466448"/>
    <n v="0"/>
    <n v="0"/>
    <n v="0"/>
    <n v="0"/>
    <n v="0"/>
    <m/>
    <m/>
    <m/>
    <m/>
    <m/>
    <n v="9294.9577599999902"/>
    <m/>
    <m/>
    <m/>
    <n v="30930.581702355033"/>
    <m/>
    <m/>
    <m/>
    <m/>
    <m/>
    <m/>
    <m/>
    <m/>
    <m/>
    <m/>
    <m/>
    <m/>
    <n v="68159.187600000005"/>
    <n v="-21065.512799999968"/>
    <m/>
    <m/>
    <m/>
    <m/>
    <n v="-26860.363520000006"/>
    <n v="2927.3539199999977"/>
    <n v="31"/>
    <n v="3788.2332778035561"/>
    <n v="88.232202121713158"/>
    <n v="132.9051270853804"/>
    <n v="0"/>
    <n v="0"/>
    <n v="0"/>
    <n v="0"/>
    <n v="0"/>
    <n v="311.86212792669176"/>
    <n v="0"/>
    <n v="0"/>
    <n v="2926.467139018383"/>
    <n v="0"/>
    <n v="0"/>
    <n v="0"/>
    <n v="489.59248161307096"/>
    <n v="0"/>
    <n v="-137.55054729897438"/>
    <m/>
    <n v="0"/>
    <n v="0"/>
    <n v="0"/>
    <n v="0"/>
    <n v="-17.870893801592047"/>
    <n v="-5.4043588611112909"/>
    <n v="0"/>
    <n v="0"/>
    <m/>
    <m/>
    <m/>
    <n v="49418.210711757842"/>
    <n v="0"/>
    <n v="0"/>
    <n v="-26860.363520000006"/>
    <n v="2927.3539199999977"/>
    <n v="0"/>
    <n v="0"/>
    <n v="-27723.10716195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3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87.932000000000002"/>
    <n v="-87.932000000000002"/>
    <n v="-87.932000000000002"/>
    <n v="-87.932000000000002"/>
    <m/>
    <n v="581.32000000000005"/>
    <n v="209.4"/>
    <m/>
    <n v="-69529.591039999999"/>
    <n v="-69529.591039999999"/>
    <n v="-53117.083239999993"/>
    <n v="0"/>
    <n v="-5411.1512802391799"/>
    <n v="0"/>
    <n v="0"/>
    <n v="0"/>
    <n v="-6523.7757441855601"/>
    <n v="-33889.45988509398"/>
    <n v="-18171.213378896409"/>
    <n v="-242.07371523097396"/>
    <n v="0"/>
    <n v="0"/>
    <n v="0"/>
    <n v="0"/>
    <n v="-836.19829185909816"/>
    <m/>
    <n v="-160.2968982194642"/>
    <n v="-501.16674351259354"/>
    <n v="-754.91292448561558"/>
    <n v="0"/>
    <n v="0"/>
    <n v="0"/>
    <n v="0"/>
    <n v="0"/>
    <n v="0"/>
    <n v="0"/>
    <n v="0"/>
    <n v="0"/>
    <n v="0"/>
    <m/>
    <n v="0"/>
    <n v="0"/>
    <n v="0"/>
    <n v="0"/>
    <n v="0"/>
    <n v="-3040.0100289795173"/>
    <n v="0"/>
    <n v="0"/>
    <n v="0"/>
    <n v="0"/>
    <n v="0"/>
    <m/>
    <m/>
    <m/>
    <m/>
    <m/>
    <n v="-6374.1906799999942"/>
    <m/>
    <m/>
    <m/>
    <n v="-21211.223407875928"/>
    <m/>
    <m/>
    <m/>
    <m/>
    <m/>
    <m/>
    <m/>
    <m/>
    <m/>
    <m/>
    <m/>
    <m/>
    <n v="-46741.829400000002"/>
    <n v="14445.62279999999"/>
    <m/>
    <m/>
    <m/>
    <m/>
    <n v="18419.995360000008"/>
    <n v="-2007.4875599999987"/>
    <n v="31"/>
    <n v="-2597.8516391925295"/>
    <n v="-60.506878563814041"/>
    <n v="-91.142170224541928"/>
    <n v="0"/>
    <n v="0"/>
    <n v="0"/>
    <n v="0"/>
    <n v="0"/>
    <n v="-213.86527196819588"/>
    <n v="0"/>
    <n v="0"/>
    <n v="-2006.8794333990882"/>
    <n v="0"/>
    <n v="0"/>
    <n v="0"/>
    <n v="-335.74717754243011"/>
    <n v="0"/>
    <n v="94.327853795650299"/>
    <m/>
    <n v="0"/>
    <n v="0"/>
    <n v="0"/>
    <n v="0"/>
    <n v="12.255298803356595"/>
    <n v="3.706139906532627"/>
    <n v="0"/>
    <n v="0"/>
    <m/>
    <m/>
    <m/>
    <n v="-33889.45988509398"/>
    <n v="0"/>
    <n v="0"/>
    <n v="18419.995360000008"/>
    <n v="-2007.4875599999978"/>
    <n v="0"/>
    <n v="0"/>
    <n v="19011.637906830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4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11.782"/>
    <n v="11.782"/>
    <n v="11.782"/>
    <n v="11.782"/>
    <m/>
    <n v="581.32000000000005"/>
    <n v="209.4"/>
    <m/>
    <n v="9316.2630399999998"/>
    <n v="9316.2630399999998"/>
    <n v="7117.1527399999995"/>
    <n v="0"/>
    <n v="725.0396258902108"/>
    <n v="0"/>
    <n v="0"/>
    <n v="0"/>
    <n v="874.12006798428638"/>
    <n v="4540.8453846856355"/>
    <n v="2434.7590869098567"/>
    <n v="32.435433208062314"/>
    <n v="0"/>
    <n v="0"/>
    <n v="0"/>
    <n v="0"/>
    <n v="112.04212658285827"/>
    <m/>
    <n v="21.478165569095747"/>
    <n v="67.151282491759275"/>
    <n v="101.15070823237868"/>
    <n v="0"/>
    <n v="0"/>
    <n v="0"/>
    <n v="0"/>
    <n v="0"/>
    <n v="0"/>
    <n v="0"/>
    <n v="0"/>
    <n v="0"/>
    <n v="0"/>
    <m/>
    <n v="0"/>
    <n v="0"/>
    <n v="0"/>
    <n v="0"/>
    <n v="0"/>
    <n v="407.33064369554512"/>
    <n v="0"/>
    <n v="0"/>
    <n v="0"/>
    <n v="0"/>
    <n v="0"/>
    <m/>
    <m/>
    <m/>
    <m/>
    <m/>
    <n v="854.07717999999909"/>
    <m/>
    <m/>
    <m/>
    <n v="2842.0897306054017"/>
    <m/>
    <m/>
    <m/>
    <m/>
    <m/>
    <m/>
    <m/>
    <m/>
    <m/>
    <m/>
    <m/>
    <m/>
    <n v="6262.0123999999996"/>
    <n v="-1936.5223000000005"/>
    <m/>
    <m/>
    <m/>
    <m/>
    <n v="-2468.0933600000008"/>
    <n v="268.9830599999998"/>
    <n v="31"/>
    <n v="348.08588469460847"/>
    <n v="8.1073106859716262"/>
    <n v="12.212130391502001"/>
    <n v="0"/>
    <n v="0"/>
    <n v="0"/>
    <n v="0"/>
    <n v="0"/>
    <n v="28.65578667981265"/>
    <n v="0"/>
    <n v="0"/>
    <n v="268.90157717677312"/>
    <n v="0"/>
    <n v="0"/>
    <n v="0"/>
    <n v="44.986731176419426"/>
    <n v="0"/>
    <n v="-12.638979818727535"/>
    <m/>
    <n v="0"/>
    <n v="0"/>
    <n v="0"/>
    <n v="0"/>
    <n v="-1.6420862769088274"/>
    <n v="-0.49658532023344648"/>
    <n v="0"/>
    <n v="0"/>
    <m/>
    <m/>
    <m/>
    <n v="4540.8453846856355"/>
    <n v="0"/>
    <n v="0"/>
    <n v="-2468.0933600000008"/>
    <n v="268.98306000000002"/>
    <n v="0"/>
    <n v="0"/>
    <n v="-2547.36748644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5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106.291"/>
    <n v="42.516399999999997"/>
    <n v="106.291"/>
    <n v="42.516399999999997"/>
    <m/>
    <n v="581.32000000000005"/>
    <n v="209.4"/>
    <m/>
    <n v="84046.41952000001"/>
    <n v="84046.41952000001"/>
    <n v="64207.204369999992"/>
    <n v="0"/>
    <n v="6540.9257236034955"/>
    <n v="0"/>
    <n v="0"/>
    <n v="0"/>
    <n v="7885.8509714919182"/>
    <n v="40965.116006078839"/>
    <n v="21965.114420873837"/>
    <n v="292.61539900850033"/>
    <n v="0"/>
    <n v="0"/>
    <n v="0"/>
    <n v="0"/>
    <n v="1010.785068461941"/>
    <m/>
    <n v="193.76470009376641"/>
    <n v="605.8035110619237"/>
    <n v="912.52842715394343"/>
    <n v="0"/>
    <n v="0"/>
    <n v="0"/>
    <n v="0"/>
    <n v="0"/>
    <n v="0"/>
    <n v="0"/>
    <n v="0"/>
    <n v="0"/>
    <n v="0"/>
    <m/>
    <n v="0"/>
    <n v="0"/>
    <n v="0"/>
    <n v="0"/>
    <n v="0"/>
    <n v="3674.7225809746378"/>
    <n v="0"/>
    <n v="0"/>
    <n v="0"/>
    <n v="0"/>
    <n v="0"/>
    <m/>
    <m/>
    <m/>
    <m/>
    <m/>
    <m/>
    <n v="41606.336457999991"/>
    <m/>
    <m/>
    <n v="25639.837001848475"/>
    <m/>
    <m/>
    <m/>
    <m/>
    <m/>
    <m/>
    <m/>
    <m/>
    <m/>
    <m/>
    <m/>
    <m/>
    <n v="22602.781600000002"/>
    <n v="-6982.2853399999913"/>
    <m/>
    <m/>
    <m/>
    <m/>
    <n v="-22265.838680000008"/>
    <n v="2426.623529999998"/>
    <n v="31"/>
    <n v="3140.2475615408912"/>
    <n v="73.139887975098418"/>
    <n v="110.17140990011376"/>
    <n v="0"/>
    <n v="0"/>
    <n v="0"/>
    <n v="0"/>
    <n v="0"/>
    <n v="258.5174182637893"/>
    <n v="0"/>
    <n v="0"/>
    <n v="2425.8884348749307"/>
    <n v="0"/>
    <n v="0"/>
    <n v="0"/>
    <n v="405.84660019290413"/>
    <n v="0"/>
    <n v="-114.0222206681683"/>
    <m/>
    <n v="0"/>
    <n v="0"/>
    <n v="0"/>
    <n v="0"/>
    <n v="-14.814037723554293"/>
    <n v="-4.4799312742262032"/>
    <n v="0"/>
    <n v="0"/>
    <m/>
    <m/>
    <m/>
    <n v="40965.116006078839"/>
    <n v="0"/>
    <n v="0"/>
    <n v="-22265.838680000008"/>
    <n v="2426.6235299999971"/>
    <n v="0"/>
    <n v="0"/>
    <n v="-22981.00810575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6"/>
    <s v="Refaturamento - Regular"/>
    <s v="Convencional"/>
    <s v="B2"/>
    <s v="Rural"/>
    <s v="Agropecuária rural"/>
    <s v="IRRIG./AQUIC. PR"/>
    <s v="Não se aplica"/>
    <s v="Não se aplica"/>
    <s v="CATIVO"/>
    <x v="8"/>
    <n v="0"/>
    <n v="0"/>
    <n v="2.7909999999999999"/>
    <n v="1.1164000000000001"/>
    <n v="2.7909999999999999"/>
    <n v="1.1164000000000001"/>
    <m/>
    <n v="581.32000000000005"/>
    <n v="209.4"/>
    <m/>
    <n v="2206.8995199999999"/>
    <n v="2206.8995199999999"/>
    <n v="1685.9593699999998"/>
    <n v="0"/>
    <n v="171.75229976740604"/>
    <n v="0"/>
    <n v="0"/>
    <n v="0"/>
    <n v="207.06748512511825"/>
    <n v="1075.6662254844346"/>
    <n v="576.76223150275075"/>
    <n v="7.6835252150485402"/>
    <n v="0"/>
    <n v="0"/>
    <n v="0"/>
    <n v="0"/>
    <n v="26.541298191542815"/>
    <m/>
    <n v="5.0878934054783755"/>
    <n v="15.907250843193019"/>
    <n v="23.961265207653106"/>
    <n v="0"/>
    <n v="0"/>
    <n v="0"/>
    <n v="0"/>
    <n v="0"/>
    <n v="0"/>
    <n v="0"/>
    <n v="0"/>
    <n v="0"/>
    <n v="0"/>
    <m/>
    <n v="0"/>
    <n v="0"/>
    <n v="0"/>
    <n v="0"/>
    <n v="0"/>
    <n v="96.491243129711961"/>
    <n v="0"/>
    <n v="0"/>
    <n v="0"/>
    <n v="0"/>
    <n v="0"/>
    <m/>
    <m/>
    <m/>
    <m/>
    <m/>
    <m/>
    <n v="1092.5034579999999"/>
    <m/>
    <m/>
    <n v="673.25347463246271"/>
    <m/>
    <m/>
    <m/>
    <m/>
    <m/>
    <m/>
    <m/>
    <m/>
    <m/>
    <m/>
    <m/>
    <m/>
    <n v="595.3696000000001"/>
    <n v="-181.50733999999989"/>
    <m/>
    <m/>
    <m/>
    <m/>
    <n v="-584.65868000000023"/>
    <n v="63.718529999999951"/>
    <n v="31"/>
    <n v="82.45694314909656"/>
    <n v="1.9205146939863162"/>
    <n v="2.8928922018911969"/>
    <n v="0"/>
    <n v="0"/>
    <n v="0"/>
    <n v="0"/>
    <n v="0"/>
    <n v="6.7881769328940038"/>
    <n v="0"/>
    <n v="0"/>
    <n v="63.699227796670698"/>
    <n v="0"/>
    <n v="0"/>
    <n v="0"/>
    <n v="10.65676173089345"/>
    <n v="0"/>
    <n v="-2.9940071867313236"/>
    <m/>
    <n v="0"/>
    <n v="0"/>
    <n v="0"/>
    <n v="0"/>
    <n v="-0.38898852477105095"/>
    <n v="-0.11763449573684781"/>
    <n v="0"/>
    <n v="0"/>
    <m/>
    <m/>
    <m/>
    <n v="1075.6662254844346"/>
    <n v="0"/>
    <n v="0"/>
    <n v="-584.65868000000023"/>
    <n v="63.718529999999987"/>
    <n v="0"/>
    <n v="0"/>
    <n v="-603.43767226906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7"/>
    <s v="Sistema de Compensação"/>
    <s v="Convencional"/>
    <s v="B2"/>
    <s v="Rural"/>
    <s v="Agropecuária rural"/>
    <s v="IRRIG./AQUIC. PR"/>
    <s v="Não se aplica"/>
    <s v="Não se aplica"/>
    <s v="CATIVO"/>
    <x v="8"/>
    <n v="0"/>
    <n v="0"/>
    <n v="8.266"/>
    <n v="3.3064"/>
    <n v="8.266"/>
    <n v="3.3064"/>
    <m/>
    <n v="581.32000000000005"/>
    <n v="209.4"/>
    <m/>
    <n v="6536.0915199999999"/>
    <n v="6536.0915199999999"/>
    <n v="4993.2426199999991"/>
    <n v="0"/>
    <n v="508.67234320221371"/>
    <n v="0"/>
    <n v="0"/>
    <n v="0"/>
    <n v="613.26400288220259"/>
    <n v="3185.760308081095"/>
    <n v="1708.1750647086126"/>
    <n v="22.756008393977513"/>
    <n v="0"/>
    <n v="0"/>
    <n v="0"/>
    <n v="0"/>
    <n v="78.606367198600111"/>
    <m/>
    <n v="15.068623034641439"/>
    <n v="47.111908086647617"/>
    <n v="70.965180296116287"/>
    <n v="0"/>
    <n v="0"/>
    <n v="0"/>
    <n v="0"/>
    <n v="0"/>
    <n v="0"/>
    <n v="0"/>
    <n v="0"/>
    <n v="0"/>
    <n v="0"/>
    <m/>
    <n v="0"/>
    <n v="0"/>
    <n v="0"/>
    <n v="0"/>
    <n v="0"/>
    <n v="285.77449505918997"/>
    <n v="0"/>
    <n v="0"/>
    <n v="0"/>
    <n v="0"/>
    <n v="0"/>
    <m/>
    <m/>
    <m/>
    <m/>
    <m/>
    <m/>
    <n v="3235.6265079999998"/>
    <m/>
    <m/>
    <n v="1993.9495597678026"/>
    <m/>
    <m/>
    <m/>
    <m/>
    <m/>
    <m/>
    <m/>
    <m/>
    <m/>
    <m/>
    <m/>
    <m/>
    <n v="1759.5298000000003"/>
    <n v="-541.25864000000001"/>
    <m/>
    <m/>
    <m/>
    <m/>
    <n v="-1731.5616800000007"/>
    <n v="188.71277999999987"/>
    <n v="31"/>
    <n v="244.20963528141601"/>
    <n v="5.6879163240741306"/>
    <n v="8.5677703120145594"/>
    <n v="0"/>
    <n v="0"/>
    <n v="0"/>
    <n v="0"/>
    <n v="0"/>
    <n v="20.104288974310975"/>
    <n v="0"/>
    <n v="0"/>
    <n v="188.6556133884917"/>
    <n v="0"/>
    <n v="0"/>
    <n v="0"/>
    <n v="31.561731446637452"/>
    <n v="0"/>
    <n v="-8.8672387694450663"/>
    <m/>
    <n v="0"/>
    <n v="0"/>
    <n v="0"/>
    <n v="0"/>
    <n v="-1.1520527215182739"/>
    <n v="-0.34839367314969039"/>
    <n v="0"/>
    <n v="0"/>
    <m/>
    <m/>
    <m/>
    <n v="3185.760308081095"/>
    <n v="0"/>
    <n v="0"/>
    <n v="-1731.5616800000007"/>
    <n v="188.71277999999984"/>
    <n v="0"/>
    <n v="0"/>
    <n v="-1787.1787169387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8"/>
    <s v="Regular"/>
    <s v="Verde"/>
    <s v="A4"/>
    <s v="Rural"/>
    <s v="Agropecuária rural"/>
    <s v="Não se aplica"/>
    <s v="Não se aplica"/>
    <s v="Ponta"/>
    <s v="CATIVO"/>
    <x v="8"/>
    <n v="0"/>
    <n v="0"/>
    <n v="27.526"/>
    <n v="26.424959999999999"/>
    <n v="27.526"/>
    <n v="26.424959999999999"/>
    <m/>
    <n v="1614.19"/>
    <n v="209.4"/>
    <m/>
    <n v="50196.138340000005"/>
    <n v="50196.138340000005"/>
    <n v="33365.640899999999"/>
    <n v="0"/>
    <n v="1473.6864238466253"/>
    <n v="0"/>
    <n v="0"/>
    <n v="0"/>
    <n v="8572.0916022088622"/>
    <n v="32008.240695934604"/>
    <n v="5688.2684286437543"/>
    <n v="75.778113604237234"/>
    <n v="0"/>
    <n v="0"/>
    <n v="0"/>
    <n v="0"/>
    <n v="261.76129488370032"/>
    <m/>
    <n v="36.550242435994512"/>
    <n v="665.98951581068263"/>
    <n v="992.00136174392719"/>
    <n v="0"/>
    <n v="0"/>
    <n v="0"/>
    <n v="0"/>
    <n v="0"/>
    <n v="0"/>
    <n v="0"/>
    <n v="0"/>
    <n v="0"/>
    <n v="0"/>
    <m/>
    <n v="0"/>
    <n v="0"/>
    <n v="0"/>
    <n v="0"/>
    <n v="0"/>
    <n v="421.82043527895826"/>
    <n v="0"/>
    <n v="0"/>
    <n v="0"/>
    <n v="0"/>
    <n v="0"/>
    <m/>
    <m/>
    <m/>
    <m/>
    <m/>
    <n v="1334.6256360000014"/>
    <m/>
    <m/>
    <m/>
    <n v="6110.0888639227123"/>
    <m/>
    <m/>
    <m/>
    <m/>
    <m/>
    <m/>
    <m/>
    <m/>
    <m/>
    <m/>
    <m/>
    <m/>
    <n v="32025.003000000001"/>
    <n v="-16163.319806400006"/>
    <m/>
    <m/>
    <m/>
    <m/>
    <n v="-17458.916020000004"/>
    <n v="628.41857999999957"/>
    <n v="31"/>
    <n v="1125.6309941525615"/>
    <n v="80.406266536152543"/>
    <n v="119.76633866303155"/>
    <n v="0"/>
    <n v="0"/>
    <n v="0"/>
    <n v="0"/>
    <n v="0"/>
    <n v="281.01405899439123"/>
    <n v="0"/>
    <n v="0"/>
    <n v="628.22821366218523"/>
    <n v="0"/>
    <n v="0"/>
    <n v="0"/>
    <n v="46.587024129711267"/>
    <n v="0"/>
    <n v="-25.689482760700002"/>
    <m/>
    <n v="0"/>
    <n v="0"/>
    <n v="0"/>
    <n v="0"/>
    <n v="-3.8363662245961905"/>
    <n v="-0.84505884761448158"/>
    <n v="0"/>
    <n v="0"/>
    <m/>
    <m/>
    <m/>
    <n v="32008.240695934604"/>
    <n v="0"/>
    <n v="0"/>
    <n v="-17458.916020000004"/>
    <n v="628.41857999999957"/>
    <n v="0"/>
    <n v="0"/>
    <n v="-17956.29331978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29"/>
    <s v="Sistema de Compensação"/>
    <s v="Verde"/>
    <s v="A4"/>
    <s v="Rural"/>
    <s v="Agropecuária rural"/>
    <s v="Não se aplica"/>
    <s v="Não se aplica"/>
    <s v="Ponta"/>
    <s v="CATIVO"/>
    <x v="8"/>
    <n v="0"/>
    <n v="0"/>
    <n v="0.96499999999999997"/>
    <n v="0.9264"/>
    <n v="0.96499999999999997"/>
    <n v="0.9264"/>
    <m/>
    <n v="1614.19"/>
    <n v="209.4"/>
    <m/>
    <n v="1759.7643499999999"/>
    <n v="1759.7643499999999"/>
    <n v="1169.7247499999999"/>
    <n v="0"/>
    <n v="51.664150222044377"/>
    <n v="0"/>
    <n v="0"/>
    <n v="0"/>
    <n v="300.51836068195712"/>
    <n v="1122.1373345773775"/>
    <n v="199.41796968833913"/>
    <n v="2.6566111904413621"/>
    <n v="0"/>
    <n v="0"/>
    <n v="0"/>
    <n v="0"/>
    <n v="9.1767655875452583"/>
    <m/>
    <n v="1.2813697577103358"/>
    <n v="23.348102984716583"/>
    <n v="34.777349200134047"/>
    <n v="0"/>
    <n v="0"/>
    <n v="0"/>
    <n v="0"/>
    <n v="0"/>
    <n v="0"/>
    <n v="0"/>
    <n v="0"/>
    <n v="0"/>
    <n v="0"/>
    <m/>
    <n v="0"/>
    <n v="0"/>
    <n v="0"/>
    <n v="0"/>
    <n v="0"/>
    <n v="14.788081088577879"/>
    <n v="0"/>
    <n v="0"/>
    <n v="0"/>
    <n v="0"/>
    <n v="0"/>
    <m/>
    <m/>
    <m/>
    <m/>
    <m/>
    <n v="46.788989999999963"/>
    <m/>
    <m/>
    <m/>
    <n v="214.20605077691701"/>
    <m/>
    <m/>
    <m/>
    <m/>
    <m/>
    <m/>
    <m/>
    <m/>
    <m/>
    <m/>
    <m/>
    <m/>
    <n v="1127.2995000000001"/>
    <n v="-562.1042759999998"/>
    <m/>
    <m/>
    <m/>
    <m/>
    <n v="-612.07055000000003"/>
    <n v="22.030949999999983"/>
    <n v="31"/>
    <n v="39.462105258926954"/>
    <n v="2.8188638816895768"/>
    <n v="4.1987399843720681"/>
    <n v="0"/>
    <n v="0"/>
    <n v="0"/>
    <n v="0"/>
    <n v="0"/>
    <n v="9.8517244397873469"/>
    <n v="0"/>
    <n v="0"/>
    <n v="22.024276181937381"/>
    <n v="0"/>
    <n v="0"/>
    <n v="0"/>
    <n v="1.6332368773222186"/>
    <n v="0"/>
    <n v="-0.9006158128342534"/>
    <m/>
    <n v="0"/>
    <n v="0"/>
    <n v="0"/>
    <n v="0"/>
    <n v="-0.13449442006595014"/>
    <n v="-2.9625873281550863E-2"/>
    <n v="0"/>
    <n v="0"/>
    <m/>
    <m/>
    <m/>
    <n v="1122.1373345773775"/>
    <n v="0"/>
    <n v="0"/>
    <n v="-612.07055000000003"/>
    <n v="22.03094999999999"/>
    <n v="0"/>
    <n v="0"/>
    <n v="-629.50748578039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0"/>
    <s v="Regular"/>
    <s v="Verde"/>
    <s v="A4"/>
    <s v="Rural"/>
    <s v="Agropecuária rural"/>
    <s v="Não se aplica"/>
    <s v="Não se aplica"/>
    <s v="Fora ponta"/>
    <s v="CATIVO"/>
    <x v="8"/>
    <n v="0"/>
    <n v="0"/>
    <n v="907.41700000000003"/>
    <n v="871.12031999999999"/>
    <n v="907.41700000000003"/>
    <n v="871.12031999999999"/>
    <m/>
    <n v="79.7"/>
    <n v="209.4"/>
    <m/>
    <n v="262334.25470000005"/>
    <n v="262334.25470000005"/>
    <n v="283585.96084000001"/>
    <n v="0"/>
    <n v="48581.272748224706"/>
    <n v="0"/>
    <n v="0"/>
    <n v="0"/>
    <n v="0"/>
    <n v="0"/>
    <n v="187518.39979345453"/>
    <n v="2498.0872089085283"/>
    <n v="0"/>
    <n v="0"/>
    <n v="0"/>
    <n v="0"/>
    <n v="8629.174196014048"/>
    <m/>
    <n v="1204.9084988935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05.654069589715"/>
    <n v="0"/>
    <n v="0"/>
    <n v="0"/>
    <n v="0"/>
    <n v="0"/>
    <m/>
    <m/>
    <m/>
    <m/>
    <m/>
    <n v="11343.438433600011"/>
    <m/>
    <m/>
    <m/>
    <n v="201424.05386304425"/>
    <m/>
    <m/>
    <m/>
    <m/>
    <m/>
    <m/>
    <m/>
    <m/>
    <m/>
    <m/>
    <m/>
    <m/>
    <n v="272242.42239999998"/>
    <n v="20401.507887999993"/>
    <m/>
    <m/>
    <m/>
    <m/>
    <n v="535.37603000000308"/>
    <n v="20716.330109999988"/>
    <n v="31"/>
    <n v="21244.632004591811"/>
    <n v="0"/>
    <n v="0"/>
    <n v="0"/>
    <n v="0"/>
    <n v="0"/>
    <n v="0"/>
    <n v="0"/>
    <n v="0"/>
    <n v="0"/>
    <n v="0"/>
    <n v="20710.054528689216"/>
    <n v="0"/>
    <n v="0"/>
    <n v="0"/>
    <n v="1535.7791787659007"/>
    <n v="0"/>
    <n v="-846.87471402550727"/>
    <m/>
    <n v="0"/>
    <n v="0"/>
    <n v="0"/>
    <n v="0"/>
    <n v="-126.46893593055393"/>
    <n v="-27.858052907279898"/>
    <n v="0"/>
    <n v="0"/>
    <m/>
    <m/>
    <m/>
    <n v="0"/>
    <n v="0"/>
    <n v="0"/>
    <n v="535.37602999999945"/>
    <n v="20716.33010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1"/>
    <s v="Sistema de Compensação"/>
    <s v="Verde"/>
    <s v="A4"/>
    <s v="Rural"/>
    <s v="Agropecuária rural"/>
    <s v="Não se aplica"/>
    <s v="Não se aplica"/>
    <s v="Fora ponta"/>
    <s v="CATIVO"/>
    <x v="8"/>
    <n v="0"/>
    <n v="0"/>
    <n v="158.14599999999999"/>
    <n v="151.82015999999999"/>
    <n v="158.14599999999999"/>
    <n v="151.82015999999999"/>
    <m/>
    <n v="79.7"/>
    <n v="209.4"/>
    <m/>
    <n v="45720.008600000001"/>
    <n v="45720.008600000001"/>
    <n v="49423.787919999995"/>
    <n v="0"/>
    <n v="8466.81730675174"/>
    <n v="0"/>
    <n v="0"/>
    <n v="0"/>
    <n v="0"/>
    <n v="0"/>
    <n v="32680.988843867439"/>
    <n v="435.37039722646597"/>
    <n v="0"/>
    <n v="0"/>
    <n v="0"/>
    <n v="0"/>
    <n v="1503.905461769878"/>
    <m/>
    <n v="209.99326601332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3.4983127815931"/>
    <n v="0"/>
    <n v="0"/>
    <n v="0"/>
    <n v="0"/>
    <n v="0"/>
    <m/>
    <m/>
    <m/>
    <m/>
    <m/>
    <n v="1976.9515167999998"/>
    <m/>
    <m/>
    <m/>
    <n v="35104.487156649033"/>
    <m/>
    <m/>
    <m/>
    <m/>
    <m/>
    <m/>
    <m/>
    <m/>
    <m/>
    <m/>
    <m/>
    <m/>
    <n v="47446.786399999997"/>
    <n v="3555.548143999993"/>
    <m/>
    <m/>
    <m/>
    <m/>
    <n v="93.306140000000525"/>
    <n v="3610.4731799999972"/>
    <n v="31"/>
    <n v="3702.5464290377568"/>
    <n v="0"/>
    <n v="0"/>
    <n v="0"/>
    <n v="0"/>
    <n v="0"/>
    <n v="0"/>
    <n v="0"/>
    <n v="0"/>
    <n v="0"/>
    <n v="0"/>
    <n v="3609.3794622473215"/>
    <n v="0"/>
    <n v="0"/>
    <n v="0"/>
    <n v="267.65790590777124"/>
    <n v="0"/>
    <n v="-147.59459931242054"/>
    <m/>
    <n v="0"/>
    <n v="0"/>
    <n v="0"/>
    <n v="0"/>
    <n v="-22.041196430828677"/>
    <n v="-4.8551433740768459"/>
    <n v="0"/>
    <n v="0"/>
    <m/>
    <m/>
    <m/>
    <n v="0"/>
    <n v="0"/>
    <n v="0"/>
    <n v="93.306140000000596"/>
    <n v="3610.473179999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2"/>
    <s v="Regular"/>
    <s v="Verde"/>
    <s v="A4"/>
    <s v="Rural"/>
    <s v="Agropecuária rural"/>
    <s v="Não se aplica"/>
    <s v="Não se aplica"/>
    <s v="Não se aplica"/>
    <s v="CATIVO"/>
    <x v="8"/>
    <n v="25178"/>
    <n v="24170.880000000001"/>
    <n v="0"/>
    <n v="0"/>
    <n v="0"/>
    <n v="0"/>
    <n v="44.35"/>
    <m/>
    <m/>
    <n v="1116644.3"/>
    <m/>
    <n v="1116644.3"/>
    <n v="729406.65999999992"/>
    <n v="0"/>
    <n v="0"/>
    <n v="0"/>
    <n v="0"/>
    <n v="0"/>
    <n v="330387.31953861169"/>
    <n v="723057.93378251279"/>
    <m/>
    <m/>
    <m/>
    <n v="0"/>
    <n v="0"/>
    <n v="0"/>
    <n v="0"/>
    <m/>
    <n v="0"/>
    <n v="24969.543574639825"/>
    <n v="38202.362703230399"/>
    <n v="0"/>
    <n v="0"/>
    <m/>
    <m/>
    <n v="0"/>
    <n v="0"/>
    <n v="0"/>
    <m/>
    <m/>
    <n v="0"/>
    <m/>
    <n v="0"/>
    <n v="0"/>
    <n v="0"/>
    <n v="0"/>
    <m/>
    <n v="0"/>
    <n v="0"/>
    <n v="2666.16"/>
    <n v="1231.94"/>
    <n v="1043.3"/>
    <n v="127"/>
    <m/>
    <m/>
    <m/>
    <m/>
    <m/>
    <n v="29176.266399999968"/>
    <m/>
    <m/>
    <m/>
    <n v="0"/>
    <m/>
    <m/>
    <m/>
    <m/>
    <m/>
    <m/>
    <m/>
    <m/>
    <m/>
    <m/>
    <m/>
    <m/>
    <n v="700230.39359999995"/>
    <n v="-371748.16440000024"/>
    <m/>
    <m/>
    <m/>
    <m/>
    <n v="-387237.64000000007"/>
    <n v="0"/>
    <n v="31"/>
    <n v="18457.774238512444"/>
    <n v="3014.623696447663"/>
    <n v="4612.2488190939694"/>
    <n v="0"/>
    <n v="0"/>
    <m/>
    <m/>
    <m/>
    <n v="10830.9017229708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3057.93378251279"/>
    <m/>
    <n v="0"/>
    <n v="0"/>
    <n v="-387237.64000000013"/>
    <m/>
    <n v="0"/>
    <m/>
    <n v="-405628.0527734342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33"/>
    <s v="Sistema de Compensação"/>
    <s v="Verde"/>
    <s v="A4"/>
    <s v="Rural"/>
    <s v="Agropecuária rural"/>
    <s v="Não se aplica"/>
    <s v="Não se aplica"/>
    <s v="Não se aplica"/>
    <s v="CATIVO"/>
    <x v="8"/>
    <n v="3755"/>
    <n v="3604.8"/>
    <n v="0"/>
    <n v="0"/>
    <n v="0"/>
    <n v="0"/>
    <n v="44.35"/>
    <m/>
    <m/>
    <n v="166534.25"/>
    <m/>
    <n v="166534.25"/>
    <n v="108782.34999999999"/>
    <n v="0"/>
    <n v="0"/>
    <n v="0"/>
    <n v="0"/>
    <n v="0"/>
    <n v="49273.349148760302"/>
    <n v="107835.51280297623"/>
    <m/>
    <m/>
    <m/>
    <n v="0"/>
    <n v="0"/>
    <n v="0"/>
    <n v="0"/>
    <m/>
    <n v="0"/>
    <n v="3723.9111971869311"/>
    <n v="5697.4291822476034"/>
    <n v="0"/>
    <n v="0"/>
    <m/>
    <m/>
    <n v="0"/>
    <n v="0"/>
    <n v="0"/>
    <m/>
    <m/>
    <n v="0"/>
    <m/>
    <n v="0"/>
    <n v="0"/>
    <n v="0"/>
    <n v="0"/>
    <m/>
    <n v="0"/>
    <n v="0"/>
    <n v="315.27"/>
    <n v="145.68"/>
    <n v="1596.57"/>
    <n v="18"/>
    <m/>
    <m/>
    <m/>
    <m/>
    <m/>
    <n v="4351.2939999999944"/>
    <m/>
    <m/>
    <m/>
    <n v="0"/>
    <m/>
    <m/>
    <m/>
    <m/>
    <m/>
    <m/>
    <m/>
    <m/>
    <m/>
    <m/>
    <m/>
    <m/>
    <n v="104431.056"/>
    <n v="-55441.854000000036"/>
    <m/>
    <m/>
    <m/>
    <m/>
    <n v="-57751.900000000009"/>
    <n v="0"/>
    <n v="31"/>
    <n v="2752.7580532851862"/>
    <n v="449.59536024151885"/>
    <n v="687.86219380800048"/>
    <n v="0"/>
    <n v="0"/>
    <m/>
    <m/>
    <m/>
    <n v="1615.30049923565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7835.51280297623"/>
    <m/>
    <n v="0"/>
    <n v="0"/>
    <n v="-57751.900000000009"/>
    <m/>
    <n v="0"/>
    <m/>
    <n v="-60494.61188991363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34"/>
    <s v="Sistema de Compensação"/>
    <s v="Verde"/>
    <s v="A4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1299999999999999"/>
    <n v="-5.19"/>
    <n v="0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35"/>
    <s v="Regular"/>
    <s v="Verde"/>
    <s v="A4"/>
    <s v="Rural"/>
    <s v="Agropecuária rural"/>
    <s v="IRRIG./AQUIC. PR"/>
    <s v="Não se aplica"/>
    <s v="Fora ponta"/>
    <s v="CATIVO"/>
    <x v="8"/>
    <n v="0"/>
    <n v="0"/>
    <n v="944.27800000000002"/>
    <n v="283.28339999999997"/>
    <n v="944.27800000000002"/>
    <n v="283.28339999999997"/>
    <m/>
    <n v="79.7"/>
    <n v="209.4"/>
    <m/>
    <n v="272990.76980000001"/>
    <n v="272990.76980000001"/>
    <n v="295105.76056000002"/>
    <n v="0"/>
    <n v="50554.736210747797"/>
    <n v="0"/>
    <n v="0"/>
    <n v="0"/>
    <n v="0"/>
    <n v="0"/>
    <n v="195135.7529340575"/>
    <n v="2599.5642504534599"/>
    <n v="0"/>
    <n v="0"/>
    <n v="0"/>
    <n v="0"/>
    <n v="8979.7076222549858"/>
    <m/>
    <n v="1253.8541679494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70.528118300666"/>
    <n v="0"/>
    <n v="0"/>
    <n v="0"/>
    <n v="0"/>
    <n v="0"/>
    <m/>
    <m/>
    <m/>
    <m/>
    <m/>
    <m/>
    <n v="206574.03239199999"/>
    <m/>
    <m/>
    <n v="209606.28105235816"/>
    <m/>
    <m/>
    <m/>
    <m/>
    <m/>
    <m/>
    <m/>
    <m/>
    <m/>
    <m/>
    <m/>
    <m/>
    <n v="88530.665599999993"/>
    <n v="6633.4046600000001"/>
    <m/>
    <m/>
    <m/>
    <m/>
    <n v="557.12402000000327"/>
    <n v="21557.866739999987"/>
    <n v="31"/>
    <n v="22107.629259791167"/>
    <n v="0"/>
    <n v="0"/>
    <n v="0"/>
    <n v="0"/>
    <n v="0"/>
    <n v="0"/>
    <n v="0"/>
    <n v="0"/>
    <n v="0"/>
    <n v="0"/>
    <n v="21551.336232670961"/>
    <n v="0"/>
    <n v="0"/>
    <n v="0"/>
    <n v="1598.1654425327142"/>
    <n v="0"/>
    <n v="-881.27637151451199"/>
    <m/>
    <n v="0"/>
    <n v="0"/>
    <n v="0"/>
    <n v="0"/>
    <n v="-131.60634403215954"/>
    <n v="-28.989699865861439"/>
    <n v="0"/>
    <n v="0"/>
    <m/>
    <m/>
    <m/>
    <n v="0"/>
    <n v="0"/>
    <n v="0"/>
    <n v="557.12402000000293"/>
    <n v="21557.8667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6"/>
    <s v="Regular"/>
    <s v="Convencional"/>
    <s v="B1"/>
    <s v="Residencial"/>
    <s v="Residencial"/>
    <s v="Não se aplica"/>
    <s v="Não se aplica"/>
    <s v="Não se aplica"/>
    <s v="CATIVO"/>
    <x v="9"/>
    <n v="0"/>
    <n v="0"/>
    <n v="1322.377"/>
    <n v="1322.377"/>
    <n v="1322.377"/>
    <n v="1322.377"/>
    <m/>
    <n v="581.32000000000005"/>
    <n v="209.4"/>
    <m/>
    <n v="1045629.94144"/>
    <n v="1045629.94144"/>
    <n v="798808.27438999992"/>
    <n v="0"/>
    <n v="81376.313475285962"/>
    <n v="0"/>
    <n v="0"/>
    <n v="0"/>
    <n v="98108.663481654774"/>
    <n v="509651.12012089934"/>
    <n v="273270.19326689828"/>
    <n v="3640.4575504479558"/>
    <n v="0"/>
    <n v="0"/>
    <n v="0"/>
    <n v="0"/>
    <n v="12575.27849467496"/>
    <m/>
    <n v="2410.6460830728333"/>
    <n v="7536.8622888817827"/>
    <n v="11352.857757614005"/>
    <n v="0"/>
    <n v="0"/>
    <n v="0"/>
    <n v="0"/>
    <n v="0"/>
    <n v="0"/>
    <n v="0"/>
    <n v="0"/>
    <n v="0"/>
    <n v="0"/>
    <m/>
    <n v="0"/>
    <n v="0"/>
    <n v="0"/>
    <n v="0"/>
    <n v="0"/>
    <n v="45717.592481597676"/>
    <n v="0"/>
    <n v="2422.46"/>
    <n v="11550.58"/>
    <n v="320610.93"/>
    <n v="8617"/>
    <m/>
    <m/>
    <m/>
    <m/>
    <m/>
    <m/>
    <m/>
    <m/>
    <m/>
    <n v="318987.78574849595"/>
    <m/>
    <m/>
    <m/>
    <m/>
    <m/>
    <m/>
    <m/>
    <m/>
    <m/>
    <m/>
    <m/>
    <m/>
    <n v="798810.08660000004"/>
    <n v="-246819.88483999996"/>
    <m/>
    <m/>
    <m/>
    <m/>
    <n v="-277011.53396000009"/>
    <n v="30189.866909999979"/>
    <n v="30"/>
    <n v="39068.135116686695"/>
    <n v="909.94068774258085"/>
    <n v="1370.6535690649507"/>
    <n v="0"/>
    <n v="0"/>
    <n v="0"/>
    <n v="0"/>
    <n v="0"/>
    <n v="3216.2411494050757"/>
    <n v="0"/>
    <n v="0"/>
    <n v="30180.721517763508"/>
    <n v="0"/>
    <n v="0"/>
    <n v="0"/>
    <n v="5049.1782900084872"/>
    <n v="0"/>
    <n v="-1418.5618923569418"/>
    <m/>
    <n v="0"/>
    <n v="0"/>
    <n v="0"/>
    <n v="0"/>
    <n v="-184.30293028347114"/>
    <n v="-55.735274657472473"/>
    <n v="0"/>
    <n v="0"/>
    <m/>
    <m/>
    <m/>
    <n v="509651.12012089934"/>
    <n v="0"/>
    <n v="0"/>
    <n v="-277011.53396000009"/>
    <n v="30189.866909999982"/>
    <n v="0"/>
    <n v="0"/>
    <n v="-285909.02857117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7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1.9159999999999999"/>
    <n v="-1.9159999999999999"/>
    <n v="-1.9159999999999999"/>
    <n v="-1.9159999999999999"/>
    <m/>
    <n v="581.32000000000005"/>
    <n v="209.4"/>
    <m/>
    <n v="-1515.0195200000001"/>
    <n v="-1515.0195200000001"/>
    <n v="-1157.3981199999998"/>
    <n v="0"/>
    <n v="-117.90663072531351"/>
    <n v="0"/>
    <n v="0"/>
    <n v="0"/>
    <n v="-142.15023342878055"/>
    <n v="-738.43657758085874"/>
    <n v="-395.94282893560387"/>
    <n v="-5.2746808713840929"/>
    <n v="0"/>
    <n v="0"/>
    <n v="0"/>
    <n v="0"/>
    <n v="-18.220396752058772"/>
    <m/>
    <n v="-3.4927996291281147"/>
    <n v="-10.920205165015343"/>
    <n v="-16.449223983469491"/>
    <n v="0"/>
    <n v="0"/>
    <n v="0"/>
    <n v="0"/>
    <n v="0"/>
    <n v="0"/>
    <n v="0"/>
    <n v="0"/>
    <n v="0"/>
    <n v="0"/>
    <m/>
    <n v="0"/>
    <n v="0"/>
    <n v="0"/>
    <n v="0"/>
    <n v="0"/>
    <n v="-66.240495104452933"/>
    <n v="0"/>
    <n v="-3.3"/>
    <n v="-7.65"/>
    <n v="-475.63"/>
    <n v="0"/>
    <m/>
    <m/>
    <m/>
    <m/>
    <m/>
    <m/>
    <m/>
    <m/>
    <m/>
    <n v="-462.18332404005679"/>
    <m/>
    <m/>
    <m/>
    <m/>
    <m/>
    <m/>
    <m/>
    <m/>
    <m/>
    <m/>
    <m/>
    <m/>
    <n v="-1159.8144"/>
    <n v="355.17512000000011"/>
    <m/>
    <m/>
    <m/>
    <m/>
    <n v="401.3636800000001"/>
    <n v="-43.742279999999965"/>
    <n v="30"/>
    <n v="-56.606056278634924"/>
    <n v="-1.3184185430590425"/>
    <n v="-1.9859482116888323"/>
    <n v="0"/>
    <n v="0"/>
    <n v="0"/>
    <n v="0"/>
    <n v="0"/>
    <n v="-4.6600311728502106"/>
    <n v="0"/>
    <n v="0"/>
    <n v="-43.729029186105777"/>
    <n v="0"/>
    <n v="0"/>
    <n v="0"/>
    <n v="-7.3157848356832034"/>
    <n v="0"/>
    <n v="2.0553628698592661"/>
    <m/>
    <n v="0"/>
    <n v="0"/>
    <n v="0"/>
    <n v="0"/>
    <n v="0.26703762574752332"/>
    <n v="8.0755175145754698E-2"/>
    <n v="0"/>
    <n v="0"/>
    <m/>
    <m/>
    <m/>
    <n v="-738.43657758085874"/>
    <n v="0"/>
    <n v="0"/>
    <n v="401.36368000000016"/>
    <n v="-43.742279999999994"/>
    <n v="0"/>
    <n v="0"/>
    <n v="414.2553135318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8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66.349000000000004"/>
    <n v="66.349000000000004"/>
    <n v="66.349000000000004"/>
    <n v="66.349000000000004"/>
    <m/>
    <n v="581.32000000000005"/>
    <n v="209.4"/>
    <m/>
    <n v="52463.481280000007"/>
    <n v="52463.481280000007"/>
    <n v="40079.440430000002"/>
    <n v="0"/>
    <n v="4082.9786231700555"/>
    <n v="0"/>
    <n v="0"/>
    <n v="0"/>
    <n v="4922.5082660574963"/>
    <n v="25571.257038576408"/>
    <n v="13711.070332488718"/>
    <n v="182.65647240890564"/>
    <n v="0"/>
    <n v="0"/>
    <n v="0"/>
    <n v="0"/>
    <n v="630.95255955237349"/>
    <m/>
    <n v="120.9518593909297"/>
    <n v="378.15484994446928"/>
    <n v="569.61876935240991"/>
    <n v="0"/>
    <n v="0"/>
    <n v="0"/>
    <n v="0"/>
    <n v="0"/>
    <n v="0"/>
    <n v="0"/>
    <n v="0"/>
    <n v="0"/>
    <n v="0"/>
    <m/>
    <n v="0"/>
    <n v="0"/>
    <n v="0"/>
    <n v="0"/>
    <n v="0"/>
    <n v="2293.8364351176137"/>
    <n v="0"/>
    <n v="119.06"/>
    <n v="582.09"/>
    <n v="43858.32"/>
    <n v="926"/>
    <m/>
    <m/>
    <m/>
    <m/>
    <m/>
    <m/>
    <m/>
    <m/>
    <m/>
    <n v="16004.906767606331"/>
    <m/>
    <m/>
    <m/>
    <m/>
    <m/>
    <m/>
    <m/>
    <m/>
    <m/>
    <m/>
    <m/>
    <m/>
    <n v="40080.044499999989"/>
    <n v="-12383.466780000024"/>
    <m/>
    <m/>
    <m/>
    <m/>
    <n v="-13898.788520000006"/>
    <n v="1514.7476699999991"/>
    <n v="30"/>
    <n v="1960.2062776780331"/>
    <n v="45.655402877570111"/>
    <n v="68.771230635356119"/>
    <n v="0"/>
    <n v="0"/>
    <n v="0"/>
    <n v="0"/>
    <n v="0"/>
    <n v="161.37182060930991"/>
    <n v="0"/>
    <n v="0"/>
    <n v="1514.2888086998591"/>
    <n v="0"/>
    <n v="0"/>
    <n v="0"/>
    <n v="253.33768688034706"/>
    <n v="0"/>
    <n v="-71.17498489159334"/>
    <m/>
    <n v="0"/>
    <n v="0"/>
    <n v="0"/>
    <n v="0"/>
    <n v="-9.2472230849282369"/>
    <n v="-2.7964640478839584"/>
    <n v="0"/>
    <n v="0"/>
    <m/>
    <m/>
    <m/>
    <n v="25571.257038576408"/>
    <n v="0"/>
    <n v="0"/>
    <n v="-13898.788520000006"/>
    <n v="1514.7476699999988"/>
    <n v="0"/>
    <n v="0"/>
    <n v="-14345.211794116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39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57.72"/>
    <n v="57.72"/>
    <n v="57.72"/>
    <n v="57.72"/>
    <m/>
    <n v="510.28"/>
    <n v="209.4"/>
    <m/>
    <n v="41539.929599999996"/>
    <n v="41539.929599999996"/>
    <n v="30835.755599999997"/>
    <n v="0"/>
    <n v="0"/>
    <n v="0"/>
    <n v="0"/>
    <n v="0"/>
    <n v="4282.3128776144122"/>
    <n v="22245.594602279314"/>
    <n v="11927.881047057963"/>
    <n v="158.90113773292791"/>
    <n v="0"/>
    <n v="0"/>
    <n v="0"/>
    <n v="0"/>
    <n v="0"/>
    <m/>
    <n v="105.22150030964237"/>
    <n v="328.97403033647475"/>
    <n v="495.53716509700365"/>
    <n v="0"/>
    <n v="0"/>
    <n v="0"/>
    <n v="0"/>
    <n v="0"/>
    <n v="0"/>
    <n v="0"/>
    <n v="0"/>
    <n v="0"/>
    <n v="0"/>
    <m/>
    <n v="0"/>
    <n v="0"/>
    <n v="0"/>
    <n v="0"/>
    <n v="0"/>
    <n v="1995.5122011633732"/>
    <n v="0"/>
    <n v="19.239999999999998"/>
    <n v="134.68"/>
    <n v="3398.5"/>
    <n v="122"/>
    <m/>
    <m/>
    <m/>
    <m/>
    <m/>
    <m/>
    <m/>
    <n v="20043.269999999997"/>
    <m/>
    <n v="13923.393248221337"/>
    <m/>
    <m/>
    <m/>
    <m/>
    <m/>
    <m/>
    <m/>
    <m/>
    <m/>
    <m/>
    <m/>
    <m/>
    <n v="10792.4856"/>
    <n v="-3746.6352000000006"/>
    <m/>
    <m/>
    <m/>
    <m/>
    <n v="-12021.921599999998"/>
    <n v="1317.747599999999"/>
    <n v="30"/>
    <n v="1775.2351383137793"/>
    <n v="39.717702664597027"/>
    <n v="59.827208130834777"/>
    <n v="0"/>
    <n v="0"/>
    <n v="0"/>
    <n v="0"/>
    <n v="0"/>
    <n v="140.38465516540418"/>
    <n v="0"/>
    <n v="0"/>
    <n v="1317.3484157734983"/>
    <n v="0"/>
    <n v="0"/>
    <n v="0"/>
    <n v="220.38992730461109"/>
    <n v="0"/>
    <n v="0"/>
    <m/>
    <n v="0"/>
    <n v="0"/>
    <n v="0"/>
    <n v="0"/>
    <n v="0"/>
    <n v="-2.432770725163337"/>
    <n v="0"/>
    <n v="0"/>
    <m/>
    <m/>
    <m/>
    <n v="22245.594602279314"/>
    <n v="0"/>
    <n v="0"/>
    <n v="-12021.921599999998"/>
    <n v="1317.7476000000006"/>
    <n v="0"/>
    <n v="0"/>
    <n v="-12479.54942435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0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-0.03"/>
    <n v="-0.03"/>
    <n v="-0.03"/>
    <n v="-0.03"/>
    <m/>
    <n v="510.28"/>
    <n v="209.4"/>
    <m/>
    <n v="-21.590399999999999"/>
    <n v="-21.590399999999999"/>
    <n v="-16.026900000000001"/>
    <n v="0"/>
    <n v="0"/>
    <n v="0"/>
    <n v="0"/>
    <n v="0"/>
    <n v="-2.2257343438744348"/>
    <n v="-11.56215935669403"/>
    <n v="-6.1995223737307494"/>
    <n v="-8.25889489256382E-2"/>
    <n v="0"/>
    <n v="0"/>
    <n v="0"/>
    <n v="0"/>
    <n v="0"/>
    <m/>
    <n v="-5.4688929474866095E-2"/>
    <n v="-0.17098442325180602"/>
    <n v="-0.25755569911486675"/>
    <n v="0"/>
    <n v="0"/>
    <n v="0"/>
    <n v="0"/>
    <n v="0"/>
    <n v="0"/>
    <n v="0"/>
    <n v="0"/>
    <n v="0"/>
    <n v="0"/>
    <m/>
    <n v="0"/>
    <n v="0"/>
    <n v="0"/>
    <n v="0"/>
    <n v="0"/>
    <n v="-1.037168503723167"/>
    <n v="0"/>
    <n v="-0.01"/>
    <n v="0"/>
    <n v="-0.76"/>
    <n v="0"/>
    <m/>
    <m/>
    <m/>
    <m/>
    <m/>
    <m/>
    <m/>
    <n v="-10.4175"/>
    <m/>
    <n v="-7.2366908774539169"/>
    <m/>
    <m/>
    <m/>
    <m/>
    <m/>
    <m/>
    <m/>
    <m/>
    <m/>
    <m/>
    <m/>
    <m/>
    <n v="-5.6093999999999999"/>
    <n v="1.9173"/>
    <m/>
    <m/>
    <m/>
    <m/>
    <n v="6.2483999999999993"/>
    <n v="-0.68489999999999951"/>
    <n v="30"/>
    <n v="-0.9226793858179736"/>
    <n v="-2.0643296603220895E-2"/>
    <n v="-3.1095222521223931E-2"/>
    <n v="0"/>
    <n v="0"/>
    <n v="0"/>
    <n v="0"/>
    <n v="0"/>
    <n v="-7.2964997487215744E-2"/>
    <n v="0"/>
    <n v="0"/>
    <n v="-0.68469252379080014"/>
    <n v="0"/>
    <n v="0"/>
    <n v="0"/>
    <n v="-0.11454777926435078"/>
    <n v="0"/>
    <n v="0"/>
    <m/>
    <n v="0"/>
    <n v="0"/>
    <n v="0"/>
    <n v="0"/>
    <n v="0"/>
    <n v="1.2644338488374957E-3"/>
    <n v="0"/>
    <n v="0"/>
    <m/>
    <m/>
    <m/>
    <n v="-11.56215935669403"/>
    <n v="0"/>
    <n v="0"/>
    <n v="6.2483999999999984"/>
    <n v="-0.68489999999999984"/>
    <n v="0"/>
    <n v="0"/>
    <n v="6.486252299560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1"/>
    <s v="Sistema de Compensação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8.6999999999999994E-2"/>
    <n v="-0.53505000000000003"/>
    <n v="8.6999999999999994E-2"/>
    <n v="-0.53505000000000003"/>
    <m/>
    <n v="510.28"/>
    <n v="209.4"/>
    <m/>
    <n v="62.612159999999989"/>
    <n v="62.612159999999989"/>
    <n v="46.478009999999998"/>
    <n v="0"/>
    <n v="0"/>
    <n v="0"/>
    <n v="0"/>
    <n v="0"/>
    <n v="6.4546295972358605"/>
    <n v="33.530262134412688"/>
    <n v="17.978614883819173"/>
    <n v="0.23950795188435078"/>
    <n v="0"/>
    <n v="0"/>
    <n v="0"/>
    <n v="0"/>
    <n v="0"/>
    <m/>
    <n v="0.15859789547711167"/>
    <n v="0.4958548274302374"/>
    <n v="0.74691152743311362"/>
    <n v="0"/>
    <n v="0"/>
    <n v="0"/>
    <n v="0"/>
    <n v="0"/>
    <n v="0"/>
    <n v="0"/>
    <n v="0"/>
    <n v="0"/>
    <n v="0"/>
    <m/>
    <n v="0"/>
    <n v="0"/>
    <n v="0"/>
    <n v="0"/>
    <n v="0"/>
    <n v="3.0077886607971842"/>
    <n v="0"/>
    <n v="0.03"/>
    <n v="0.19"/>
    <n v="13.98"/>
    <n v="0"/>
    <m/>
    <m/>
    <m/>
    <m/>
    <m/>
    <m/>
    <m/>
    <n v="146.521659"/>
    <m/>
    <n v="20.986403544616358"/>
    <m/>
    <m/>
    <m/>
    <m/>
    <m/>
    <m/>
    <m/>
    <m/>
    <m/>
    <m/>
    <m/>
    <m/>
    <n v="-100.9692"/>
    <n v="33.774544500000019"/>
    <m/>
    <m/>
    <m/>
    <m/>
    <n v="-18.120359999999998"/>
    <n v="1.9862099999999985"/>
    <n v="30"/>
    <n v="2.675770218872124"/>
    <n v="5.986556014934058E-2"/>
    <n v="9.0176145311549272E-2"/>
    <n v="0"/>
    <n v="0"/>
    <n v="0"/>
    <n v="0"/>
    <n v="0"/>
    <n v="0.21159849271292686"/>
    <n v="0"/>
    <n v="0"/>
    <n v="1.9856083189933216"/>
    <n v="0"/>
    <n v="0"/>
    <n v="0"/>
    <n v="0.33218855986661744"/>
    <n v="0"/>
    <n v="0"/>
    <m/>
    <n v="0"/>
    <n v="0"/>
    <n v="0"/>
    <n v="0"/>
    <n v="0"/>
    <n v="-3.6668581616287332E-3"/>
    <n v="0"/>
    <n v="0"/>
    <m/>
    <m/>
    <m/>
    <n v="33.530262134412688"/>
    <n v="0"/>
    <n v="0"/>
    <n v="-18.120359999999994"/>
    <n v="1.9862099999999963"/>
    <n v="0"/>
    <n v="0"/>
    <n v="-18.810131668724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2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13.15600000000001"/>
    <n v="113.15600000000001"/>
    <n v="113.15600000000001"/>
    <n v="113.15600000000001"/>
    <m/>
    <n v="510.28"/>
    <n v="209.4"/>
    <m/>
    <n v="81436.110079999999"/>
    <n v="81436.110079999999"/>
    <n v="60451.329880000005"/>
    <n v="0"/>
    <n v="0"/>
    <n v="0"/>
    <n v="0"/>
    <n v="0"/>
    <n v="8395.1731805151849"/>
    <n v="43610.923472202325"/>
    <n v="23383.771790729228"/>
    <n v="311.51450348765059"/>
    <n v="0"/>
    <n v="0"/>
    <n v="0"/>
    <n v="0"/>
    <n v="0"/>
    <m/>
    <n v="206.27935012193163"/>
    <n v="644.93044658271208"/>
    <n v="971.46575630139557"/>
    <n v="0"/>
    <n v="0"/>
    <n v="0"/>
    <n v="0"/>
    <n v="0"/>
    <n v="0"/>
    <n v="0"/>
    <n v="0"/>
    <n v="0"/>
    <n v="0"/>
    <m/>
    <n v="0"/>
    <n v="0"/>
    <n v="0"/>
    <n v="0"/>
    <n v="0"/>
    <n v="3912.0613069099563"/>
    <n v="0"/>
    <n v="89.15"/>
    <n v="426.78"/>
    <n v="12183.66"/>
    <n v="453"/>
    <m/>
    <m/>
    <m/>
    <m/>
    <m/>
    <m/>
    <m/>
    <n v="24180.305639999999"/>
    <m/>
    <n v="27295.833097639184"/>
    <m/>
    <m/>
    <m/>
    <m/>
    <m/>
    <m/>
    <m/>
    <m/>
    <m/>
    <m/>
    <m/>
    <m/>
    <n v="36272.306400000001"/>
    <n v="-12589.61596000001"/>
    <m/>
    <m/>
    <m/>
    <m/>
    <n v="-23568.131679999999"/>
    <n v="2583.3514799999984"/>
    <n v="30"/>
    <n v="3480.2236193872814"/>
    <n v="77.863762347802094"/>
    <n v="117.28703332038697"/>
    <n v="0"/>
    <n v="0"/>
    <n v="0"/>
    <n v="0"/>
    <n v="0"/>
    <n v="275.21424185544856"/>
    <n v="0"/>
    <n v="0"/>
    <n v="2582.5689074023903"/>
    <n v="0"/>
    <n v="0"/>
    <n v="0"/>
    <n v="432.05895034789683"/>
    <n v="0"/>
    <n v="0"/>
    <m/>
    <n v="0"/>
    <n v="0"/>
    <n v="0"/>
    <n v="0"/>
    <n v="0"/>
    <n v="-4.7692758866351994"/>
    <n v="0"/>
    <n v="0"/>
    <m/>
    <m/>
    <m/>
    <n v="43610.923472202325"/>
    <n v="0"/>
    <n v="0"/>
    <n v="-23568.131679999999"/>
    <n v="2583.3514799999975"/>
    <n v="0"/>
    <n v="0"/>
    <n v="-24465.278840300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3"/>
    <s v="Sistema de Compensação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.7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44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94.83"/>
    <n v="94.83"/>
    <n v="94.83"/>
    <n v="94.83"/>
    <m/>
    <n v="510.28"/>
    <n v="209.4"/>
    <m/>
    <n v="68247.254400000005"/>
    <n v="68247.254400000005"/>
    <n v="50661.030899999998"/>
    <n v="0"/>
    <n v="0"/>
    <n v="0"/>
    <n v="0"/>
    <n v="0"/>
    <n v="7035.5462609870883"/>
    <n v="36547.985726509825"/>
    <n v="19596.690223362901"/>
    <n v="261.06366755394237"/>
    <n v="0"/>
    <n v="0"/>
    <n v="0"/>
    <n v="0"/>
    <n v="0"/>
    <m/>
    <n v="172.87170607005174"/>
    <n v="540.48176189895878"/>
    <n v="814.13356490209389"/>
    <n v="0"/>
    <n v="0"/>
    <n v="0"/>
    <n v="0"/>
    <n v="0"/>
    <n v="0"/>
    <n v="0"/>
    <n v="0"/>
    <n v="0"/>
    <n v="0"/>
    <m/>
    <n v="0"/>
    <n v="0"/>
    <n v="0"/>
    <n v="0"/>
    <n v="0"/>
    <n v="3278.489640268931"/>
    <n v="0"/>
    <n v="116.62"/>
    <n v="538.25"/>
    <n v="15414.42"/>
    <n v="1019"/>
    <m/>
    <m/>
    <m/>
    <m/>
    <m/>
    <m/>
    <m/>
    <n v="5066.7668999999987"/>
    <m/>
    <n v="22875.179863631831"/>
    <m/>
    <m/>
    <m/>
    <m/>
    <m/>
    <m/>
    <m/>
    <m/>
    <m/>
    <m/>
    <m/>
    <m/>
    <n v="45594.264000000003"/>
    <n v="-15828.105300000003"/>
    <m/>
    <m/>
    <m/>
    <m/>
    <n v="-19751.192399999996"/>
    <n v="2164.9688999999985"/>
    <n v="30"/>
    <n v="2916.5895385706208"/>
    <n v="65.253460562781243"/>
    <n v="98.291998389588684"/>
    <n v="0"/>
    <n v="0"/>
    <n v="0"/>
    <n v="0"/>
    <n v="0"/>
    <n v="230.64235705708961"/>
    <n v="0"/>
    <n v="0"/>
    <n v="2164.3130677027184"/>
    <n v="0"/>
    <n v="0"/>
    <n v="0"/>
    <n v="362.08553025461288"/>
    <n v="0"/>
    <n v="0"/>
    <m/>
    <n v="0"/>
    <n v="0"/>
    <n v="0"/>
    <n v="0"/>
    <n v="0"/>
    <n v="-3.9968753961753407"/>
    <n v="0"/>
    <n v="0"/>
    <m/>
    <m/>
    <m/>
    <n v="36547.985726509825"/>
    <n v="0"/>
    <n v="0"/>
    <n v="-19751.192399999996"/>
    <n v="2164.9688999999962"/>
    <n v="0"/>
    <n v="0"/>
    <n v="-20503.043518909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5"/>
    <s v="Sistema de Compensação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9.21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46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5.356999999999999"/>
    <n v="25.356999999999999"/>
    <n v="25.356999999999999"/>
    <n v="25.356999999999999"/>
    <m/>
    <n v="510.28"/>
    <n v="209.4"/>
    <m/>
    <n v="18248.925759999998"/>
    <n v="18248.925759999998"/>
    <n v="13546.470109999998"/>
    <n v="0"/>
    <n v="0"/>
    <n v="0"/>
    <n v="0"/>
    <n v="0"/>
    <n v="1881.2648585874681"/>
    <n v="9772.7224935896829"/>
    <n v="5240.0429610230212"/>
    <n v="69.806932596913597"/>
    <n v="0"/>
    <n v="0"/>
    <n v="0"/>
    <n v="0"/>
    <n v="0"/>
    <m/>
    <n v="46.224906156472656"/>
    <n v="144.5217340132015"/>
    <n v="217.69466208185588"/>
    <n v="0"/>
    <n v="0"/>
    <n v="0"/>
    <n v="0"/>
    <n v="0"/>
    <n v="0"/>
    <n v="0"/>
    <n v="0"/>
    <n v="0"/>
    <n v="0"/>
    <m/>
    <n v="0"/>
    <n v="0"/>
    <n v="0"/>
    <n v="0"/>
    <n v="0"/>
    <n v="876.64939163027816"/>
    <n v="0"/>
    <n v="34.700000000000003"/>
    <n v="160.28"/>
    <n v="4578.8999999999996"/>
    <n v="330"/>
    <m/>
    <m/>
    <m/>
    <m/>
    <m/>
    <m/>
    <m/>
    <m/>
    <m/>
    <n v="6116.6923526532992"/>
    <m/>
    <m/>
    <m/>
    <m/>
    <m/>
    <m/>
    <m/>
    <m/>
    <m/>
    <m/>
    <m/>
    <m/>
    <n v="13548.0728"/>
    <n v="-4700.8829599999972"/>
    <m/>
    <m/>
    <m/>
    <m/>
    <n v="-5281.355959999999"/>
    <n v="578.90030999999954"/>
    <n v="30"/>
    <n v="779.87937287287605"/>
    <n v="17.44840239892909"/>
    <n v="26.282718582355841"/>
    <n v="0"/>
    <n v="0"/>
    <n v="0"/>
    <n v="0"/>
    <n v="0"/>
    <n v="61.672448042777887"/>
    <n v="0"/>
    <n v="0"/>
    <n v="578.72494419210943"/>
    <n v="0"/>
    <n v="0"/>
    <n v="0"/>
    <n v="96.819601293538199"/>
    <n v="0"/>
    <n v="0"/>
    <m/>
    <n v="0"/>
    <n v="0"/>
    <n v="0"/>
    <n v="0"/>
    <n v="0"/>
    <n v="-1.0687416368324136"/>
    <n v="0"/>
    <n v="0"/>
    <m/>
    <m/>
    <m/>
    <n v="9772.7224935896829"/>
    <n v="0"/>
    <n v="0"/>
    <n v="-5281.3559599999999"/>
    <n v="578.90030999999999"/>
    <n v="0"/>
    <n v="0"/>
    <n v="-5482.3966519981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7"/>
    <s v="Sistema de Compensação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5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48"/>
    <s v="Regular"/>
    <s v="Branca"/>
    <s v="B1"/>
    <s v="Residencial"/>
    <s v="Residencial"/>
    <s v="Não se aplica"/>
    <s v="Não se aplica"/>
    <s v="Ponta"/>
    <s v="CATIVO"/>
    <x v="9"/>
    <n v="0"/>
    <n v="0"/>
    <n v="5.2999999999999999E-2"/>
    <n v="5.2999999999999999E-2"/>
    <n v="5.2999999999999999E-2"/>
    <n v="5.2999999999999999E-2"/>
    <m/>
    <n v="1292.1099999999999"/>
    <n v="209.4"/>
    <m/>
    <n v="79.580029999999994"/>
    <n v="79.580029999999994"/>
    <n v="52.829340000000002"/>
    <n v="0"/>
    <n v="3.2615090962638913"/>
    <n v="0"/>
    <n v="0"/>
    <n v="0"/>
    <n v="9.8285775169960381"/>
    <n v="51.066221881366367"/>
    <n v="10.952489526924325"/>
    <n v="0.14590714310196082"/>
    <n v="0"/>
    <n v="0"/>
    <n v="0"/>
    <n v="0"/>
    <n v="0.50400888719160486"/>
    <m/>
    <n v="9.6617108738930105E-2"/>
    <n v="0.75518800444461465"/>
    <n v="1.1375376710906617"/>
    <n v="0"/>
    <n v="0"/>
    <n v="0"/>
    <n v="0"/>
    <n v="0"/>
    <n v="0"/>
    <n v="0"/>
    <n v="0"/>
    <n v="0"/>
    <n v="0"/>
    <m/>
    <n v="0"/>
    <n v="0"/>
    <n v="0"/>
    <n v="0"/>
    <n v="0"/>
    <n v="1.8323310232442616"/>
    <n v="0"/>
    <n v="0"/>
    <n v="0"/>
    <n v="0"/>
    <n v="0"/>
    <m/>
    <m/>
    <m/>
    <m/>
    <m/>
    <m/>
    <m/>
    <m/>
    <m/>
    <n v="12.784820550168586"/>
    <m/>
    <m/>
    <m/>
    <m/>
    <m/>
    <m/>
    <m/>
    <m/>
    <m/>
    <m/>
    <m/>
    <m/>
    <n v="49.838999999999999"/>
    <n v="-29.77103000000001"/>
    <m/>
    <m/>
    <m/>
    <m/>
    <n v="-27.960679999999996"/>
    <n v="1.2099899999999992"/>
    <n v="30"/>
    <n v="1.8962329457864513"/>
    <n v="9.1175381186545668E-2"/>
    <n v="0.137337232802071"/>
    <n v="0"/>
    <n v="0"/>
    <n v="0"/>
    <n v="0"/>
    <n v="0"/>
    <n v="0.32220473022949569"/>
    <n v="0"/>
    <n v="0"/>
    <n v="1.2096234586970791"/>
    <n v="0"/>
    <n v="0"/>
    <n v="0"/>
    <n v="0.20236774336702013"/>
    <n v="0"/>
    <n v="-5.6855027193392971E-2"/>
    <m/>
    <n v="0"/>
    <n v="0"/>
    <n v="0"/>
    <n v="0"/>
    <n v="-7.3867401694251988E-3"/>
    <n v="-2.2338331329462419E-3"/>
    <n v="0"/>
    <n v="0"/>
    <m/>
    <m/>
    <m/>
    <n v="51.066221881366367"/>
    <n v="0"/>
    <n v="0"/>
    <n v="-27.960679999999989"/>
    <n v="1.2099899999999995"/>
    <n v="0"/>
    <n v="0"/>
    <n v="-28.647624452268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49"/>
    <s v="Regular"/>
    <s v="Branca"/>
    <s v="B1"/>
    <s v="Residencial"/>
    <s v="Residencial"/>
    <s v="Não se aplica"/>
    <s v="Não se aplica"/>
    <s v="Fora ponta"/>
    <s v="CATIVO"/>
    <x v="9"/>
    <n v="0"/>
    <n v="0"/>
    <n v="0.51500000000000001"/>
    <n v="0.51500000000000001"/>
    <n v="0.51500000000000001"/>
    <n v="0.51500000000000001"/>
    <m/>
    <n v="344.38"/>
    <n v="209.4"/>
    <m/>
    <n v="285.19670000000002"/>
    <n v="285.19670000000002"/>
    <n v="243.67224999999999"/>
    <n v="0"/>
    <n v="31.692022350488759"/>
    <n v="0"/>
    <n v="0"/>
    <n v="0"/>
    <n v="19.104219784922257"/>
    <n v="99.241867811624019"/>
    <n v="106.42513408237788"/>
    <n v="1.4177769565567893"/>
    <n v="0"/>
    <n v="0"/>
    <n v="0"/>
    <n v="0"/>
    <n v="4.8974448472391794"/>
    <m/>
    <n v="0.93882662265186811"/>
    <n v="1.4676162995780015"/>
    <n v="2.2106864174026066"/>
    <n v="0"/>
    <n v="0"/>
    <n v="0"/>
    <n v="0"/>
    <n v="0"/>
    <n v="0"/>
    <n v="0"/>
    <n v="0"/>
    <n v="0"/>
    <n v="0"/>
    <m/>
    <n v="0"/>
    <n v="0"/>
    <n v="0"/>
    <n v="0"/>
    <n v="0"/>
    <n v="17.804725980581033"/>
    <n v="0"/>
    <n v="0"/>
    <n v="0"/>
    <n v="0"/>
    <n v="0"/>
    <m/>
    <m/>
    <m/>
    <m/>
    <m/>
    <m/>
    <m/>
    <m/>
    <m/>
    <n v="124.22986006295892"/>
    <m/>
    <m/>
    <m/>
    <m/>
    <m/>
    <m/>
    <m/>
    <m/>
    <m/>
    <m/>
    <m/>
    <m/>
    <n v="246.03800000000001"/>
    <n v="-39.188699999999983"/>
    <m/>
    <m/>
    <m/>
    <m/>
    <n v="-53.281900000000007"/>
    <n v="11.757449999999992"/>
    <n v="30"/>
    <n v="14.144721564269446"/>
    <n v="0.17718829584431006"/>
    <n v="0.26690065997384105"/>
    <n v="0"/>
    <n v="0"/>
    <n v="0"/>
    <n v="0"/>
    <n v="0"/>
    <n v="0.6262828950986048"/>
    <n v="0"/>
    <n v="0"/>
    <n v="11.753888325075394"/>
    <n v="0"/>
    <n v="0"/>
    <n v="0"/>
    <n v="1.9664035440380268"/>
    <n v="0"/>
    <n v="-0.55245922650184198"/>
    <m/>
    <n v="0"/>
    <n v="0"/>
    <n v="0"/>
    <n v="0"/>
    <n v="-7.1776814853848236E-2"/>
    <n v="-2.1706114405043775E-2"/>
    <n v="0"/>
    <n v="0"/>
    <m/>
    <m/>
    <m/>
    <n v="99.241867811624019"/>
    <n v="0"/>
    <n v="0"/>
    <n v="-53.281900000000022"/>
    <n v="11.757449999999992"/>
    <n v="0"/>
    <n v="0"/>
    <n v="-55.673665571223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0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99"/>
    <n v="4.7"/>
    <n v="133.63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51"/>
    <s v="Regular"/>
    <s v="Branca"/>
    <s v="B1"/>
    <s v="Residencial"/>
    <s v="Residencial"/>
    <s v="Não se aplica"/>
    <s v="Não se aplica"/>
    <s v="Intermediário"/>
    <s v="CATIVO"/>
    <x v="9"/>
    <n v="0"/>
    <n v="0"/>
    <n v="4.2999999999999997E-2"/>
    <n v="4.2999999999999997E-2"/>
    <n v="4.2999999999999997E-2"/>
    <n v="4.2999999999999997E-2"/>
    <m/>
    <n v="818.26"/>
    <n v="209.4"/>
    <m/>
    <n v="44.189379999999993"/>
    <n v="44.189379999999993"/>
    <n v="31.604140000000001"/>
    <n v="0"/>
    <n v="2.6461300214971195"/>
    <n v="0"/>
    <n v="0"/>
    <n v="0"/>
    <n v="4.7853288393300453"/>
    <n v="24.858657266073532"/>
    <n v="8.8859820690140747"/>
    <n v="0.11837749346008142"/>
    <n v="0"/>
    <n v="0"/>
    <n v="0"/>
    <n v="0"/>
    <n v="0.40891287074035865"/>
    <m/>
    <n v="7.8387465580641399E-2"/>
    <n v="0.36762202839162916"/>
    <n v="0.55374475309696181"/>
    <n v="0"/>
    <n v="0"/>
    <n v="0"/>
    <n v="0"/>
    <n v="0"/>
    <n v="0"/>
    <n v="0"/>
    <n v="0"/>
    <n v="0"/>
    <n v="0"/>
    <m/>
    <n v="0"/>
    <n v="0"/>
    <n v="0"/>
    <n v="0"/>
    <n v="0"/>
    <n v="1.4866081886698725"/>
    <n v="0"/>
    <n v="0"/>
    <n v="0"/>
    <n v="0"/>
    <n v="0"/>
    <m/>
    <m/>
    <m/>
    <m/>
    <m/>
    <m/>
    <m/>
    <m/>
    <m/>
    <n v="10.372590257683948"/>
    <m/>
    <m/>
    <m/>
    <m/>
    <m/>
    <m/>
    <m/>
    <m/>
    <m/>
    <m/>
    <m/>
    <m/>
    <n v="29.3992"/>
    <n v="-14.820179999999986"/>
    <m/>
    <m/>
    <m/>
    <m/>
    <n v="-13.566929999999999"/>
    <n v="0.98168999999999929"/>
    <n v="30"/>
    <n v="1.3597579603106382"/>
    <n v="4.438375394459132E-2"/>
    <n v="6.6854728420631671E-2"/>
    <n v="0"/>
    <n v="0"/>
    <n v="0"/>
    <n v="0"/>
    <n v="0"/>
    <n v="0.15687474459752337"/>
    <n v="0"/>
    <n v="0"/>
    <n v="0.98139261743347816"/>
    <n v="0"/>
    <n v="0"/>
    <n v="0"/>
    <n v="0.1641851502789029"/>
    <n v="0"/>
    <n v="-4.612766357199849E-2"/>
    <m/>
    <n v="0"/>
    <n v="0"/>
    <n v="0"/>
    <n v="0"/>
    <n v="-5.9930156091563269E-3"/>
    <n v="-1.8123551833337387E-3"/>
    <n v="0"/>
    <n v="0"/>
    <m/>
    <m/>
    <m/>
    <n v="24.858657266073532"/>
    <n v="0"/>
    <n v="0"/>
    <n v="-13.566929999999996"/>
    <n v="0.9816900000000004"/>
    <n v="0"/>
    <n v="0"/>
    <n v="-13.94545066209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2"/>
    <s v="Regular"/>
    <s v="Convencional"/>
    <s v="B3"/>
    <s v="Industrial"/>
    <s v="Não se aplica"/>
    <s v="Não se aplica"/>
    <s v="Não se aplica"/>
    <s v="Não se aplica"/>
    <s v="CATIVO"/>
    <x v="9"/>
    <n v="0"/>
    <n v="0"/>
    <n v="8.6530000000000005"/>
    <n v="8.6530000000000005"/>
    <n v="8.6530000000000005"/>
    <n v="8.6530000000000005"/>
    <m/>
    <n v="581.32000000000005"/>
    <n v="209.4"/>
    <m/>
    <n v="6842.10016"/>
    <n v="6842.10016"/>
    <n v="5227.0177100000001"/>
    <n v="0"/>
    <n v="532.48751339568787"/>
    <n v="0"/>
    <n v="0"/>
    <n v="0"/>
    <n v="641.97597591818283"/>
    <n v="3334.9121637824483"/>
    <n v="1788.1489033297394"/>
    <n v="23.821405835118249"/>
    <n v="0"/>
    <n v="0"/>
    <n v="0"/>
    <n v="0"/>
    <n v="82.286583035263348"/>
    <m/>
    <n v="15.774110224867213"/>
    <n v="49.317607146595918"/>
    <n v="74.287648814698073"/>
    <n v="0"/>
    <n v="0"/>
    <n v="0"/>
    <n v="0"/>
    <n v="0"/>
    <n v="0"/>
    <n v="0"/>
    <n v="0"/>
    <n v="0"/>
    <n v="0"/>
    <m/>
    <n v="0"/>
    <n v="0"/>
    <n v="0"/>
    <n v="0"/>
    <n v="0"/>
    <n v="299.15396875721882"/>
    <n v="0"/>
    <n v="15.71"/>
    <n v="73.36"/>
    <n v="1288.8900000000001"/>
    <n v="7"/>
    <m/>
    <m/>
    <m/>
    <m/>
    <m/>
    <m/>
    <m/>
    <m/>
    <m/>
    <n v="2087.3028720869584"/>
    <m/>
    <m/>
    <m/>
    <m/>
    <m/>
    <m/>
    <m/>
    <m/>
    <m/>
    <m/>
    <m/>
    <m/>
    <n v="5225.2055"/>
    <n v="-1616.9246600000006"/>
    <m/>
    <m/>
    <m/>
    <m/>
    <n v="-1812.6304400000008"/>
    <n v="197.54798999999988"/>
    <n v="30"/>
    <n v="255.64311324583696"/>
    <n v="5.9542148502556813"/>
    <n v="8.9688986825383523"/>
    <n v="0"/>
    <n v="0"/>
    <n v="0"/>
    <n v="0"/>
    <n v="0"/>
    <n v="21.045537441896045"/>
    <n v="0"/>
    <n v="0"/>
    <n v="197.48814694539305"/>
    <n v="0"/>
    <n v="0"/>
    <n v="0"/>
    <n v="33.039397799147594"/>
    <n v="0"/>
    <n v="-9.2823877415930838"/>
    <m/>
    <n v="0"/>
    <n v="0"/>
    <n v="0"/>
    <n v="0"/>
    <n v="-1.2059898620006919"/>
    <n v="-0.36470486979969508"/>
    <n v="0"/>
    <n v="0"/>
    <m/>
    <m/>
    <m/>
    <n v="3334.9121637824483"/>
    <n v="0"/>
    <n v="0"/>
    <n v="-1812.6304400000004"/>
    <n v="197.54799000000003"/>
    <n v="0"/>
    <n v="0"/>
    <n v="-1870.851371603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2.2890000000000001"/>
    <n v="2.2890000000000001"/>
    <n v="2.2890000000000001"/>
    <n v="2.2890000000000001"/>
    <m/>
    <n v="581.32000000000005"/>
    <n v="209.4"/>
    <m/>
    <n v="1809.9580800000003"/>
    <n v="1809.9580800000003"/>
    <n v="1382.71623"/>
    <n v="0"/>
    <n v="140.86027021411411"/>
    <n v="0"/>
    <n v="0"/>
    <n v="0"/>
    <n v="169.82353043761938"/>
    <n v="882.19275891575455"/>
    <n v="473.02355711565627"/>
    <n v="6.3015368030261953"/>
    <n v="0"/>
    <n v="0"/>
    <n v="0"/>
    <n v="0"/>
    <n v="21.767478165690257"/>
    <m/>
    <n v="4.1727653189322833"/>
    <n v="13.0461114941128"/>
    <n v="19.651499842464336"/>
    <n v="0"/>
    <n v="0"/>
    <n v="0"/>
    <n v="0"/>
    <n v="0"/>
    <n v="0"/>
    <n v="0"/>
    <n v="0"/>
    <n v="0"/>
    <n v="0"/>
    <m/>
    <n v="0"/>
    <n v="0"/>
    <n v="0"/>
    <n v="0"/>
    <n v="0"/>
    <n v="79.135956834077646"/>
    <n v="0"/>
    <n v="4.1399999999999997"/>
    <n v="19.39"/>
    <n v="424.29"/>
    <n v="3"/>
    <m/>
    <m/>
    <m/>
    <m/>
    <m/>
    <m/>
    <m/>
    <m/>
    <m/>
    <n v="552.15951394973388"/>
    <m/>
    <m/>
    <m/>
    <m/>
    <m/>
    <m/>
    <m/>
    <m/>
    <m/>
    <m/>
    <m/>
    <m/>
    <n v="1383.3202999999999"/>
    <n v="-426.66778000000045"/>
    <m/>
    <m/>
    <m/>
    <m/>
    <n v="-479.4997200000002"/>
    <n v="52.257869999999969"/>
    <n v="30"/>
    <n v="67.625920053128539"/>
    <n v="1.5750835308257543"/>
    <n v="2.3725654783693848"/>
    <n v="0"/>
    <n v="0"/>
    <n v="0"/>
    <n v="0"/>
    <n v="0"/>
    <n v="5.5672293082745909"/>
    <n v="0"/>
    <n v="0"/>
    <n v="52.242039565238031"/>
    <n v="0"/>
    <n v="0"/>
    <n v="0"/>
    <n v="8.7399955578699746"/>
    <n v="0"/>
    <n v="-2.4554935329373109"/>
    <m/>
    <n v="0"/>
    <n v="0"/>
    <n v="0"/>
    <n v="0"/>
    <n v="-0.31902355184555375"/>
    <n v="-9.6476302666300917E-2"/>
    <n v="0"/>
    <n v="0"/>
    <m/>
    <m/>
    <m/>
    <n v="882.19275891575455"/>
    <n v="0"/>
    <n v="0"/>
    <n v="-479.49972000000025"/>
    <n v="52.257869999999969"/>
    <n v="0"/>
    <n v="0"/>
    <n v="-494.90105045642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4"/>
    <s v="Regular"/>
    <s v="Verde"/>
    <s v="A4"/>
    <s v="Industrial"/>
    <s v="Não se aplica"/>
    <s v="Não se aplica"/>
    <s v="Não se aplica"/>
    <s v="Ponta"/>
    <s v="CATIVO"/>
    <x v="9"/>
    <n v="0"/>
    <n v="0"/>
    <n v="8.6080000000000005"/>
    <n v="8.6080000000000005"/>
    <n v="8.6080000000000005"/>
    <n v="8.6080000000000005"/>
    <m/>
    <n v="1614.19"/>
    <n v="209.4"/>
    <m/>
    <n v="15697.462720000001"/>
    <n v="15697.462720000001"/>
    <n v="10434.1872"/>
    <n v="0"/>
    <n v="460.8549275765368"/>
    <n v="0"/>
    <n v="0"/>
    <n v="0"/>
    <n v="2680.6860608811267"/>
    <n v="10009.697591753436"/>
    <n v="1778.8496197691434"/>
    <n v="23.697522411729789"/>
    <n v="0"/>
    <n v="0"/>
    <n v="0"/>
    <n v="0"/>
    <n v="81.85865096123274"/>
    <m/>
    <n v="11.430083807637898"/>
    <n v="208.26991760874651"/>
    <n v="310.22116260596255"/>
    <n v="0"/>
    <n v="0"/>
    <n v="0"/>
    <n v="0"/>
    <n v="0"/>
    <n v="0"/>
    <n v="0"/>
    <n v="0"/>
    <n v="0"/>
    <n v="0"/>
    <m/>
    <n v="0"/>
    <n v="0"/>
    <n v="0"/>
    <n v="0"/>
    <n v="0"/>
    <n v="131.91274819738695"/>
    <n v="0"/>
    <n v="0"/>
    <n v="0"/>
    <n v="0"/>
    <n v="0"/>
    <m/>
    <m/>
    <m/>
    <m/>
    <m/>
    <m/>
    <m/>
    <m/>
    <m/>
    <n v="1910.7623679665303"/>
    <m/>
    <m/>
    <m/>
    <m/>
    <m/>
    <m/>
    <m/>
    <m/>
    <m/>
    <m/>
    <m/>
    <m/>
    <n v="10436.611499999999"/>
    <n v="-5260.8812200000029"/>
    <m/>
    <m/>
    <m/>
    <m/>
    <n v="-5459.7961600000008"/>
    <n v="196.52063999999987"/>
    <n v="30"/>
    <n v="352.01015758429276"/>
    <n v="25.144850045164617"/>
    <n v="37.453630865776972"/>
    <n v="0"/>
    <n v="0"/>
    <n v="0"/>
    <n v="0"/>
    <n v="0"/>
    <n v="87.879423811077231"/>
    <n v="0"/>
    <n v="0"/>
    <n v="196.46110815970678"/>
    <n v="0"/>
    <n v="0"/>
    <n v="0"/>
    <n v="14.568811440403778"/>
    <n v="0"/>
    <n v="-8.0336797066084955"/>
    <m/>
    <n v="0"/>
    <n v="0"/>
    <n v="0"/>
    <n v="0"/>
    <n v="-1.1997181014794762"/>
    <n v="-0.26426892974879834"/>
    <n v="0"/>
    <n v="0"/>
    <m/>
    <m/>
    <m/>
    <n v="10009.697591753436"/>
    <n v="0"/>
    <n v="0"/>
    <n v="-5459.7961600000017"/>
    <n v="196.52063999999996"/>
    <n v="0"/>
    <n v="0"/>
    <n v="-5615.3372410337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5"/>
    <s v="Regular"/>
    <s v="Verde"/>
    <s v="A4"/>
    <s v="Industrial"/>
    <s v="Não se aplica"/>
    <s v="Não se aplica"/>
    <s v="Não se aplica"/>
    <s v="Fora ponta"/>
    <s v="CATIVO"/>
    <x v="9"/>
    <n v="0"/>
    <n v="0"/>
    <n v="300.53899999999999"/>
    <n v="300.53899999999999"/>
    <n v="300.53899999999999"/>
    <n v="300.53899999999999"/>
    <m/>
    <n v="79.7"/>
    <n v="209.4"/>
    <m/>
    <n v="86885.824900000007"/>
    <n v="86885.824900000007"/>
    <n v="93924.448279999997"/>
    <n v="0"/>
    <n v="16090.250822365797"/>
    <n v="0"/>
    <n v="0"/>
    <n v="0"/>
    <n v="0"/>
    <n v="0"/>
    <n v="62106.608489288861"/>
    <n v="827.37333737207928"/>
    <n v="0"/>
    <n v="0"/>
    <n v="0"/>
    <n v="0"/>
    <n v="2858.006168824108"/>
    <m/>
    <n v="399.06900063472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05.5907795648782"/>
    <n v="0"/>
    <n v="0"/>
    <n v="0"/>
    <n v="0"/>
    <n v="0"/>
    <m/>
    <m/>
    <m/>
    <m/>
    <m/>
    <m/>
    <m/>
    <m/>
    <m/>
    <n v="66712.199268853743"/>
    <m/>
    <m/>
    <m/>
    <m/>
    <m/>
    <m/>
    <m/>
    <m/>
    <m/>
    <m/>
    <m/>
    <m/>
    <n v="93924.760800000004"/>
    <n v="7038.9059000000125"/>
    <m/>
    <m/>
    <m/>
    <m/>
    <n v="177.31801000000101"/>
    <n v="6861.3053699999946"/>
    <n v="30"/>
    <n v="7036.2804069441045"/>
    <n v="0"/>
    <n v="0"/>
    <n v="0"/>
    <n v="0"/>
    <n v="0"/>
    <n v="0"/>
    <n v="0"/>
    <n v="0"/>
    <n v="0"/>
    <n v="0"/>
    <n v="6859.2268802520994"/>
    <n v="0"/>
    <n v="0"/>
    <n v="0"/>
    <n v="508.65427758916212"/>
    <n v="0"/>
    <n v="-280.48722878071749"/>
    <m/>
    <n v="0"/>
    <n v="0"/>
    <n v="0"/>
    <n v="0"/>
    <n v="-41.886858561865665"/>
    <n v="-9.2266635545741451"/>
    <n v="0"/>
    <n v="0"/>
    <m/>
    <m/>
    <m/>
    <n v="0"/>
    <n v="0"/>
    <n v="0"/>
    <n v="177.31801000000269"/>
    <n v="6861.305369999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6"/>
    <s v="Regular"/>
    <s v="Verde"/>
    <s v="A4"/>
    <s v="Industrial"/>
    <s v="Não se aplica"/>
    <s v="Não se aplica"/>
    <s v="Não se aplica"/>
    <s v="Não se aplica"/>
    <s v="CATIVO"/>
    <x v="9"/>
    <n v="1645"/>
    <n v="1645"/>
    <n v="0"/>
    <n v="0"/>
    <n v="0"/>
    <n v="0"/>
    <n v="44.35"/>
    <m/>
    <m/>
    <n v="72955.75"/>
    <m/>
    <n v="72955.75"/>
    <n v="47655.65"/>
    <n v="0"/>
    <n v="0"/>
    <n v="0"/>
    <n v="0"/>
    <n v="0"/>
    <n v="21585.794766900319"/>
    <n v="47240.857140052169"/>
    <m/>
    <m/>
    <m/>
    <n v="0"/>
    <n v="0"/>
    <n v="0"/>
    <n v="0"/>
    <m/>
    <n v="0"/>
    <n v="1631.3805377822907"/>
    <n v="2495.9443421564069"/>
    <n v="0"/>
    <n v="0"/>
    <m/>
    <m/>
    <n v="0"/>
    <n v="0"/>
    <n v="0"/>
    <m/>
    <m/>
    <n v="0"/>
    <m/>
    <n v="0"/>
    <n v="0"/>
    <n v="0"/>
    <n v="0"/>
    <m/>
    <n v="0"/>
    <n v="0"/>
    <n v="441.54"/>
    <n v="2052.27"/>
    <n v="34805.51"/>
    <n v="7"/>
    <m/>
    <m/>
    <m/>
    <m/>
    <m/>
    <m/>
    <m/>
    <m/>
    <m/>
    <n v="0"/>
    <m/>
    <m/>
    <m/>
    <m/>
    <m/>
    <m/>
    <m/>
    <m/>
    <m/>
    <m/>
    <m/>
    <m/>
    <n v="47655.65"/>
    <n v="-25300.129999999983"/>
    <m/>
    <m/>
    <m/>
    <m/>
    <n v="-25300.100000000006"/>
    <n v="0"/>
    <n v="30"/>
    <n v="1205.93528566022"/>
    <n v="196.95988484615145"/>
    <n v="301.34042844584837"/>
    <n v="0"/>
    <n v="0"/>
    <m/>
    <m/>
    <m/>
    <n v="707.634972368217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240.857140052169"/>
    <m/>
    <n v="0"/>
    <n v="0"/>
    <n v="-25300.1"/>
    <m/>
    <n v="0"/>
    <m/>
    <n v="-26501.63423672648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57"/>
    <s v="Regular"/>
    <s v="Convencional"/>
    <s v="B3"/>
    <s v="Comercial"/>
    <s v="Não se aplica"/>
    <s v="Não se aplica"/>
    <s v="Não se aplica"/>
    <s v="Não se aplica"/>
    <s v="CATIVO"/>
    <x v="9"/>
    <n v="0"/>
    <n v="0"/>
    <n v="322.11500000000001"/>
    <n v="322.11500000000001"/>
    <n v="322.11500000000001"/>
    <n v="322.11500000000001"/>
    <m/>
    <n v="581.32000000000005"/>
    <n v="209.4"/>
    <m/>
    <n v="254702.77280000004"/>
    <n v="254702.77280000004"/>
    <n v="194580.00805"/>
    <n v="0"/>
    <n v="19822.283066849875"/>
    <n v="0"/>
    <n v="0"/>
    <n v="0"/>
    <n v="23898.080605903786"/>
    <n v="124144.83203938325"/>
    <n v="66565.304980476023"/>
    <n v="886.77130943939835"/>
    <n v="0"/>
    <n v="0"/>
    <n v="0"/>
    <n v="0"/>
    <n v="3063.1853339193171"/>
    <m/>
    <n v="587.20415059321647"/>
    <n v="1835.8882498585165"/>
    <n v="2765.4184673461773"/>
    <n v="0"/>
    <n v="0"/>
    <n v="0"/>
    <n v="0"/>
    <n v="0"/>
    <n v="0"/>
    <n v="0"/>
    <n v="0"/>
    <n v="0"/>
    <n v="0"/>
    <m/>
    <n v="0"/>
    <n v="0"/>
    <n v="0"/>
    <n v="0"/>
    <n v="0"/>
    <n v="11136.251085892931"/>
    <n v="0"/>
    <n v="593.85"/>
    <n v="2799.04"/>
    <n v="79770.75"/>
    <n v="813"/>
    <m/>
    <m/>
    <m/>
    <m/>
    <m/>
    <m/>
    <m/>
    <m/>
    <m/>
    <n v="77701.556066368954"/>
    <m/>
    <m/>
    <m/>
    <m/>
    <m/>
    <m/>
    <m/>
    <m/>
    <m/>
    <m/>
    <m/>
    <m/>
    <n v="194583.02840000001"/>
    <n v="-60119.774400000053"/>
    <m/>
    <m/>
    <m/>
    <m/>
    <n v="-67476.650200000033"/>
    <n v="7353.8854499999952"/>
    <n v="30"/>
    <n v="9516.5239134615549"/>
    <n v="221.65051617821678"/>
    <n v="333.87458674746767"/>
    <n v="0"/>
    <n v="0"/>
    <n v="0"/>
    <n v="0"/>
    <n v="0"/>
    <n v="783.43733885315305"/>
    <n v="0"/>
    <n v="0"/>
    <n v="7351.6577433624479"/>
    <n v="0"/>
    <n v="0"/>
    <n v="0"/>
    <n v="1229.9185972578798"/>
    <n v="0"/>
    <n v="-345.54447329056347"/>
    <m/>
    <n v="0"/>
    <n v="0"/>
    <n v="0"/>
    <n v="0"/>
    <n v="-44.893958673101679"/>
    <n v="-13.576436973943032"/>
    <n v="0"/>
    <n v="0"/>
    <m/>
    <m/>
    <m/>
    <n v="124144.83203938325"/>
    <n v="0"/>
    <n v="0"/>
    <n v="-67476.650200000018"/>
    <n v="7353.885449999987"/>
    <n v="0"/>
    <n v="0"/>
    <n v="-69643.97198242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8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4.992"/>
    <n v="-4.992"/>
    <n v="-4.992"/>
    <n v="-4.992"/>
    <m/>
    <n v="581.32000000000005"/>
    <n v="209.4"/>
    <m/>
    <n v="-3947.2742400000006"/>
    <n v="-3947.2742400000006"/>
    <n v="-3015.5174399999996"/>
    <n v="0"/>
    <n v="-307.19723412357257"/>
    <n v="0"/>
    <n v="0"/>
    <n v="0"/>
    <n v="-370.36219482070595"/>
    <n v="-1923.9433169538866"/>
    <n v="-1031.6005229887969"/>
    <n v="-13.742801101226197"/>
    <n v="0"/>
    <n v="0"/>
    <n v="0"/>
    <n v="0"/>
    <n v="-47.471931412462105"/>
    <m/>
    <n v="-9.1002378646177196"/>
    <n v="-28.451808029100519"/>
    <n v="-42.857268332713829"/>
    <n v="0"/>
    <n v="0"/>
    <n v="0"/>
    <n v="0"/>
    <n v="0"/>
    <n v="0"/>
    <n v="0"/>
    <n v="0"/>
    <n v="0"/>
    <n v="0"/>
    <m/>
    <n v="0"/>
    <n v="0"/>
    <n v="0"/>
    <n v="0"/>
    <n v="0"/>
    <n v="-172.584839019535"/>
    <n v="0"/>
    <n v="-7.84"/>
    <n v="-3.63"/>
    <n v="-1245.29"/>
    <n v="0"/>
    <m/>
    <m/>
    <m/>
    <m/>
    <m/>
    <m/>
    <m/>
    <m/>
    <m/>
    <n v="-1204.1853620083318"/>
    <m/>
    <m/>
    <m/>
    <m/>
    <m/>
    <m/>
    <m/>
    <m/>
    <m/>
    <m/>
    <m/>
    <m/>
    <n v="-3014.3092999999999"/>
    <n v="932.9349400000001"/>
    <m/>
    <m/>
    <m/>
    <m/>
    <n v="1045.7241600000004"/>
    <n v="-113.96735999999991"/>
    <n v="30"/>
    <n v="-147.48300257982442"/>
    <n v="-3.4350445547759598"/>
    <n v="-5.1742450275316614"/>
    <n v="0"/>
    <n v="0"/>
    <n v="0"/>
    <n v="0"/>
    <n v="0"/>
    <n v="-12.141375581872751"/>
    <n v="0"/>
    <n v="0"/>
    <n v="-113.93283595878893"/>
    <n v="0"/>
    <n v="0"/>
    <n v="0"/>
    <n v="-19.060750469587987"/>
    <n v="0"/>
    <n v="5.3550999198003524"/>
    <m/>
    <n v="0"/>
    <n v="0"/>
    <n v="0"/>
    <n v="0"/>
    <n v="0.69574730048623934"/>
    <n v="0.21040179244656088"/>
    <n v="0"/>
    <n v="0"/>
    <m/>
    <m/>
    <m/>
    <n v="-1923.9433169538866"/>
    <n v="0"/>
    <n v="0"/>
    <n v="1045.7241600000004"/>
    <n v="-113.96735999999987"/>
    <n v="0"/>
    <n v="0"/>
    <n v="1079.312382646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59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43.276000000000003"/>
    <n v="43.276000000000003"/>
    <n v="43.276000000000003"/>
    <n v="43.276000000000003"/>
    <m/>
    <n v="581.32000000000005"/>
    <n v="209.4"/>
    <m/>
    <n v="34219.198720000008"/>
    <n v="34219.198720000008"/>
    <n v="26141.733319999999"/>
    <n v="0"/>
    <n v="2663.1144839606827"/>
    <n v="0"/>
    <n v="0"/>
    <n v="0"/>
    <n v="3210.6959821836685"/>
    <n v="16678.800277343031"/>
    <n v="8943.0176748523991"/>
    <n v="119.1373117901973"/>
    <n v="0"/>
    <n v="0"/>
    <n v="0"/>
    <n v="0"/>
    <n v="411.53752079441313"/>
    <m/>
    <n v="78.890603731810188"/>
    <n v="246.65073002150524"/>
    <n v="371.53268116316588"/>
    <n v="0"/>
    <n v="0"/>
    <n v="0"/>
    <n v="0"/>
    <n v="0"/>
    <n v="0"/>
    <n v="0"/>
    <n v="0"/>
    <n v="0"/>
    <n v="0"/>
    <m/>
    <n v="0"/>
    <n v="0"/>
    <n v="0"/>
    <n v="0"/>
    <n v="0"/>
    <n v="1496.1501389041259"/>
    <n v="0"/>
    <n v="83.76"/>
    <n v="393.85"/>
    <n v="26932.12"/>
    <n v="102"/>
    <m/>
    <m/>
    <m/>
    <m/>
    <m/>
    <m/>
    <m/>
    <m/>
    <m/>
    <n v="10439.167813756525"/>
    <m/>
    <m/>
    <m/>
    <m/>
    <m/>
    <m/>
    <m/>
    <m/>
    <m/>
    <m/>
    <m/>
    <m/>
    <n v="26144.149599999997"/>
    <n v="-8075.0791200000094"/>
    <m/>
    <m/>
    <m/>
    <m/>
    <n v="-9065.4564800000044"/>
    <n v="987.99107999999944"/>
    <n v="30"/>
    <n v="1278.540548806981"/>
    <n v="29.778643460032924"/>
    <n v="44.855894994282835"/>
    <n v="0"/>
    <n v="0"/>
    <n v="0"/>
    <n v="0"/>
    <n v="0"/>
    <n v="105.25444104189182"/>
    <n v="0"/>
    <n v="0"/>
    <n v="987.69178865235517"/>
    <n v="0"/>
    <n v="0"/>
    <n v="0"/>
    <n v="165.23898984813513"/>
    <n v="0"/>
    <n v="-46.423738807948666"/>
    <m/>
    <n v="0"/>
    <n v="0"/>
    <n v="0"/>
    <n v="0"/>
    <n v="-6.0314824070197233"/>
    <n v="-1.8239879747430479"/>
    <n v="0"/>
    <n v="0"/>
    <m/>
    <m/>
    <m/>
    <n v="16678.800277343031"/>
    <n v="0"/>
    <n v="0"/>
    <n v="-9065.4564800000044"/>
    <n v="987.99107999999978"/>
    <n v="0"/>
    <n v="0"/>
    <n v="-9356.635150525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0"/>
    <s v="Regular"/>
    <s v="Verde"/>
    <s v="A4"/>
    <s v="Comercial"/>
    <s v="Não se aplica"/>
    <s v="Não se aplica"/>
    <s v="Não se aplica"/>
    <s v="Ponta"/>
    <s v="CATIVO"/>
    <x v="9"/>
    <n v="0"/>
    <n v="0"/>
    <n v="28.748000000000001"/>
    <n v="28.748000000000001"/>
    <n v="28.748000000000001"/>
    <n v="28.748000000000001"/>
    <m/>
    <n v="1614.19"/>
    <n v="209.4"/>
    <m/>
    <n v="52424.565320000002"/>
    <n v="52424.565320000002"/>
    <n v="34846.888200000001"/>
    <n v="0"/>
    <n v="1539.1098348013802"/>
    <n v="0"/>
    <n v="0"/>
    <n v="0"/>
    <n v="8952.6443864092271"/>
    <n v="33429.227040860569"/>
    <n v="5940.7956400003868"/>
    <n v="79.142236790474911"/>
    <n v="0"/>
    <n v="0"/>
    <n v="0"/>
    <n v="0"/>
    <n v="273.3820280940426"/>
    <m/>
    <n v="38.172868180991436"/>
    <n v="695.55571461619934"/>
    <n v="1036.0406578294856"/>
    <n v="0"/>
    <n v="0"/>
    <n v="0"/>
    <n v="0"/>
    <n v="0"/>
    <n v="0"/>
    <n v="0"/>
    <n v="0"/>
    <n v="0"/>
    <n v="0"/>
    <m/>
    <n v="0"/>
    <n v="0"/>
    <n v="0"/>
    <n v="0"/>
    <n v="0"/>
    <n v="440.54689651236981"/>
    <n v="0"/>
    <n v="0"/>
    <n v="0"/>
    <n v="0"/>
    <n v="0"/>
    <m/>
    <m/>
    <m/>
    <m/>
    <m/>
    <m/>
    <m/>
    <m/>
    <m/>
    <n v="6381.3425365127569"/>
    <m/>
    <m/>
    <m/>
    <m/>
    <m/>
    <m/>
    <m/>
    <m/>
    <m/>
    <m/>
    <m/>
    <m/>
    <n v="34849.3125"/>
    <n v="-17575.282820000008"/>
    <m/>
    <m/>
    <m/>
    <m/>
    <n v="-18233.993960000003"/>
    <n v="656.31683999999962"/>
    <n v="30"/>
    <n v="1175.6026963560944"/>
    <n v="83.9758537521368"/>
    <n v="125.08329230127288"/>
    <n v="0"/>
    <n v="0"/>
    <n v="0"/>
    <n v="0"/>
    <n v="0"/>
    <n v="293.48950693783081"/>
    <n v="0"/>
    <n v="0"/>
    <n v="656.11802246459683"/>
    <n v="0"/>
    <n v="0"/>
    <n v="0"/>
    <n v="48.655226683170099"/>
    <n v="0"/>
    <n v="-26.829951696745184"/>
    <m/>
    <n v="0"/>
    <n v="0"/>
    <n v="0"/>
    <n v="0"/>
    <n v="-4.0066793658610322"/>
    <n v="-0.88257472030883832"/>
    <n v="0"/>
    <n v="0"/>
    <m/>
    <m/>
    <m/>
    <n v="33429.227040860569"/>
    <n v="0"/>
    <n v="0"/>
    <n v="-18233.99396"/>
    <n v="656.3168399999995"/>
    <n v="0"/>
    <n v="0"/>
    <n v="-18753.45202198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1"/>
    <s v="Regular"/>
    <s v="Verde"/>
    <s v="A4"/>
    <s v="Comercial"/>
    <s v="Não se aplica"/>
    <s v="Não se aplica"/>
    <s v="Não se aplica"/>
    <s v="Fora ponta"/>
    <s v="CATIVO"/>
    <x v="9"/>
    <n v="0"/>
    <n v="0"/>
    <n v="451.25900000000001"/>
    <n v="451.25900000000001"/>
    <n v="451.25900000000001"/>
    <n v="451.25900000000001"/>
    <m/>
    <n v="79.7"/>
    <n v="209.4"/>
    <m/>
    <n v="130458.97690000001"/>
    <n v="130458.97690000001"/>
    <n v="141027.46268"/>
    <n v="0"/>
    <n v="24159.495093315571"/>
    <n v="0"/>
    <n v="0"/>
    <n v="0"/>
    <n v="0"/>
    <n v="0"/>
    <n v="93253.008894912156"/>
    <n v="1242.3002167744858"/>
    <n v="0"/>
    <n v="0"/>
    <n v="0"/>
    <n v="0"/>
    <n v="4291.2933287772912"/>
    <m/>
    <n v="599.20169481306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15.2898279280471"/>
    <n v="0"/>
    <n v="0"/>
    <n v="0"/>
    <n v="0"/>
    <n v="0"/>
    <m/>
    <m/>
    <m/>
    <m/>
    <m/>
    <m/>
    <m/>
    <m/>
    <m/>
    <n v="100168.29872284021"/>
    <m/>
    <m/>
    <m/>
    <m/>
    <m/>
    <m/>
    <m/>
    <m/>
    <m/>
    <m/>
    <m/>
    <m/>
    <n v="141027.7752"/>
    <n v="10568.768299999996"/>
    <m/>
    <m/>
    <m/>
    <m/>
    <n v="266.24281000000155"/>
    <n v="10302.242969999994"/>
    <n v="30"/>
    <n v="10564.967808361631"/>
    <n v="0"/>
    <n v="0"/>
    <n v="0"/>
    <n v="0"/>
    <n v="0"/>
    <n v="0"/>
    <n v="0"/>
    <n v="0"/>
    <n v="0"/>
    <n v="0"/>
    <n v="10299.122119777079"/>
    <n v="0"/>
    <n v="0"/>
    <n v="0"/>
    <n v="763.74387567206941"/>
    <n v="0"/>
    <n v="-421.15128609717431"/>
    <m/>
    <n v="0"/>
    <n v="0"/>
    <n v="0"/>
    <n v="0"/>
    <n v="-62.893075134238643"/>
    <n v="-13.853825856123763"/>
    <n v="0"/>
    <n v="0"/>
    <m/>
    <m/>
    <m/>
    <n v="0"/>
    <n v="0"/>
    <n v="0"/>
    <n v="266.24281000000337"/>
    <n v="10302.24296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2"/>
    <s v="Regular"/>
    <s v="Verde"/>
    <s v="A4"/>
    <s v="Comercial"/>
    <s v="Não se aplica"/>
    <s v="Não se aplica"/>
    <s v="Não se aplica"/>
    <s v="Não se aplica"/>
    <s v="CATIVO"/>
    <x v="9"/>
    <n v="4521"/>
    <n v="4521"/>
    <n v="0"/>
    <n v="0"/>
    <n v="0"/>
    <n v="0"/>
    <n v="44.35"/>
    <m/>
    <m/>
    <n v="200506.35"/>
    <m/>
    <n v="200506.35"/>
    <n v="130973.37"/>
    <n v="0"/>
    <n v="0"/>
    <n v="0"/>
    <n v="0"/>
    <n v="0"/>
    <n v="59324.849933833641"/>
    <n v="129833.38305785766"/>
    <m/>
    <m/>
    <m/>
    <n v="0"/>
    <n v="0"/>
    <n v="0"/>
    <n v="0"/>
    <m/>
    <n v="0"/>
    <n v="4483.5692469992318"/>
    <n v="6859.6743895982463"/>
    <n v="0"/>
    <n v="0"/>
    <m/>
    <m/>
    <n v="0"/>
    <n v="0"/>
    <n v="0"/>
    <m/>
    <m/>
    <n v="0"/>
    <m/>
    <n v="0"/>
    <n v="0"/>
    <n v="0"/>
    <n v="0"/>
    <m/>
    <n v="0"/>
    <n v="0"/>
    <n v="898.51"/>
    <n v="4194.1499999999996"/>
    <n v="116587.21"/>
    <n v="33"/>
    <m/>
    <m/>
    <m/>
    <m/>
    <m/>
    <m/>
    <m/>
    <m/>
    <m/>
    <n v="0"/>
    <m/>
    <m/>
    <m/>
    <m/>
    <m/>
    <m/>
    <m/>
    <m/>
    <m/>
    <m/>
    <m/>
    <m/>
    <n v="130973.37"/>
    <n v="-69533.010000000038"/>
    <m/>
    <m/>
    <m/>
    <m/>
    <n v="-69532.98000000001"/>
    <n v="0"/>
    <n v="30"/>
    <n v="3314.3060343281686"/>
    <n v="541.31041908173302"/>
    <n v="828.18241763141759"/>
    <n v="0"/>
    <n v="0"/>
    <m/>
    <m/>
    <m/>
    <n v="1944.81319761502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9833.38305785766"/>
    <m/>
    <n v="0"/>
    <n v="0"/>
    <n v="-69532.98000000001"/>
    <m/>
    <n v="0"/>
    <m/>
    <n v="-72835.19050713702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63"/>
    <s v="Sistema de Compensação"/>
    <s v="Verde"/>
    <s v="A4"/>
    <s v="Comercial"/>
    <s v="Não se aplica"/>
    <s v="Não se aplica"/>
    <s v="Não se aplica"/>
    <s v="Não se aplica"/>
    <s v="CATIVO"/>
    <x v="9"/>
    <n v="587"/>
    <n v="587"/>
    <n v="0"/>
    <n v="0"/>
    <n v="0"/>
    <n v="0"/>
    <n v="44.35"/>
    <m/>
    <m/>
    <n v="26033.45"/>
    <m/>
    <n v="26033.45"/>
    <n v="17005.39"/>
    <n v="0"/>
    <n v="0"/>
    <n v="0"/>
    <n v="0"/>
    <n v="0"/>
    <n v="7702.6513849060711"/>
    <n v="16857.375769732902"/>
    <m/>
    <m/>
    <m/>
    <n v="0"/>
    <n v="0"/>
    <n v="0"/>
    <n v="0"/>
    <m/>
    <n v="0"/>
    <n v="582.14004600498765"/>
    <n v="890.65004793058404"/>
    <n v="0"/>
    <n v="0"/>
    <m/>
    <m/>
    <n v="0"/>
    <n v="0"/>
    <n v="0"/>
    <m/>
    <m/>
    <n v="0"/>
    <m/>
    <n v="0"/>
    <n v="0"/>
    <n v="0"/>
    <n v="0"/>
    <m/>
    <n v="0"/>
    <n v="0"/>
    <n v="49.48"/>
    <n v="231.61"/>
    <n v="8371.81"/>
    <n v="4"/>
    <m/>
    <m/>
    <m/>
    <m/>
    <m/>
    <m/>
    <m/>
    <m/>
    <m/>
    <n v="0"/>
    <m/>
    <m/>
    <m/>
    <m/>
    <m/>
    <m/>
    <m/>
    <m/>
    <m/>
    <m/>
    <m/>
    <m/>
    <n v="17005.39"/>
    <n v="-9028.0899999999965"/>
    <m/>
    <m/>
    <m/>
    <m/>
    <n v="-9028.0600000000013"/>
    <n v="0"/>
    <n v="30"/>
    <n v="430.32462777054752"/>
    <n v="70.282949790085581"/>
    <n v="107.52998875240928"/>
    <n v="0"/>
    <n v="0"/>
    <m/>
    <m/>
    <m/>
    <n v="252.5116892280511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857.375769732902"/>
    <m/>
    <n v="0"/>
    <n v="0"/>
    <n v="-9028.0600000000013"/>
    <m/>
    <n v="0"/>
    <m/>
    <n v="-9456.8141622847688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64"/>
    <s v="Regular"/>
    <s v="Convencional"/>
    <s v="B2"/>
    <s v="Rural"/>
    <s v="Não se aplica"/>
    <s v="Não se aplica"/>
    <s v="Não se aplica"/>
    <s v="Não se aplica"/>
    <s v="CATIVO"/>
    <x v="9"/>
    <n v="0"/>
    <n v="0"/>
    <n v="4058.8209999999999"/>
    <n v="4058.8209999999999"/>
    <n v="4058.8209999999999"/>
    <n v="4058.8209999999999"/>
    <m/>
    <n v="581.32000000000005"/>
    <n v="209.4"/>
    <m/>
    <n v="3209390.9411200001"/>
    <n v="3209390.9411200001"/>
    <n v="2451812.0014699996"/>
    <n v="0"/>
    <n v="249771.35116239442"/>
    <n v="0"/>
    <n v="0"/>
    <n v="0"/>
    <n v="301128.5765112926"/>
    <n v="1564291.1734098739"/>
    <n v="838758.38668227382"/>
    <n v="11173.792008910259"/>
    <n v="0"/>
    <n v="0"/>
    <n v="0"/>
    <n v="0"/>
    <n v="38597.770858866359"/>
    <m/>
    <n v="7399.0858473368498"/>
    <n v="23133.172258910618"/>
    <n v="34845.749341236755"/>
    <n v="0"/>
    <n v="0"/>
    <n v="0"/>
    <n v="0"/>
    <n v="0"/>
    <n v="0"/>
    <n v="0"/>
    <n v="0"/>
    <n v="0"/>
    <n v="0"/>
    <m/>
    <n v="0"/>
    <n v="0"/>
    <n v="0"/>
    <n v="0"/>
    <n v="0"/>
    <n v="140322.71011500561"/>
    <n v="0"/>
    <n v="6808.14"/>
    <n v="32141.27"/>
    <n v="249646.23"/>
    <n v="13402"/>
    <m/>
    <m/>
    <m/>
    <m/>
    <m/>
    <n v="294223.93428999971"/>
    <m/>
    <m/>
    <m/>
    <n v="979081.09679727943"/>
    <m/>
    <m/>
    <m/>
    <m/>
    <m/>
    <m/>
    <m/>
    <m/>
    <m/>
    <m/>
    <m/>
    <m/>
    <n v="2157587.5356000001"/>
    <n v="-666743.08724999987"/>
    <m/>
    <m/>
    <m/>
    <m/>
    <n v="-850241.82308000023"/>
    <n v="92662.883429999929"/>
    <n v="30"/>
    <n v="119913.2828553773"/>
    <n v="2792.914858746055"/>
    <n v="4206.9980722938853"/>
    <n v="0"/>
    <n v="0"/>
    <n v="0"/>
    <n v="0"/>
    <n v="0"/>
    <n v="9871.7288022019784"/>
    <n v="0"/>
    <n v="0"/>
    <n v="92634.81313683663"/>
    <n v="0"/>
    <n v="0"/>
    <n v="0"/>
    <n v="15497.63106605041"/>
    <n v="0"/>
    <n v="-4354.0448741153814"/>
    <m/>
    <n v="0"/>
    <n v="0"/>
    <n v="0"/>
    <n v="0"/>
    <n v="-565.6878513435222"/>
    <n v="-171.07035529241512"/>
    <n v="0"/>
    <n v="0"/>
    <m/>
    <m/>
    <m/>
    <n v="1564291.1734098739"/>
    <n v="0"/>
    <n v="0"/>
    <n v="-850241.82308000047"/>
    <n v="92662.883429999929"/>
    <n v="0"/>
    <n v="0"/>
    <n v="-877551.23482508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5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17.402999999999999"/>
    <n v="-17.402999999999999"/>
    <n v="-17.402999999999999"/>
    <n v="-17.402999999999999"/>
    <m/>
    <n v="581.32000000000005"/>
    <n v="209.4"/>
    <m/>
    <n v="-13760.900160000001"/>
    <n v="-13760.900160000001"/>
    <n v="-10512.630209999999"/>
    <n v="0"/>
    <n v="-1070.9442038166133"/>
    <n v="0"/>
    <n v="0"/>
    <n v="0"/>
    <n v="-1291.1484928815596"/>
    <n v="-6707.2086428182065"/>
    <n v="-3596.3429290012077"/>
    <n v="-47.909849271762717"/>
    <n v="0"/>
    <n v="0"/>
    <n v="0"/>
    <n v="0"/>
    <n v="-165.49559743010374"/>
    <m/>
    <n v="-31.725047988369823"/>
    <n v="-99.188063928372657"/>
    <n v="-149.40806105653419"/>
    <n v="0"/>
    <n v="0"/>
    <n v="0"/>
    <n v="0"/>
    <n v="0"/>
    <n v="0"/>
    <n v="0"/>
    <n v="0"/>
    <n v="0"/>
    <n v="0"/>
    <m/>
    <n v="0"/>
    <n v="0"/>
    <n v="0"/>
    <n v="0"/>
    <n v="0"/>
    <n v="-601.66144900980908"/>
    <n v="0"/>
    <n v="-25.15"/>
    <n v="-22.21"/>
    <n v="-346.31"/>
    <n v="0"/>
    <m/>
    <m/>
    <m/>
    <m/>
    <m/>
    <n v="-1261.5434699999987"/>
    <m/>
    <m/>
    <m/>
    <n v="-4198.0043780110173"/>
    <m/>
    <m/>
    <m/>
    <m/>
    <m/>
    <m/>
    <m/>
    <m/>
    <m/>
    <m/>
    <m/>
    <m/>
    <n v="-9249.4920000000002"/>
    <n v="2860.3555499999984"/>
    <m/>
    <m/>
    <m/>
    <m/>
    <n v="3645.5804400000011"/>
    <n v="-397.31048999999967"/>
    <n v="30"/>
    <n v="-514.15198195045741"/>
    <n v="-11.975176359528447"/>
    <n v="-18.038338584561984"/>
    <n v="0"/>
    <n v="0"/>
    <n v="0"/>
    <n v="0"/>
    <n v="0"/>
    <n v="-42.32699504233392"/>
    <n v="0"/>
    <n v="0"/>
    <n v="-397.19013305104318"/>
    <n v="0"/>
    <n v="0"/>
    <n v="0"/>
    <n v="-66.449166751250004"/>
    <n v="0"/>
    <n v="18.668830910313773"/>
    <m/>
    <n v="0"/>
    <n v="0"/>
    <n v="0"/>
    <n v="0"/>
    <n v="2.4254988522359611"/>
    <n v="0.73349807571063153"/>
    <n v="0"/>
    <n v="0"/>
    <m/>
    <m/>
    <m/>
    <n v="-6707.2086428182065"/>
    <n v="0"/>
    <n v="0"/>
    <n v="3645.5804400000015"/>
    <n v="-397.31048999999939"/>
    <n v="0"/>
    <n v="0"/>
    <n v="3762.6749589747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6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159.28700000000001"/>
    <n v="159.28700000000001"/>
    <n v="159.28700000000001"/>
    <n v="159.28700000000001"/>
    <m/>
    <n v="581.32000000000005"/>
    <n v="209.4"/>
    <m/>
    <n v="125951.41664000001"/>
    <n v="125951.41664000001"/>
    <n v="96220.498089999994"/>
    <n v="0"/>
    <n v="9802.1886682374807"/>
    <n v="0"/>
    <n v="0"/>
    <n v="0"/>
    <n v="11817.684881090903"/>
    <n v="61390.055914990735"/>
    <n v="32916.777344815004"/>
    <n v="438.51153025060444"/>
    <n v="0"/>
    <n v="0"/>
    <n v="0"/>
    <n v="0"/>
    <n v="1514.7559172469655"/>
    <m/>
    <n v="290.37451697543321"/>
    <n v="907.85319421701422"/>
    <n v="1367.5091548303262"/>
    <n v="0"/>
    <n v="0"/>
    <n v="0"/>
    <n v="0"/>
    <n v="0"/>
    <n v="0"/>
    <n v="0"/>
    <n v="0"/>
    <n v="0"/>
    <n v="0"/>
    <m/>
    <n v="0"/>
    <n v="0"/>
    <n v="0"/>
    <n v="0"/>
    <n v="0"/>
    <n v="5506.9153150850707"/>
    <n v="0"/>
    <n v="265.32"/>
    <n v="1253.97"/>
    <n v="10107.49"/>
    <n v="961"/>
    <m/>
    <m/>
    <m/>
    <m/>
    <m/>
    <n v="11546.714629999988"/>
    <m/>
    <m/>
    <m/>
    <n v="38423.692659900073"/>
    <m/>
    <m/>
    <m/>
    <m/>
    <m/>
    <m/>
    <m/>
    <m/>
    <m/>
    <m/>
    <m/>
    <m/>
    <n v="84675.378200000006"/>
    <n v="-26164.510749999987"/>
    <m/>
    <m/>
    <m/>
    <m/>
    <n v="-33367.440760000012"/>
    <n v="3636.5222099999978"/>
    <n v="30"/>
    <n v="4705.9545336403171"/>
    <n v="109.60695953457491"/>
    <n v="165.10215699127298"/>
    <n v="0"/>
    <n v="0"/>
    <n v="0"/>
    <n v="0"/>
    <n v="0"/>
    <n v="387.41251849153923"/>
    <n v="0"/>
    <n v="0"/>
    <n v="3635.4206012354989"/>
    <n v="0"/>
    <n v="0"/>
    <n v="0"/>
    <n v="608.19907052268809"/>
    <n v="0"/>
    <n v="-170.87295691611325"/>
    <m/>
    <n v="0"/>
    <n v="0"/>
    <n v="0"/>
    <n v="0"/>
    <n v="-22.200220403155299"/>
    <n v="-6.713595815992619"/>
    <n v="0"/>
    <n v="0"/>
    <m/>
    <m/>
    <m/>
    <n v="61390.055914990735"/>
    <n v="0"/>
    <n v="0"/>
    <n v="-33367.44076000002"/>
    <n v="3636.5222099999955"/>
    <n v="0"/>
    <n v="0"/>
    <n v="-34439.1890013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7"/>
    <s v="Regular"/>
    <s v="Verde"/>
    <s v="A4"/>
    <s v="Rural"/>
    <s v="Não se aplica"/>
    <s v="Não se aplica"/>
    <s v="Não se aplica"/>
    <s v="Ponta"/>
    <s v="CATIVO"/>
    <x v="9"/>
    <n v="0"/>
    <n v="0"/>
    <n v="27.064"/>
    <n v="25.981439999999999"/>
    <n v="27.064"/>
    <n v="25.981439999999999"/>
    <m/>
    <n v="1614.19"/>
    <n v="209.4"/>
    <m/>
    <n v="49353.639760000005"/>
    <n v="49353.639760000005"/>
    <n v="32805.6276"/>
    <n v="0"/>
    <n v="1448.9518773154498"/>
    <n v="0"/>
    <n v="0"/>
    <n v="0"/>
    <n v="8428.2164906699345"/>
    <n v="31471.010179276833"/>
    <n v="5592.7957840883009"/>
    <n v="74.506243790782406"/>
    <n v="0"/>
    <n v="0"/>
    <n v="0"/>
    <n v="0"/>
    <n v="257.3678589236527"/>
    <m/>
    <n v="35.936778365463759"/>
    <n v="654.81146028846592"/>
    <n v="975.35148057246408"/>
    <n v="0"/>
    <n v="0"/>
    <n v="0"/>
    <n v="0"/>
    <n v="0"/>
    <n v="0"/>
    <n v="0"/>
    <n v="0"/>
    <n v="0"/>
    <n v="0"/>
    <m/>
    <n v="0"/>
    <n v="0"/>
    <n v="0"/>
    <n v="0"/>
    <n v="0"/>
    <n v="414.74054568007432"/>
    <n v="0"/>
    <n v="0"/>
    <n v="0"/>
    <n v="0"/>
    <n v="0"/>
    <m/>
    <m/>
    <m/>
    <m/>
    <m/>
    <n v="1312.225104000001"/>
    <m/>
    <m/>
    <m/>
    <n v="6007.5363297683753"/>
    <m/>
    <m/>
    <m/>
    <m/>
    <m/>
    <m/>
    <m/>
    <m/>
    <m/>
    <m/>
    <m/>
    <m/>
    <n v="31491.656999999999"/>
    <n v="-15887.867169600002"/>
    <m/>
    <m/>
    <m/>
    <m/>
    <n v="-17165.883280000002"/>
    <n v="617.87111999999956"/>
    <n v="30"/>
    <n v="1106.7382556762714"/>
    <n v="79.056717195903389"/>
    <n v="117.75616470160173"/>
    <n v="0"/>
    <n v="0"/>
    <n v="0"/>
    <n v="0"/>
    <n v="0"/>
    <n v="276.29748211233891"/>
    <n v="0"/>
    <n v="0"/>
    <n v="617.68394879580683"/>
    <n v="0"/>
    <n v="0"/>
    <n v="0"/>
    <n v="45.805101396734187"/>
    <n v="0"/>
    <n v="-25.258307107301789"/>
    <m/>
    <n v="0"/>
    <n v="0"/>
    <n v="0"/>
    <n v="0"/>
    <n v="-3.771976149911751"/>
    <n v="-0.83087526890351882"/>
    <n v="0"/>
    <n v="0"/>
    <m/>
    <m/>
    <m/>
    <n v="31471.010179276833"/>
    <n v="0"/>
    <n v="0"/>
    <n v="-17165.883280000005"/>
    <n v="617.87111999999979"/>
    <n v="0"/>
    <n v="0"/>
    <n v="-17654.912533845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8"/>
    <s v="Sistema de Compensação"/>
    <s v="Verde"/>
    <s v="A4"/>
    <s v="Rural"/>
    <s v="Não se aplica"/>
    <s v="Não se aplica"/>
    <s v="Não se aplica"/>
    <s v="Ponta"/>
    <s v="CATIVO"/>
    <x v="9"/>
    <n v="0"/>
    <n v="0"/>
    <n v="3.2890000000000001"/>
    <n v="3.1574399999999998"/>
    <n v="3.2890000000000001"/>
    <n v="3.1574399999999998"/>
    <m/>
    <n v="1614.19"/>
    <n v="209.4"/>
    <m/>
    <n v="5997.7875100000001"/>
    <n v="5997.7875100000001"/>
    <n v="3986.7613500000002"/>
    <n v="0"/>
    <n v="176.08641459098857"/>
    <n v="0"/>
    <n v="0"/>
    <n v="0"/>
    <n v="1024.2537702414063"/>
    <n v="3824.5696304922226"/>
    <n v="679.67430290668131"/>
    <n v="9.0545017672141359"/>
    <n v="0"/>
    <n v="0"/>
    <n v="0"/>
    <n v="0"/>
    <n v="31.277079810814879"/>
    <m/>
    <n v="4.3672799306832069"/>
    <n v="79.577109551018495"/>
    <n v="118.53129691113044"/>
    <n v="0"/>
    <n v="0"/>
    <n v="0"/>
    <n v="0"/>
    <n v="0"/>
    <n v="0"/>
    <n v="0"/>
    <n v="0"/>
    <n v="0"/>
    <n v="0"/>
    <m/>
    <n v="0"/>
    <n v="0"/>
    <n v="0"/>
    <n v="0"/>
    <n v="0"/>
    <n v="50.402071192054557"/>
    <n v="0"/>
    <n v="0"/>
    <n v="0"/>
    <n v="0"/>
    <n v="0"/>
    <m/>
    <m/>
    <m/>
    <m/>
    <m/>
    <n v="159.47045400000042"/>
    <m/>
    <m/>
    <m/>
    <n v="730.07637409873587"/>
    <m/>
    <m/>
    <m/>
    <m/>
    <m/>
    <m/>
    <m/>
    <m/>
    <m/>
    <m/>
    <m/>
    <m/>
    <n v="3830.3940000000002"/>
    <n v="-1927.5120096000001"/>
    <m/>
    <m/>
    <m/>
    <m/>
    <n v="-2086.1140300000002"/>
    <n v="75.087869999999953"/>
    <n v="30"/>
    <n v="134.49830486695328"/>
    <n v="9.6075060174891433"/>
    <n v="14.310524153989363"/>
    <n v="0"/>
    <n v="0"/>
    <n v="0"/>
    <n v="0"/>
    <n v="0"/>
    <n v="33.577535422238952"/>
    <n v="0"/>
    <n v="0"/>
    <n v="75.065123691597933"/>
    <n v="0"/>
    <n v="0"/>
    <n v="0"/>
    <n v="5.5665451704795572"/>
    <n v="0"/>
    <n v="-3.0695600087169623"/>
    <m/>
    <n v="0"/>
    <n v="0"/>
    <n v="0"/>
    <n v="0"/>
    <n v="-0.4583960078724445"/>
    <n v="-0.10097357225183501"/>
    <n v="0"/>
    <n v="0"/>
    <m/>
    <m/>
    <m/>
    <n v="3824.5696304922226"/>
    <n v="0"/>
    <n v="0"/>
    <n v="-2086.1140300000002"/>
    <n v="75.087869999999953"/>
    <n v="0"/>
    <n v="0"/>
    <n v="-2145.544166561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69"/>
    <s v="Regular"/>
    <s v="Verde"/>
    <s v="A4"/>
    <s v="Rural"/>
    <s v="Não se aplica"/>
    <s v="Não se aplica"/>
    <s v="Não se aplica"/>
    <s v="Fora ponta"/>
    <s v="CATIVO"/>
    <x v="9"/>
    <n v="0"/>
    <n v="0"/>
    <n v="321.10500000000002"/>
    <n v="308.26080000000002"/>
    <n v="321.10500000000002"/>
    <n v="308.26080000000002"/>
    <m/>
    <n v="79.7"/>
    <n v="209.4"/>
    <m/>
    <n v="92831.455500000011"/>
    <n v="92831.455500000011"/>
    <n v="100351.7346"/>
    <n v="0"/>
    <n v="17191.312908859647"/>
    <n v="0"/>
    <n v="0"/>
    <n v="0"/>
    <n v="0"/>
    <n v="0"/>
    <n v="66356.587727227088"/>
    <n v="883.99081482556858"/>
    <n v="0"/>
    <n v="0"/>
    <n v="0"/>
    <n v="0"/>
    <n v="3053.5806362577414"/>
    <m/>
    <n v="426.37744668349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20.7531377697414"/>
    <n v="0"/>
    <n v="0"/>
    <n v="0"/>
    <n v="0"/>
    <n v="0"/>
    <m/>
    <m/>
    <m/>
    <m/>
    <m/>
    <n v="4014.0693840000004"/>
    <m/>
    <m/>
    <m/>
    <n v="71277.340864996833"/>
    <m/>
    <m/>
    <m/>
    <m/>
    <m/>
    <m/>
    <m/>
    <m/>
    <m/>
    <m/>
    <m/>
    <m/>
    <n v="96337.415199999989"/>
    <n v="7219.1879199999967"/>
    <m/>
    <m/>
    <m/>
    <m/>
    <n v="189.45195000000112"/>
    <n v="7330.8271499999955"/>
    <n v="30"/>
    <n v="7517.7757963917829"/>
    <n v="0"/>
    <n v="0"/>
    <n v="0"/>
    <n v="0"/>
    <n v="0"/>
    <n v="0"/>
    <n v="0"/>
    <n v="0"/>
    <n v="0"/>
    <n v="0"/>
    <n v="7328.6064283948217"/>
    <n v="0"/>
    <n v="0"/>
    <n v="0"/>
    <n v="543.46168652077813"/>
    <n v="0"/>
    <n v="-299.6810783213914"/>
    <m/>
    <n v="0"/>
    <n v="0"/>
    <n v="0"/>
    <n v="0"/>
    <n v="-44.7531924925147"/>
    <n v="-9.8580477099196173"/>
    <n v="0"/>
    <n v="0"/>
    <m/>
    <m/>
    <m/>
    <n v="0"/>
    <n v="0"/>
    <n v="0"/>
    <n v="189.4519500000024"/>
    <n v="7330.827149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0"/>
    <s v="Sistema de Compensação"/>
    <s v="Verde"/>
    <s v="A4"/>
    <s v="Rural"/>
    <s v="Não se aplica"/>
    <s v="Não se aplica"/>
    <s v="Não se aplica"/>
    <s v="Fora ponta"/>
    <s v="CATIVO"/>
    <x v="9"/>
    <n v="0"/>
    <n v="0"/>
    <n v="12.613"/>
    <n v="12.10848"/>
    <n v="12.613"/>
    <n v="12.10848"/>
    <m/>
    <n v="79.7"/>
    <n v="209.4"/>
    <m/>
    <n v="3646.4182999999998"/>
    <n v="3646.4182999999998"/>
    <n v="3941.8147600000002"/>
    <n v="0"/>
    <n v="675.27453549289714"/>
    <n v="0"/>
    <n v="0"/>
    <n v="0"/>
    <n v="0"/>
    <n v="0"/>
    <n v="2606.4858566621983"/>
    <n v="34.723147093302487"/>
    <n v="0"/>
    <n v="0"/>
    <n v="0"/>
    <n v="0"/>
    <n v="119.94460554995683"/>
    <m/>
    <n v="16.7481002632129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.28711582407541"/>
    <n v="0"/>
    <n v="0"/>
    <n v="0"/>
    <n v="0"/>
    <n v="0"/>
    <m/>
    <m/>
    <m/>
    <m/>
    <m/>
    <n v="157.67259039999982"/>
    <m/>
    <m/>
    <m/>
    <n v="2799.7729724862738"/>
    <m/>
    <m/>
    <m/>
    <m/>
    <m/>
    <m/>
    <m/>
    <m/>
    <m/>
    <m/>
    <m/>
    <m/>
    <n v="3784.6171999999997"/>
    <n v="284.0256319999994"/>
    <m/>
    <m/>
    <m/>
    <m/>
    <n v="7.4416700000000429"/>
    <n v="287.95478999999978"/>
    <n v="30"/>
    <n v="295.29813026857028"/>
    <n v="0"/>
    <n v="0"/>
    <n v="0"/>
    <n v="0"/>
    <n v="0"/>
    <n v="0"/>
    <n v="0"/>
    <n v="0"/>
    <n v="0"/>
    <n v="0"/>
    <n v="287.86756008577822"/>
    <n v="0"/>
    <n v="0"/>
    <n v="0"/>
    <n v="21.347167599653005"/>
    <n v="0"/>
    <n v="-11.771468650029533"/>
    <m/>
    <n v="0"/>
    <n v="0"/>
    <n v="0"/>
    <n v="0"/>
    <n v="-1.7579047878671759"/>
    <n v="-0.38722397896393801"/>
    <n v="0"/>
    <n v="0"/>
    <m/>
    <m/>
    <m/>
    <n v="0"/>
    <n v="0"/>
    <n v="0"/>
    <n v="7.4416700000000446"/>
    <n v="287.9547900000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1"/>
    <s v="Regular"/>
    <s v="Verde"/>
    <s v="A4"/>
    <s v="Rural"/>
    <s v="Não se aplica"/>
    <s v="Não se aplica"/>
    <s v="Não se aplica"/>
    <s v="Não se aplica"/>
    <s v="CATIVO"/>
    <x v="9"/>
    <n v="2343"/>
    <n v="2249.2800000000002"/>
    <n v="0"/>
    <n v="0"/>
    <n v="0"/>
    <n v="0"/>
    <n v="44.35"/>
    <m/>
    <m/>
    <n v="103912.05"/>
    <m/>
    <n v="103912.05"/>
    <n v="67876.709999999992"/>
    <n v="0"/>
    <n v="0"/>
    <n v="0"/>
    <n v="0"/>
    <n v="0"/>
    <n v="30744.995221183857"/>
    <n v="67285.913847502874"/>
    <m/>
    <m/>
    <m/>
    <n v="0"/>
    <n v="0"/>
    <n v="0"/>
    <n v="0"/>
    <m/>
    <n v="0"/>
    <n v="2323.6015805616457"/>
    <n v="3555.0137347552954"/>
    <n v="0"/>
    <n v="0"/>
    <m/>
    <m/>
    <n v="0"/>
    <n v="0"/>
    <n v="0"/>
    <m/>
    <m/>
    <n v="0"/>
    <m/>
    <n v="0"/>
    <n v="0"/>
    <n v="0"/>
    <n v="0"/>
    <m/>
    <n v="0"/>
    <n v="0"/>
    <n v="552.04"/>
    <n v="2583.96"/>
    <n v="107.48"/>
    <n v="15"/>
    <m/>
    <m/>
    <m/>
    <m/>
    <m/>
    <n v="2715.0683999999942"/>
    <m/>
    <m/>
    <m/>
    <n v="0"/>
    <m/>
    <m/>
    <m/>
    <m/>
    <m/>
    <m/>
    <m/>
    <m/>
    <m/>
    <m/>
    <m/>
    <m/>
    <n v="65161.641600000003"/>
    <n v="-34593.956399999995"/>
    <m/>
    <m/>
    <m/>
    <m/>
    <n v="-36035.340000000004"/>
    <n v="0"/>
    <n v="30"/>
    <n v="1717.6330542868673"/>
    <n v="280.53313689637253"/>
    <n v="429.20402665569827"/>
    <n v="0"/>
    <n v="0"/>
    <m/>
    <m/>
    <m/>
    <n v="1007.89589073479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67285.913847502874"/>
    <m/>
    <n v="0"/>
    <n v="0"/>
    <n v="-36035.340000000011"/>
    <m/>
    <n v="0"/>
    <m/>
    <n v="-37746.704569392183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72"/>
    <s v="Sistema de Compensação"/>
    <s v="Verde"/>
    <s v="A4"/>
    <s v="Rural"/>
    <s v="Não se aplica"/>
    <s v="Não se aplica"/>
    <s v="Não se aplica"/>
    <s v="Não se aplica"/>
    <s v="CATIVO"/>
    <x v="9"/>
    <n v="795"/>
    <n v="763.2"/>
    <n v="0"/>
    <n v="0"/>
    <n v="0"/>
    <n v="0"/>
    <n v="44.35"/>
    <m/>
    <m/>
    <n v="35258.25"/>
    <m/>
    <n v="35258.25"/>
    <n v="23031.149999999998"/>
    <n v="0"/>
    <n v="0"/>
    <n v="0"/>
    <n v="0"/>
    <n v="0"/>
    <n v="10432.040632027813"/>
    <n v="22830.68779716807"/>
    <m/>
    <m/>
    <m/>
    <n v="0"/>
    <n v="0"/>
    <n v="0"/>
    <n v="0"/>
    <m/>
    <n v="0"/>
    <n v="788.41794987046876"/>
    <n v="1206.2466577594791"/>
    <n v="0"/>
    <n v="0"/>
    <m/>
    <m/>
    <n v="0"/>
    <n v="0"/>
    <n v="0"/>
    <m/>
    <m/>
    <n v="0"/>
    <m/>
    <n v="0"/>
    <n v="0"/>
    <n v="0"/>
    <n v="0"/>
    <m/>
    <n v="0"/>
    <n v="0"/>
    <n v="87.61"/>
    <n v="410.24"/>
    <n v="51.12"/>
    <n v="9"/>
    <m/>
    <m/>
    <m/>
    <m/>
    <m/>
    <n v="921.24599999999862"/>
    <m/>
    <m/>
    <m/>
    <n v="0"/>
    <m/>
    <m/>
    <m/>
    <m/>
    <m/>
    <m/>
    <m/>
    <m/>
    <m/>
    <m/>
    <m/>
    <m/>
    <n v="22109.903999999999"/>
    <n v="-11738.046000000013"/>
    <m/>
    <m/>
    <m/>
    <m/>
    <n v="-12227.100000000002"/>
    <n v="0"/>
    <n v="30"/>
    <n v="582.80763045585263"/>
    <n v="95.18729997124035"/>
    <n v="145.63260827626141"/>
    <n v="0"/>
    <n v="0"/>
    <m/>
    <m/>
    <m/>
    <n v="341.987722208350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830.68779716807"/>
    <m/>
    <n v="0"/>
    <n v="0"/>
    <n v="-12227.100000000002"/>
    <m/>
    <n v="0"/>
    <m/>
    <n v="-12807.78067975535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73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277.18700000000001"/>
    <n v="277.18700000000001"/>
    <n v="277.18700000000001"/>
    <n v="277.18700000000001"/>
    <m/>
    <n v="581.32000000000005"/>
    <n v="209.4"/>
    <m/>
    <n v="219177.30464000002"/>
    <n v="219177.30464000002"/>
    <n v="167440.35108999998"/>
    <n v="0"/>
    <n v="17057.507959737723"/>
    <n v="0"/>
    <n v="0"/>
    <n v="0"/>
    <n v="20564.820852517434"/>
    <n v="106829.34218679827"/>
    <n v="57280.900273576852"/>
    <n v="763.08609952836264"/>
    <n v="0"/>
    <n v="0"/>
    <n v="0"/>
    <n v="0"/>
    <n v="2635.9379512071582"/>
    <m/>
    <n v="505.302009811657"/>
    <n v="1579.8219775966118"/>
    <n v="2379.7030523517528"/>
    <n v="0"/>
    <n v="0"/>
    <n v="0"/>
    <n v="0"/>
    <n v="0"/>
    <n v="0"/>
    <n v="0"/>
    <n v="0"/>
    <n v="0"/>
    <n v="0"/>
    <m/>
    <n v="0"/>
    <n v="0"/>
    <n v="0"/>
    <n v="0"/>
    <n v="0"/>
    <n v="9582.9875347171164"/>
    <n v="0"/>
    <n v="514.1"/>
    <n v="2417.52"/>
    <n v="59396.77"/>
    <n v="482"/>
    <m/>
    <m/>
    <m/>
    <m/>
    <m/>
    <m/>
    <m/>
    <m/>
    <m/>
    <n v="66863.887808293963"/>
    <m/>
    <m/>
    <m/>
    <m/>
    <m/>
    <m/>
    <m/>
    <m/>
    <m/>
    <m/>
    <m/>
    <m/>
    <n v="167442.16329999999"/>
    <n v="-51735.171340000059"/>
    <m/>
    <m/>
    <m/>
    <m/>
    <n v="-58065.132760000022"/>
    <n v="6328.1792099999957"/>
    <n v="30"/>
    <n v="8189.1768902431504"/>
    <n v="190.7351151852331"/>
    <n v="287.30638149968308"/>
    <n v="0"/>
    <n v="0"/>
    <n v="0"/>
    <n v="0"/>
    <n v="0"/>
    <n v="674.16495861629664"/>
    <n v="0"/>
    <n v="0"/>
    <n v="6326.2622197333476"/>
    <n v="0"/>
    <n v="0"/>
    <n v="0"/>
    <n v="1058.3718430315876"/>
    <n v="0"/>
    <n v="-297.34857401235786"/>
    <m/>
    <n v="0"/>
    <n v="0"/>
    <n v="0"/>
    <n v="0"/>
    <n v="-38.63223296872593"/>
    <n v="-11.682820841923956"/>
    <n v="0"/>
    <n v="0"/>
    <m/>
    <m/>
    <m/>
    <n v="106829.34218679827"/>
    <n v="0"/>
    <n v="0"/>
    <n v="-58065.132760000022"/>
    <n v="6328.1792099999948"/>
    <n v="0"/>
    <n v="0"/>
    <n v="-59930.160538604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4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3.8149999999999999"/>
    <n v="3.8149999999999999"/>
    <n v="3.8149999999999999"/>
    <n v="3.8149999999999999"/>
    <m/>
    <n v="581.32000000000005"/>
    <n v="209.4"/>
    <m/>
    <n v="3016.5968000000003"/>
    <n v="3016.5968000000003"/>
    <n v="2304.5270499999997"/>
    <n v="0"/>
    <n v="234.7671170235235"/>
    <n v="0"/>
    <n v="0"/>
    <n v="0"/>
    <n v="283.03921739603231"/>
    <n v="1470.3212648595909"/>
    <n v="788.3725951927604"/>
    <n v="10.502561338376992"/>
    <n v="0"/>
    <n v="0"/>
    <n v="0"/>
    <n v="0"/>
    <n v="36.279130276150426"/>
    <m/>
    <n v="6.9546088648871391"/>
    <n v="21.743519156854664"/>
    <n v="32.752499737440559"/>
    <n v="0"/>
    <n v="0"/>
    <n v="0"/>
    <n v="0"/>
    <n v="0"/>
    <n v="0"/>
    <n v="0"/>
    <n v="0"/>
    <n v="0"/>
    <n v="0"/>
    <m/>
    <n v="0"/>
    <n v="0"/>
    <n v="0"/>
    <n v="0"/>
    <n v="0"/>
    <n v="131.8932613901294"/>
    <n v="0"/>
    <n v="6.73"/>
    <n v="31.32"/>
    <n v="846.61"/>
    <n v="5"/>
    <m/>
    <m/>
    <m/>
    <m/>
    <m/>
    <m/>
    <m/>
    <m/>
    <m/>
    <n v="920.2658565828898"/>
    <m/>
    <m/>
    <m/>
    <m/>
    <m/>
    <m/>
    <m/>
    <m/>
    <m/>
    <m/>
    <m/>
    <m/>
    <n v="2307.5473999999999"/>
    <n v="-709.07940000000099"/>
    <m/>
    <m/>
    <m/>
    <m/>
    <n v="-799.16620000000023"/>
    <n v="87.096449999999933"/>
    <n v="30"/>
    <n v="112.70986675521453"/>
    <n v="2.6251392180429249"/>
    <n v="3.9542757972823068"/>
    <n v="0"/>
    <n v="0"/>
    <n v="0"/>
    <n v="0"/>
    <n v="0"/>
    <n v="9.2787155137909281"/>
    <n v="0"/>
    <n v="0"/>
    <n v="87.070065942063366"/>
    <n v="0"/>
    <n v="0"/>
    <n v="0"/>
    <n v="14.566659263116634"/>
    <n v="0"/>
    <n v="-4.0924892215621469"/>
    <m/>
    <n v="0"/>
    <n v="0"/>
    <n v="0"/>
    <n v="0"/>
    <n v="-0.53170591974258485"/>
    <n v="-0.16079383777716849"/>
    <n v="0"/>
    <n v="0"/>
    <m/>
    <m/>
    <m/>
    <n v="1470.3212648595909"/>
    <n v="0"/>
    <n v="0"/>
    <n v="-799.16620000000057"/>
    <n v="87.096450000000004"/>
    <n v="0"/>
    <n v="0"/>
    <n v="-824.8350840940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5"/>
    <s v="Regular"/>
    <s v="Verde"/>
    <s v="A4"/>
    <s v="Poder público"/>
    <s v="Não se aplica"/>
    <s v="Não se aplica"/>
    <s v="Não se aplica"/>
    <s v="Ponta"/>
    <s v="CATIVO"/>
    <x v="9"/>
    <n v="0"/>
    <n v="0"/>
    <n v="0.22600000000000001"/>
    <n v="0.22600000000000001"/>
    <n v="0.22600000000000001"/>
    <n v="0.22600000000000001"/>
    <m/>
    <n v="1614.19"/>
    <n v="209.4"/>
    <m/>
    <n v="412.13134000000002"/>
    <n v="412.13134000000002"/>
    <n v="273.94589999999999"/>
    <n v="0"/>
    <n v="12.099583368064279"/>
    <n v="0"/>
    <n v="0"/>
    <n v="0"/>
    <n v="70.380465817743328"/>
    <n v="262.80107524817339"/>
    <n v="46.703068548771654"/>
    <n v="0.62217008190647449"/>
    <n v="0"/>
    <n v="0"/>
    <n v="0"/>
    <n v="0"/>
    <n v="2.1491699717981643"/>
    <m/>
    <n v="0.30009281372283514"/>
    <n v="5.4680531342445065"/>
    <n v="8.1447470665598907"/>
    <n v="0"/>
    <n v="0"/>
    <n v="0"/>
    <n v="0"/>
    <n v="0"/>
    <n v="0"/>
    <n v="0"/>
    <n v="0"/>
    <n v="0"/>
    <n v="0"/>
    <m/>
    <n v="0"/>
    <n v="0"/>
    <n v="0"/>
    <n v="0"/>
    <n v="0"/>
    <n v="3.463322617635856"/>
    <n v="0"/>
    <n v="0"/>
    <n v="0"/>
    <n v="0"/>
    <n v="0"/>
    <m/>
    <m/>
    <m/>
    <m/>
    <m/>
    <m/>
    <m/>
    <m/>
    <m/>
    <n v="50.166391166407507"/>
    <m/>
    <m/>
    <m/>
    <m/>
    <m/>
    <m/>
    <m/>
    <m/>
    <m/>
    <m/>
    <m/>
    <m/>
    <n v="278.79449999999997"/>
    <n v="-133.36684000000002"/>
    <m/>
    <m/>
    <m/>
    <m/>
    <n v="-143.34502000000003"/>
    <n v="5.1595799999999965"/>
    <n v="30"/>
    <n v="9.2419023715206947"/>
    <n v="0.66016915778429386"/>
    <n v="0.98333185126226752"/>
    <n v="0"/>
    <n v="0"/>
    <n v="0"/>
    <n v="0"/>
    <n v="0"/>
    <n v="2.3072432366755891"/>
    <n v="0"/>
    <n v="0"/>
    <n v="5.1580170125573517"/>
    <n v="0"/>
    <n v="0"/>
    <n v="0"/>
    <n v="0.38249899924851904"/>
    <n v="0"/>
    <n v="-0.21092142352387633"/>
    <m/>
    <n v="0"/>
    <n v="0"/>
    <n v="0"/>
    <n v="0"/>
    <n v="-3.1498175062077305E-2"/>
    <n v="-6.9382874213787527E-3"/>
    <n v="0"/>
    <n v="0"/>
    <m/>
    <m/>
    <m/>
    <n v="262.80107524817339"/>
    <n v="0"/>
    <n v="0"/>
    <n v="-143.34502000000001"/>
    <n v="5.1595799999999983"/>
    <n v="0"/>
    <n v="0"/>
    <n v="-147.42869615167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6"/>
    <s v="Regular"/>
    <s v="Verde"/>
    <s v="A4"/>
    <s v="Poder público"/>
    <s v="Não se aplica"/>
    <s v="Não se aplica"/>
    <s v="Não se aplica"/>
    <s v="Fora ponta"/>
    <s v="CATIVO"/>
    <x v="9"/>
    <n v="0"/>
    <n v="0"/>
    <n v="5.3970000000000002"/>
    <n v="5.3970000000000002"/>
    <n v="5.3970000000000002"/>
    <n v="5.3970000000000002"/>
    <m/>
    <n v="79.7"/>
    <n v="209.4"/>
    <m/>
    <n v="1560.2727000000002"/>
    <n v="1560.2727000000002"/>
    <n v="1686.6704399999999"/>
    <n v="0"/>
    <n v="288.94447538691554"/>
    <n v="0"/>
    <n v="0"/>
    <n v="0"/>
    <n v="0"/>
    <n v="0"/>
    <n v="1115.294075034162"/>
    <n v="14.857751911722314"/>
    <n v="0"/>
    <n v="0"/>
    <n v="0"/>
    <n v="0"/>
    <n v="51.323320078737581"/>
    <m/>
    <n v="7.1663757330183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705983041507579"/>
    <n v="0"/>
    <n v="0"/>
    <n v="0"/>
    <n v="0"/>
    <n v="0"/>
    <m/>
    <m/>
    <m/>
    <m/>
    <m/>
    <m/>
    <m/>
    <m/>
    <m/>
    <n v="1198.0000580756696"/>
    <m/>
    <m/>
    <m/>
    <m/>
    <m/>
    <m/>
    <m/>
    <m/>
    <m/>
    <m/>
    <m/>
    <m/>
    <n v="1687.6079999999999"/>
    <n v="127.30529999999976"/>
    <m/>
    <m/>
    <m/>
    <m/>
    <n v="3.1842300000000185"/>
    <n v="123.21350999999991"/>
    <n v="30"/>
    <n v="126.35566550856083"/>
    <n v="0"/>
    <n v="0"/>
    <n v="0"/>
    <n v="0"/>
    <n v="0"/>
    <n v="0"/>
    <n v="0"/>
    <n v="0"/>
    <n v="0"/>
    <n v="0"/>
    <n v="123.17618502996493"/>
    <n v="0"/>
    <n v="0"/>
    <n v="0"/>
    <n v="9.1342791988684127"/>
    <n v="0"/>
    <n v="-5.0369155874263356"/>
    <m/>
    <n v="0"/>
    <n v="0"/>
    <n v="0"/>
    <n v="0"/>
    <n v="-0.75219314517713087"/>
    <n v="-0.16568998766894349"/>
    <n v="0"/>
    <n v="0"/>
    <m/>
    <m/>
    <m/>
    <n v="0"/>
    <n v="0"/>
    <n v="0"/>
    <n v="3.1842300000000137"/>
    <n v="123.2135099999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7"/>
    <s v="Regular"/>
    <s v="Verde"/>
    <s v="A4"/>
    <s v="Poder público"/>
    <s v="Não se aplica"/>
    <s v="Não se aplica"/>
    <s v="Não se aplica"/>
    <s v="Não se aplica"/>
    <s v="CATIVO"/>
    <x v="9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16.48"/>
    <n v="77.16"/>
    <n v="1444.37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0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78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532.14300000000003"/>
    <n v="532.14300000000003"/>
    <n v="532.14300000000003"/>
    <n v="532.14300000000003"/>
    <m/>
    <n v="319.73"/>
    <n v="115.17"/>
    <m/>
    <n v="231428.99070000002"/>
    <n v="231428.99070000002"/>
    <n v="176793.86889000001"/>
    <n v="0"/>
    <n v="18010.831684098812"/>
    <n v="0"/>
    <n v="0"/>
    <n v="0"/>
    <n v="21714.164100793529"/>
    <n v="112799.90638673615"/>
    <n v="60482.261299610516"/>
    <n v="805.73406921582091"/>
    <n v="0"/>
    <n v="0"/>
    <n v="0"/>
    <n v="0"/>
    <n v="2783.2573715328522"/>
    <m/>
    <n v="533.54273495496807"/>
    <n v="1668.116338945573"/>
    <n v="2512.7018105581815"/>
    <n v="0"/>
    <n v="0"/>
    <n v="0"/>
    <n v="0"/>
    <n v="0"/>
    <n v="0"/>
    <n v="0"/>
    <n v="0"/>
    <n v="0"/>
    <n v="0"/>
    <m/>
    <n v="0"/>
    <n v="0"/>
    <n v="0"/>
    <n v="0"/>
    <n v="0"/>
    <n v="10118.569249740553"/>
    <n v="0"/>
    <n v="546.48"/>
    <n v="2558.5100000000002"/>
    <n v="54668.43"/>
    <n v="41"/>
    <m/>
    <m/>
    <m/>
    <m/>
    <m/>
    <m/>
    <m/>
    <m/>
    <m/>
    <n v="70600.830549351071"/>
    <m/>
    <m/>
    <m/>
    <m/>
    <m/>
    <m/>
    <m/>
    <m/>
    <m/>
    <m/>
    <m/>
    <m/>
    <n v="176792.87219999998"/>
    <n v="-54636.148500000068"/>
    <m/>
    <m/>
    <m/>
    <m/>
    <n v="-61313.516460000021"/>
    <n v="6678.3946499999993"/>
    <n v="30"/>
    <n v="8646.8601949136792"/>
    <n v="201.39507271267803"/>
    <n v="303.36359163204634"/>
    <n v="0"/>
    <n v="0"/>
    <n v="0"/>
    <n v="0"/>
    <n v="0"/>
    <n v="711.84323206036061"/>
    <n v="0"/>
    <n v="0"/>
    <n v="6679.8294509394764"/>
    <n v="0"/>
    <n v="0"/>
    <n v="0"/>
    <n v="1117.5229798529217"/>
    <n v="0"/>
    <n v="-313.96703027693729"/>
    <m/>
    <n v="0"/>
    <n v="0"/>
    <n v="0"/>
    <n v="0"/>
    <n v="-40.79134227713439"/>
    <n v="-12.335759729735173"/>
    <n v="0"/>
    <n v="0"/>
    <m/>
    <m/>
    <m/>
    <n v="112799.90638673615"/>
    <n v="0"/>
    <n v="0"/>
    <n v="-61313.516459999999"/>
    <n v="6678.394650000002"/>
    <n v="0"/>
    <n v="0"/>
    <n v="-63279.585553154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79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95.043000000000006"/>
    <n v="89.340419999999995"/>
    <n v="95.043000000000006"/>
    <n v="89.340419999999995"/>
    <m/>
    <n v="581.32000000000005"/>
    <n v="209.4"/>
    <m/>
    <n v="75152.400960000014"/>
    <n v="75152.400960000014"/>
    <n v="57412.625010000003"/>
    <n v="0"/>
    <n v="5848.7473403058311"/>
    <n v="0"/>
    <n v="0"/>
    <n v="0"/>
    <n v="7051.3489748285974"/>
    <n v="36630.077057942355"/>
    <n v="19640.70683221639"/>
    <n v="261.65004909131443"/>
    <n v="0"/>
    <n v="0"/>
    <n v="0"/>
    <n v="0"/>
    <n v="903.82106915757936"/>
    <m/>
    <n v="173.25999746932331"/>
    <n v="541.69575130404667"/>
    <n v="815.96221036580948"/>
    <n v="0"/>
    <n v="0"/>
    <n v="0"/>
    <n v="0"/>
    <n v="0"/>
    <n v="0"/>
    <n v="0"/>
    <n v="0"/>
    <n v="0"/>
    <n v="0"/>
    <m/>
    <n v="0"/>
    <n v="0"/>
    <n v="0"/>
    <n v="0"/>
    <n v="0"/>
    <n v="3285.8535366453657"/>
    <n v="0"/>
    <n v="165.91"/>
    <n v="776.91"/>
    <n v="23298.69"/>
    <n v="21"/>
    <m/>
    <m/>
    <m/>
    <m/>
    <n v="3444.757500600007"/>
    <m/>
    <m/>
    <m/>
    <m/>
    <n v="22926.560368861756"/>
    <m/>
    <m/>
    <m/>
    <m/>
    <m/>
    <m/>
    <m/>
    <m/>
    <m/>
    <m/>
    <m/>
    <m/>
    <n v="53967.613799999992"/>
    <n v="-16675.673102400004"/>
    <m/>
    <m/>
    <m/>
    <m/>
    <n v="-19909.607640000009"/>
    <n v="2169.8316899999986"/>
    <n v="30"/>
    <n v="2807.9381038049323"/>
    <n v="65.400027968664176"/>
    <n v="98.5127744694895"/>
    <n v="0"/>
    <n v="0"/>
    <n v="0"/>
    <n v="0"/>
    <n v="0"/>
    <n v="231.16040853924915"/>
    <n v="0"/>
    <n v="0"/>
    <n v="2169.1743846216341"/>
    <n v="0"/>
    <n v="0"/>
    <n v="0"/>
    <n v="362.89881948739003"/>
    <n v="0"/>
    <n v="-101.95608206682391"/>
    <m/>
    <n v="0"/>
    <n v="0"/>
    <n v="0"/>
    <n v="0"/>
    <n v="-13.246376338163827"/>
    <n v="-4.0058528765020753"/>
    <n v="0"/>
    <n v="0"/>
    <m/>
    <m/>
    <m/>
    <n v="36630.077057942355"/>
    <n v="0"/>
    <n v="0"/>
    <n v="-19909.607640000009"/>
    <n v="2169.8316899999991"/>
    <n v="0"/>
    <n v="0"/>
    <n v="-20549.09591023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0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27.931999999999999"/>
    <n v="27.931999999999999"/>
    <n v="27.931999999999999"/>
    <n v="27.931999999999999"/>
    <m/>
    <n v="581.32000000000005"/>
    <n v="209.4"/>
    <m/>
    <n v="22086.391039999999"/>
    <n v="22086.391039999999"/>
    <n v="16872.883239999996"/>
    <n v="0"/>
    <n v="1718.8768316385474"/>
    <n v="0"/>
    <n v="0"/>
    <n v="0"/>
    <n v="2072.3070564366903"/>
    <n v="10765.141171705922"/>
    <n v="5772.1686314349099"/>
    <n v="76.895817379697533"/>
    <n v="0"/>
    <n v="0"/>
    <n v="0"/>
    <n v="0"/>
    <n v="265.62219315162088"/>
    <m/>
    <n v="50.919039269731996"/>
    <n v="159.1978970089815"/>
    <n v="239.80152625588195"/>
    <n v="0"/>
    <n v="0"/>
    <n v="0"/>
    <n v="0"/>
    <n v="0"/>
    <n v="0"/>
    <n v="0"/>
    <n v="0"/>
    <n v="0"/>
    <n v="0"/>
    <m/>
    <n v="0"/>
    <n v="0"/>
    <n v="0"/>
    <n v="0"/>
    <n v="0"/>
    <n v="965.67302153318326"/>
    <n v="0"/>
    <n v="51.27"/>
    <n v="240.43"/>
    <n v="6849.58"/>
    <n v="18"/>
    <m/>
    <m/>
    <m/>
    <m/>
    <m/>
    <m/>
    <m/>
    <m/>
    <m/>
    <n v="6737.8416529680935"/>
    <m/>
    <m/>
    <m/>
    <m/>
    <m/>
    <m/>
    <m/>
    <m/>
    <m/>
    <m/>
    <m/>
    <m/>
    <n v="16871.6751"/>
    <n v="-5214.7459399999971"/>
    <m/>
    <m/>
    <m/>
    <m/>
    <n v="-5851.1953600000015"/>
    <n v="637.68755999999951"/>
    <n v="30"/>
    <n v="825.21939664656384"/>
    <n v="19.220285357372205"/>
    <n v="28.951725182094179"/>
    <n v="0"/>
    <n v="0"/>
    <n v="0"/>
    <n v="0"/>
    <n v="0"/>
    <n v="67.935276993764091"/>
    <n v="0"/>
    <n v="0"/>
    <n v="637.49438581748745"/>
    <n v="0"/>
    <n v="0"/>
    <n v="0"/>
    <n v="106.65161901372846"/>
    <n v="0"/>
    <n v="-29.963672067280413"/>
    <m/>
    <n v="0"/>
    <n v="0"/>
    <n v="0"/>
    <n v="0"/>
    <n v="-3.8929514417430937"/>
    <n v="-1.1772722088576373"/>
    <n v="0"/>
    <n v="0"/>
    <m/>
    <m/>
    <m/>
    <n v="10765.141171705922"/>
    <n v="0"/>
    <n v="0"/>
    <n v="-5851.1953600000015"/>
    <n v="637.68755999999939"/>
    <n v="0"/>
    <n v="0"/>
    <n v="-6039.133307710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1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2.89"/>
    <n v="475.4"/>
    <n v="1201.8399999999999"/>
    <n v="13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82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.05"/>
    <n v="23.65"/>
    <n v="209.77"/>
    <n v="2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583"/>
    <s v="Regular"/>
    <s v="Convencional"/>
    <s v="B2"/>
    <s v="Rural"/>
    <s v="Agropecuária rural"/>
    <s v="IRRIG./AQUIC."/>
    <s v="Não se aplica"/>
    <s v="Não se aplica"/>
    <s v="CATIVO"/>
    <x v="9"/>
    <n v="0"/>
    <n v="0"/>
    <n v="53.863999999999997"/>
    <n v="53.863999999999997"/>
    <n v="53.863999999999997"/>
    <n v="53.863999999999997"/>
    <m/>
    <n v="581.32000000000005"/>
    <n v="209.4"/>
    <m/>
    <n v="42591.342080000002"/>
    <n v="42591.342080000002"/>
    <n v="32537.626479999995"/>
    <n v="0"/>
    <n v="3314.6778483237404"/>
    <n v="0"/>
    <n v="0"/>
    <n v="0"/>
    <n v="3996.2318232817515"/>
    <n v="20759.471719632238"/>
    <n v="11131.03577128777"/>
    <n v="148.28570483101919"/>
    <n v="0"/>
    <n v="0"/>
    <n v="0"/>
    <n v="0"/>
    <n v="512.22518301299249"/>
    <m/>
    <n v="98.192149907806254"/>
    <n v="306.99683246784264"/>
    <n v="462.43267257077275"/>
    <n v="0"/>
    <n v="0"/>
    <n v="0"/>
    <n v="0"/>
    <n v="0"/>
    <n v="0"/>
    <n v="0"/>
    <n v="0"/>
    <n v="0"/>
    <n v="0"/>
    <m/>
    <n v="0"/>
    <n v="0"/>
    <n v="0"/>
    <n v="0"/>
    <n v="0"/>
    <n v="1862.2014761514888"/>
    <n v="0"/>
    <n v="0"/>
    <n v="0"/>
    <n v="0"/>
    <n v="0"/>
    <m/>
    <m/>
    <m/>
    <m/>
    <m/>
    <n v="3904.6013599999956"/>
    <m/>
    <m/>
    <m/>
    <n v="12993.23724743926"/>
    <m/>
    <m/>
    <m/>
    <m/>
    <m/>
    <m/>
    <m/>
    <m/>
    <m/>
    <m/>
    <m/>
    <m/>
    <n v="28630.898800000003"/>
    <n v="-8850.3955999999889"/>
    <m/>
    <m/>
    <m/>
    <m/>
    <n v="-11283.430720000004"/>
    <n v="1229.7151199999992"/>
    <n v="30"/>
    <n v="1591.3510518749354"/>
    <n v="37.064350941196324"/>
    <n v="55.830435529440138"/>
    <n v="0"/>
    <n v="0"/>
    <n v="0"/>
    <n v="0"/>
    <n v="0"/>
    <n v="131.00622082171321"/>
    <n v="0"/>
    <n v="0"/>
    <n v="1229.3426033822543"/>
    <n v="0"/>
    <n v="0"/>
    <n v="0"/>
    <n v="205.66671940983315"/>
    <n v="0"/>
    <n v="-57.781871410281838"/>
    <m/>
    <n v="0"/>
    <n v="0"/>
    <n v="0"/>
    <n v="0"/>
    <n v="-7.5071579714324344"/>
    <n v="-2.2702488277927699"/>
    <n v="0"/>
    <n v="0"/>
    <m/>
    <m/>
    <m/>
    <n v="20759.471719632238"/>
    <n v="0"/>
    <n v="0"/>
    <n v="-11283.430720000004"/>
    <n v="1229.7151199999989"/>
    <n v="0"/>
    <n v="0"/>
    <n v="-11645.84979545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4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2.0299999999999998"/>
    <n v="2.0299999999999998"/>
    <n v="2.0299999999999998"/>
    <n v="2.0299999999999998"/>
    <m/>
    <n v="581.32000000000005"/>
    <n v="209.4"/>
    <m/>
    <n v="1605.1615999999999"/>
    <n v="1605.1615999999999"/>
    <n v="1226.2620999999999"/>
    <n v="0"/>
    <n v="124.9219521776547"/>
    <n v="0"/>
    <n v="0"/>
    <n v="0"/>
    <n v="150.60802393550341"/>
    <n v="782.37278313629599"/>
    <n v="419.50101395578071"/>
    <n v="5.5885188773015182"/>
    <n v="0"/>
    <n v="0"/>
    <n v="0"/>
    <n v="0"/>
    <n v="19.304491339602979"/>
    <m/>
    <n v="3.7006175611326055"/>
    <n v="11.569945973372205"/>
    <n v="17.427935640105982"/>
    <n v="0"/>
    <n v="0"/>
    <n v="0"/>
    <n v="0"/>
    <n v="0"/>
    <n v="0"/>
    <n v="0"/>
    <n v="0"/>
    <n v="0"/>
    <n v="0"/>
    <m/>
    <n v="0"/>
    <n v="0"/>
    <n v="0"/>
    <n v="0"/>
    <n v="0"/>
    <n v="70.181735418600965"/>
    <n v="0"/>
    <n v="0"/>
    <n v="0"/>
    <n v="0"/>
    <n v="0"/>
    <m/>
    <m/>
    <m/>
    <m/>
    <m/>
    <n v="147.15469999999982"/>
    <m/>
    <m/>
    <m/>
    <n v="489.68274937438167"/>
    <m/>
    <m/>
    <m/>
    <m/>
    <m/>
    <m/>
    <m/>
    <m/>
    <m/>
    <m/>
    <m/>
    <m/>
    <n v="1079.1073999999999"/>
    <n v="-333.49810000000002"/>
    <m/>
    <m/>
    <m/>
    <m/>
    <n v="-425.2444000000001"/>
    <n v="46.34489999999996"/>
    <n v="30"/>
    <n v="59.974057539471801"/>
    <n v="1.3968630701512819"/>
    <n v="2.1041100572694837"/>
    <n v="0"/>
    <n v="0"/>
    <n v="0"/>
    <n v="0"/>
    <n v="0"/>
    <n v="4.9372981633016195"/>
    <n v="0"/>
    <n v="0"/>
    <n v="46.330860776510804"/>
    <n v="0"/>
    <n v="0"/>
    <n v="0"/>
    <n v="7.7510663968877367"/>
    <n v="0"/>
    <n v="-2.1776548151431712"/>
    <m/>
    <n v="0"/>
    <n v="0"/>
    <n v="0"/>
    <n v="0"/>
    <n v="-0.28292608573459077"/>
    <n v="-8.5560023771336979E-2"/>
    <n v="0"/>
    <n v="0"/>
    <m/>
    <m/>
    <m/>
    <n v="782.37278313629599"/>
    <n v="0"/>
    <n v="0"/>
    <n v="-425.24440000000016"/>
    <n v="46.344899999999939"/>
    <n v="0"/>
    <n v="0"/>
    <n v="-438.9030722702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5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34.4"/>
    <n v="13.76"/>
    <n v="34.4"/>
    <n v="13.76"/>
    <m/>
    <n v="581.32000000000005"/>
    <n v="209.4"/>
    <m/>
    <n v="27200.768"/>
    <n v="27200.768"/>
    <n v="20780.007999999998"/>
    <n v="0"/>
    <n v="2116.9040171976953"/>
    <n v="0"/>
    <n v="0"/>
    <n v="0"/>
    <n v="2552.1753809760185"/>
    <n v="13257.942729009153"/>
    <n v="7108.7856552112598"/>
    <n v="94.701994768065134"/>
    <n v="0"/>
    <n v="0"/>
    <n v="0"/>
    <n v="0"/>
    <n v="327.13029659228692"/>
    <m/>
    <n v="62.709972464513122"/>
    <n v="196.06213866207088"/>
    <n v="295.33053498504722"/>
    <n v="0"/>
    <n v="0"/>
    <n v="0"/>
    <n v="0"/>
    <n v="0"/>
    <n v="0"/>
    <n v="0"/>
    <n v="0"/>
    <n v="0"/>
    <n v="0"/>
    <m/>
    <n v="0"/>
    <n v="0"/>
    <n v="0"/>
    <n v="0"/>
    <n v="0"/>
    <n v="1189.286550935898"/>
    <n v="0"/>
    <n v="0"/>
    <n v="0"/>
    <n v="0"/>
    <n v="0"/>
    <m/>
    <m/>
    <m/>
    <m/>
    <m/>
    <m/>
    <n v="13465.467199999997"/>
    <m/>
    <m/>
    <n v="8298.072206147157"/>
    <m/>
    <m/>
    <m/>
    <m/>
    <m/>
    <m/>
    <m/>
    <m/>
    <m/>
    <m/>
    <m/>
    <m/>
    <n v="7314.5408000000007"/>
    <n v="-2260.3852000000006"/>
    <m/>
    <m/>
    <m/>
    <m/>
    <n v="-7206.1120000000019"/>
    <n v="785.35199999999941"/>
    <n v="30"/>
    <n v="1016.3091523930161"/>
    <n v="23.670980105026644"/>
    <n v="35.655855157670089"/>
    <n v="0"/>
    <n v="0"/>
    <n v="0"/>
    <n v="0"/>
    <n v="0"/>
    <n v="83.666530452007919"/>
    <n v="0"/>
    <n v="0"/>
    <n v="785.11409394678321"/>
    <n v="0"/>
    <n v="0"/>
    <n v="0"/>
    <n v="131.34812022312235"/>
    <n v="0"/>
    <n v="-36.902130857598422"/>
    <m/>
    <n v="0"/>
    <n v="0"/>
    <n v="0"/>
    <n v="0"/>
    <n v="-4.7944124873250189"/>
    <n v="-1.4498841466669958"/>
    <n v="0"/>
    <n v="0"/>
    <m/>
    <m/>
    <m/>
    <n v="13257.942729009153"/>
    <n v="0"/>
    <n v="0"/>
    <n v="-7206.112000000001"/>
    <n v="785.35199999999986"/>
    <n v="0"/>
    <n v="0"/>
    <n v="-7437.5693034954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6"/>
    <s v="Sistema de Compensação"/>
    <s v="Convencional"/>
    <s v="B2"/>
    <s v="Rural"/>
    <s v="Agropecuária rural"/>
    <s v="IRRIG./AQUIC. PR"/>
    <s v="Não se aplica"/>
    <s v="Não se aplica"/>
    <s v="CATIVO"/>
    <x v="9"/>
    <n v="0"/>
    <n v="0"/>
    <n v="0.112"/>
    <n v="4.48E-2"/>
    <n v="0.112"/>
    <n v="4.48E-2"/>
    <m/>
    <n v="581.32000000000005"/>
    <n v="209.4"/>
    <m/>
    <n v="88.560640000000006"/>
    <n v="88.560640000000006"/>
    <n v="67.655839999999998"/>
    <n v="0"/>
    <n v="6.8922456373878465"/>
    <n v="0"/>
    <n v="0"/>
    <n v="0"/>
    <n v="8.3094082171312245"/>
    <n v="43.165394931657715"/>
    <n v="23.1448835285948"/>
    <n v="0.30833207598904933"/>
    <n v="0"/>
    <n v="0"/>
    <n v="0"/>
    <n v="0"/>
    <n v="1.0650753842539575"/>
    <m/>
    <n v="0.20417200337283345"/>
    <n v="0.63834184680674244"/>
    <n v="0.9615412766955026"/>
    <n v="0"/>
    <n v="0"/>
    <n v="0"/>
    <n v="0"/>
    <n v="0"/>
    <n v="0"/>
    <n v="0"/>
    <n v="0"/>
    <n v="0"/>
    <n v="0"/>
    <m/>
    <n v="0"/>
    <n v="0"/>
    <n v="0"/>
    <n v="0"/>
    <n v="0"/>
    <n v="3.872095747233157"/>
    <n v="0"/>
    <n v="0"/>
    <n v="0"/>
    <n v="0"/>
    <n v="0"/>
    <m/>
    <m/>
    <m/>
    <m/>
    <m/>
    <m/>
    <n v="43.841056000000002"/>
    <m/>
    <m/>
    <n v="27.016979275827957"/>
    <m/>
    <m/>
    <m/>
    <m/>
    <m/>
    <m/>
    <m/>
    <m/>
    <m/>
    <m/>
    <m/>
    <m/>
    <n v="21.263200000000001"/>
    <n v="-9.9408800000000035"/>
    <m/>
    <m/>
    <m/>
    <m/>
    <n v="-23.461760000000009"/>
    <n v="2.5569599999999983"/>
    <n v="30"/>
    <n v="3.3089135194191357"/>
    <n v="7.7068307318691409E-2"/>
    <n v="0.11608883074590259"/>
    <n v="0"/>
    <n v="0"/>
    <n v="0"/>
    <n v="0"/>
    <n v="0"/>
    <n v="0.27240265728560509"/>
    <n v="0"/>
    <n v="0"/>
    <n v="2.5561854221523177"/>
    <n v="0"/>
    <n v="0"/>
    <n v="0"/>
    <n v="0.42764504258691005"/>
    <n v="0"/>
    <n v="-0.12014647255962352"/>
    <m/>
    <n v="0"/>
    <n v="0"/>
    <n v="0"/>
    <n v="0"/>
    <n v="-1.5609715075011854E-2"/>
    <n v="-4.7205530356599912E-3"/>
    <n v="0"/>
    <n v="0"/>
    <m/>
    <m/>
    <m/>
    <n v="43.165394931657715"/>
    <n v="0"/>
    <n v="0"/>
    <n v="-23.461760000000012"/>
    <n v="2.5569600000000001"/>
    <n v="0"/>
    <n v="0"/>
    <n v="-24.2153419183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7"/>
    <s v="Regular"/>
    <s v="Verde"/>
    <s v="A4"/>
    <s v="Rural"/>
    <s v="Agropecuária rural"/>
    <s v="Não se aplica"/>
    <s v="Não se aplica"/>
    <s v="Ponta"/>
    <s v="CATIVO"/>
    <x v="9"/>
    <n v="0"/>
    <n v="0"/>
    <n v="14.358000000000001"/>
    <n v="13.78368"/>
    <n v="14.358000000000001"/>
    <n v="13.78368"/>
    <m/>
    <n v="1614.19"/>
    <n v="209.4"/>
    <m/>
    <n v="26183.105220000001"/>
    <n v="26183.105220000001"/>
    <n v="17404.0497"/>
    <n v="0"/>
    <n v="768.69830972861473"/>
    <n v="0"/>
    <n v="0"/>
    <n v="0"/>
    <n v="4471.3395053591094"/>
    <n v="16696.008134572006"/>
    <n v="2967.091408067537"/>
    <n v="39.527070955810444"/>
    <n v="0"/>
    <n v="0"/>
    <n v="0"/>
    <n v="0"/>
    <n v="136.53886042069931"/>
    <m/>
    <n v="19.065188581559585"/>
    <n v="347.39073850213549"/>
    <n v="517.4437096533934"/>
    <n v="0"/>
    <n v="0"/>
    <n v="0"/>
    <n v="0"/>
    <n v="0"/>
    <n v="0"/>
    <n v="0"/>
    <n v="0"/>
    <n v="0"/>
    <n v="0"/>
    <m/>
    <n v="0"/>
    <n v="0"/>
    <n v="0"/>
    <n v="0"/>
    <n v="0"/>
    <n v="220.02825727440538"/>
    <n v="0"/>
    <n v="0"/>
    <n v="0"/>
    <n v="0"/>
    <n v="0"/>
    <m/>
    <m/>
    <m/>
    <m/>
    <m/>
    <n v="696.16198800000018"/>
    <m/>
    <m/>
    <m/>
    <n v="3187.1196653419424"/>
    <m/>
    <m/>
    <m/>
    <m/>
    <m/>
    <m/>
    <m/>
    <m/>
    <m/>
    <m/>
    <m/>
    <m/>
    <n v="16703.426999999996"/>
    <n v="-8432.3840111999998"/>
    <m/>
    <m/>
    <m/>
    <m/>
    <n v="-9106.8486600000015"/>
    <n v="327.79313999999977"/>
    <n v="30"/>
    <n v="587.14705420484279"/>
    <n v="41.941189236579191"/>
    <n v="62.472029736387753"/>
    <n v="0"/>
    <n v="0"/>
    <n v="0"/>
    <n v="0"/>
    <n v="0"/>
    <n v="146.58140881499185"/>
    <n v="0"/>
    <n v="0"/>
    <n v="327.69384188627691"/>
    <n v="0"/>
    <n v="0"/>
    <n v="0"/>
    <n v="24.300533766417004"/>
    <n v="0"/>
    <n v="-13.400043358211633"/>
    <m/>
    <n v="0"/>
    <n v="0"/>
    <n v="0"/>
    <n v="0"/>
    <n v="-2.0011097236341016"/>
    <n v="-0.44079615396529093"/>
    <n v="0"/>
    <n v="0"/>
    <m/>
    <m/>
    <m/>
    <n v="16696.008134572006"/>
    <n v="0"/>
    <n v="0"/>
    <n v="-9106.8486599999997"/>
    <n v="327.79313999999977"/>
    <n v="0"/>
    <n v="0"/>
    <n v="-9366.2885811760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8"/>
    <s v="Sistema de Compensação"/>
    <s v="Verde"/>
    <s v="A4"/>
    <s v="Rural"/>
    <s v="Agropecuária rural"/>
    <s v="Não se aplica"/>
    <s v="Não se aplica"/>
    <s v="Ponta"/>
    <s v="CATIVO"/>
    <x v="9"/>
    <n v="0"/>
    <n v="0"/>
    <n v="0.05"/>
    <n v="4.8000000000000001E-2"/>
    <n v="0.05"/>
    <n v="4.8000000000000001E-2"/>
    <m/>
    <n v="1614.19"/>
    <n v="209.4"/>
    <m/>
    <n v="91.179500000000004"/>
    <n v="91.179500000000004"/>
    <n v="60.607500000000002"/>
    <n v="0"/>
    <n v="2.6768989752354599"/>
    <n v="0"/>
    <n v="0"/>
    <n v="0"/>
    <n v="15.570899517199852"/>
    <n v="58.141830807118005"/>
    <n v="10.332537289551251"/>
    <n v="0.137648248209397"/>
    <n v="0"/>
    <n v="0"/>
    <n v="0"/>
    <n v="0"/>
    <n v="0.47548008225623106"/>
    <m/>
    <n v="6.6392215425406007E-2"/>
    <n v="1.209746268638165"/>
    <n v="1.8019351917167901"/>
    <n v="0"/>
    <n v="0"/>
    <n v="0"/>
    <n v="0"/>
    <n v="0"/>
    <n v="0"/>
    <n v="0"/>
    <n v="0"/>
    <n v="0"/>
    <n v="0"/>
    <m/>
    <n v="0"/>
    <n v="0"/>
    <n v="0"/>
    <n v="0"/>
    <n v="0"/>
    <n v="0.76622181806103007"/>
    <n v="0"/>
    <n v="0"/>
    <n v="0"/>
    <n v="0"/>
    <n v="0"/>
    <m/>
    <m/>
    <m/>
    <m/>
    <m/>
    <n v="2.4243000000000019"/>
    <m/>
    <m/>
    <m/>
    <n v="11.098759107612281"/>
    <m/>
    <m/>
    <m/>
    <m/>
    <m/>
    <m/>
    <m/>
    <m/>
    <m/>
    <m/>
    <m/>
    <m/>
    <n v="60.607500000000002"/>
    <n v="-26.954820000000012"/>
    <m/>
    <m/>
    <m/>
    <m/>
    <n v="-31.713500000000007"/>
    <n v="1.1414999999999993"/>
    <n v="30"/>
    <n v="2.0446686662656504"/>
    <n v="0.14605512340360516"/>
    <n v="0.21755129452704991"/>
    <n v="0"/>
    <n v="0"/>
    <n v="0"/>
    <n v="0"/>
    <n v="0"/>
    <n v="0.51045204351229856"/>
    <n v="0"/>
    <n v="0"/>
    <n v="1.1411542063179994"/>
    <n v="0"/>
    <n v="0"/>
    <n v="0"/>
    <n v="8.4623672400114924E-2"/>
    <n v="0"/>
    <n v="-4.6664031753069768E-2"/>
    <m/>
    <n v="0"/>
    <n v="0"/>
    <n v="0"/>
    <n v="0"/>
    <n v="-6.9686228013445817E-3"/>
    <n v="-1.5350193410130081E-3"/>
    <n v="0"/>
    <n v="0"/>
    <m/>
    <m/>
    <m/>
    <n v="58.141830807118005"/>
    <n v="0"/>
    <n v="0"/>
    <n v="-31.713500000000003"/>
    <n v="1.1414999999999988"/>
    <n v="0"/>
    <n v="0"/>
    <n v="-32.61696817514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89"/>
    <s v="Regular"/>
    <s v="Verde"/>
    <s v="A4"/>
    <s v="Rural"/>
    <s v="Agropecuária rural"/>
    <s v="Não se aplica"/>
    <s v="Não se aplica"/>
    <s v="Fora ponta"/>
    <s v="CATIVO"/>
    <x v="9"/>
    <n v="0"/>
    <n v="0"/>
    <n v="279.39499999999998"/>
    <n v="268.2192"/>
    <n v="279.39499999999998"/>
    <n v="268.2192"/>
    <m/>
    <n v="79.7"/>
    <n v="209.4"/>
    <m/>
    <n v="80773.094499999992"/>
    <n v="80773.094499999992"/>
    <n v="87316.525399999984"/>
    <n v="0"/>
    <n v="14958.243783718226"/>
    <n v="0"/>
    <n v="0"/>
    <n v="0"/>
    <n v="0"/>
    <n v="0"/>
    <n v="57737.18512028343"/>
    <n v="769.16464616928943"/>
    <n v="0"/>
    <n v="0"/>
    <n v="0"/>
    <n v="0"/>
    <n v="2656.9351516395932"/>
    <m/>
    <n v="370.99306057562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81.5708971432296"/>
    <n v="0"/>
    <n v="0"/>
    <n v="0"/>
    <n v="0"/>
    <n v="0"/>
    <m/>
    <m/>
    <m/>
    <m/>
    <m/>
    <n v="3492.6610159999937"/>
    <m/>
    <m/>
    <m/>
    <n v="62018.756017426662"/>
    <m/>
    <m/>
    <m/>
    <m/>
    <m/>
    <m/>
    <m/>
    <m/>
    <m/>
    <m/>
    <m/>
    <m/>
    <n v="83824.114400000006"/>
    <n v="6281.9136800000124"/>
    <m/>
    <m/>
    <m/>
    <m/>
    <n v="164.84305000000094"/>
    <n v="6378.5878499999953"/>
    <n v="30"/>
    <n v="6541.252763528697"/>
    <n v="0"/>
    <n v="0"/>
    <n v="0"/>
    <n v="0"/>
    <n v="0"/>
    <n v="0"/>
    <n v="0"/>
    <n v="0"/>
    <n v="0"/>
    <n v="0"/>
    <n v="6376.6555894843477"/>
    <n v="0"/>
    <n v="0"/>
    <n v="0"/>
    <n v="472.8686190046019"/>
    <n v="0"/>
    <n v="-260.75394303297981"/>
    <m/>
    <n v="0"/>
    <n v="0"/>
    <n v="0"/>
    <n v="0"/>
    <n v="-38.939967351633186"/>
    <n v="-8.5775345756465526"/>
    <n v="0"/>
    <n v="0"/>
    <m/>
    <m/>
    <m/>
    <n v="0"/>
    <n v="0"/>
    <n v="0"/>
    <n v="164.84304999999949"/>
    <n v="6378.587849999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0"/>
    <s v="Sistema de Compensação"/>
    <s v="Verde"/>
    <s v="A4"/>
    <s v="Rural"/>
    <s v="Agropecuária rural"/>
    <s v="Não se aplica"/>
    <s v="Não se aplica"/>
    <s v="Fora ponta"/>
    <s v="CATIVO"/>
    <x v="9"/>
    <n v="0"/>
    <n v="0"/>
    <n v="0.71499999999999997"/>
    <n v="0.68640000000000001"/>
    <n v="0.71499999999999997"/>
    <n v="0.68640000000000001"/>
    <m/>
    <n v="79.7"/>
    <n v="209.4"/>
    <m/>
    <n v="206.70650000000001"/>
    <n v="206.70650000000001"/>
    <n v="223.45179999999999"/>
    <n v="0"/>
    <n v="38.279655345867077"/>
    <n v="0"/>
    <n v="0"/>
    <n v="0"/>
    <n v="0"/>
    <n v="0"/>
    <n v="147.75528324058288"/>
    <n v="1.9683699493943771"/>
    <n v="0"/>
    <n v="0"/>
    <n v="0"/>
    <n v="0"/>
    <n v="6.7993651762641036"/>
    <m/>
    <n v="0.949408680583305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95697199827273"/>
    <n v="0"/>
    <n v="0"/>
    <n v="0"/>
    <n v="0"/>
    <n v="0"/>
    <m/>
    <m/>
    <m/>
    <m/>
    <m/>
    <n v="8.9380719999999876"/>
    <m/>
    <m/>
    <m/>
    <n v="158.71225523885562"/>
    <m/>
    <m/>
    <m/>
    <m/>
    <m/>
    <m/>
    <m/>
    <m/>
    <m/>
    <m/>
    <m/>
    <m/>
    <n v="215.6388"/>
    <n v="17.170560000000023"/>
    <m/>
    <m/>
    <m/>
    <m/>
    <n v="0.42185000000000245"/>
    <n v="16.323449999999987"/>
    <n v="30"/>
    <n v="16.73972592896439"/>
    <n v="0"/>
    <n v="0"/>
    <n v="0"/>
    <n v="0"/>
    <n v="0"/>
    <n v="0"/>
    <n v="0"/>
    <n v="0"/>
    <n v="0"/>
    <n v="0"/>
    <n v="16.318505150347363"/>
    <n v="0"/>
    <n v="0"/>
    <n v="0"/>
    <n v="1.2101185153216427"/>
    <n v="0"/>
    <n v="-0.66729565406890146"/>
    <m/>
    <n v="0"/>
    <n v="0"/>
    <n v="0"/>
    <n v="0"/>
    <n v="-9.9651306059227451E-2"/>
    <n v="-2.195077657648592E-2"/>
    <n v="0"/>
    <n v="0"/>
    <m/>
    <m/>
    <m/>
    <n v="0"/>
    <n v="0"/>
    <n v="0"/>
    <n v="0.42184999999999917"/>
    <n v="16.323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1"/>
    <s v="Regular"/>
    <s v="Verde"/>
    <s v="A4"/>
    <s v="Rural"/>
    <s v="Agropecuária rural"/>
    <s v="Não se aplica"/>
    <s v="Não se aplica"/>
    <s v="Não se aplica"/>
    <s v="CATIVO"/>
    <x v="9"/>
    <n v="9538"/>
    <n v="9156.48"/>
    <n v="0"/>
    <n v="0"/>
    <n v="0"/>
    <n v="0"/>
    <n v="44.35"/>
    <m/>
    <m/>
    <n v="423010.3"/>
    <m/>
    <n v="423010.3"/>
    <n v="276315.86"/>
    <n v="0"/>
    <n v="0"/>
    <n v="0"/>
    <n v="0"/>
    <n v="0"/>
    <n v="125158.24345695759"/>
    <n v="273910.81787344534"/>
    <m/>
    <m/>
    <m/>
    <n v="0"/>
    <n v="0"/>
    <n v="0"/>
    <n v="0"/>
    <m/>
    <n v="0"/>
    <n v="9459.0319570623033"/>
    <n v="14471.925310326935"/>
    <n v="0"/>
    <n v="0"/>
    <m/>
    <m/>
    <n v="0"/>
    <n v="0"/>
    <n v="0"/>
    <m/>
    <m/>
    <n v="0"/>
    <m/>
    <n v="0"/>
    <n v="0"/>
    <n v="0"/>
    <n v="0"/>
    <m/>
    <n v="0"/>
    <n v="0"/>
    <n v="1034.79"/>
    <n v="4814.84"/>
    <n v="732.6"/>
    <n v="128"/>
    <m/>
    <m/>
    <m/>
    <m/>
    <m/>
    <n v="11052.634400000012"/>
    <m/>
    <m/>
    <m/>
    <n v="0"/>
    <m/>
    <m/>
    <m/>
    <m/>
    <m/>
    <m/>
    <m/>
    <m/>
    <m/>
    <m/>
    <m/>
    <m/>
    <n v="265263.22560000001"/>
    <n v="-140826.6924"/>
    <m/>
    <m/>
    <m/>
    <m/>
    <n v="-146694.44000000003"/>
    <n v="0"/>
    <n v="30"/>
    <n v="6992.2253827521054"/>
    <n v="1142.008134749296"/>
    <n v="1747.2249279735588"/>
    <n v="0"/>
    <n v="0"/>
    <m/>
    <m/>
    <m/>
    <n v="4102.99232002923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910.81787344534"/>
    <m/>
    <n v="0"/>
    <n v="0"/>
    <n v="-146694.44"/>
    <m/>
    <n v="0"/>
    <m/>
    <n v="-153661.1473251654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92"/>
    <s v="Sistema de Compensação"/>
    <s v="Verde"/>
    <s v="A4"/>
    <s v="Rural"/>
    <s v="Agropecuária rural"/>
    <s v="Não se aplica"/>
    <s v="Não se aplica"/>
    <s v="Não se aplica"/>
    <s v="CATIVO"/>
    <x v="9"/>
    <n v="1022"/>
    <n v="981.12"/>
    <n v="0"/>
    <n v="0"/>
    <n v="0"/>
    <n v="0"/>
    <n v="44.35"/>
    <m/>
    <m/>
    <n v="45325.700000000004"/>
    <m/>
    <n v="45325.700000000004"/>
    <n v="29607.34"/>
    <n v="0"/>
    <n v="0"/>
    <n v="0"/>
    <n v="0"/>
    <n v="0"/>
    <n v="13410.749089223176"/>
    <n v="29349.63890403241"/>
    <m/>
    <m/>
    <m/>
    <n v="0"/>
    <n v="0"/>
    <n v="0"/>
    <n v="0"/>
    <m/>
    <n v="0"/>
    <n v="1013.5385468775082"/>
    <n v="1550.6718040631292"/>
    <n v="0"/>
    <n v="0"/>
    <m/>
    <m/>
    <n v="0"/>
    <n v="0"/>
    <n v="0"/>
    <m/>
    <m/>
    <n v="0"/>
    <m/>
    <n v="0"/>
    <n v="0"/>
    <n v="0"/>
    <n v="0"/>
    <m/>
    <n v="0"/>
    <n v="0"/>
    <n v="92.14"/>
    <n v="429.48"/>
    <n v="39.299999999999997"/>
    <n v="19"/>
    <m/>
    <m/>
    <m/>
    <m/>
    <m/>
    <n v="1184.2935999999997"/>
    <m/>
    <m/>
    <m/>
    <n v="0"/>
    <m/>
    <m/>
    <m/>
    <m/>
    <m/>
    <m/>
    <m/>
    <m/>
    <m/>
    <m/>
    <m/>
    <m/>
    <n v="28423.046399999999"/>
    <n v="-15089.655600000006"/>
    <m/>
    <m/>
    <m/>
    <m/>
    <n v="-15718.360000000002"/>
    <n v="0"/>
    <n v="30"/>
    <n v="749.21936896337138"/>
    <n v="122.36656675548124"/>
    <n v="187.21575554508058"/>
    <n v="0"/>
    <n v="0"/>
    <m/>
    <m/>
    <m/>
    <n v="439.637046662808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349.63890403241"/>
    <m/>
    <n v="0"/>
    <n v="0"/>
    <n v="-15718.360000000004"/>
    <m/>
    <n v="0"/>
    <m/>
    <n v="-16464.84510026410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593"/>
    <s v="Regular"/>
    <s v="Verde"/>
    <s v="A4"/>
    <s v="Rural"/>
    <s v="Agropecuária rural"/>
    <s v="IRRIG./AQUIC. PR"/>
    <s v="Não se aplica"/>
    <s v="Fora ponta"/>
    <s v="CATIVO"/>
    <x v="9"/>
    <n v="0"/>
    <n v="0"/>
    <n v="187.624"/>
    <n v="56.287199999999999"/>
    <n v="187.624"/>
    <n v="56.287199999999999"/>
    <m/>
    <n v="79.7"/>
    <n v="209.4"/>
    <m/>
    <n v="54242.098400000003"/>
    <n v="54242.098400000003"/>
    <n v="58636.252479999996"/>
    <n v="0"/>
    <n v="10045.009866591559"/>
    <n v="0"/>
    <n v="0"/>
    <n v="0"/>
    <n v="0"/>
    <n v="0"/>
    <n v="38772.639528295273"/>
    <n v="516.52229844079807"/>
    <n v="0"/>
    <n v="0"/>
    <n v="0"/>
    <n v="0"/>
    <n v="1784.2294990648618"/>
    <m/>
    <n v="249.13546053952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75.2320478376537"/>
    <n v="0"/>
    <n v="0"/>
    <n v="0"/>
    <n v="0"/>
    <n v="0"/>
    <m/>
    <m/>
    <m/>
    <m/>
    <m/>
    <m/>
    <n v="41045.376735999991"/>
    <m/>
    <m/>
    <n v="41647.871576132929"/>
    <m/>
    <m/>
    <m/>
    <m/>
    <m/>
    <m/>
    <m/>
    <m/>
    <m/>
    <m/>
    <m/>
    <m/>
    <n v="17591.750800000002"/>
    <n v="1319.0912800000024"/>
    <m/>
    <m/>
    <m/>
    <m/>
    <n v="110.69816000000064"/>
    <n v="4283.4559199999967"/>
    <n v="30"/>
    <n v="4392.6913813930441"/>
    <n v="0"/>
    <n v="0"/>
    <n v="0"/>
    <n v="0"/>
    <n v="0"/>
    <n v="0"/>
    <n v="0"/>
    <n v="0"/>
    <n v="0"/>
    <n v="0"/>
    <n v="4282.1583361241646"/>
    <n v="0"/>
    <n v="0"/>
    <n v="0"/>
    <n v="317.54863820798346"/>
    <n v="0"/>
    <n v="-175.10584587276026"/>
    <m/>
    <n v="0"/>
    <n v="0"/>
    <n v="0"/>
    <n v="0"/>
    <n v="-26.149617689589377"/>
    <n v="-5.7601293767644393"/>
    <n v="0"/>
    <n v="0"/>
    <m/>
    <m/>
    <m/>
    <n v="0"/>
    <n v="0"/>
    <n v="0"/>
    <n v="110.69816000000174"/>
    <n v="4283.4559199999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4"/>
    <s v="Regular"/>
    <s v="Convencional"/>
    <s v="B1"/>
    <s v="Residencial"/>
    <s v="Residencial"/>
    <s v="Não se aplica"/>
    <s v="Não se aplica"/>
    <s v="Não se aplica"/>
    <s v="CATIVO"/>
    <x v="10"/>
    <n v="0"/>
    <n v="0"/>
    <n v="1196.758"/>
    <n v="1196.758"/>
    <n v="1196.758"/>
    <n v="1196.758"/>
    <m/>
    <n v="581.32000000000005"/>
    <n v="209.4"/>
    <m/>
    <n v="946300.48576000007"/>
    <n v="946300.48576000007"/>
    <n v="722925.60505999997"/>
    <n v="0"/>
    <n v="73645.983075973258"/>
    <n v="0"/>
    <n v="0"/>
    <n v="0"/>
    <n v="88788.846063549368"/>
    <n v="461236.89024661446"/>
    <n v="247310.9332313755"/>
    <n v="3294.6328446116308"/>
    <n v="0"/>
    <n v="0"/>
    <n v="0"/>
    <n v="0"/>
    <n v="11380.691845616051"/>
    <m/>
    <n v="2181.6471286827268"/>
    <n v="6820.8992133994952"/>
    <n v="10274.394778710324"/>
    <n v="0"/>
    <n v="0"/>
    <n v="0"/>
    <n v="0"/>
    <n v="0"/>
    <n v="0"/>
    <n v="0"/>
    <n v="0"/>
    <n v="0"/>
    <n v="0"/>
    <m/>
    <n v="0"/>
    <n v="0"/>
    <n v="0"/>
    <n v="0"/>
    <n v="0"/>
    <n v="41374.656805957668"/>
    <n v="0"/>
    <n v="1516.61"/>
    <n v="7220.03"/>
    <n v="239615.69"/>
    <n v="8577"/>
    <m/>
    <m/>
    <m/>
    <m/>
    <m/>
    <m/>
    <m/>
    <m/>
    <m/>
    <n v="288685.5900373332"/>
    <m/>
    <m/>
    <m/>
    <m/>
    <m/>
    <m/>
    <m/>
    <m/>
    <m/>
    <m/>
    <m/>
    <m/>
    <n v="722926.81319999998"/>
    <n v="-223373.70256000012"/>
    <m/>
    <m/>
    <m/>
    <m/>
    <n v="-250696.8658400001"/>
    <n v="27321.985139999982"/>
    <n v="31"/>
    <n v="35356.86362208036"/>
    <n v="823.50101187591463"/>
    <n v="1240.4485438018291"/>
    <n v="0"/>
    <n v="0"/>
    <n v="0"/>
    <n v="0"/>
    <n v="0"/>
    <n v="2910.7148154268507"/>
    <n v="0"/>
    <n v="0"/>
    <n v="27313.708512894314"/>
    <n v="0"/>
    <n v="0"/>
    <n v="0"/>
    <n v="4569.5323738948646"/>
    <n v="0"/>
    <n v="-1283.8058232813491"/>
    <m/>
    <n v="0"/>
    <n v="0"/>
    <n v="0"/>
    <n v="0"/>
    <n v="-166.79510172982918"/>
    <n v="-50.440710802235571"/>
    <n v="0"/>
    <n v="0"/>
    <m/>
    <m/>
    <m/>
    <n v="461236.89024661446"/>
    <n v="0"/>
    <n v="0"/>
    <n v="-250696.8658400001"/>
    <n v="27321.985140000004"/>
    <n v="0"/>
    <n v="0"/>
    <n v="-258749.1443172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5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61199999999999999"/>
    <n v="-0.61199999999999999"/>
    <n v="-0.61199999999999999"/>
    <n v="-0.61199999999999999"/>
    <m/>
    <n v="581.32000000000005"/>
    <n v="209.4"/>
    <m/>
    <n v="-483.92064000000005"/>
    <n v="-483.92064000000005"/>
    <n v="-369.69083999999998"/>
    <n v="0"/>
    <n v="-37.661199375726447"/>
    <n v="0"/>
    <n v="0"/>
    <n v="0"/>
    <n v="-45.404980615038468"/>
    <n v="-235.86805087655821"/>
    <n v="-126.4702564241073"/>
    <n v="-1.6848145580830194"/>
    <n v="0"/>
    <n v="0"/>
    <n v="0"/>
    <n v="0"/>
    <n v="-5.8198762068162679"/>
    <m/>
    <n v="-1.1156541612872684"/>
    <n v="-3.4880822343368427"/>
    <n v="-5.2541362619432821"/>
    <n v="0"/>
    <n v="0"/>
    <n v="0"/>
    <n v="0"/>
    <n v="0"/>
    <n v="0"/>
    <n v="0"/>
    <n v="0"/>
    <n v="0"/>
    <n v="0"/>
    <m/>
    <n v="0"/>
    <n v="0"/>
    <n v="0"/>
    <n v="0"/>
    <n v="0"/>
    <n v="-21.158237475952607"/>
    <n v="0"/>
    <n v="-1.25"/>
    <n v="-7.26"/>
    <n v="-172.48"/>
    <n v="0"/>
    <m/>
    <m/>
    <m/>
    <m/>
    <m/>
    <m/>
    <m/>
    <m/>
    <m/>
    <n v="-147.62849390005991"/>
    <m/>
    <m/>
    <m/>
    <m/>
    <m/>
    <m/>
    <m/>
    <m/>
    <m/>
    <m/>
    <m/>
    <m/>
    <n v="-368.48269999999997"/>
    <n v="115.40794000000011"/>
    <m/>
    <m/>
    <m/>
    <m/>
    <n v="128.20176000000004"/>
    <n v="-13.97195999999999"/>
    <n v="31"/>
    <n v="-18.080848873968876"/>
    <n v="-0.42112325070570611"/>
    <n v="-0.63434253943296781"/>
    <n v="0"/>
    <n v="0"/>
    <n v="0"/>
    <n v="0"/>
    <n v="0"/>
    <n v="-1.4884859487392106"/>
    <n v="0"/>
    <n v="0"/>
    <n v="-13.967727485332318"/>
    <n v="0"/>
    <n v="0"/>
    <n v="0"/>
    <n v="-2.3367746969927587"/>
    <n v="0"/>
    <n v="0.65651465362937245"/>
    <m/>
    <n v="0"/>
    <n v="0"/>
    <n v="0"/>
    <n v="0"/>
    <n v="8.5295943088457449E-2"/>
    <n v="2.5794450516284817E-2"/>
    <n v="0"/>
    <n v="0"/>
    <m/>
    <m/>
    <m/>
    <n v="-235.86805087655821"/>
    <n v="0"/>
    <n v="0"/>
    <n v="128.20176000000006"/>
    <n v="-13.971959999999967"/>
    <n v="0"/>
    <n v="0"/>
    <n v="132.3195469110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6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74.823999999999998"/>
    <n v="74.823999999999998"/>
    <n v="74.823999999999998"/>
    <n v="74.823999999999998"/>
    <m/>
    <n v="581.32000000000005"/>
    <n v="209.4"/>
    <m/>
    <n v="59164.833280000006"/>
    <n v="59164.833280000006"/>
    <n v="45198.933679999995"/>
    <n v="0"/>
    <n v="4604.5123890348941"/>
    <n v="0"/>
    <n v="0"/>
    <n v="0"/>
    <n v="5551.2782182020237"/>
    <n v="28837.567056842468"/>
    <n v="15462.435403067655"/>
    <n v="205.98785048039844"/>
    <n v="0"/>
    <n v="0"/>
    <n v="0"/>
    <n v="0"/>
    <n v="711.54643349480455"/>
    <m/>
    <n v="136.40148196757937"/>
    <n v="426.45794951310444"/>
    <n v="642.3782543523597"/>
    <n v="0"/>
    <n v="0"/>
    <n v="0"/>
    <n v="0"/>
    <n v="0"/>
    <n v="0"/>
    <n v="0"/>
    <n v="0"/>
    <n v="0"/>
    <n v="0"/>
    <m/>
    <n v="0"/>
    <n v="0"/>
    <n v="0"/>
    <n v="0"/>
    <n v="0"/>
    <n v="2586.8365374194082"/>
    <n v="0"/>
    <n v="90.22"/>
    <n v="451.97"/>
    <n v="41823.1"/>
    <n v="987"/>
    <m/>
    <m/>
    <m/>
    <m/>
    <m/>
    <m/>
    <m/>
    <m/>
    <m/>
    <n v="18049.271940487062"/>
    <m/>
    <m/>
    <m/>
    <m/>
    <m/>
    <m/>
    <m/>
    <m/>
    <m/>
    <m/>
    <m/>
    <m/>
    <n v="45196.517399999997"/>
    <n v="-13968.345880000015"/>
    <m/>
    <m/>
    <m/>
    <m/>
    <n v="-15674.131520000004"/>
    <n v="1708.2319199999988"/>
    <n v="31"/>
    <n v="2210.5905819376494"/>
    <n v="51.487134167980003"/>
    <n v="77.555630997601952"/>
    <n v="0"/>
    <n v="0"/>
    <n v="0"/>
    <n v="0"/>
    <n v="0"/>
    <n v="181.98443239944845"/>
    <n v="0"/>
    <n v="0"/>
    <n v="1707.7144466707578"/>
    <n v="0"/>
    <n v="0"/>
    <n v="0"/>
    <n v="285.69743452252624"/>
    <n v="0"/>
    <n v="-80.266425560725111"/>
    <m/>
    <n v="0"/>
    <n v="0"/>
    <n v="0"/>
    <n v="0"/>
    <n v="-10.428404649756089"/>
    <n v="-3.1536666101805793"/>
    <n v="0"/>
    <n v="0"/>
    <m/>
    <m/>
    <m/>
    <n v="28837.567056842468"/>
    <n v="0"/>
    <n v="0"/>
    <n v="-15674.131520000006"/>
    <n v="1708.2319199999984"/>
    <n v="0"/>
    <n v="0"/>
    <n v="-16177.57806874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7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58.23"/>
    <n v="58.23"/>
    <n v="58.23"/>
    <n v="58.23"/>
    <m/>
    <n v="510.28"/>
    <n v="209.4"/>
    <m/>
    <n v="41906.966399999998"/>
    <n v="41906.966399999998"/>
    <n v="31108.212899999999"/>
    <n v="0"/>
    <n v="0"/>
    <n v="0"/>
    <n v="0"/>
    <n v="0"/>
    <n v="4320.150361460278"/>
    <n v="22442.15131134311"/>
    <n v="12033.272927411384"/>
    <n v="160.30514986466375"/>
    <n v="0"/>
    <n v="0"/>
    <n v="0"/>
    <n v="0"/>
    <n v="0"/>
    <m/>
    <n v="106.15121211071509"/>
    <n v="331.88076553175546"/>
    <n v="499.91561198195637"/>
    <n v="0"/>
    <n v="0"/>
    <n v="0"/>
    <n v="0"/>
    <n v="0"/>
    <n v="0"/>
    <n v="0"/>
    <n v="0"/>
    <n v="0"/>
    <n v="0"/>
    <m/>
    <n v="0"/>
    <n v="0"/>
    <n v="0"/>
    <n v="0"/>
    <n v="0"/>
    <n v="2013.1440657266671"/>
    <n v="0"/>
    <n v="19.43"/>
    <n v="97.29"/>
    <n v="3367.87"/>
    <n v="155"/>
    <m/>
    <m/>
    <m/>
    <m/>
    <m/>
    <m/>
    <m/>
    <n v="20220.3675"/>
    <m/>
    <n v="14046.416993138051"/>
    <m/>
    <m/>
    <m/>
    <m/>
    <m/>
    <m/>
    <m/>
    <m/>
    <m/>
    <m/>
    <m/>
    <m/>
    <n v="10887.8454"/>
    <n v="-3779.7392999999993"/>
    <m/>
    <m/>
    <m/>
    <m/>
    <n v="-12128.144399999997"/>
    <n v="1329.390899999999"/>
    <n v="31"/>
    <n v="1790.9206878726873"/>
    <n v="40.068638706851743"/>
    <n v="60.35582691369558"/>
    <n v="0"/>
    <n v="0"/>
    <n v="0"/>
    <n v="0"/>
    <n v="0"/>
    <n v="141.62506012268568"/>
    <n v="0"/>
    <n v="0"/>
    <n v="1328.9881886779422"/>
    <n v="0"/>
    <n v="0"/>
    <n v="0"/>
    <n v="222.33723955210507"/>
    <n v="0"/>
    <n v="0"/>
    <m/>
    <n v="0"/>
    <n v="0"/>
    <n v="0"/>
    <n v="0"/>
    <n v="0"/>
    <n v="-2.4542661005935855"/>
    <n v="0"/>
    <n v="0"/>
    <m/>
    <m/>
    <m/>
    <n v="22442.15131134311"/>
    <n v="0"/>
    <n v="0"/>
    <n v="-12128.144399999997"/>
    <n v="1329.3909000000003"/>
    <n v="0"/>
    <n v="0"/>
    <n v="-12589.815713445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8"/>
    <s v="Refaturamento - 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06"/>
    <n v="0.06"/>
    <n v="0.06"/>
    <n v="0.06"/>
    <m/>
    <n v="510.28"/>
    <n v="209.4"/>
    <m/>
    <n v="43.180799999999998"/>
    <n v="43.180799999999998"/>
    <n v="32.053800000000003"/>
    <n v="0"/>
    <n v="0"/>
    <n v="0"/>
    <n v="0"/>
    <n v="0"/>
    <n v="4.4514686877488696"/>
    <n v="23.12431871338806"/>
    <n v="12.399044747461499"/>
    <n v="0.1651778978512764"/>
    <n v="0"/>
    <n v="0"/>
    <n v="0"/>
    <n v="0"/>
    <n v="0"/>
    <m/>
    <n v="0.10937785894973219"/>
    <n v="0.34196884650361203"/>
    <n v="0.51511139822973351"/>
    <n v="0"/>
    <n v="0"/>
    <n v="0"/>
    <n v="0"/>
    <n v="0"/>
    <n v="0"/>
    <n v="0"/>
    <n v="0"/>
    <n v="0"/>
    <n v="0"/>
    <m/>
    <n v="0"/>
    <n v="0"/>
    <n v="0"/>
    <n v="0"/>
    <n v="0"/>
    <n v="2.0743370074463341"/>
    <n v="0"/>
    <n v="0.02"/>
    <n v="0.12"/>
    <n v="2.66"/>
    <n v="0"/>
    <m/>
    <m/>
    <m/>
    <m/>
    <m/>
    <m/>
    <m/>
    <n v="20.835000000000001"/>
    <m/>
    <n v="14.473381754907834"/>
    <m/>
    <m/>
    <m/>
    <m/>
    <m/>
    <m/>
    <m/>
    <m/>
    <m/>
    <m/>
    <m/>
    <m/>
    <n v="11.2188"/>
    <n v="-3.9245999999999981"/>
    <m/>
    <m/>
    <m/>
    <m/>
    <n v="-12.496799999999999"/>
    <n v="1.369799999999999"/>
    <n v="31"/>
    <n v="1.8453587716359472"/>
    <n v="4.1286593206441791E-2"/>
    <n v="6.2190445042447862E-2"/>
    <n v="0"/>
    <n v="0"/>
    <n v="0"/>
    <n v="0"/>
    <n v="0"/>
    <n v="0.14592999497443149"/>
    <n v="0"/>
    <n v="0"/>
    <n v="1.3693850475816003"/>
    <n v="0"/>
    <n v="0"/>
    <n v="0"/>
    <n v="0.22909555852870156"/>
    <n v="0"/>
    <n v="0"/>
    <m/>
    <n v="0"/>
    <n v="0"/>
    <n v="0"/>
    <n v="0"/>
    <n v="0"/>
    <n v="-2.5288676976749913E-3"/>
    <n v="0"/>
    <n v="0"/>
    <m/>
    <m/>
    <m/>
    <n v="23.12431871338806"/>
    <n v="0"/>
    <n v="0"/>
    <n v="-12.496799999999997"/>
    <n v="1.3697999999999997"/>
    <n v="0"/>
    <n v="0"/>
    <n v="-12.9725045991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599"/>
    <s v="Sistema de Compensação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0.151"/>
    <n v="-1.1249499999999999"/>
    <n v="0.151"/>
    <n v="-1.1249499999999999"/>
    <m/>
    <n v="510.28"/>
    <n v="209.4"/>
    <m/>
    <n v="108.67167999999999"/>
    <n v="108.67167999999999"/>
    <n v="80.668729999999996"/>
    <n v="0"/>
    <n v="0"/>
    <n v="0"/>
    <n v="0"/>
    <n v="0"/>
    <n v="11.202862864167988"/>
    <n v="58.196202095359951"/>
    <n v="31.204262614444776"/>
    <n v="0.41569770959237895"/>
    <n v="0"/>
    <n v="0"/>
    <n v="0"/>
    <n v="0"/>
    <n v="0"/>
    <m/>
    <n v="0.27526761169015934"/>
    <n v="0.86062159703409025"/>
    <n v="1.2963636855448295"/>
    <n v="0"/>
    <n v="0"/>
    <n v="0"/>
    <n v="0"/>
    <n v="0"/>
    <n v="0"/>
    <n v="0"/>
    <n v="0"/>
    <n v="0"/>
    <n v="0"/>
    <m/>
    <n v="0"/>
    <n v="0"/>
    <n v="0"/>
    <n v="0"/>
    <n v="0"/>
    <n v="5.2204148020732735"/>
    <n v="0"/>
    <n v="0.05"/>
    <n v="0.25"/>
    <n v="17.829999999999998"/>
    <n v="0"/>
    <m/>
    <m/>
    <m/>
    <m/>
    <m/>
    <m/>
    <m/>
    <n v="291.01188100000002"/>
    <m/>
    <n v="36.424677416518051"/>
    <m/>
    <m/>
    <m/>
    <m/>
    <m/>
    <m/>
    <m/>
    <m/>
    <m/>
    <m/>
    <m/>
    <m/>
    <n v="-209.41760000000002"/>
    <n v="73.916055499999942"/>
    <m/>
    <m/>
    <m/>
    <m/>
    <n v="-31.450279999999996"/>
    <n v="3.4473299999999973"/>
    <n v="31"/>
    <n v="4.64415290861713"/>
    <n v="0.10390459290287857"/>
    <n v="0.15651262002349364"/>
    <n v="0"/>
    <n v="0"/>
    <n v="0"/>
    <n v="0"/>
    <n v="0"/>
    <n v="0.3672571540189864"/>
    <n v="0"/>
    <n v="0"/>
    <n v="3.4462857030803598"/>
    <n v="0"/>
    <n v="0"/>
    <n v="0"/>
    <n v="0.57655715563056642"/>
    <n v="0"/>
    <n v="0"/>
    <m/>
    <n v="0"/>
    <n v="0"/>
    <n v="0"/>
    <n v="0"/>
    <n v="0"/>
    <n v="-6.3643170391486925E-3"/>
    <n v="0"/>
    <n v="0"/>
    <m/>
    <m/>
    <m/>
    <n v="58.196202095359951"/>
    <n v="0"/>
    <n v="0"/>
    <n v="-31.450279999999999"/>
    <n v="3.4473300000000009"/>
    <n v="0"/>
    <n v="0"/>
    <n v="-32.64746990778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0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10.193"/>
    <n v="110.193"/>
    <n v="110.193"/>
    <n v="110.193"/>
    <m/>
    <n v="510.28"/>
    <n v="209.4"/>
    <m/>
    <n v="79303.698239999998"/>
    <n v="79303.698239999998"/>
    <n v="58868.406390000004"/>
    <n v="0"/>
    <n v="0"/>
    <n v="0"/>
    <n v="0"/>
    <n v="0"/>
    <n v="8175.3448184851868"/>
    <n v="42468.967533072842"/>
    <n v="22771.465630950417"/>
    <n v="303.35746829876166"/>
    <n v="0"/>
    <n v="0"/>
    <n v="0"/>
    <n v="0"/>
    <n v="0"/>
    <m/>
    <n v="200.87790685413066"/>
    <n v="628.04288504620865"/>
    <n v="946.02783841881717"/>
    <n v="0"/>
    <n v="0"/>
    <n v="0"/>
    <n v="0"/>
    <n v="0"/>
    <n v="0"/>
    <n v="0"/>
    <n v="0"/>
    <n v="0"/>
    <n v="0"/>
    <m/>
    <n v="0"/>
    <n v="0"/>
    <n v="0"/>
    <n v="0"/>
    <n v="0"/>
    <n v="3809.6236310255645"/>
    <n v="0"/>
    <n v="74.91"/>
    <n v="350.7"/>
    <n v="11843.06"/>
    <n v="512"/>
    <m/>
    <m/>
    <m/>
    <m/>
    <m/>
    <m/>
    <m/>
    <n v="23547.142169999999"/>
    <m/>
    <n v="26581.089261975983"/>
    <m/>
    <m/>
    <m/>
    <m/>
    <m/>
    <m/>
    <m/>
    <m/>
    <m/>
    <m/>
    <m/>
    <m/>
    <n v="35320.302599999995"/>
    <n v="-12262.166730000012"/>
    <m/>
    <m/>
    <m/>
    <m/>
    <n v="-22950.998039999995"/>
    <n v="2515.7061899999981"/>
    <n v="31"/>
    <n v="3389.0936520479881"/>
    <n v="75.824892753290669"/>
    <n v="114.21586184270757"/>
    <n v="0"/>
    <n v="0"/>
    <n v="0"/>
    <n v="0"/>
    <n v="0"/>
    <n v="268.00773227029367"/>
    <n v="0"/>
    <n v="0"/>
    <n v="2514.9441091359877"/>
    <n v="0"/>
    <n v="0"/>
    <n v="0"/>
    <n v="420.74544801588763"/>
    <n v="0"/>
    <n v="0"/>
    <m/>
    <n v="0"/>
    <n v="0"/>
    <n v="0"/>
    <n v="0"/>
    <n v="0"/>
    <n v="-4.6443919701650032"/>
    <n v="0"/>
    <n v="0"/>
    <m/>
    <m/>
    <m/>
    <n v="42468.967533072842"/>
    <n v="0"/>
    <n v="0"/>
    <n v="-22950.998039999999"/>
    <n v="2515.7061900000008"/>
    <n v="0"/>
    <n v="0"/>
    <n v="-23824.6533215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1"/>
    <s v="Refaturamento - 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7.0000000000000007E-2"/>
    <n v="7.0000000000000007E-2"/>
    <n v="7.0000000000000007E-2"/>
    <n v="7.0000000000000007E-2"/>
    <m/>
    <n v="510.28"/>
    <n v="209.4"/>
    <m/>
    <n v="50.377600000000001"/>
    <n v="50.377600000000001"/>
    <n v="37.396100000000004"/>
    <n v="0"/>
    <n v="0"/>
    <n v="0"/>
    <n v="0"/>
    <n v="0"/>
    <n v="5.1933801357070148"/>
    <n v="26.978371832286072"/>
    <n v="14.465552205371752"/>
    <n v="0.19270754749315583"/>
    <n v="0"/>
    <n v="0"/>
    <n v="0"/>
    <n v="0"/>
    <n v="0"/>
    <m/>
    <n v="0.12760750210802091"/>
    <n v="0.39896365425421404"/>
    <n v="0.60096329793468917"/>
    <n v="0"/>
    <n v="0"/>
    <n v="0"/>
    <n v="0"/>
    <n v="0"/>
    <n v="0"/>
    <n v="0"/>
    <n v="0"/>
    <n v="0"/>
    <n v="0"/>
    <m/>
    <n v="0"/>
    <n v="0"/>
    <n v="0"/>
    <n v="0"/>
    <n v="0"/>
    <n v="2.4200598420207231"/>
    <n v="0"/>
    <n v="0.05"/>
    <n v="0.31"/>
    <n v="7.59"/>
    <n v="0"/>
    <m/>
    <m/>
    <m/>
    <m/>
    <m/>
    <m/>
    <m/>
    <n v="14.958300000000001"/>
    <m/>
    <n v="16.885612047392474"/>
    <m/>
    <m/>
    <m/>
    <m/>
    <m/>
    <m/>
    <m/>
    <m/>
    <m/>
    <m/>
    <m/>
    <m/>
    <n v="22.437800000000003"/>
    <n v="-7.8189000000000028"/>
    <m/>
    <m/>
    <m/>
    <m/>
    <n v="-14.579599999999999"/>
    <n v="1.598099999999999"/>
    <n v="31"/>
    <n v="2.1529185669086139"/>
    <n v="4.8167692074182145E-2"/>
    <n v="7.255551921618919E-2"/>
    <n v="0"/>
    <n v="0"/>
    <n v="0"/>
    <n v="0"/>
    <n v="0"/>
    <n v="0.17025166080350473"/>
    <n v="0"/>
    <n v="0"/>
    <n v="1.5976158888451994"/>
    <n v="0"/>
    <n v="0"/>
    <n v="0"/>
    <n v="0.26727815161681878"/>
    <n v="0"/>
    <n v="0"/>
    <m/>
    <n v="0"/>
    <n v="0"/>
    <n v="0"/>
    <n v="0"/>
    <n v="0"/>
    <n v="-2.9503456472874945E-3"/>
    <n v="0"/>
    <n v="0"/>
    <m/>
    <m/>
    <m/>
    <n v="26.978371832286072"/>
    <n v="0"/>
    <n v="0"/>
    <n v="-14.579599999999999"/>
    <n v="1.5980999999999987"/>
    <n v="0"/>
    <n v="0"/>
    <n v="-15.13458869897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2"/>
    <s v="Sistema de Compensação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0.127"/>
    <n v="-0.53339999999999999"/>
    <n v="0.127"/>
    <n v="-0.53339999999999999"/>
    <m/>
    <n v="510.28"/>
    <n v="209.4"/>
    <m/>
    <n v="91.399360000000001"/>
    <n v="91.399360000000001"/>
    <n v="67.84720999999999"/>
    <n v="0"/>
    <n v="0"/>
    <n v="0"/>
    <n v="0"/>
    <n v="0"/>
    <n v="9.4222753890684405"/>
    <n v="48.946474610004728"/>
    <n v="26.244644715460176"/>
    <n v="0.34962655045186841"/>
    <n v="0"/>
    <n v="0"/>
    <n v="0"/>
    <n v="0"/>
    <n v="0"/>
    <m/>
    <n v="0.23151646811026649"/>
    <n v="0.72383405843264548"/>
    <n v="1.0903191262529361"/>
    <n v="0"/>
    <n v="0"/>
    <n v="0"/>
    <n v="0"/>
    <n v="0"/>
    <n v="0"/>
    <n v="0"/>
    <n v="0"/>
    <n v="0"/>
    <n v="0"/>
    <m/>
    <n v="0"/>
    <n v="0"/>
    <n v="0"/>
    <n v="0"/>
    <n v="0"/>
    <n v="4.3906799990947407"/>
    <n v="0"/>
    <n v="0.09"/>
    <n v="0.4"/>
    <n v="58.76"/>
    <n v="0"/>
    <m/>
    <m/>
    <m/>
    <m/>
    <m/>
    <m/>
    <m/>
    <n v="238.82324599999998"/>
    <m/>
    <n v="30.635324714554915"/>
    <m/>
    <m/>
    <m/>
    <m/>
    <m/>
    <m/>
    <m/>
    <m/>
    <m/>
    <m/>
    <m/>
    <m/>
    <n v="-169.8862"/>
    <n v="60.411254000000014"/>
    <m/>
    <m/>
    <m/>
    <m/>
    <n v="-26.451559999999997"/>
    <n v="2.8994099999999978"/>
    <n v="31"/>
    <n v="3.9060093999627625"/>
    <n v="8.7389955620301829E-2"/>
    <n v="0.13163644200651436"/>
    <n v="0"/>
    <n v="0"/>
    <n v="0"/>
    <n v="0"/>
    <n v="0"/>
    <n v="0.30888515602921451"/>
    <n v="0"/>
    <n v="0"/>
    <n v="2.8985316840477182"/>
    <n v="0"/>
    <n v="0"/>
    <n v="0"/>
    <n v="0.48491893221908544"/>
    <n v="0"/>
    <n v="0"/>
    <m/>
    <n v="0"/>
    <n v="0"/>
    <n v="0"/>
    <n v="0"/>
    <n v="0"/>
    <n v="-5.3527699600787459E-3"/>
    <n v="0"/>
    <n v="0"/>
    <m/>
    <m/>
    <m/>
    <n v="48.946474610004728"/>
    <n v="0"/>
    <n v="0"/>
    <n v="-26.451560000000001"/>
    <n v="2.899409999999996"/>
    <n v="0"/>
    <n v="0"/>
    <n v="-27.45846806813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3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84.488"/>
    <n v="84.488"/>
    <n v="84.488"/>
    <n v="84.488"/>
    <m/>
    <n v="510.28"/>
    <n v="209.4"/>
    <m/>
    <n v="60804.323839999997"/>
    <n v="60804.323839999997"/>
    <n v="45136.024239999999"/>
    <n v="0"/>
    <n v="0"/>
    <n v="0"/>
    <n v="0"/>
    <n v="0"/>
    <n v="6268.2614415087746"/>
    <n v="32562.123990945507"/>
    <n v="17459.50821039212"/>
    <n v="232.59250389431068"/>
    <n v="0"/>
    <n v="0"/>
    <n v="0"/>
    <n v="0"/>
    <n v="0"/>
    <m/>
    <n v="154.01860911574957"/>
    <n v="481.53773172328619"/>
    <n v="725.34553022722878"/>
    <n v="0"/>
    <n v="0"/>
    <n v="0"/>
    <n v="0"/>
    <n v="0"/>
    <n v="0"/>
    <n v="0"/>
    <n v="0"/>
    <n v="0"/>
    <n v="0"/>
    <m/>
    <n v="0"/>
    <n v="0"/>
    <n v="0"/>
    <n v="0"/>
    <n v="0"/>
    <n v="2920.9430847520975"/>
    <n v="0"/>
    <n v="81.72"/>
    <n v="403.54"/>
    <n v="13696.83"/>
    <n v="1019"/>
    <m/>
    <m/>
    <m/>
    <m/>
    <m/>
    <m/>
    <m/>
    <n v="4514.1938399999981"/>
    <m/>
    <n v="20380.451295144216"/>
    <m/>
    <m/>
    <m/>
    <m/>
    <m/>
    <m/>
    <m/>
    <m/>
    <m/>
    <m/>
    <m/>
    <m/>
    <n v="40622.792000000001"/>
    <n v="-14100.960480000009"/>
    <m/>
    <m/>
    <m/>
    <m/>
    <n v="-17597.160639999998"/>
    <n v="1928.8610399999986"/>
    <n v="31"/>
    <n v="2598.5111982996314"/>
    <n v="58.137028113764302"/>
    <n v="87.572438679105517"/>
    <n v="0"/>
    <n v="0"/>
    <n v="0"/>
    <n v="0"/>
    <n v="0"/>
    <n v="205.48889025666358"/>
    <n v="0"/>
    <n v="0"/>
    <n v="1928.2767316679019"/>
    <n v="0"/>
    <n v="0"/>
    <n v="0"/>
    <n v="322.597092482883"/>
    <n v="0"/>
    <n v="0"/>
    <m/>
    <n v="0"/>
    <n v="0"/>
    <n v="0"/>
    <n v="0"/>
    <n v="0"/>
    <n v="-3.5609829006860707"/>
    <n v="0"/>
    <n v="0"/>
    <m/>
    <m/>
    <m/>
    <n v="32562.123990945507"/>
    <n v="0"/>
    <n v="0"/>
    <n v="-17597.160639999998"/>
    <n v="1928.8610399999998"/>
    <n v="0"/>
    <n v="0"/>
    <n v="-18267.01614284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4"/>
    <s v="Refaturamento - 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-2.4E-2"/>
    <n v="-2.4E-2"/>
    <n v="-2.4E-2"/>
    <n v="-2.4E-2"/>
    <m/>
    <n v="510.28"/>
    <n v="209.4"/>
    <m/>
    <n v="-17.272320000000001"/>
    <n v="-17.272320000000001"/>
    <n v="-12.82152"/>
    <n v="0"/>
    <n v="0"/>
    <n v="0"/>
    <n v="0"/>
    <n v="0"/>
    <n v="-1.7805874750995478"/>
    <n v="-9.2497274853552245"/>
    <n v="-4.9596178989846003"/>
    <n v="-6.6071159140510566E-2"/>
    <n v="0"/>
    <n v="0"/>
    <n v="0"/>
    <n v="0"/>
    <n v="0"/>
    <m/>
    <n v="-4.3751143579892883E-2"/>
    <n v="-0.13678753860144482"/>
    <n v="-0.20604455929189341"/>
    <n v="0"/>
    <n v="0"/>
    <n v="0"/>
    <n v="0"/>
    <n v="0"/>
    <n v="0"/>
    <n v="0"/>
    <n v="0"/>
    <n v="0"/>
    <n v="0"/>
    <m/>
    <n v="0"/>
    <n v="0"/>
    <n v="0"/>
    <n v="0"/>
    <n v="0"/>
    <n v="-0.82973480297853364"/>
    <n v="0"/>
    <n v="0"/>
    <n v="0.16"/>
    <n v="-3.8"/>
    <n v="0"/>
    <m/>
    <m/>
    <m/>
    <m/>
    <m/>
    <m/>
    <m/>
    <n v="-1.2823199999999995"/>
    <m/>
    <n v="-5.7893527019631339"/>
    <m/>
    <m/>
    <m/>
    <m/>
    <m/>
    <m/>
    <m/>
    <m/>
    <m/>
    <m/>
    <m/>
    <m/>
    <n v="-9.6159999999999997"/>
    <n v="5.8990400000000012"/>
    <m/>
    <m/>
    <m/>
    <m/>
    <n v="4.9987199999999996"/>
    <n v="-0.54791999999999963"/>
    <n v="31"/>
    <n v="-0.73814350865437994"/>
    <n v="-1.6514637282576711E-2"/>
    <n v="-2.4876178016979139E-2"/>
    <n v="0"/>
    <n v="0"/>
    <n v="0"/>
    <n v="0"/>
    <n v="0"/>
    <n v="-5.8371997989772773E-2"/>
    <n v="0"/>
    <n v="0"/>
    <n v="-0.54775401903263976"/>
    <n v="0"/>
    <n v="0"/>
    <n v="0"/>
    <n v="-9.1638223411480757E-2"/>
    <n v="0"/>
    <n v="0"/>
    <m/>
    <n v="0"/>
    <n v="0"/>
    <n v="0"/>
    <n v="0"/>
    <n v="0"/>
    <n v="1.0115470790700021E-3"/>
    <n v="0"/>
    <n v="0"/>
    <m/>
    <m/>
    <m/>
    <n v="-9.2497274853552245"/>
    <n v="0"/>
    <n v="0"/>
    <n v="4.9987199999999996"/>
    <n v="-0.54792000000000041"/>
    <n v="0"/>
    <n v="0"/>
    <n v="5.189001839648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5"/>
    <s v="Sistema de Compensação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0.12"/>
    <n v="-3.5999999999999997E-2"/>
    <n v="0.12"/>
    <n v="-3.5999999999999997E-2"/>
    <m/>
    <n v="510.28"/>
    <n v="209.4"/>
    <m/>
    <n v="86.361599999999996"/>
    <n v="86.361599999999996"/>
    <n v="64.107600000000005"/>
    <n v="0"/>
    <n v="0"/>
    <n v="0"/>
    <n v="0"/>
    <n v="0"/>
    <n v="8.9029373754977392"/>
    <n v="46.248637426776121"/>
    <n v="24.798089494922998"/>
    <n v="0.3303557957025528"/>
    <n v="0"/>
    <n v="0"/>
    <n v="0"/>
    <n v="0"/>
    <n v="0"/>
    <m/>
    <n v="0.21875571789946438"/>
    <n v="0.68393769300722407"/>
    <n v="1.030222796459467"/>
    <n v="0"/>
    <n v="0"/>
    <n v="0"/>
    <n v="0"/>
    <n v="0"/>
    <n v="0"/>
    <n v="0"/>
    <n v="0"/>
    <n v="0"/>
    <n v="0"/>
    <m/>
    <n v="0"/>
    <n v="0"/>
    <n v="0"/>
    <n v="0"/>
    <n v="0"/>
    <n v="4.1486740148926682"/>
    <n v="0"/>
    <n v="0.12"/>
    <n v="0.56999999999999995"/>
    <n v="103.67"/>
    <n v="9"/>
    <m/>
    <m/>
    <m/>
    <m/>
    <m/>
    <m/>
    <m/>
    <n v="81.416399999999996"/>
    <m/>
    <n v="28.946763509815668"/>
    <m/>
    <m/>
    <m/>
    <m/>
    <m/>
    <m/>
    <m/>
    <m/>
    <m/>
    <m/>
    <m/>
    <m/>
    <n v="-19.231999999999999"/>
    <n v="4.0555599999999927"/>
    <m/>
    <m/>
    <m/>
    <m/>
    <n v="-24.993599999999997"/>
    <n v="2.739599999999998"/>
    <n v="31"/>
    <n v="3.6907175432718944"/>
    <n v="8.2573186412883581E-2"/>
    <n v="0.12438089008489572"/>
    <n v="0"/>
    <n v="0"/>
    <n v="0"/>
    <n v="0"/>
    <n v="0"/>
    <n v="0.29185998994886297"/>
    <n v="0"/>
    <n v="0"/>
    <n v="2.7387700951632006"/>
    <n v="0"/>
    <n v="0"/>
    <n v="0"/>
    <n v="0.45819111705740312"/>
    <n v="0"/>
    <n v="0"/>
    <m/>
    <n v="0"/>
    <n v="0"/>
    <n v="0"/>
    <n v="0"/>
    <n v="0"/>
    <n v="-5.0577353953499826E-3"/>
    <n v="0"/>
    <n v="0"/>
    <m/>
    <m/>
    <m/>
    <n v="46.248637426776121"/>
    <n v="0"/>
    <n v="0"/>
    <n v="-24.993599999999994"/>
    <n v="2.7395999999999994"/>
    <n v="0"/>
    <n v="0"/>
    <n v="-25.94500919824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6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8.498000000000001"/>
    <n v="18.498000000000001"/>
    <n v="18.498000000000001"/>
    <n v="18.498000000000001"/>
    <m/>
    <n v="510.28"/>
    <n v="209.4"/>
    <m/>
    <n v="13312.64064"/>
    <n v="13312.64064"/>
    <n v="9882.1865400000006"/>
    <n v="0"/>
    <n v="0"/>
    <n v="0"/>
    <n v="0"/>
    <n v="0"/>
    <n v="1372.3877964329765"/>
    <n v="7129.2274593375396"/>
    <n v="3822.6254956423809"/>
    <n v="50.924345907548521"/>
    <n v="0"/>
    <n v="0"/>
    <n v="0"/>
    <n v="0"/>
    <n v="0"/>
    <m/>
    <n v="33.721193914202438"/>
    <n v="105.42899537706359"/>
    <n v="158.80884407422687"/>
    <n v="0"/>
    <n v="0"/>
    <n v="0"/>
    <n v="0"/>
    <n v="0"/>
    <n v="0"/>
    <n v="0"/>
    <n v="0"/>
    <n v="0"/>
    <n v="0"/>
    <m/>
    <n v="0"/>
    <n v="0"/>
    <n v="0"/>
    <n v="0"/>
    <n v="0"/>
    <n v="639.51809939570478"/>
    <n v="0"/>
    <n v="20.29"/>
    <n v="97.29"/>
    <n v="3332.05"/>
    <n v="254"/>
    <m/>
    <m/>
    <m/>
    <m/>
    <m/>
    <m/>
    <m/>
    <m/>
    <m/>
    <n v="4462.1435950380856"/>
    <m/>
    <m/>
    <m/>
    <m/>
    <m/>
    <m/>
    <m/>
    <m/>
    <m/>
    <m/>
    <m/>
    <m/>
    <n v="9883.255000000001"/>
    <n v="-3429.4156399999993"/>
    <m/>
    <m/>
    <m/>
    <m/>
    <n v="-3852.7634399999997"/>
    <n v="422.30933999999974"/>
    <n v="31"/>
    <n v="568.92410929536163"/>
    <n v="12.728656685546014"/>
    <n v="19.173314206586667"/>
    <n v="0"/>
    <n v="0"/>
    <n v="0"/>
    <n v="0"/>
    <n v="0"/>
    <n v="44.990217450617365"/>
    <n v="0"/>
    <n v="0"/>
    <n v="422.18141016940717"/>
    <n v="0"/>
    <n v="0"/>
    <n v="0"/>
    <n v="70.630160694398796"/>
    <n v="0"/>
    <n v="0"/>
    <m/>
    <n v="0"/>
    <n v="0"/>
    <n v="0"/>
    <n v="0"/>
    <n v="0"/>
    <n v="-0.77964991119319649"/>
    <n v="0"/>
    <n v="0"/>
    <m/>
    <m/>
    <m/>
    <n v="7129.2274593375396"/>
    <n v="0"/>
    <n v="0"/>
    <n v="-3852.7634399999988"/>
    <n v="422.30933999999979"/>
    <n v="0"/>
    <n v="0"/>
    <n v="-3999.4231679087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7"/>
    <s v="Refaturamento - 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-2.7E-2"/>
    <n v="-2.7E-2"/>
    <n v="-2.7E-2"/>
    <n v="-2.7E-2"/>
    <m/>
    <n v="510.28"/>
    <n v="209.4"/>
    <m/>
    <n v="-19.431359999999998"/>
    <n v="-19.431359999999998"/>
    <n v="-14.424209999999999"/>
    <n v="0"/>
    <n v="0"/>
    <n v="0"/>
    <n v="0"/>
    <n v="0"/>
    <n v="-2.0031609094869913"/>
    <n v="-10.405943421024627"/>
    <n v="-5.5795701363576748"/>
    <n v="-7.4330054033074383E-2"/>
    <n v="0"/>
    <n v="0"/>
    <n v="0"/>
    <n v="0"/>
    <n v="0"/>
    <m/>
    <n v="-4.9220036527379489E-2"/>
    <n v="-0.15388598092662542"/>
    <n v="-0.23180012920338008"/>
    <n v="0"/>
    <n v="0"/>
    <n v="0"/>
    <n v="0"/>
    <n v="0"/>
    <n v="0"/>
    <n v="0"/>
    <n v="0"/>
    <n v="0"/>
    <n v="0"/>
    <m/>
    <n v="0"/>
    <n v="0"/>
    <n v="0"/>
    <n v="0"/>
    <n v="0"/>
    <n v="-0.93345165335085023"/>
    <n v="0"/>
    <n v="0.02"/>
    <n v="0.68"/>
    <n v="-4.5599999999999996"/>
    <n v="0"/>
    <m/>
    <m/>
    <m/>
    <m/>
    <m/>
    <m/>
    <m/>
    <m/>
    <m/>
    <n v="-6.5130217897085254"/>
    <m/>
    <m/>
    <m/>
    <m/>
    <m/>
    <m/>
    <m/>
    <m/>
    <m/>
    <m/>
    <m/>
    <m/>
    <n v="-16.026900000000001"/>
    <n v="3.3744599999999991"/>
    <m/>
    <m/>
    <m/>
    <m/>
    <n v="5.6235599999999994"/>
    <n v="-0.61640999999999957"/>
    <n v="31"/>
    <n v="-0.83041144723617499"/>
    <n v="-1.8578966942898789E-2"/>
    <n v="-2.7985700269101549E-2"/>
    <n v="0"/>
    <n v="0"/>
    <n v="0"/>
    <n v="0"/>
    <n v="0"/>
    <n v="-6.566849773849448E-2"/>
    <n v="0"/>
    <n v="0"/>
    <n v="-0.61622327141171951"/>
    <n v="0"/>
    <n v="0"/>
    <n v="0"/>
    <n v="-0.10309300133791599"/>
    <n v="0"/>
    <n v="0"/>
    <m/>
    <n v="0"/>
    <n v="0"/>
    <n v="0"/>
    <n v="0"/>
    <n v="0"/>
    <n v="1.1379904639537489E-3"/>
    <n v="0"/>
    <n v="0"/>
    <m/>
    <m/>
    <m/>
    <n v="-10.405943421024627"/>
    <n v="0"/>
    <n v="0"/>
    <n v="5.6235599999999994"/>
    <n v="-0.61640999999999924"/>
    <n v="0"/>
    <n v="0"/>
    <n v="5.83762706960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8"/>
    <s v="Sistema de Compensação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0.72899999999999998"/>
    <n v="0.72899999999999998"/>
    <n v="0.72899999999999998"/>
    <n v="0.72899999999999998"/>
    <m/>
    <n v="510.28"/>
    <n v="209.4"/>
    <m/>
    <n v="524.64671999999996"/>
    <n v="524.64671999999996"/>
    <n v="389.45366999999999"/>
    <n v="0"/>
    <n v="0"/>
    <n v="0"/>
    <n v="0"/>
    <n v="0"/>
    <n v="54.085344556148762"/>
    <n v="280.96047236766492"/>
    <n v="150.64839368165721"/>
    <n v="2.0069114588930081"/>
    <n v="0"/>
    <n v="0"/>
    <n v="0"/>
    <n v="0"/>
    <n v="0"/>
    <m/>
    <n v="1.3289409862392463"/>
    <n v="4.1549214850188863"/>
    <n v="6.2586034884912625"/>
    <n v="0"/>
    <n v="0"/>
    <n v="0"/>
    <n v="0"/>
    <n v="0"/>
    <n v="0"/>
    <n v="0"/>
    <n v="0"/>
    <n v="0"/>
    <n v="0"/>
    <m/>
    <n v="0"/>
    <n v="0"/>
    <n v="0"/>
    <n v="0"/>
    <n v="0"/>
    <n v="25.203194640472958"/>
    <n v="0"/>
    <n v="0.82"/>
    <n v="3.83"/>
    <n v="168.31"/>
    <n v="4"/>
    <m/>
    <m/>
    <m/>
    <m/>
    <m/>
    <m/>
    <m/>
    <m/>
    <m/>
    <n v="175.85158832213017"/>
    <m/>
    <m/>
    <m/>
    <m/>
    <m/>
    <m/>
    <m/>
    <m/>
    <m/>
    <m/>
    <m/>
    <m/>
    <n v="389.98789999999997"/>
    <n v="-134.68881999999996"/>
    <m/>
    <m/>
    <m/>
    <m/>
    <n v="-151.83611999999997"/>
    <n v="16.643069999999987"/>
    <n v="31"/>
    <n v="22.421109075376734"/>
    <n v="0.50163210745826792"/>
    <n v="0.75561390726574107"/>
    <n v="0"/>
    <n v="0"/>
    <n v="0"/>
    <n v="0"/>
    <n v="0"/>
    <n v="1.7730494389393527"/>
    <n v="0"/>
    <n v="0"/>
    <n v="16.638028328116434"/>
    <n v="0"/>
    <n v="0"/>
    <n v="0"/>
    <n v="2.783511036123727"/>
    <n v="0"/>
    <n v="0"/>
    <m/>
    <n v="0"/>
    <n v="0"/>
    <n v="0"/>
    <n v="0"/>
    <n v="0"/>
    <n v="-3.072574252675131E-2"/>
    <n v="0"/>
    <n v="0"/>
    <m/>
    <m/>
    <m/>
    <n v="280.96047236766492"/>
    <n v="0"/>
    <n v="0"/>
    <n v="-151.83611999999997"/>
    <n v="16.643069999999994"/>
    <n v="0"/>
    <n v="0"/>
    <n v="-157.61593087930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09"/>
    <s v="Regular"/>
    <s v="Branca"/>
    <s v="B1"/>
    <s v="Residencial"/>
    <s v="Residencial"/>
    <s v="Não se aplica"/>
    <s v="Não se aplica"/>
    <s v="Ponta"/>
    <s v="CATIVO"/>
    <x v="10"/>
    <n v="0"/>
    <n v="0"/>
    <n v="3.6999999999999998E-2"/>
    <n v="3.6999999999999998E-2"/>
    <n v="3.6999999999999998E-2"/>
    <n v="3.6999999999999998E-2"/>
    <m/>
    <n v="1292.1099999999999"/>
    <n v="209.4"/>
    <m/>
    <n v="55.555869999999992"/>
    <n v="55.555869999999992"/>
    <n v="36.880859999999998"/>
    <n v="0"/>
    <n v="2.2769025766370561"/>
    <n v="0"/>
    <n v="0"/>
    <n v="0"/>
    <n v="6.861459776016102"/>
    <n v="35.650003954916144"/>
    <n v="7.6460775942679247"/>
    <n v="0.10185970367495378"/>
    <n v="0"/>
    <n v="0"/>
    <n v="0"/>
    <n v="0"/>
    <n v="0.35185526086961094"/>
    <m/>
    <n v="6.7449679685668187E-2"/>
    <n v="0.52720672008397629"/>
    <n v="0.7941300722708392"/>
    <n v="0"/>
    <n v="0"/>
    <n v="0"/>
    <n v="0"/>
    <n v="0"/>
    <n v="0"/>
    <n v="0"/>
    <n v="0"/>
    <n v="0"/>
    <n v="0"/>
    <m/>
    <n v="0"/>
    <n v="0"/>
    <n v="0"/>
    <n v="0"/>
    <n v="0"/>
    <n v="1.2791744879252391"/>
    <n v="0"/>
    <n v="0"/>
    <n v="0"/>
    <n v="0"/>
    <n v="0"/>
    <m/>
    <m/>
    <m/>
    <m/>
    <m/>
    <m/>
    <m/>
    <m/>
    <m/>
    <n v="8.9252520821931647"/>
    <m/>
    <m/>
    <m/>
    <m/>
    <m/>
    <m/>
    <m/>
    <m/>
    <m/>
    <m/>
    <m/>
    <m/>
    <n v="39.871199999999995"/>
    <n v="-15.714669999999991"/>
    <m/>
    <m/>
    <m/>
    <m/>
    <n v="-19.519719999999996"/>
    <n v="0.84470999999999941"/>
    <n v="31"/>
    <n v="1.3237852640395893"/>
    <n v="6.3650737809475277E-2"/>
    <n v="9.5876936107106236E-2"/>
    <n v="0"/>
    <n v="0"/>
    <n v="0"/>
    <n v="0"/>
    <n v="0"/>
    <n v="0.22493537770738392"/>
    <n v="0"/>
    <n v="0"/>
    <n v="0.84445411267531956"/>
    <n v="0"/>
    <n v="0"/>
    <n v="0"/>
    <n v="0.14127559442603288"/>
    <n v="0"/>
    <n v="-3.9691245399161357E-2"/>
    <m/>
    <n v="0"/>
    <n v="0"/>
    <n v="0"/>
    <n v="0"/>
    <n v="-5.1567808729949816E-3"/>
    <n v="-1.5594684135662451E-3"/>
    <n v="0"/>
    <n v="0"/>
    <m/>
    <m/>
    <m/>
    <n v="35.650003954916144"/>
    <n v="0"/>
    <n v="0"/>
    <n v="-19.519719999999996"/>
    <n v="0.84470999999999918"/>
    <n v="0"/>
    <n v="0"/>
    <n v="-19.99928499498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0"/>
    <s v="Regular"/>
    <s v="Branca"/>
    <s v="B1"/>
    <s v="Residencial"/>
    <s v="Residencial"/>
    <s v="Não se aplica"/>
    <s v="Não se aplica"/>
    <s v="Fora ponta"/>
    <s v="CATIVO"/>
    <x v="10"/>
    <n v="0"/>
    <n v="0"/>
    <n v="0.40400000000000003"/>
    <n v="0.40400000000000003"/>
    <n v="0.40400000000000003"/>
    <n v="0.40400000000000003"/>
    <m/>
    <n v="344.38"/>
    <n v="209.4"/>
    <m/>
    <n v="223.72712000000001"/>
    <n v="223.72712000000001"/>
    <n v="191.15260000000001"/>
    <n v="0"/>
    <n v="24.861314620577591"/>
    <n v="0"/>
    <n v="0"/>
    <n v="0"/>
    <n v="14.986611248754549"/>
    <n v="77.851873001740017"/>
    <n v="83.4869012995741"/>
    <n v="1.1121978455319279"/>
    <n v="0"/>
    <n v="0"/>
    <n v="0"/>
    <n v="0"/>
    <n v="3.8418790646303469"/>
    <m/>
    <n v="0.73647758359486348"/>
    <n v="1.1512951165621605"/>
    <n v="1.7342083740401031"/>
    <n v="0"/>
    <n v="0"/>
    <n v="0"/>
    <n v="0"/>
    <n v="0"/>
    <n v="0"/>
    <n v="0"/>
    <n v="0"/>
    <n v="0"/>
    <n v="0"/>
    <m/>
    <n v="0"/>
    <n v="0"/>
    <n v="0"/>
    <n v="0"/>
    <n v="0"/>
    <n v="13.967202516805317"/>
    <n v="0"/>
    <n v="0"/>
    <n v="0"/>
    <n v="0"/>
    <n v="0"/>
    <m/>
    <m/>
    <m/>
    <m/>
    <m/>
    <m/>
    <m/>
    <m/>
    <m/>
    <n v="97.454103816379416"/>
    <m/>
    <m/>
    <m/>
    <m/>
    <m/>
    <m/>
    <m/>
    <m/>
    <m/>
    <m/>
    <m/>
    <m/>
    <n v="189.26"/>
    <n v="-34.497119999999995"/>
    <m/>
    <m/>
    <m/>
    <m/>
    <n v="-41.797840000000008"/>
    <n v="9.223319999999994"/>
    <n v="31"/>
    <n v="11.096053421290975"/>
    <n v="0.13899819712835182"/>
    <n v="0.20937449830957644"/>
    <n v="0"/>
    <n v="0"/>
    <n v="0"/>
    <n v="0"/>
    <n v="0"/>
    <n v="0.49129764974725454"/>
    <n v="0"/>
    <n v="0"/>
    <n v="9.2205259870494416"/>
    <n v="0"/>
    <n v="0"/>
    <n v="0"/>
    <n v="1.5425767607599248"/>
    <n v="0"/>
    <n v="-0.43338549030435658"/>
    <m/>
    <n v="0"/>
    <n v="0"/>
    <n v="0"/>
    <n v="0"/>
    <n v="-5.6306472234863847E-2"/>
    <n v="-1.7027709164344929E-2"/>
    <n v="0"/>
    <n v="0"/>
    <m/>
    <m/>
    <m/>
    <n v="77.851873001740017"/>
    <n v="0"/>
    <n v="0"/>
    <n v="-41.797840000000008"/>
    <n v="9.2233199999999869"/>
    <n v="0"/>
    <n v="0"/>
    <n v="-43.674098817037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1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3"/>
    <n v="2.4700000000000002"/>
    <n v="85.0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12"/>
    <s v="Regular"/>
    <s v="Branca"/>
    <s v="B1"/>
    <s v="Residencial"/>
    <s v="Residencial"/>
    <s v="Não se aplica"/>
    <s v="Não se aplica"/>
    <s v="Intermediário"/>
    <s v="CATIVO"/>
    <x v="10"/>
    <n v="0"/>
    <n v="0"/>
    <n v="3.3000000000000002E-2"/>
    <n v="3.3000000000000002E-2"/>
    <n v="3.3000000000000002E-2"/>
    <n v="3.3000000000000002E-2"/>
    <m/>
    <n v="818.26"/>
    <n v="209.4"/>
    <m/>
    <n v="33.912780000000005"/>
    <n v="33.912780000000005"/>
    <n v="24.254339999999999"/>
    <n v="0"/>
    <n v="2.0307509467303477"/>
    <n v="0"/>
    <n v="0"/>
    <n v="0"/>
    <n v="3.6724616673928261"/>
    <n v="19.077574180940154"/>
    <n v="6.8194746111038258"/>
    <n v="9.0847843818202031E-2"/>
    <n v="0"/>
    <n v="0"/>
    <n v="0"/>
    <n v="0"/>
    <n v="0.31381685428911249"/>
    <m/>
    <n v="6.0157822422352715E-2"/>
    <n v="0.28212853341683175"/>
    <n v="0.42496690353952893"/>
    <n v="0"/>
    <n v="0"/>
    <n v="0"/>
    <n v="0"/>
    <n v="0"/>
    <n v="0"/>
    <n v="0"/>
    <n v="0"/>
    <n v="0"/>
    <n v="0"/>
    <m/>
    <n v="0"/>
    <n v="0"/>
    <n v="0"/>
    <n v="0"/>
    <n v="0"/>
    <n v="1.1408853540954838"/>
    <n v="0"/>
    <n v="0"/>
    <n v="0"/>
    <n v="0"/>
    <n v="0"/>
    <m/>
    <m/>
    <m/>
    <m/>
    <m/>
    <m/>
    <m/>
    <m/>
    <m/>
    <n v="7.9603599651993093"/>
    <m/>
    <m/>
    <m/>
    <m/>
    <m/>
    <m/>
    <m/>
    <m/>
    <m/>
    <m/>
    <m/>
    <m/>
    <n v="22.049399999999999"/>
    <n v="-11.893380000000008"/>
    <m/>
    <m/>
    <m/>
    <m/>
    <n v="-10.41183"/>
    <n v="0.75338999999999956"/>
    <n v="31"/>
    <n v="1.0435351788430474"/>
    <n v="3.4061950701663068E-2"/>
    <n v="5.1307117160019566E-2"/>
    <n v="0"/>
    <n v="0"/>
    <n v="0"/>
    <n v="0"/>
    <n v="0"/>
    <n v="0.12039224585391306"/>
    <n v="0"/>
    <n v="0"/>
    <n v="0.753161776169879"/>
    <n v="0"/>
    <n v="0"/>
    <n v="0"/>
    <n v="0.12600255719078612"/>
    <n v="0"/>
    <n v="-3.5400299950603342E-2"/>
    <m/>
    <n v="0"/>
    <n v="0"/>
    <n v="0"/>
    <n v="0"/>
    <n v="-4.5992910488873995E-3"/>
    <n v="-1.3908772337212494E-3"/>
    <n v="0"/>
    <n v="0"/>
    <m/>
    <m/>
    <m/>
    <n v="19.077574180940154"/>
    <n v="0"/>
    <n v="0"/>
    <n v="-10.411830000000002"/>
    <n v="0.75338999999999956"/>
    <n v="0"/>
    <n v="0"/>
    <n v="-10.7023226011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3"/>
    <s v="Regular"/>
    <s v="Convencional"/>
    <s v="B3"/>
    <s v="Industrial"/>
    <s v="Não se aplica"/>
    <s v="Não se aplica"/>
    <s v="Não se aplica"/>
    <s v="Não se aplica"/>
    <s v="CATIVO"/>
    <x v="10"/>
    <n v="0"/>
    <n v="0"/>
    <n v="8.6120000000000001"/>
    <n v="8.6120000000000001"/>
    <n v="8.6120000000000001"/>
    <n v="8.6120000000000001"/>
    <m/>
    <n v="581.32000000000005"/>
    <n v="209.4"/>
    <m/>
    <n v="6809.6806400000005"/>
    <n v="6809.6806400000005"/>
    <n v="5202.2508399999997"/>
    <n v="0"/>
    <n v="529.96445918914401"/>
    <n v="0"/>
    <n v="0"/>
    <n v="0"/>
    <n v="638.93413898155438"/>
    <n v="3319.1105459949663"/>
    <n v="1779.6762227523072"/>
    <n v="23.70853427158654"/>
    <n v="0"/>
    <n v="0"/>
    <n v="0"/>
    <n v="0"/>
    <n v="81.896689367813238"/>
    <m/>
    <n v="15.699368687918229"/>
    <n v="49.083928434818446"/>
    <n v="73.935656025907761"/>
    <n v="0"/>
    <n v="0"/>
    <n v="0"/>
    <n v="0"/>
    <n v="0"/>
    <n v="0"/>
    <n v="0"/>
    <n v="0"/>
    <n v="0"/>
    <n v="0"/>
    <m/>
    <n v="0"/>
    <n v="0"/>
    <n v="0"/>
    <n v="0"/>
    <n v="0"/>
    <n v="297.7365051354638"/>
    <n v="0"/>
    <n v="11.15"/>
    <n v="51.71"/>
    <n v="1091.31"/>
    <n v="7"/>
    <m/>
    <m/>
    <m/>
    <m/>
    <m/>
    <m/>
    <m/>
    <m/>
    <m/>
    <n v="2077.4127278877709"/>
    <m/>
    <m/>
    <m/>
    <m/>
    <m/>
    <m/>
    <m/>
    <m/>
    <m/>
    <m/>
    <m/>
    <m/>
    <n v="5201.0426999999991"/>
    <n v="-1608.6679400000021"/>
    <m/>
    <m/>
    <m/>
    <m/>
    <n v="-1804.0417600000007"/>
    <n v="196.61195999999987"/>
    <n v="31"/>
    <n v="254.43181454676369"/>
    <n v="5.9260023448979453"/>
    <n v="8.926401878426006"/>
    <n v="0"/>
    <n v="0"/>
    <n v="0"/>
    <n v="0"/>
    <n v="0"/>
    <n v="20.945818611996856"/>
    <n v="0"/>
    <n v="0"/>
    <n v="196.55240049621239"/>
    <n v="0"/>
    <n v="0"/>
    <n v="0"/>
    <n v="32.88284916748637"/>
    <n v="0"/>
    <n v="-9.2384055507452558"/>
    <m/>
    <n v="0"/>
    <n v="0"/>
    <n v="0"/>
    <n v="0"/>
    <n v="-1.2002755913035941"/>
    <n v="-0.36297681020628403"/>
    <n v="0"/>
    <n v="0"/>
    <m/>
    <m/>
    <m/>
    <n v="3319.1105459949663"/>
    <n v="0"/>
    <n v="0"/>
    <n v="-1804.041760000001"/>
    <n v="196.61195999999973"/>
    <n v="0"/>
    <n v="0"/>
    <n v="-1861.986826793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4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2.4910000000000001"/>
    <n v="2.4910000000000001"/>
    <n v="2.4910000000000001"/>
    <n v="2.4910000000000001"/>
    <m/>
    <n v="581.32000000000005"/>
    <n v="209.4"/>
    <m/>
    <n v="1969.68352"/>
    <n v="1969.68352"/>
    <n v="1504.73837"/>
    <n v="0"/>
    <n v="153.29092752440292"/>
    <n v="0"/>
    <n v="0"/>
    <n v="0"/>
    <n v="184.81014168637392"/>
    <n v="960.04463191749437"/>
    <n v="514.76700776544328"/>
    <n v="6.857635725792159"/>
    <n v="0"/>
    <n v="0"/>
    <n v="0"/>
    <n v="0"/>
    <n v="23.688417698005431"/>
    <m/>
    <n v="4.5410041107297152"/>
    <n v="14.19740661067496"/>
    <n v="21.38570821650444"/>
    <n v="0"/>
    <n v="0"/>
    <n v="0"/>
    <n v="0"/>
    <n v="0"/>
    <n v="0"/>
    <n v="0"/>
    <n v="0"/>
    <n v="0"/>
    <n v="0"/>
    <m/>
    <n v="0"/>
    <n v="0"/>
    <n v="0"/>
    <n v="0"/>
    <n v="0"/>
    <n v="86.119558092480304"/>
    <n v="0"/>
    <n v="3.18"/>
    <n v="14.78"/>
    <n v="382.3"/>
    <n v="3"/>
    <m/>
    <m/>
    <m/>
    <m/>
    <m/>
    <m/>
    <m/>
    <m/>
    <m/>
    <n v="600.88656585792364"/>
    <m/>
    <m/>
    <m/>
    <m/>
    <m/>
    <m/>
    <m/>
    <m/>
    <m/>
    <m/>
    <m/>
    <m/>
    <n v="1504.1343000000002"/>
    <n v="-465.57921999999985"/>
    <m/>
    <m/>
    <m/>
    <m/>
    <n v="-521.81468000000018"/>
    <n v="56.869529999999962"/>
    <n v="31"/>
    <n v="73.593781936366781"/>
    <n v="1.7140817279541078"/>
    <n v="2.5819399766789566"/>
    <n v="0"/>
    <n v="0"/>
    <n v="0"/>
    <n v="0"/>
    <n v="0"/>
    <n v="6.0585269580218153"/>
    <n v="0"/>
    <n v="0"/>
    <n v="56.852302558762744"/>
    <n v="0"/>
    <n v="0"/>
    <n v="0"/>
    <n v="9.5112839382499317"/>
    <n v="0"/>
    <n v="-2.672186278089498"/>
    <m/>
    <n v="0"/>
    <n v="0"/>
    <n v="0"/>
    <n v="0"/>
    <n v="-0.34717678796298657"/>
    <n v="-0.10499015724847371"/>
    <n v="0"/>
    <n v="0"/>
    <m/>
    <m/>
    <m/>
    <n v="960.04463191749437"/>
    <n v="0"/>
    <n v="0"/>
    <n v="-521.81468000000018"/>
    <n v="56.869529999999941"/>
    <n v="0"/>
    <n v="0"/>
    <n v="-538.5751492734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5"/>
    <s v="Regular"/>
    <s v="Verde"/>
    <s v="A4"/>
    <s v="Industrial"/>
    <s v="Não se aplica"/>
    <s v="Não se aplica"/>
    <s v="Não se aplica"/>
    <s v="Ponta"/>
    <s v="CATIVO"/>
    <x v="10"/>
    <n v="0"/>
    <n v="0"/>
    <n v="12.183999999999999"/>
    <n v="12.183999999999999"/>
    <n v="12.183999999999999"/>
    <n v="12.183999999999999"/>
    <m/>
    <n v="1614.19"/>
    <n v="209.4"/>
    <m/>
    <n v="22218.620559999999"/>
    <n v="22218.620559999999"/>
    <n v="14768.835599999999"/>
    <n v="0"/>
    <n v="652.3067422853768"/>
    <n v="0"/>
    <n v="0"/>
    <n v="0"/>
    <n v="3794.3167943512594"/>
    <n v="14168.001331078514"/>
    <n v="2517.8326867178484"/>
    <n v="33.542125123665862"/>
    <n v="0"/>
    <n v="0"/>
    <n v="0"/>
    <n v="0"/>
    <n v="115.86498644419837"/>
    <m/>
    <n v="16.178455054862933"/>
    <n v="294.79097074174803"/>
    <n v="439.09556751754735"/>
    <n v="0"/>
    <n v="0"/>
    <n v="0"/>
    <n v="0"/>
    <n v="0"/>
    <n v="0"/>
    <n v="0"/>
    <n v="0"/>
    <n v="0"/>
    <n v="0"/>
    <m/>
    <n v="0"/>
    <n v="0"/>
    <n v="0"/>
    <n v="0"/>
    <n v="0"/>
    <n v="186.71293262511179"/>
    <n v="0"/>
    <n v="0"/>
    <n v="0"/>
    <n v="0"/>
    <n v="0"/>
    <m/>
    <m/>
    <m/>
    <m/>
    <m/>
    <m/>
    <m/>
    <m/>
    <m/>
    <n v="2704.5456193429604"/>
    <m/>
    <m/>
    <m/>
    <m/>
    <m/>
    <m/>
    <m/>
    <m/>
    <m/>
    <m/>
    <m/>
    <m/>
    <n v="14763.986999999997"/>
    <n v="-7454.6635599999972"/>
    <m/>
    <m/>
    <m/>
    <m/>
    <n v="-7727.9456800000007"/>
    <n v="278.1607199999998"/>
    <n v="31"/>
    <n v="498.24486059561059"/>
    <n v="35.590712470990468"/>
    <n v="53.01289945035154"/>
    <n v="0"/>
    <n v="0"/>
    <n v="0"/>
    <n v="0"/>
    <n v="0"/>
    <n v="124.3869539630773"/>
    <n v="0"/>
    <n v="0"/>
    <n v="278.07645699556997"/>
    <n v="0"/>
    <n v="0"/>
    <n v="0"/>
    <n v="20.62109649045999"/>
    <n v="0"/>
    <n v="-11.371091257588091"/>
    <m/>
    <n v="0"/>
    <n v="0"/>
    <n v="0"/>
    <n v="0"/>
    <n v="-1.6981140042316412"/>
    <n v="-0.37405351301804757"/>
    <n v="0"/>
    <n v="0"/>
    <m/>
    <m/>
    <m/>
    <n v="14168.001331078514"/>
    <n v="0"/>
    <n v="0"/>
    <n v="-7727.9456799999989"/>
    <n v="278.16071999999986"/>
    <n v="0"/>
    <n v="0"/>
    <n v="-7948.102804920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6"/>
    <s v="Regular"/>
    <s v="Verde"/>
    <s v="A4"/>
    <s v="Industrial"/>
    <s v="Não se aplica"/>
    <s v="Não se aplica"/>
    <s v="Não se aplica"/>
    <s v="Fora ponta"/>
    <s v="CATIVO"/>
    <x v="10"/>
    <n v="0"/>
    <n v="0"/>
    <n v="275.39800000000002"/>
    <n v="275.39800000000002"/>
    <n v="275.39800000000002"/>
    <n v="275.39800000000002"/>
    <m/>
    <n v="79.7"/>
    <n v="209.4"/>
    <m/>
    <n v="79617.56180000001"/>
    <n v="79617.56180000001"/>
    <n v="86067.382960000003"/>
    <n v="0"/>
    <n v="14744.252479637906"/>
    <n v="0"/>
    <n v="0"/>
    <n v="0"/>
    <n v="0"/>
    <n v="0"/>
    <n v="56911.20208935671"/>
    <n v="758.16104520743045"/>
    <n v="0"/>
    <n v="0"/>
    <n v="0"/>
    <n v="0"/>
    <n v="2618.9252738640303"/>
    <m/>
    <n v="365.68566687451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20.3191250074315"/>
    <n v="0"/>
    <n v="0"/>
    <n v="0"/>
    <n v="0"/>
    <n v="0"/>
    <m/>
    <m/>
    <m/>
    <m/>
    <m/>
    <m/>
    <m/>
    <m/>
    <m/>
    <n v="61131.52121436414"/>
    <m/>
    <m/>
    <m/>
    <m/>
    <m/>
    <m/>
    <m/>
    <m/>
    <m/>
    <m/>
    <m/>
    <m/>
    <n v="86068.007999999987"/>
    <n v="6450.4161999999778"/>
    <m/>
    <m/>
    <m/>
    <m/>
    <n v="162.48482000000095"/>
    <n v="6287.3363399999962"/>
    <n v="31"/>
    <n v="6447.6741837551672"/>
    <n v="0"/>
    <n v="0"/>
    <n v="0"/>
    <n v="0"/>
    <n v="0"/>
    <n v="0"/>
    <n v="0"/>
    <n v="0"/>
    <n v="0"/>
    <n v="0"/>
    <n v="6285.4317222312893"/>
    <n v="0"/>
    <n v="0"/>
    <n v="0"/>
    <n v="466.103802632937"/>
    <n v="0"/>
    <n v="-257.02362033463942"/>
    <m/>
    <n v="0"/>
    <n v="0"/>
    <n v="0"/>
    <n v="0"/>
    <n v="-38.382895644893324"/>
    <n v="-8.4548251295259433"/>
    <n v="0"/>
    <n v="0"/>
    <m/>
    <m/>
    <m/>
    <n v="0"/>
    <n v="0"/>
    <n v="0"/>
    <n v="162.48481999999785"/>
    <n v="6287.33633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7"/>
    <s v="Regular"/>
    <s v="Verde"/>
    <s v="A4"/>
    <s v="Industrial"/>
    <s v="Não se aplica"/>
    <s v="Não se aplica"/>
    <s v="Não se aplica"/>
    <s v="Não se aplica"/>
    <s v="CATIVO"/>
    <x v="10"/>
    <n v="1666"/>
    <n v="1666"/>
    <n v="0"/>
    <n v="0"/>
    <n v="0"/>
    <n v="0"/>
    <n v="44.35"/>
    <m/>
    <m/>
    <n v="73887.100000000006"/>
    <m/>
    <n v="73887.100000000006"/>
    <n v="48264.02"/>
    <n v="0"/>
    <n v="0"/>
    <n v="0"/>
    <n v="0"/>
    <n v="0"/>
    <n v="21861.358104350111"/>
    <n v="47843.931912052838"/>
    <m/>
    <m/>
    <m/>
    <n v="0"/>
    <n v="0"/>
    <n v="0"/>
    <n v="0"/>
    <m/>
    <n v="0"/>
    <n v="1652.2066723071709"/>
    <n v="2527.8074614179777"/>
    <n v="0"/>
    <n v="0"/>
    <m/>
    <m/>
    <n v="0"/>
    <n v="0"/>
    <n v="0"/>
    <m/>
    <m/>
    <n v="0"/>
    <m/>
    <n v="0"/>
    <n v="0"/>
    <n v="0"/>
    <n v="0"/>
    <m/>
    <n v="0"/>
    <n v="0"/>
    <n v="316.83"/>
    <n v="1463.54"/>
    <n v="28999.79"/>
    <n v="7"/>
    <m/>
    <m/>
    <m/>
    <m/>
    <m/>
    <m/>
    <m/>
    <m/>
    <m/>
    <n v="0"/>
    <m/>
    <m/>
    <m/>
    <m/>
    <m/>
    <m/>
    <m/>
    <m/>
    <m/>
    <m/>
    <m/>
    <m/>
    <n v="48264.02"/>
    <n v="-25623.109999999993"/>
    <m/>
    <m/>
    <m/>
    <m/>
    <n v="-25623.080000000005"/>
    <n v="0"/>
    <n v="31"/>
    <n v="1221.3302042005598"/>
    <n v="199.47426635482566"/>
    <n v="305.18732753239146"/>
    <n v="0"/>
    <n v="0"/>
    <m/>
    <m/>
    <m/>
    <n v="716.668610313343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843.931912052838"/>
    <m/>
    <n v="0"/>
    <n v="0"/>
    <n v="-25623.080000000009"/>
    <m/>
    <n v="0"/>
    <m/>
    <n v="-26839.95297166341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18"/>
    <s v="Regular"/>
    <s v="Convencional"/>
    <s v="B3"/>
    <s v="Comercial"/>
    <s v="Não se aplica"/>
    <s v="Não se aplica"/>
    <s v="Não se aplica"/>
    <s v="Não se aplica"/>
    <s v="CATIVO"/>
    <x v="10"/>
    <n v="0"/>
    <n v="0"/>
    <n v="302.43200000000002"/>
    <n v="302.43200000000002"/>
    <n v="302.43200000000002"/>
    <n v="302.43200000000002"/>
    <m/>
    <n v="581.32000000000005"/>
    <n v="209.4"/>
    <m/>
    <n v="239139.03104000003"/>
    <n v="239139.03104000003"/>
    <n v="182690.09824000002"/>
    <n v="0"/>
    <n v="18611.032433986438"/>
    <n v="0"/>
    <n v="0"/>
    <n v="0"/>
    <n v="22437.776302887771"/>
    <n v="116558.8992854563"/>
    <n v="62497.79835107128"/>
    <n v="832.58470004928711"/>
    <n v="0"/>
    <n v="0"/>
    <n v="0"/>
    <n v="0"/>
    <n v="2876.0078447383294"/>
    <m/>
    <n v="551.3227439647568"/>
    <n v="1723.7053697630065"/>
    <n v="2596.4361731569129"/>
    <n v="0"/>
    <n v="0"/>
    <n v="0"/>
    <n v="0"/>
    <n v="0"/>
    <n v="0"/>
    <n v="0"/>
    <n v="0"/>
    <n v="0"/>
    <n v="0"/>
    <m/>
    <n v="0"/>
    <n v="0"/>
    <n v="0"/>
    <n v="0"/>
    <n v="0"/>
    <n v="10455.764830600161"/>
    <n v="0"/>
    <n v="390.6"/>
    <n v="1825.28"/>
    <n v="62546.84"/>
    <n v="817"/>
    <m/>
    <m/>
    <m/>
    <m/>
    <m/>
    <m/>
    <m/>
    <m/>
    <m/>
    <n v="72953.563181671445"/>
    <m/>
    <m/>
    <m/>
    <m/>
    <m/>
    <m/>
    <m/>
    <m/>
    <m/>
    <m/>
    <m/>
    <m/>
    <n v="182688.89009999999"/>
    <n v="-56450.170940000069"/>
    <m/>
    <m/>
    <m/>
    <m/>
    <n v="-63353.455360000029"/>
    <n v="6904.5225599999958"/>
    <n v="31"/>
    <n v="8935.0119062943704"/>
    <n v="208.10644927684348"/>
    <n v="313.47301125129297"/>
    <n v="0"/>
    <n v="0"/>
    <n v="0"/>
    <n v="0"/>
    <n v="0"/>
    <n v="735.56500400178993"/>
    <n v="0"/>
    <n v="0"/>
    <n v="6902.4309785032965"/>
    <n v="0"/>
    <n v="0"/>
    <n v="0"/>
    <n v="1154.7637992825403"/>
    <n v="0"/>
    <n v="-324.42980347456978"/>
    <m/>
    <n v="0"/>
    <n v="0"/>
    <n v="0"/>
    <n v="0"/>
    <n v="-42.150690621124795"/>
    <n v="-12.746841925720673"/>
    <n v="0"/>
    <n v="0"/>
    <m/>
    <m/>
    <m/>
    <n v="116558.8992854563"/>
    <n v="0"/>
    <n v="0"/>
    <n v="-63353.455360000007"/>
    <n v="6904.5225599999976"/>
    <n v="0"/>
    <n v="0"/>
    <n v="-65388.34184868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19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0.28799999999999998"/>
    <n v="-0.28799999999999998"/>
    <n v="-0.28799999999999998"/>
    <n v="-0.28799999999999998"/>
    <m/>
    <n v="581.32000000000005"/>
    <n v="209.4"/>
    <m/>
    <n v="-227.72736"/>
    <n v="-227.72736"/>
    <n v="-173.97215999999997"/>
    <n v="0"/>
    <n v="-17.72291735328303"/>
    <n v="0"/>
    <n v="0"/>
    <n v="0"/>
    <n v="-21.367049701194574"/>
    <n v="-110.99672982426267"/>
    <n v="-59.515414787815196"/>
    <n v="-0.79285390968612668"/>
    <n v="0"/>
    <n v="0"/>
    <n v="0"/>
    <n v="0"/>
    <n v="-2.7387652737958903"/>
    <m/>
    <n v="-0.52501372295871451"/>
    <n v="-1.6414504632173377"/>
    <n v="-2.4725347115027208"/>
    <n v="0"/>
    <n v="0"/>
    <n v="0"/>
    <n v="0"/>
    <n v="0"/>
    <n v="0"/>
    <n v="0"/>
    <n v="0"/>
    <n v="0"/>
    <n v="0"/>
    <m/>
    <n v="0"/>
    <n v="0"/>
    <n v="0"/>
    <n v="0"/>
    <n v="0"/>
    <n v="-9.9568176357424019"/>
    <n v="0"/>
    <n v="-0.54"/>
    <n v="-2.58"/>
    <n v="-72.66"/>
    <n v="0"/>
    <m/>
    <m/>
    <m/>
    <m/>
    <m/>
    <m/>
    <m/>
    <m/>
    <m/>
    <n v="-69.4722324235576"/>
    <m/>
    <m/>
    <m/>
    <m/>
    <m/>
    <m/>
    <m/>
    <m/>
    <m/>
    <m/>
    <m/>
    <m/>
    <n v="-175.18029999999999"/>
    <n v="52.517060000000043"/>
    <m/>
    <m/>
    <m/>
    <m/>
    <n v="60.330240000000018"/>
    <n v="-6.5750399999999951"/>
    <n v="31"/>
    <n v="-8.5086347642206448"/>
    <n v="-0.19817564739092064"/>
    <n v="-0.29851413620374956"/>
    <n v="0"/>
    <n v="0"/>
    <n v="0"/>
    <n v="0"/>
    <n v="0"/>
    <n v="-0.70046397587727327"/>
    <n v="0"/>
    <n v="0"/>
    <n v="-6.5730482283916771"/>
    <n v="0"/>
    <n v="0"/>
    <n v="0"/>
    <n v="-1.09965868093777"/>
    <n v="0"/>
    <n v="0.30894807229617172"/>
    <m/>
    <n v="0"/>
    <n v="0"/>
    <n v="0"/>
    <n v="0"/>
    <n v="4.0139267335744577E-2"/>
    <n v="1.2138564948839914E-2"/>
    <n v="0"/>
    <n v="0"/>
    <m/>
    <m/>
    <m/>
    <n v="-110.99672982426267"/>
    <n v="0"/>
    <n v="0"/>
    <n v="60.330240000000032"/>
    <n v="-6.5750400000000013"/>
    <n v="0"/>
    <n v="0"/>
    <n v="62.2680220757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0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2.094000000000001"/>
    <n v="42.094000000000001"/>
    <n v="42.094000000000001"/>
    <n v="42.094000000000001"/>
    <m/>
    <n v="581.32000000000005"/>
    <n v="209.4"/>
    <m/>
    <n v="33284.567680000007"/>
    <n v="33284.567680000007"/>
    <n v="25427.722580000001"/>
    <n v="0"/>
    <n v="2590.3766773232501"/>
    <n v="0"/>
    <n v="0"/>
    <n v="0"/>
    <n v="3123.0020490350153"/>
    <n v="16223.251198689284"/>
    <n v="8698.7564933274061"/>
    <n v="115.88330720252715"/>
    <n v="0"/>
    <n v="0"/>
    <n v="0"/>
    <n v="0"/>
    <n v="400.29717164987579"/>
    <m/>
    <n v="76.735859910500452"/>
    <n v="239.91394374538407"/>
    <n v="361.3849866180401"/>
    <n v="0"/>
    <n v="0"/>
    <n v="0"/>
    <n v="0"/>
    <n v="0"/>
    <n v="0"/>
    <n v="0"/>
    <n v="0"/>
    <n v="0"/>
    <n v="0"/>
    <m/>
    <n v="0"/>
    <n v="0"/>
    <n v="0"/>
    <n v="0"/>
    <n v="0"/>
    <n v="1455.285699857433"/>
    <n v="0"/>
    <n v="54.58"/>
    <n v="254.63"/>
    <n v="23042.27"/>
    <n v="101"/>
    <m/>
    <m/>
    <m/>
    <m/>
    <m/>
    <m/>
    <m/>
    <m/>
    <m/>
    <n v="10154.04219318484"/>
    <m/>
    <m/>
    <m/>
    <m/>
    <m/>
    <m/>
    <m/>
    <m/>
    <m/>
    <m/>
    <m/>
    <m/>
    <n v="25425.3063"/>
    <n v="-7859.291380000006"/>
    <m/>
    <m/>
    <m/>
    <m/>
    <n v="-8817.851120000003"/>
    <n v="961.00601999999935"/>
    <n v="31"/>
    <n v="1243.6196936288288"/>
    <n v="28.965297573866053"/>
    <n v="43.630743226946606"/>
    <n v="0"/>
    <n v="0"/>
    <n v="0"/>
    <n v="0"/>
    <n v="0"/>
    <n v="102.3796201408959"/>
    <n v="0"/>
    <n v="0"/>
    <n v="960.71490321499732"/>
    <n v="0"/>
    <n v="0"/>
    <n v="0"/>
    <n v="160.72580734511962"/>
    <n v="0"/>
    <n v="-45.155764427900067"/>
    <m/>
    <n v="0"/>
    <n v="0"/>
    <n v="0"/>
    <n v="0"/>
    <n v="-5.8667441639959748"/>
    <n v="-1.7741692810988496"/>
    <n v="0"/>
    <n v="0"/>
    <m/>
    <m/>
    <m/>
    <n v="16223.251198689284"/>
    <n v="0"/>
    <n v="0"/>
    <n v="-8817.8511200000048"/>
    <n v="961.0060199999989"/>
    <n v="0"/>
    <n v="0"/>
    <n v="-9101.076809922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1"/>
    <s v="Regular"/>
    <s v="Verde"/>
    <s v="A4"/>
    <s v="Comercial"/>
    <s v="Não se aplica"/>
    <s v="Não se aplica"/>
    <s v="Não se aplica"/>
    <s v="Ponta"/>
    <s v="CATIVO"/>
    <x v="10"/>
    <n v="0"/>
    <n v="0"/>
    <n v="30.815999999999999"/>
    <n v="30.815999999999999"/>
    <n v="30.815999999999999"/>
    <n v="30.815999999999999"/>
    <m/>
    <n v="1614.19"/>
    <n v="209.4"/>
    <m/>
    <n v="56195.74944"/>
    <n v="56195.74944"/>
    <n v="37353.614399999999"/>
    <n v="0"/>
    <n v="1649.8263764171186"/>
    <n v="0"/>
    <n v="0"/>
    <n v="0"/>
    <n v="9596.6567904406111"/>
    <n v="35833.973163042967"/>
    <n v="6368.1493822962266"/>
    <n v="84.835368336415556"/>
    <n v="0"/>
    <n v="0"/>
    <n v="0"/>
    <n v="0"/>
    <n v="293.0478842961603"/>
    <m/>
    <n v="40.918850210986221"/>
    <n v="745.59082028707383"/>
    <n v="1110.568697358892"/>
    <n v="0"/>
    <n v="0"/>
    <n v="0"/>
    <n v="0"/>
    <n v="0"/>
    <n v="0"/>
    <n v="0"/>
    <n v="0"/>
    <n v="0"/>
    <n v="0"/>
    <m/>
    <n v="0"/>
    <n v="0"/>
    <n v="0"/>
    <n v="0"/>
    <n v="0"/>
    <n v="472.23783090737402"/>
    <n v="0"/>
    <n v="0"/>
    <n v="0"/>
    <n v="0"/>
    <n v="0"/>
    <m/>
    <m/>
    <m/>
    <m/>
    <m/>
    <m/>
    <m/>
    <m/>
    <m/>
    <n v="6840.3872132036004"/>
    <m/>
    <m/>
    <m/>
    <m/>
    <m/>
    <m/>
    <m/>
    <m/>
    <m/>
    <m/>
    <m/>
    <m/>
    <n v="37358.462999999996"/>
    <n v="-18837.31644000001"/>
    <m/>
    <m/>
    <m/>
    <m/>
    <n v="-19545.664320000003"/>
    <n v="703.52927999999952"/>
    <n v="31"/>
    <n v="1260.1701923928449"/>
    <n v="90.016693656109851"/>
    <n v="134.08121384291144"/>
    <n v="0"/>
    <n v="0"/>
    <n v="0"/>
    <n v="0"/>
    <n v="0"/>
    <n v="314.60180345750086"/>
    <n v="0"/>
    <n v="0"/>
    <n v="703.31616043790928"/>
    <n v="0"/>
    <n v="0"/>
    <n v="0"/>
    <n v="52.155261773638813"/>
    <n v="0"/>
    <n v="-28.759976050052046"/>
    <m/>
    <n v="0"/>
    <n v="0"/>
    <n v="0"/>
    <n v="0"/>
    <n v="-4.2949016049246893"/>
    <n v="-0.94606312025312889"/>
    <n v="0"/>
    <n v="0"/>
    <m/>
    <m/>
    <m/>
    <n v="35833.973163042967"/>
    <n v="0"/>
    <n v="0"/>
    <n v="-19545.664320000003"/>
    <n v="703.52927999999974"/>
    <n v="0"/>
    <n v="0"/>
    <n v="-20102.48982570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2"/>
    <s v="Regular"/>
    <s v="Verde"/>
    <s v="A4"/>
    <s v="Comercial"/>
    <s v="Não se aplica"/>
    <s v="Não se aplica"/>
    <s v="Não se aplica"/>
    <s v="Fora ponta"/>
    <s v="CATIVO"/>
    <x v="10"/>
    <n v="0"/>
    <n v="0"/>
    <n v="469.56299999999999"/>
    <n v="469.56299999999999"/>
    <n v="469.56299999999999"/>
    <n v="469.56299999999999"/>
    <m/>
    <n v="79.7"/>
    <n v="209.4"/>
    <m/>
    <n v="135750.66329999999"/>
    <n v="135750.66329999999"/>
    <n v="146747.82876"/>
    <n v="0"/>
    <n v="25139.454270169765"/>
    <n v="0"/>
    <n v="0"/>
    <n v="0"/>
    <n v="0"/>
    <n v="0"/>
    <n v="97035.54414587107"/>
    <n v="1292.6904874789816"/>
    <n v="0"/>
    <n v="0"/>
    <n v="0"/>
    <n v="0"/>
    <n v="4465.3570772896519"/>
    <m/>
    <n v="623.5065570359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95.7883110838284"/>
    <n v="0"/>
    <n v="0"/>
    <n v="0"/>
    <n v="0"/>
    <n v="0"/>
    <m/>
    <m/>
    <m/>
    <m/>
    <m/>
    <m/>
    <m/>
    <m/>
    <m/>
    <n v="104231.3324569549"/>
    <m/>
    <m/>
    <m/>
    <m/>
    <m/>
    <m/>
    <m/>
    <m/>
    <m/>
    <m/>
    <m/>
    <m/>
    <n v="146746.89120000001"/>
    <n v="10996.197899999999"/>
    <m/>
    <m/>
    <m/>
    <m/>
    <n v="277.04217000000159"/>
    <n v="10720.123289999992"/>
    <n v="31"/>
    <n v="10993.504792143096"/>
    <n v="0"/>
    <n v="0"/>
    <n v="0"/>
    <n v="0"/>
    <n v="0"/>
    <n v="0"/>
    <n v="0"/>
    <n v="0"/>
    <n v="0"/>
    <n v="0"/>
    <n v="10716.87585162597"/>
    <n v="0"/>
    <n v="0"/>
    <n v="0"/>
    <n v="794.72290966430319"/>
    <n v="0"/>
    <n v="-438.23405484133764"/>
    <m/>
    <n v="0"/>
    <n v="0"/>
    <n v="0"/>
    <n v="0"/>
    <n v="-65.444148569355093"/>
    <n v="-14.415765736481717"/>
    <n v="0"/>
    <n v="0"/>
    <m/>
    <m/>
    <m/>
    <n v="0"/>
    <n v="0"/>
    <n v="0"/>
    <n v="277.04217000000062"/>
    <n v="10720.12329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3"/>
    <s v="Regular"/>
    <s v="Verde"/>
    <s v="A4"/>
    <s v="Comercial"/>
    <s v="Não se aplica"/>
    <s v="Não se aplica"/>
    <s v="Não se aplica"/>
    <s v="Não se aplica"/>
    <s v="CATIVO"/>
    <x v="10"/>
    <n v="4901"/>
    <n v="4901"/>
    <n v="0"/>
    <n v="0"/>
    <n v="0"/>
    <n v="0"/>
    <n v="44.35"/>
    <m/>
    <m/>
    <n v="217359.35"/>
    <m/>
    <n v="217359.35"/>
    <n v="141981.97"/>
    <n v="0"/>
    <n v="0"/>
    <n v="0"/>
    <n v="0"/>
    <n v="0"/>
    <n v="64311.234135306055"/>
    <n v="140746.16464644115"/>
    <m/>
    <m/>
    <m/>
    <n v="0"/>
    <n v="0"/>
    <n v="0"/>
    <n v="0"/>
    <m/>
    <n v="0"/>
    <n v="4860.423109830399"/>
    <n v="7436.2451190933434"/>
    <n v="0"/>
    <n v="0"/>
    <m/>
    <m/>
    <n v="0"/>
    <n v="0"/>
    <n v="0"/>
    <m/>
    <m/>
    <n v="0"/>
    <m/>
    <n v="0"/>
    <n v="0"/>
    <n v="0"/>
    <n v="0"/>
    <m/>
    <n v="0"/>
    <n v="0"/>
    <n v="720.16"/>
    <n v="3326.98"/>
    <n v="112083.23"/>
    <n v="33"/>
    <m/>
    <m/>
    <m/>
    <m/>
    <m/>
    <m/>
    <m/>
    <m/>
    <m/>
    <n v="0"/>
    <m/>
    <m/>
    <m/>
    <m/>
    <m/>
    <m/>
    <m/>
    <m/>
    <m/>
    <m/>
    <m/>
    <m/>
    <n v="141981.97"/>
    <n v="-75377.410000000033"/>
    <m/>
    <m/>
    <m/>
    <m/>
    <n v="-75377.380000000019"/>
    <n v="0"/>
    <n v="31"/>
    <n v="3592.880750772485"/>
    <n v="586.80875114345781"/>
    <n v="897.79297253076311"/>
    <n v="0"/>
    <n v="0"/>
    <m/>
    <m/>
    <m/>
    <n v="2108.27902709825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0746.16464644115"/>
    <m/>
    <n v="0"/>
    <n v="0"/>
    <n v="-75377.38"/>
    <m/>
    <n v="0"/>
    <m/>
    <n v="-78957.148567900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24"/>
    <s v="Sistema de Compensação"/>
    <s v="Verde"/>
    <s v="A4"/>
    <s v="Comercial"/>
    <s v="Não se aplica"/>
    <s v="Não se aplica"/>
    <s v="Não se aplica"/>
    <s v="Não se aplica"/>
    <s v="CATIVO"/>
    <x v="10"/>
    <n v="554"/>
    <n v="554"/>
    <n v="0"/>
    <n v="0"/>
    <n v="0"/>
    <n v="0"/>
    <n v="44.35"/>
    <m/>
    <m/>
    <n v="24569.9"/>
    <m/>
    <n v="24569.9"/>
    <n v="16049.38"/>
    <n v="0"/>
    <n v="0"/>
    <n v="0"/>
    <n v="0"/>
    <n v="0"/>
    <n v="7269.6232831992556"/>
    <n v="15909.686842303283"/>
    <m/>
    <m/>
    <m/>
    <n v="0"/>
    <n v="0"/>
    <n v="0"/>
    <n v="0"/>
    <m/>
    <n v="0"/>
    <n v="549.4132631801757"/>
    <n v="840.57943194811514"/>
    <n v="0"/>
    <n v="0"/>
    <m/>
    <m/>
    <n v="0"/>
    <n v="0"/>
    <n v="0"/>
    <m/>
    <m/>
    <n v="0"/>
    <m/>
    <n v="0"/>
    <n v="0"/>
    <n v="0"/>
    <n v="0"/>
    <m/>
    <n v="0"/>
    <n v="0"/>
    <n v="37.57"/>
    <n v="173.66"/>
    <n v="8096.64"/>
    <n v="4"/>
    <m/>
    <m/>
    <m/>
    <m/>
    <m/>
    <m/>
    <m/>
    <m/>
    <m/>
    <n v="0"/>
    <m/>
    <m/>
    <m/>
    <m/>
    <m/>
    <m/>
    <m/>
    <m/>
    <m/>
    <m/>
    <m/>
    <m/>
    <n v="16049.38"/>
    <n v="-8520.5499999999975"/>
    <m/>
    <m/>
    <m/>
    <m/>
    <n v="-8520.5200000000023"/>
    <n v="0"/>
    <n v="31"/>
    <n v="406.13261292143579"/>
    <n v="66.331778847883243"/>
    <n v="101.48486161641347"/>
    <n v="0"/>
    <n v="0"/>
    <m/>
    <m/>
    <m/>
    <n v="238.315972457139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09.686842303283"/>
    <m/>
    <n v="0"/>
    <n v="0"/>
    <n v="-8520.5200000000023"/>
    <m/>
    <n v="0"/>
    <m/>
    <n v="-8925.170435955300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25"/>
    <s v="Regular"/>
    <s v="Convencional"/>
    <s v="B2"/>
    <s v="Rural"/>
    <s v="Não se aplica"/>
    <s v="Não se aplica"/>
    <s v="Não se aplica"/>
    <s v="Não se aplica"/>
    <s v="CATIVO"/>
    <x v="10"/>
    <n v="0"/>
    <n v="0"/>
    <n v="3569.2060000000001"/>
    <n v="3569.2060000000001"/>
    <n v="3569.2060000000001"/>
    <n v="3569.2060000000001"/>
    <m/>
    <n v="581.32000000000005"/>
    <n v="209.4"/>
    <m/>
    <n v="2822242.5683200005"/>
    <n v="2822242.5683200005"/>
    <n v="2156050.2684200001"/>
    <n v="0"/>
    <n v="219641.46859320113"/>
    <n v="0"/>
    <n v="0"/>
    <n v="0"/>
    <n v="264803.47915208986"/>
    <n v="1375590.951628949"/>
    <n v="737579.08178180119"/>
    <n v="9825.8990679693816"/>
    <n v="0"/>
    <n v="0"/>
    <n v="0"/>
    <n v="0"/>
    <n v="33941.72724938867"/>
    <m/>
    <n v="6506.5351738422978"/>
    <n v="20342.620979229519"/>
    <n v="30642.311553832573"/>
    <n v="0"/>
    <n v="0"/>
    <n v="0"/>
    <n v="0"/>
    <n v="0"/>
    <n v="0"/>
    <n v="0"/>
    <n v="0"/>
    <n v="0"/>
    <n v="0"/>
    <m/>
    <n v="0"/>
    <n v="0"/>
    <n v="0"/>
    <n v="0"/>
    <n v="0"/>
    <n v="123395.60154999167"/>
    <n v="0"/>
    <n v="4118.4399999999996"/>
    <n v="19338.87"/>
    <n v="196001.81"/>
    <n v="13347"/>
    <m/>
    <m/>
    <m/>
    <m/>
    <m/>
    <n v="258731.74293999973"/>
    <m/>
    <m/>
    <m/>
    <n v="860974.68333179282"/>
    <m/>
    <m/>
    <m/>
    <m/>
    <m/>
    <m/>
    <m/>
    <m/>
    <m/>
    <m/>
    <m/>
    <m/>
    <n v="1897320.6518000001"/>
    <n v="-586311.37329999963"/>
    <m/>
    <m/>
    <m/>
    <m/>
    <n v="-747677.2728800003"/>
    <n v="81484.972979999948"/>
    <n v="31"/>
    <n v="105448.16059814184"/>
    <n v="2456.0059365331872"/>
    <n v="3699.5084931362508"/>
    <n v="0"/>
    <n v="0"/>
    <n v="0"/>
    <n v="0"/>
    <n v="0"/>
    <n v="8680.9035607118858"/>
    <n v="0"/>
    <n v="0"/>
    <n v="81460.288802308845"/>
    <n v="0"/>
    <n v="0"/>
    <n v="0"/>
    <n v="13628.154034566571"/>
    <n v="0"/>
    <n v="-3828.8170601664751"/>
    <m/>
    <n v="0"/>
    <n v="0"/>
    <n v="0"/>
    <n v="0"/>
    <n v="-497.44900628591859"/>
    <n v="-150.43416266246277"/>
    <n v="0"/>
    <n v="0"/>
    <m/>
    <m/>
    <m/>
    <n v="1375590.951628949"/>
    <n v="0"/>
    <n v="0"/>
    <n v="-747677.2728800003"/>
    <n v="81484.972979999962"/>
    <n v="0"/>
    <n v="0"/>
    <n v="-771692.3541701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6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6.7149999999999999"/>
    <n v="-6.7149999999999999"/>
    <n v="-6.7149999999999999"/>
    <n v="-6.7149999999999999"/>
    <m/>
    <n v="581.32000000000005"/>
    <n v="209.4"/>
    <m/>
    <n v="-5309.6848000000009"/>
    <n v="-5309.6848000000009"/>
    <n v="-4056.3300499999996"/>
    <n v="0"/>
    <n v="-413.2270487058874"/>
    <n v="0"/>
    <n v="0"/>
    <n v="0"/>
    <n v="-498.19353730389435"/>
    <n v="-2587.9966693400138"/>
    <n v="-1387.6597579867328"/>
    <n v="-18.486159734522019"/>
    <n v="0"/>
    <n v="0"/>
    <n v="0"/>
    <n v="0"/>
    <n v="-63.856975047011822"/>
    <m/>
    <n v="-12.241205380790861"/>
    <n v="-38.272013404529247"/>
    <n v="-57.649550651877682"/>
    <n v="0"/>
    <n v="0"/>
    <n v="0"/>
    <n v="0"/>
    <n v="0"/>
    <n v="0"/>
    <n v="0"/>
    <n v="0"/>
    <n v="0"/>
    <n v="0"/>
    <m/>
    <n v="0"/>
    <n v="0"/>
    <n v="0"/>
    <n v="0"/>
    <n v="0"/>
    <n v="-232.1528834167022"/>
    <n v="0"/>
    <n v="-11.99"/>
    <n v="-61.81"/>
    <n v="-53.7"/>
    <n v="0"/>
    <m/>
    <m/>
    <m/>
    <m/>
    <m/>
    <n v="-486.77034999999944"/>
    <m/>
    <m/>
    <m/>
    <n v="-1619.812641403435"/>
    <m/>
    <m/>
    <m/>
    <m/>
    <m/>
    <m/>
    <m/>
    <m/>
    <m/>
    <m/>
    <m/>
    <m/>
    <n v="-3572.2175999999999"/>
    <n v="1100.3851499999992"/>
    <m/>
    <m/>
    <m/>
    <m/>
    <n v="1406.6582000000005"/>
    <n v="-153.30344999999988"/>
    <n v="31"/>
    <n v="-198.38709181160266"/>
    <n v="-4.6206578896876067"/>
    <n v="-6.9601473076672775"/>
    <n v="0"/>
    <n v="0"/>
    <n v="0"/>
    <n v="0"/>
    <n v="0"/>
    <n v="-16.331998604221781"/>
    <n v="0"/>
    <n v="0"/>
    <n v="-153.25700990850737"/>
    <n v="0"/>
    <n v="0"/>
    <n v="0"/>
    <n v="-25.639611258670584"/>
    <n v="0"/>
    <n v="7.2034246717667543"/>
    <m/>
    <n v="0"/>
    <n v="0"/>
    <n v="0"/>
    <n v="0"/>
    <n v="0.93588604222056659"/>
    <n v="0.28302244316479275"/>
    <n v="0"/>
    <n v="0"/>
    <m/>
    <m/>
    <m/>
    <n v="-2587.9966693400138"/>
    <n v="0"/>
    <n v="0"/>
    <n v="1406.6582000000008"/>
    <n v="-153.30344999999988"/>
    <n v="0"/>
    <n v="0"/>
    <n v="1451.8394730515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7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203.92"/>
    <n v="203.92"/>
    <n v="203.92"/>
    <n v="203.92"/>
    <m/>
    <n v="581.32000000000005"/>
    <n v="209.4"/>
    <m/>
    <n v="161243.62239999999"/>
    <n v="161243.62239999999"/>
    <n v="123181.95439999999"/>
    <n v="0"/>
    <n v="12548.810092644013"/>
    <n v="0"/>
    <n v="0"/>
    <n v="0"/>
    <n v="15129.05824676249"/>
    <n v="78591.851200568213"/>
    <n v="42140.220081705818"/>
    <n v="561.38461549720466"/>
    <n v="0"/>
    <n v="0"/>
    <n v="0"/>
    <n v="0"/>
    <n v="1939.1979674738125"/>
    <m/>
    <n v="371.73888328382316"/>
    <n v="1162.2381196502761"/>
    <n v="1750.6919387834544"/>
    <n v="0"/>
    <n v="0"/>
    <n v="0"/>
    <n v="0"/>
    <n v="0"/>
    <n v="0"/>
    <n v="0"/>
    <n v="0"/>
    <n v="0"/>
    <n v="0"/>
    <m/>
    <n v="0"/>
    <n v="0"/>
    <n v="0"/>
    <n v="0"/>
    <n v="0"/>
    <n v="7049.9800426409402"/>
    <n v="0"/>
    <n v="243.2"/>
    <n v="1146.47"/>
    <n v="9374.5499999999993"/>
    <n v="1017"/>
    <m/>
    <m/>
    <m/>
    <m/>
    <m/>
    <n v="14782.160799999983"/>
    <m/>
    <m/>
    <m/>
    <n v="49190.20012434676"/>
    <m/>
    <m/>
    <m/>
    <m/>
    <m/>
    <m/>
    <m/>
    <m/>
    <m/>
    <m/>
    <m/>
    <m/>
    <n v="108399.7936"/>
    <n v="-33497.968399999983"/>
    <m/>
    <m/>
    <m/>
    <m/>
    <n v="-42717.161600000014"/>
    <n v="4655.4935999999961"/>
    <n v="31"/>
    <n v="6024.5861149995617"/>
    <n v="140.31936811096011"/>
    <n v="211.36459255093268"/>
    <n v="0"/>
    <n v="0"/>
    <n v="0"/>
    <n v="0"/>
    <n v="0"/>
    <n v="495.9674095864375"/>
    <n v="0"/>
    <n v="0"/>
    <n v="4654.0833150473263"/>
    <n v="0"/>
    <n v="0"/>
    <n v="0"/>
    <n v="778.61943825288108"/>
    <n v="0"/>
    <n v="-218.75239896748462"/>
    <m/>
    <n v="0"/>
    <n v="0"/>
    <n v="0"/>
    <n v="0"/>
    <n v="-28.420831233003582"/>
    <n v="-8.594778348498096"/>
    <n v="0"/>
    <n v="0"/>
    <m/>
    <m/>
    <m/>
    <n v="78591.851200568213"/>
    <n v="0"/>
    <n v="0"/>
    <n v="-42717.161600000021"/>
    <n v="4655.4935999999943"/>
    <n v="0"/>
    <n v="0"/>
    <n v="-44089.2189642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8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0.1"/>
    <n v="0.1"/>
    <n v="0.1"/>
    <n v="0.1"/>
    <m/>
    <n v="581.32000000000005"/>
    <n v="209.4"/>
    <m/>
    <n v="79.072000000000003"/>
    <n v="79.072000000000003"/>
    <n v="60.406999999999996"/>
    <n v="0"/>
    <n v="6.1537907476677205"/>
    <n v="0"/>
    <n v="0"/>
    <n v="0"/>
    <n v="7.4191144795814497"/>
    <n v="38.540531188980104"/>
    <n v="20.665074579102502"/>
    <n v="0.275296496418794"/>
    <n v="0"/>
    <n v="0"/>
    <n v="0"/>
    <n v="0"/>
    <n v="0.95096016451246212"/>
    <m/>
    <n v="0.182296431582887"/>
    <n v="0.56994807750602006"/>
    <n v="0.85851899704955592"/>
    <n v="0"/>
    <n v="0"/>
    <n v="0"/>
    <n v="0"/>
    <n v="0"/>
    <n v="0"/>
    <n v="0"/>
    <n v="0"/>
    <n v="0"/>
    <n v="0"/>
    <m/>
    <n v="0"/>
    <n v="0"/>
    <n v="0"/>
    <n v="0"/>
    <n v="0"/>
    <n v="3.4572283457438902"/>
    <n v="0"/>
    <n v="0.19"/>
    <n v="0.88"/>
    <n v="11.12"/>
    <n v="3"/>
    <m/>
    <m/>
    <m/>
    <m/>
    <m/>
    <n v="7.2489999999999934"/>
    <m/>
    <m/>
    <m/>
    <n v="24.122302924846391"/>
    <m/>
    <m/>
    <m/>
    <m/>
    <m/>
    <m/>
    <m/>
    <m/>
    <m/>
    <m/>
    <m/>
    <m/>
    <n v="53.158000000000001"/>
    <n v="-16.457000000000008"/>
    <m/>
    <m/>
    <m/>
    <m/>
    <n v="-20.948000000000008"/>
    <n v="2.2829999999999986"/>
    <n v="31"/>
    <n v="2.9543870709099522"/>
    <n v="6.8810988677402984E-2"/>
    <n v="0.10365074173741307"/>
    <n v="0"/>
    <n v="0"/>
    <n v="0"/>
    <n v="0"/>
    <n v="0"/>
    <n v="0.24321665829072003"/>
    <n v="0"/>
    <n v="0"/>
    <n v="2.2823084126359987"/>
    <n v="0"/>
    <n v="0"/>
    <n v="0"/>
    <n v="0.38182593088116956"/>
    <n v="0"/>
    <n v="-0.10727363621395014"/>
    <m/>
    <n v="0"/>
    <n v="0"/>
    <n v="0"/>
    <n v="0"/>
    <n v="-1.3937245602689163E-2"/>
    <n v="-4.2147794961249763E-3"/>
    <n v="0"/>
    <n v="0"/>
    <m/>
    <m/>
    <m/>
    <n v="38.540531188980104"/>
    <n v="0"/>
    <n v="0"/>
    <n v="-20.948000000000008"/>
    <n v="2.2829999999999977"/>
    <n v="0"/>
    <n v="0"/>
    <n v="-21.62084099853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29"/>
    <s v="Regular"/>
    <s v="Verde"/>
    <s v="A4"/>
    <s v="Rural"/>
    <s v="Não se aplica"/>
    <s v="Não se aplica"/>
    <s v="Não se aplica"/>
    <s v="Ponta"/>
    <s v="CATIVO"/>
    <x v="10"/>
    <n v="0"/>
    <n v="0"/>
    <n v="34.584000000000003"/>
    <n v="33.20064"/>
    <n v="34.584000000000003"/>
    <n v="33.20064"/>
    <m/>
    <n v="1614.19"/>
    <n v="209.4"/>
    <m/>
    <n v="63067.036560000008"/>
    <n v="63067.036560000008"/>
    <n v="41920.995600000002"/>
    <n v="0"/>
    <n v="1851.5574831908632"/>
    <n v="0"/>
    <n v="0"/>
    <n v="0"/>
    <n v="10770.079778056794"/>
    <n v="40215.541532667383"/>
    <n v="7146.8093924368095"/>
    <n v="95.208540321475724"/>
    <n v="0"/>
    <n v="0"/>
    <n v="0"/>
    <n v="0"/>
    <n v="328.8800632949899"/>
    <m/>
    <n v="45.922167565444823"/>
    <n v="836.75729909164602"/>
    <n v="1246.3625334066694"/>
    <n v="0"/>
    <n v="0"/>
    <n v="0"/>
    <n v="0"/>
    <n v="0"/>
    <n v="0"/>
    <n v="0"/>
    <n v="0"/>
    <n v="0"/>
    <n v="0"/>
    <m/>
    <n v="0"/>
    <n v="0"/>
    <n v="0"/>
    <n v="0"/>
    <n v="0"/>
    <n v="529.98030711645333"/>
    <n v="0"/>
    <n v="0"/>
    <n v="0"/>
    <n v="0"/>
    <n v="0"/>
    <m/>
    <m/>
    <m/>
    <m/>
    <m/>
    <n v="1676.839824000004"/>
    <m/>
    <m/>
    <m/>
    <n v="7676.7896995532628"/>
    <m/>
    <m/>
    <m/>
    <m/>
    <m/>
    <m/>
    <m/>
    <m/>
    <m/>
    <m/>
    <m/>
    <m/>
    <n v="40243.380000000005"/>
    <n v="-20301.005097599998"/>
    <m/>
    <m/>
    <m/>
    <m/>
    <n v="-21935.593680000005"/>
    <n v="789.55271999999957"/>
    <n v="31"/>
    <n v="1414.2564230826174"/>
    <n v="101.02340775580558"/>
    <n v="150.47587939846994"/>
    <n v="0"/>
    <n v="0"/>
    <n v="0"/>
    <n v="0"/>
    <n v="0"/>
    <n v="353.06946945658819"/>
    <n v="0"/>
    <n v="0"/>
    <n v="789.31354142603413"/>
    <n v="0"/>
    <n v="0"/>
    <n v="0"/>
    <n v="58.532501725711427"/>
    <n v="0"/>
    <n v="-32.276577482963603"/>
    <m/>
    <n v="0"/>
    <n v="0"/>
    <n v="0"/>
    <n v="0"/>
    <n v="-4.8200570192339569"/>
    <n v="-1.0617421777918707"/>
    <n v="0"/>
    <n v="0"/>
    <m/>
    <m/>
    <m/>
    <n v="40215.541532667383"/>
    <n v="0"/>
    <n v="0"/>
    <n v="-21935.593680000005"/>
    <n v="789.55271999999968"/>
    <n v="0"/>
    <n v="0"/>
    <n v="-22560.504547387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0"/>
    <s v="Sistema de Compensação"/>
    <s v="Verde"/>
    <s v="A4"/>
    <s v="Rural"/>
    <s v="Não se aplica"/>
    <s v="Não se aplica"/>
    <s v="Não se aplica"/>
    <s v="Ponta"/>
    <s v="CATIVO"/>
    <x v="10"/>
    <n v="0"/>
    <n v="0"/>
    <n v="3.1629999999999998"/>
    <n v="3.0364800000000001"/>
    <n v="3.1629999999999998"/>
    <n v="3.0364800000000001"/>
    <m/>
    <n v="1614.19"/>
    <n v="209.4"/>
    <m/>
    <n v="5768.0151699999997"/>
    <n v="5768.0151699999997"/>
    <n v="3834.0304499999997"/>
    <n v="0"/>
    <n v="169.34062917339517"/>
    <n v="0"/>
    <n v="0"/>
    <n v="0"/>
    <n v="985.01510345806253"/>
    <n v="3678.0522168582847"/>
    <n v="653.63630893701202"/>
    <n v="8.707628181726454"/>
    <n v="0"/>
    <n v="0"/>
    <n v="0"/>
    <n v="0"/>
    <n v="30.078870003529172"/>
    <m/>
    <n v="4.1999715478111828"/>
    <n v="76.528548954050322"/>
    <n v="113.99042022800413"/>
    <n v="0"/>
    <n v="0"/>
    <n v="0"/>
    <n v="0"/>
    <n v="0"/>
    <n v="0"/>
    <n v="0"/>
    <n v="0"/>
    <n v="0"/>
    <n v="0"/>
    <m/>
    <n v="0"/>
    <n v="0"/>
    <n v="0"/>
    <n v="0"/>
    <n v="0"/>
    <n v="48.471192210540757"/>
    <n v="0"/>
    <n v="0"/>
    <n v="0"/>
    <n v="0"/>
    <n v="0"/>
    <m/>
    <m/>
    <m/>
    <m/>
    <m/>
    <n v="153.3612179999997"/>
    <m/>
    <m/>
    <m/>
    <n v="702.10750114755274"/>
    <m/>
    <m/>
    <m/>
    <m/>
    <m/>
    <m/>
    <m/>
    <m/>
    <m/>
    <m/>
    <m/>
    <m/>
    <n v="3684.9359999999997"/>
    <n v="-1852.388563200001"/>
    <m/>
    <m/>
    <m/>
    <m/>
    <n v="-2006.1960100000001"/>
    <n v="72.211289999999948"/>
    <n v="31"/>
    <n v="129.34573982796428"/>
    <n v="9.2394471065120456"/>
    <n v="13.762294891781195"/>
    <n v="0"/>
    <n v="0"/>
    <n v="0"/>
    <n v="0"/>
    <n v="0"/>
    <n v="32.291196272588081"/>
    <n v="0"/>
    <n v="0"/>
    <n v="72.189415091676665"/>
    <n v="0"/>
    <n v="0"/>
    <n v="0"/>
    <n v="5.3532935160312647"/>
    <n v="0"/>
    <n v="-2.951966648699198"/>
    <m/>
    <n v="0"/>
    <n v="0"/>
    <n v="0"/>
    <n v="0"/>
    <n v="-0.44083507841305547"/>
    <n v="-9.7105323512481689E-2"/>
    <n v="0"/>
    <n v="0"/>
    <m/>
    <m/>
    <m/>
    <n v="3678.0522168582847"/>
    <n v="0"/>
    <n v="0"/>
    <n v="-2006.1960100000001"/>
    <n v="72.211289999999963"/>
    <n v="0"/>
    <n v="0"/>
    <n v="-2063.349406759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1"/>
    <s v="Regular"/>
    <s v="Verde"/>
    <s v="A4"/>
    <s v="Rural"/>
    <s v="Não se aplica"/>
    <s v="Não se aplica"/>
    <s v="Não se aplica"/>
    <s v="Fora ponta"/>
    <s v="CATIVO"/>
    <x v="10"/>
    <n v="0"/>
    <n v="0"/>
    <n v="385.24200000000002"/>
    <n v="369.83231999999998"/>
    <n v="385.24200000000002"/>
    <n v="369.83231999999998"/>
    <m/>
    <n v="79.7"/>
    <n v="209.4"/>
    <m/>
    <n v="111373.46220000001"/>
    <n v="111373.46220000001"/>
    <n v="120395.82984000001"/>
    <n v="0"/>
    <n v="20625.078300353183"/>
    <n v="0"/>
    <n v="0"/>
    <n v="0"/>
    <n v="0"/>
    <n v="0"/>
    <n v="79610.546610026053"/>
    <n v="1060.5577287336905"/>
    <n v="0"/>
    <n v="0"/>
    <n v="0"/>
    <n v="0"/>
    <n v="3663.497956971099"/>
    <m/>
    <n v="511.5413970982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03.6165126693468"/>
    <n v="0"/>
    <n v="0"/>
    <n v="0"/>
    <n v="0"/>
    <n v="0"/>
    <m/>
    <m/>
    <m/>
    <m/>
    <m/>
    <n v="4815.8331936000113"/>
    <m/>
    <m/>
    <m/>
    <n v="85514.163122695405"/>
    <m/>
    <m/>
    <m/>
    <m/>
    <m/>
    <m/>
    <m/>
    <m/>
    <m/>
    <m/>
    <m/>
    <m/>
    <n v="115579.27159999999"/>
    <n v="8660.7178879999992"/>
    <m/>
    <m/>
    <m/>
    <m/>
    <n v="227.29278000000133"/>
    <n v="8795.0748599999952"/>
    <n v="31"/>
    <n v="9019.3643305260193"/>
    <n v="0"/>
    <n v="0"/>
    <n v="0"/>
    <n v="0"/>
    <n v="0"/>
    <n v="0"/>
    <n v="0"/>
    <n v="0"/>
    <n v="0"/>
    <n v="0"/>
    <n v="8792.4105750071758"/>
    <n v="0"/>
    <n v="0"/>
    <n v="0"/>
    <n v="652.011856055301"/>
    <n v="0"/>
    <n v="-359.53889841232376"/>
    <m/>
    <n v="0"/>
    <n v="0"/>
    <n v="0"/>
    <n v="0"/>
    <n v="-53.692123704711321"/>
    <n v="-11.827078419410611"/>
    <n v="0"/>
    <n v="0"/>
    <m/>
    <m/>
    <m/>
    <n v="0"/>
    <n v="0"/>
    <n v="0"/>
    <n v="227.2927800000034"/>
    <n v="8795.074859999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2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26.338000000000001"/>
    <n v="25.284479999999999"/>
    <n v="26.338000000000001"/>
    <n v="25.284479999999999"/>
    <m/>
    <n v="79.7"/>
    <n v="209.4"/>
    <m/>
    <n v="7614.3158000000003"/>
    <n v="7614.3158000000003"/>
    <n v="8231.1517600000006"/>
    <n v="0"/>
    <n v="1410.0833041950309"/>
    <n v="0"/>
    <n v="0"/>
    <n v="0"/>
    <n v="0"/>
    <n v="0"/>
    <n v="5442.7673426440169"/>
    <n v="72.507591226781969"/>
    <n v="0"/>
    <n v="0"/>
    <n v="0"/>
    <n v="0"/>
    <n v="250.46388812929226"/>
    <m/>
    <n v="34.972763397486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.61500488182821"/>
    <n v="0"/>
    <n v="0"/>
    <n v="0"/>
    <n v="0"/>
    <n v="0"/>
    <m/>
    <m/>
    <m/>
    <m/>
    <m/>
    <n v="329.2460704000008"/>
    <m/>
    <m/>
    <m/>
    <n v="5846.382347525845"/>
    <m/>
    <m/>
    <m/>
    <m/>
    <m/>
    <m/>
    <m/>
    <m/>
    <m/>
    <m/>
    <m/>
    <m/>
    <n v="7900.5056000000004"/>
    <n v="590.7324320000007"/>
    <m/>
    <m/>
    <m/>
    <m/>
    <n v="15.53942000000009"/>
    <n v="601.2965399999996"/>
    <n v="31"/>
    <n v="616.6306314923977"/>
    <n v="0"/>
    <n v="0"/>
    <n v="0"/>
    <n v="0"/>
    <n v="0"/>
    <n v="0"/>
    <n v="0"/>
    <n v="0"/>
    <n v="0"/>
    <n v="0"/>
    <n v="601.11438972006908"/>
    <n v="0"/>
    <n v="0"/>
    <n v="0"/>
    <n v="44.576365673484531"/>
    <n v="0"/>
    <n v="-24.580745366247129"/>
    <m/>
    <n v="0"/>
    <n v="0"/>
    <n v="0"/>
    <n v="0"/>
    <n v="-3.6707917468362439"/>
    <n v="-0.8085867880720059"/>
    <n v="0"/>
    <n v="0"/>
    <m/>
    <m/>
    <m/>
    <n v="0"/>
    <n v="0"/>
    <n v="0"/>
    <n v="15.539420000000064"/>
    <n v="601.29654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3"/>
    <s v="Regular"/>
    <s v="Verde"/>
    <s v="A4"/>
    <s v="Rural"/>
    <s v="Não se aplica"/>
    <s v="Não se aplica"/>
    <s v="Não se aplica"/>
    <s v="Não se aplica"/>
    <s v="CATIVO"/>
    <x v="10"/>
    <n v="2516"/>
    <n v="2415.36"/>
    <n v="0"/>
    <n v="0"/>
    <n v="0"/>
    <n v="0"/>
    <n v="44.35"/>
    <m/>
    <m/>
    <n v="111584.6"/>
    <m/>
    <n v="111584.6"/>
    <n v="72888.52"/>
    <n v="0"/>
    <n v="0"/>
    <n v="0"/>
    <n v="0"/>
    <n v="0"/>
    <n v="33015.112239222617"/>
    <n v="72254.101254936933"/>
    <m/>
    <m/>
    <m/>
    <n v="0"/>
    <n v="0"/>
    <n v="0"/>
    <n v="0"/>
    <m/>
    <n v="0"/>
    <n v="2495.1692602189928"/>
    <n v="3817.5051458149055"/>
    <n v="0"/>
    <n v="0"/>
    <m/>
    <m/>
    <n v="0"/>
    <n v="0"/>
    <n v="0"/>
    <m/>
    <m/>
    <n v="0"/>
    <m/>
    <n v="0"/>
    <n v="0"/>
    <n v="0"/>
    <n v="0"/>
    <m/>
    <n v="0"/>
    <n v="0"/>
    <n v="479.8"/>
    <n v="2216.3200000000002"/>
    <n v="91.28"/>
    <n v="17"/>
    <m/>
    <m/>
    <m/>
    <m/>
    <m/>
    <n v="2915.5407999999961"/>
    <m/>
    <m/>
    <m/>
    <n v="0"/>
    <m/>
    <m/>
    <m/>
    <m/>
    <m/>
    <m/>
    <m/>
    <m/>
    <m/>
    <m/>
    <m/>
    <m/>
    <n v="69972.979200000002"/>
    <n v="-37148.266799999998"/>
    <m/>
    <m/>
    <m/>
    <m/>
    <n v="-38696.080000000009"/>
    <n v="0"/>
    <n v="31"/>
    <n v="1844.4578594049308"/>
    <n v="301.24685122973688"/>
    <n v="460.89514770197911"/>
    <n v="0"/>
    <n v="0"/>
    <m/>
    <m/>
    <m/>
    <n v="1082.31586047321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254.101254936933"/>
    <m/>
    <n v="0"/>
    <n v="0"/>
    <n v="-38696.080000000002"/>
    <m/>
    <n v="0"/>
    <m/>
    <n v="-40533.80652863453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34"/>
    <s v="Sistema de Compensação"/>
    <s v="Verde"/>
    <s v="A4"/>
    <s v="Rur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8"/>
    <n v="387.24"/>
    <n v="34.83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35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262.964"/>
    <n v="262.964"/>
    <n v="262.964"/>
    <n v="262.964"/>
    <m/>
    <n v="581.32000000000005"/>
    <n v="209.4"/>
    <m/>
    <n v="207930.89408"/>
    <n v="207930.89408"/>
    <n v="158848.66347999999"/>
    <n v="0"/>
    <n v="16182.254301696943"/>
    <n v="0"/>
    <n v="0"/>
    <n v="0"/>
    <n v="19509.600200086563"/>
    <n v="101347.72243578963"/>
    <n v="54341.706716191096"/>
    <n v="723.9306788427175"/>
    <n v="0"/>
    <n v="0"/>
    <n v="0"/>
    <n v="0"/>
    <n v="2500.6828870085506"/>
    <m/>
    <n v="479.37398834762297"/>
    <n v="1498.7582625329305"/>
    <n v="2257.595895401394"/>
    <n v="0"/>
    <n v="0"/>
    <n v="0"/>
    <n v="0"/>
    <n v="0"/>
    <n v="0"/>
    <n v="0"/>
    <n v="0"/>
    <n v="0"/>
    <n v="0"/>
    <m/>
    <n v="0"/>
    <n v="0"/>
    <n v="0"/>
    <n v="0"/>
    <n v="0"/>
    <n v="9091.2659471019633"/>
    <n v="0"/>
    <n v="350.66"/>
    <n v="1632.66"/>
    <n v="47473.9"/>
    <n v="480"/>
    <m/>
    <m/>
    <m/>
    <m/>
    <m/>
    <m/>
    <m/>
    <m/>
    <m/>
    <n v="63432.972663293061"/>
    <m/>
    <m/>
    <m/>
    <m/>
    <m/>
    <m/>
    <m/>
    <m/>
    <m/>
    <m/>
    <m/>
    <m/>
    <n v="158846.24719999998"/>
    <n v="-49084.676880000043"/>
    <m/>
    <m/>
    <m/>
    <m/>
    <n v="-55085.698720000022"/>
    <n v="6003.4681199999959"/>
    <n v="31"/>
    <n v="7768.9744171476195"/>
    <n v="180.94812826564612"/>
    <n v="272.56413650237073"/>
    <n v="0"/>
    <n v="0"/>
    <n v="0"/>
    <n v="0"/>
    <n v="0"/>
    <n v="639.57225330760775"/>
    <n v="0"/>
    <n v="0"/>
    <n v="6001.6494942041318"/>
    <n v="0"/>
    <n v="0"/>
    <n v="0"/>
    <n v="1004.0647408823588"/>
    <n v="0"/>
    <n v="-282.09104473365005"/>
    <m/>
    <n v="0"/>
    <n v="0"/>
    <n v="0"/>
    <n v="0"/>
    <n v="-36.649938526655205"/>
    <n v="-11.083352754190116"/>
    <n v="0"/>
    <n v="0"/>
    <m/>
    <m/>
    <m/>
    <n v="101347.72243578963"/>
    <n v="0"/>
    <n v="0"/>
    <n v="-55085.698720000015"/>
    <n v="6003.4681199999977"/>
    <n v="0"/>
    <n v="0"/>
    <n v="-56855.02832338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6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4.8559999999999999"/>
    <n v="4.8559999999999999"/>
    <n v="4.8559999999999999"/>
    <n v="4.8559999999999999"/>
    <m/>
    <n v="581.32000000000005"/>
    <n v="209.4"/>
    <m/>
    <n v="3839.73632"/>
    <n v="3839.73632"/>
    <n v="2933.3639199999998"/>
    <n v="0"/>
    <n v="298.82807870674446"/>
    <n v="0"/>
    <n v="0"/>
    <n v="0"/>
    <n v="360.27219912847517"/>
    <n v="1871.5281945368736"/>
    <n v="1003.4960215612174"/>
    <n v="13.368397866096636"/>
    <n v="0"/>
    <n v="0"/>
    <n v="0"/>
    <n v="0"/>
    <n v="46.178625588725154"/>
    <m/>
    <n v="8.8523147176649921"/>
    <n v="27.67667864369233"/>
    <n v="41.689682496726434"/>
    <n v="0"/>
    <n v="0"/>
    <n v="0"/>
    <n v="0"/>
    <n v="0"/>
    <n v="0"/>
    <n v="0"/>
    <n v="0"/>
    <n v="0"/>
    <n v="0"/>
    <m/>
    <n v="0"/>
    <n v="0"/>
    <n v="0"/>
    <n v="0"/>
    <n v="0"/>
    <n v="167.8830084693233"/>
    <n v="0"/>
    <n v="6.3"/>
    <n v="29.23"/>
    <n v="1041.8599999999999"/>
    <n v="6"/>
    <m/>
    <m/>
    <m/>
    <m/>
    <m/>
    <m/>
    <m/>
    <m/>
    <m/>
    <n v="1171.3790300305407"/>
    <m/>
    <m/>
    <m/>
    <m/>
    <m/>
    <m/>
    <m/>
    <m/>
    <m/>
    <m/>
    <m/>
    <m/>
    <n v="2935.7802000000001"/>
    <n v="-903.98612000000048"/>
    <m/>
    <m/>
    <m/>
    <m/>
    <n v="-1017.2348800000003"/>
    <n v="110.86247999999992"/>
    <n v="31"/>
    <n v="143.46503616338578"/>
    <n v="3.3414616101746901"/>
    <n v="5.0332800187687781"/>
    <n v="0"/>
    <n v="0"/>
    <n v="0"/>
    <n v="0"/>
    <n v="0"/>
    <n v="11.810600926597374"/>
    <n v="0"/>
    <n v="0"/>
    <n v="110.82889651760399"/>
    <n v="0"/>
    <n v="0"/>
    <n v="0"/>
    <n v="18.541467203589605"/>
    <n v="0"/>
    <n v="-5.2092077745493839"/>
    <m/>
    <n v="0"/>
    <n v="0"/>
    <n v="0"/>
    <n v="0"/>
    <n v="-0.67679264646658055"/>
    <n v="-0.2046696923318283"/>
    <n v="0"/>
    <n v="0"/>
    <m/>
    <m/>
    <m/>
    <n v="1871.5281945368736"/>
    <n v="0"/>
    <n v="0"/>
    <n v="-1017.2348800000002"/>
    <n v="110.86247999999989"/>
    <n v="0"/>
    <n v="0"/>
    <n v="-1049.9080388887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7"/>
    <s v="Regular"/>
    <s v="Verde"/>
    <s v="A4"/>
    <s v="Poder público"/>
    <s v="Não se aplica"/>
    <s v="Não se aplica"/>
    <s v="Não se aplica"/>
    <s v="Ponta"/>
    <s v="CATIVO"/>
    <x v="10"/>
    <n v="0"/>
    <n v="0"/>
    <n v="0.23799999999999999"/>
    <n v="0.23799999999999999"/>
    <n v="0.23799999999999999"/>
    <n v="0.23799999999999999"/>
    <m/>
    <n v="1614.19"/>
    <n v="209.4"/>
    <m/>
    <n v="434.01441999999997"/>
    <n v="434.01441999999997"/>
    <n v="288.49169999999998"/>
    <n v="0"/>
    <n v="12.742039122120788"/>
    <n v="0"/>
    <n v="0"/>
    <n v="0"/>
    <n v="74.117481701871284"/>
    <n v="276.75511464188168"/>
    <n v="49.182877498263949"/>
    <n v="0.65520566147672976"/>
    <n v="0"/>
    <n v="0"/>
    <n v="0"/>
    <n v="0"/>
    <n v="2.2632851915396595"/>
    <m/>
    <n v="0.31602694542493254"/>
    <n v="5.7583922387176649"/>
    <n v="8.5772115125719193"/>
    <n v="0"/>
    <n v="0"/>
    <n v="0"/>
    <n v="0"/>
    <n v="0"/>
    <n v="0"/>
    <n v="0"/>
    <n v="0"/>
    <n v="0"/>
    <n v="0"/>
    <m/>
    <n v="0"/>
    <n v="0"/>
    <n v="0"/>
    <n v="0"/>
    <n v="0"/>
    <n v="3.6472158539705029"/>
    <n v="0"/>
    <n v="0"/>
    <n v="0"/>
    <n v="0"/>
    <n v="0"/>
    <m/>
    <m/>
    <m/>
    <m/>
    <m/>
    <m/>
    <m/>
    <m/>
    <m/>
    <n v="52.830093352234449"/>
    <m/>
    <m/>
    <m/>
    <m/>
    <m/>
    <m/>
    <m/>
    <m/>
    <m/>
    <m/>
    <m/>
    <m/>
    <n v="290.916"/>
    <n v="-143.12841999999995"/>
    <m/>
    <m/>
    <m/>
    <m/>
    <n v="-150.95626000000001"/>
    <n v="5.4335399999999963"/>
    <n v="31"/>
    <n v="9.7326228514243951"/>
    <n v="0.69522238740116027"/>
    <n v="1.0355441619487582"/>
    <n v="0"/>
    <n v="0"/>
    <n v="0"/>
    <n v="0"/>
    <n v="0"/>
    <n v="2.4297517271185427"/>
    <n v="0"/>
    <n v="0"/>
    <n v="5.4318940220736778"/>
    <n v="0"/>
    <n v="0"/>
    <n v="0"/>
    <n v="0.40280868062454678"/>
    <n v="0"/>
    <n v="-0.22212079114461325"/>
    <m/>
    <n v="0"/>
    <n v="0"/>
    <n v="0"/>
    <n v="0"/>
    <n v="-3.3170644534399774E-2"/>
    <n v="-7.3066920632218757E-3"/>
    <n v="0"/>
    <n v="0"/>
    <m/>
    <m/>
    <m/>
    <n v="276.75511464188168"/>
    <n v="0"/>
    <n v="0"/>
    <n v="-150.95625999999999"/>
    <n v="5.4335400000000007"/>
    <n v="0"/>
    <n v="0"/>
    <n v="-155.2567685137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8"/>
    <s v="Regular"/>
    <s v="Verde"/>
    <s v="A4"/>
    <s v="Poder público"/>
    <s v="Não se aplica"/>
    <s v="Não se aplica"/>
    <s v="Não se aplica"/>
    <s v="Fora ponta"/>
    <s v="CATIVO"/>
    <x v="10"/>
    <n v="0"/>
    <n v="0"/>
    <n v="4.9580000000000002"/>
    <n v="4.9580000000000002"/>
    <n v="4.9580000000000002"/>
    <n v="4.9580000000000002"/>
    <m/>
    <n v="79.7"/>
    <n v="209.4"/>
    <m/>
    <n v="1433.3578000000002"/>
    <n v="1433.3578000000002"/>
    <n v="1549.47416"/>
    <n v="0"/>
    <n v="265.44130238434821"/>
    <n v="0"/>
    <n v="0"/>
    <n v="0"/>
    <n v="0"/>
    <n v="0"/>
    <n v="1024.574397631902"/>
    <n v="13.649200292443808"/>
    <n v="0"/>
    <n v="0"/>
    <n v="0"/>
    <n v="0"/>
    <n v="47.148604956527869"/>
    <m/>
    <n v="6.5834520815832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78555478931739"/>
    <n v="0"/>
    <n v="0"/>
    <n v="0"/>
    <n v="0"/>
    <n v="0"/>
    <m/>
    <m/>
    <m/>
    <m/>
    <m/>
    <m/>
    <m/>
    <m/>
    <m/>
    <n v="1100.5529531108336"/>
    <m/>
    <m/>
    <m/>
    <m/>
    <m/>
    <m/>
    <m/>
    <m/>
    <m/>
    <m/>
    <m/>
    <m/>
    <n v="1550.0991999999999"/>
    <n v="116.71139999999968"/>
    <m/>
    <m/>
    <m/>
    <m/>
    <n v="2.9252200000000168"/>
    <n v="113.19113999999992"/>
    <n v="31"/>
    <n v="116.07770791021767"/>
    <n v="0"/>
    <n v="0"/>
    <n v="0"/>
    <n v="0"/>
    <n v="0"/>
    <n v="0"/>
    <n v="0"/>
    <n v="0"/>
    <n v="0"/>
    <n v="0"/>
    <n v="113.15685109849278"/>
    <n v="0"/>
    <n v="0"/>
    <n v="0"/>
    <n v="8.391283355195398"/>
    <n v="0"/>
    <n v="-4.6272053886344224"/>
    <m/>
    <n v="0"/>
    <n v="0"/>
    <n v="0"/>
    <n v="0"/>
    <n v="-0.69100863698132287"/>
    <n v="-0.15221251785484835"/>
    <n v="0"/>
    <n v="0"/>
    <m/>
    <m/>
    <m/>
    <n v="0"/>
    <n v="0"/>
    <n v="0"/>
    <n v="2.9252200000000244"/>
    <n v="113.191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39"/>
    <s v="Regular"/>
    <s v="Verde"/>
    <s v="A4"/>
    <s v="Poder público"/>
    <s v="Não se aplica"/>
    <s v="Não se aplica"/>
    <s v="Não se aplica"/>
    <s v="Não se aplica"/>
    <s v="CATIVO"/>
    <x v="10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12.7"/>
    <n v="58.71"/>
    <n v="1108.55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1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40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582.70899999999995"/>
    <n v="582.70899999999995"/>
    <n v="582.70899999999995"/>
    <n v="582.70899999999995"/>
    <m/>
    <n v="319.73"/>
    <n v="115.17"/>
    <m/>
    <n v="253420.14409999998"/>
    <n v="253420.14409999998"/>
    <n v="193593.41106999997"/>
    <n v="0"/>
    <n v="19722.280890304926"/>
    <n v="0"/>
    <n v="0"/>
    <n v="0"/>
    <n v="23777.516286053364"/>
    <n v="123518.52913729698"/>
    <n v="66229.487186028447"/>
    <n v="882.29760372434055"/>
    <n v="0"/>
    <n v="0"/>
    <n v="0"/>
    <n v="0"/>
    <n v="3047.7317557659062"/>
    <m/>
    <n v="584.24174243177958"/>
    <n v="1826.6263086250046"/>
    <n v="2751.4671043846247"/>
    <n v="0"/>
    <n v="0"/>
    <n v="0"/>
    <n v="0"/>
    <n v="0"/>
    <n v="0"/>
    <n v="0"/>
    <n v="0"/>
    <n v="0"/>
    <n v="0"/>
    <m/>
    <n v="0"/>
    <n v="0"/>
    <n v="0"/>
    <n v="0"/>
    <n v="0"/>
    <n v="11080.069396660421"/>
    <n v="0"/>
    <n v="411.88"/>
    <n v="1903.19"/>
    <n v="49009.82"/>
    <n v="41"/>
    <m/>
    <m/>
    <m/>
    <m/>
    <m/>
    <m/>
    <m/>
    <m/>
    <m/>
    <n v="77309.556582688863"/>
    <m/>
    <m/>
    <m/>
    <m/>
    <m/>
    <m/>
    <m/>
    <m/>
    <m/>
    <m/>
    <m/>
    <m/>
    <n v="193593.7433"/>
    <n v="-59826.430800000002"/>
    <m/>
    <m/>
    <m/>
    <m/>
    <n v="-67139.730980000008"/>
    <n v="7312.9979499999972"/>
    <n v="31"/>
    <n v="9468.5136463656381"/>
    <n v="220.53230320671651"/>
    <n v="332.19021036886306"/>
    <n v="0"/>
    <n v="0"/>
    <n v="0"/>
    <n v="0"/>
    <n v="0"/>
    <n v="779.48494654755996"/>
    <n v="0"/>
    <n v="0"/>
    <n v="7314.5690905029187"/>
    <n v="0"/>
    <n v="0"/>
    <n v="0"/>
    <n v="1223.7137349680761"/>
    <n v="0"/>
    <n v="-343.80122306531484"/>
    <m/>
    <n v="0"/>
    <n v="0"/>
    <n v="0"/>
    <n v="0"/>
    <n v="-44.667471463435504"/>
    <n v="-13.50794469974096"/>
    <n v="0"/>
    <n v="0"/>
    <m/>
    <m/>
    <m/>
    <n v="123518.52913729698"/>
    <n v="0"/>
    <n v="0"/>
    <n v="-67139.730980000008"/>
    <n v="7312.9979500000045"/>
    <n v="0"/>
    <n v="0"/>
    <n v="-69292.62250577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1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82.465999999999994"/>
    <n v="77.518039999999999"/>
    <n v="82.465999999999994"/>
    <n v="77.518039999999999"/>
    <m/>
    <n v="581.32000000000005"/>
    <n v="209.4"/>
    <m/>
    <n v="65207.515520000001"/>
    <n v="65207.515520000001"/>
    <n v="49815.236619999996"/>
    <n v="0"/>
    <n v="5074.7850779716618"/>
    <n v="0"/>
    <n v="0"/>
    <n v="0"/>
    <n v="6118.2469467316378"/>
    <n v="31782.834450304326"/>
    <n v="17041.660402402667"/>
    <n v="227.02600873672264"/>
    <n v="0"/>
    <n v="0"/>
    <n v="0"/>
    <n v="0"/>
    <n v="784.21880926684685"/>
    <m/>
    <n v="150.33257526914358"/>
    <n v="470.01338159611447"/>
    <n v="707.98627610688675"/>
    <n v="0"/>
    <n v="0"/>
    <n v="0"/>
    <n v="0"/>
    <n v="0"/>
    <n v="0"/>
    <n v="0"/>
    <n v="0"/>
    <n v="0"/>
    <n v="0"/>
    <m/>
    <n v="0"/>
    <n v="0"/>
    <n v="0"/>
    <n v="0"/>
    <n v="0"/>
    <n v="2851.0379276011563"/>
    <n v="0"/>
    <n v="100.12"/>
    <n v="462.85"/>
    <n v="16888.900000000001"/>
    <n v="21"/>
    <m/>
    <m/>
    <m/>
    <m/>
    <n v="2988.914197199997"/>
    <m/>
    <m/>
    <m/>
    <m/>
    <n v="19892.698330003823"/>
    <m/>
    <m/>
    <m/>
    <m/>
    <m/>
    <m/>
    <m/>
    <m/>
    <m/>
    <m/>
    <m/>
    <m/>
    <n v="46827.506399999998"/>
    <n v="-14467.588188800015"/>
    <m/>
    <m/>
    <m/>
    <m/>
    <n v="-17274.977680000004"/>
    <n v="1882.6987799999986"/>
    <n v="31"/>
    <n v="2436.3648418965822"/>
    <n v="56.745669922707123"/>
    <n v="85.47662068117495"/>
    <n v="0"/>
    <n v="0"/>
    <n v="0"/>
    <n v="0"/>
    <n v="0"/>
    <n v="200.57104942602473"/>
    <n v="0"/>
    <n v="0"/>
    <n v="1882.1284555644015"/>
    <n v="0"/>
    <n v="0"/>
    <n v="0"/>
    <n v="314.876572160465"/>
    <n v="0"/>
    <n v="-88.464276840196362"/>
    <m/>
    <n v="0"/>
    <n v="0"/>
    <n v="0"/>
    <n v="0"/>
    <n v="-11.493488958713556"/>
    <n v="-3.4757600592744211"/>
    <n v="0"/>
    <n v="0"/>
    <m/>
    <m/>
    <m/>
    <n v="31782.834450304326"/>
    <n v="0"/>
    <n v="0"/>
    <n v="-17274.977680000004"/>
    <n v="1882.6987799999988"/>
    <n v="0"/>
    <n v="0"/>
    <n v="-17829.842737850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2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25.890999999999998"/>
    <n v="25.890999999999998"/>
    <n v="25.890999999999998"/>
    <n v="25.890999999999998"/>
    <m/>
    <n v="581.32000000000005"/>
    <n v="209.4"/>
    <m/>
    <n v="20472.53152"/>
    <n v="20472.53152"/>
    <n v="15639.976369999998"/>
    <n v="0"/>
    <n v="1593.2779624786492"/>
    <n v="0"/>
    <n v="0"/>
    <n v="0"/>
    <n v="1920.882929908433"/>
    <n v="9978.5289301388366"/>
    <n v="5350.3944592754278"/>
    <n v="71.277015887789958"/>
    <n v="0"/>
    <n v="0"/>
    <n v="0"/>
    <n v="0"/>
    <n v="246.21309619392153"/>
    <m/>
    <n v="47.198369101125266"/>
    <n v="147.56525674708362"/>
    <n v="222.27915352610052"/>
    <n v="0"/>
    <n v="0"/>
    <n v="0"/>
    <n v="0"/>
    <n v="0"/>
    <n v="0"/>
    <n v="0"/>
    <n v="0"/>
    <n v="0"/>
    <n v="0"/>
    <m/>
    <n v="0"/>
    <n v="0"/>
    <n v="0"/>
    <n v="0"/>
    <n v="0"/>
    <n v="895.11099099655053"/>
    <n v="0"/>
    <n v="33.369999999999997"/>
    <n v="154.62"/>
    <n v="5312.94"/>
    <n v="18"/>
    <m/>
    <m/>
    <m/>
    <m/>
    <m/>
    <m/>
    <m/>
    <m/>
    <m/>
    <n v="6245.5054502719786"/>
    <m/>
    <m/>
    <m/>
    <m/>
    <m/>
    <m/>
    <m/>
    <m/>
    <m/>
    <m/>
    <m/>
    <m/>
    <n v="15639.372299999999"/>
    <n v="-4833.1892200000002"/>
    <m/>
    <m/>
    <m/>
    <m/>
    <n v="-5423.6466800000017"/>
    <n v="591.09152999999958"/>
    <n v="31"/>
    <n v="764.92035652929371"/>
    <n v="17.815853078466432"/>
    <n v="26.836213543233583"/>
    <n v="0"/>
    <n v="0"/>
    <n v="0"/>
    <n v="0"/>
    <n v="0"/>
    <n v="62.971224998050275"/>
    <n v="0"/>
    <n v="0"/>
    <n v="590.91247111558641"/>
    <n v="0"/>
    <n v="0"/>
    <n v="0"/>
    <n v="98.858551764443632"/>
    <n v="0"/>
    <n v="-27.774217152153597"/>
    <m/>
    <n v="0"/>
    <n v="0"/>
    <n v="0"/>
    <n v="0"/>
    <n v="-3.6084922589922428"/>
    <n v="-1.0912485593417145"/>
    <n v="0"/>
    <n v="0"/>
    <m/>
    <m/>
    <m/>
    <n v="9978.5289301388366"/>
    <n v="0"/>
    <n v="0"/>
    <n v="-5423.6466800000017"/>
    <n v="591.09152999999969"/>
    <n v="0"/>
    <n v="0"/>
    <n v="-5597.851942930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3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6.53"/>
    <n v="309.60000000000002"/>
    <n v="1047.52"/>
    <n v="1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44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83"/>
    <n v="22.78"/>
    <n v="177.5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45"/>
    <s v="Regular"/>
    <s v="Convencional"/>
    <s v="B2"/>
    <s v="Rural"/>
    <s v="Agropecuária rural"/>
    <s v="IRRIG./AQUIC."/>
    <s v="Não se aplica"/>
    <s v="Não se aplica"/>
    <s v="CATIVO"/>
    <x v="10"/>
    <n v="0"/>
    <n v="0"/>
    <n v="48.018999999999998"/>
    <n v="48.018999999999998"/>
    <n v="48.018999999999998"/>
    <n v="48.018999999999998"/>
    <m/>
    <n v="581.32000000000005"/>
    <n v="209.4"/>
    <m/>
    <n v="37969.583679999996"/>
    <n v="37969.583679999996"/>
    <n v="29006.837329999998"/>
    <n v="0"/>
    <n v="2954.9887791225624"/>
    <n v="0"/>
    <n v="0"/>
    <n v="0"/>
    <n v="3562.584581950216"/>
    <n v="18506.777671636355"/>
    <n v="9923.1621621392296"/>
    <n v="132.1946246153407"/>
    <n v="0"/>
    <n v="0"/>
    <n v="0"/>
    <n v="0"/>
    <n v="456.64156139723912"/>
    <m/>
    <n v="87.536923481786502"/>
    <n v="273.68336733761578"/>
    <n v="412.25223719322622"/>
    <n v="0"/>
    <n v="0"/>
    <n v="0"/>
    <n v="0"/>
    <n v="0"/>
    <n v="0"/>
    <n v="0"/>
    <n v="0"/>
    <n v="0"/>
    <n v="0"/>
    <m/>
    <n v="0"/>
    <n v="0"/>
    <n v="0"/>
    <n v="0"/>
    <n v="0"/>
    <n v="1660.1264793427586"/>
    <n v="0"/>
    <n v="0"/>
    <n v="0"/>
    <n v="0"/>
    <n v="0"/>
    <m/>
    <m/>
    <m/>
    <m/>
    <m/>
    <n v="3480.8973099999967"/>
    <m/>
    <m/>
    <m/>
    <n v="11583.288641481988"/>
    <m/>
    <m/>
    <m/>
    <m/>
    <m/>
    <m/>
    <m/>
    <m/>
    <m/>
    <m/>
    <m/>
    <m/>
    <n v="25526.471600000004"/>
    <n v="-7887.5795499999949"/>
    <m/>
    <m/>
    <m/>
    <m/>
    <n v="-10059.020120000003"/>
    <n v="1096.2737699999991"/>
    <n v="31"/>
    <n v="1418.6671275802473"/>
    <n v="33.042348653002136"/>
    <n v="49.772049674888365"/>
    <n v="0"/>
    <n v="0"/>
    <n v="0"/>
    <n v="0"/>
    <n v="0"/>
    <n v="116.79020714462104"/>
    <n v="0"/>
    <n v="0"/>
    <n v="1095.9416766636805"/>
    <n v="0"/>
    <n v="0"/>
    <n v="0"/>
    <n v="183.34899374982888"/>
    <n v="0"/>
    <n v="-51.511727373576377"/>
    <m/>
    <n v="0"/>
    <n v="0"/>
    <n v="0"/>
    <n v="0"/>
    <n v="-6.6925259659552694"/>
    <n v="-2.0238949662442565"/>
    <n v="0"/>
    <n v="0"/>
    <m/>
    <m/>
    <m/>
    <n v="18506.777671636355"/>
    <n v="0"/>
    <n v="0"/>
    <n v="-10059.020120000001"/>
    <n v="1096.2737699999998"/>
    <n v="0"/>
    <n v="0"/>
    <n v="-10382.11163908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6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1.952"/>
    <n v="1.952"/>
    <n v="1.952"/>
    <n v="1.952"/>
    <m/>
    <n v="581.32000000000005"/>
    <n v="209.4"/>
    <m/>
    <n v="1543.4854400000002"/>
    <n v="1543.4854400000002"/>
    <n v="1179.14464"/>
    <n v="0"/>
    <n v="120.12199539447388"/>
    <n v="0"/>
    <n v="0"/>
    <n v="0"/>
    <n v="144.82111464142989"/>
    <n v="752.31116880889158"/>
    <n v="403.38225578408077"/>
    <n v="5.3737876100948592"/>
    <n v="0"/>
    <n v="0"/>
    <n v="0"/>
    <n v="0"/>
    <n v="18.56274241128326"/>
    <m/>
    <n v="3.558426344497954"/>
    <n v="11.12538647291751"/>
    <n v="16.758290822407332"/>
    <n v="0"/>
    <n v="0"/>
    <n v="0"/>
    <n v="0"/>
    <n v="0"/>
    <n v="0"/>
    <n v="0"/>
    <n v="0"/>
    <n v="0"/>
    <n v="0"/>
    <m/>
    <n v="0"/>
    <n v="0"/>
    <n v="0"/>
    <n v="0"/>
    <n v="0"/>
    <n v="67.485097308920729"/>
    <n v="0"/>
    <n v="0"/>
    <n v="0"/>
    <n v="0"/>
    <n v="0"/>
    <m/>
    <m/>
    <m/>
    <m/>
    <m/>
    <n v="141.50047999999984"/>
    <m/>
    <m/>
    <m/>
    <n v="470.8673530930015"/>
    <m/>
    <m/>
    <m/>
    <m/>
    <m/>
    <m/>
    <m/>
    <m/>
    <m/>
    <m/>
    <m/>
    <m/>
    <n v="1036.5810000000001"/>
    <n v="-321.74819999999977"/>
    <m/>
    <m/>
    <m/>
    <m/>
    <n v="-408.90496000000013"/>
    <n v="44.564159999999966"/>
    <n v="31"/>
    <n v="57.669635624162311"/>
    <n v="1.3431904989829064"/>
    <n v="2.023262478714301"/>
    <n v="0"/>
    <n v="0"/>
    <n v="0"/>
    <n v="0"/>
    <n v="0"/>
    <n v="4.7475891698348676"/>
    <n v="0"/>
    <n v="0"/>
    <n v="44.550660214654727"/>
    <n v="0"/>
    <n v="0"/>
    <n v="0"/>
    <n v="7.4532421708004364"/>
    <n v="0"/>
    <n v="-2.093981378896288"/>
    <m/>
    <n v="0"/>
    <n v="0"/>
    <n v="0"/>
    <n v="0"/>
    <n v="-0.27205503416449162"/>
    <n v="-8.2272495764359466E-2"/>
    <n v="0"/>
    <n v="0"/>
    <m/>
    <m/>
    <m/>
    <n v="752.31116880889158"/>
    <n v="0"/>
    <n v="0"/>
    <n v="-408.90496000000019"/>
    <n v="44.564159999999958"/>
    <n v="0"/>
    <n v="0"/>
    <n v="-422.03881629137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7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28.355"/>
    <n v="11.342000000000001"/>
    <n v="28.355"/>
    <n v="11.342000000000001"/>
    <m/>
    <n v="581.32000000000005"/>
    <n v="209.4"/>
    <m/>
    <n v="22420.865600000001"/>
    <n v="22420.865600000001"/>
    <n v="17128.404849999999"/>
    <n v="0"/>
    <n v="1744.907366501182"/>
    <n v="0"/>
    <n v="0"/>
    <n v="0"/>
    <n v="2103.6899106853202"/>
    <n v="10928.167618635307"/>
    <n v="5859.581896904514"/>
    <n v="78.060321559549038"/>
    <n v="0"/>
    <n v="0"/>
    <n v="0"/>
    <n v="0"/>
    <n v="269.64475464750859"/>
    <m/>
    <n v="51.690153175327609"/>
    <n v="161.60877737683199"/>
    <n v="243.43306161340158"/>
    <n v="0"/>
    <n v="0"/>
    <n v="0"/>
    <n v="0"/>
    <n v="0"/>
    <n v="0"/>
    <n v="0"/>
    <n v="0"/>
    <n v="0"/>
    <n v="0"/>
    <m/>
    <n v="0"/>
    <n v="0"/>
    <n v="0"/>
    <n v="0"/>
    <n v="0"/>
    <n v="980.29709743568003"/>
    <n v="0"/>
    <n v="0"/>
    <n v="0"/>
    <n v="0"/>
    <n v="0"/>
    <m/>
    <m/>
    <m/>
    <m/>
    <m/>
    <m/>
    <n v="11099.224489999997"/>
    <m/>
    <m/>
    <n v="6839.8789943401944"/>
    <m/>
    <m/>
    <m/>
    <m/>
    <m/>
    <m/>
    <m/>
    <m/>
    <m/>
    <m/>
    <m/>
    <m/>
    <n v="6028.1172000000006"/>
    <n v="-1864.2435000000005"/>
    <m/>
    <m/>
    <m/>
    <m/>
    <n v="-5939.805400000002"/>
    <n v="647.34464999999955"/>
    <n v="31"/>
    <n v="837.71645395651467"/>
    <n v="19.511355839477602"/>
    <n v="29.390167819643494"/>
    <n v="0"/>
    <n v="0"/>
    <n v="0"/>
    <n v="0"/>
    <n v="0"/>
    <n v="68.964083458333334"/>
    <n v="0"/>
    <n v="0"/>
    <n v="647.14855040293787"/>
    <n v="0"/>
    <n v="0"/>
    <n v="0"/>
    <n v="108.26674270135561"/>
    <n v="0"/>
    <n v="-30.417439548465381"/>
    <m/>
    <n v="0"/>
    <n v="0"/>
    <n v="0"/>
    <n v="0"/>
    <n v="-3.9519059906424445"/>
    <n v="-1.1951007261262419"/>
    <n v="0"/>
    <n v="0"/>
    <m/>
    <m/>
    <m/>
    <n v="10928.167618635307"/>
    <n v="0"/>
    <n v="0"/>
    <n v="-5939.8054000000011"/>
    <n v="647.34465"/>
    <n v="0"/>
    <n v="0"/>
    <n v="-6130.58946513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8"/>
    <s v="Sistema de Compensação"/>
    <s v="Convencional"/>
    <s v="B2"/>
    <s v="Rural"/>
    <s v="Agropecuária rural"/>
    <s v="IRRIG./AQUIC. PR"/>
    <s v="Não se aplica"/>
    <s v="Não se aplica"/>
    <s v="CATIVO"/>
    <x v="10"/>
    <n v="0"/>
    <n v="0"/>
    <n v="0.29299999999999998"/>
    <n v="0.1172"/>
    <n v="0.29299999999999998"/>
    <n v="0.1172"/>
    <m/>
    <n v="581.32000000000005"/>
    <n v="209.4"/>
    <m/>
    <n v="231.68096"/>
    <n v="231.68096"/>
    <n v="176.99250999999998"/>
    <n v="0"/>
    <n v="18.030606890666419"/>
    <n v="0"/>
    <n v="0"/>
    <n v="0"/>
    <n v="21.738005425173647"/>
    <n v="112.92375638371169"/>
    <n v="60.54866851677032"/>
    <n v="0.80661873450706645"/>
    <n v="0"/>
    <n v="0"/>
    <n v="0"/>
    <n v="0"/>
    <n v="2.7863132820215135"/>
    <m/>
    <n v="0.53412854453785885"/>
    <n v="1.6699478670926386"/>
    <n v="2.5154606613551986"/>
    <n v="0"/>
    <n v="0"/>
    <n v="0"/>
    <n v="0"/>
    <n v="0"/>
    <n v="0"/>
    <n v="0"/>
    <n v="0"/>
    <n v="0"/>
    <n v="0"/>
    <m/>
    <n v="0"/>
    <n v="0"/>
    <n v="0"/>
    <n v="0"/>
    <n v="0"/>
    <n v="10.129679053029596"/>
    <n v="0"/>
    <n v="0"/>
    <n v="0"/>
    <n v="0"/>
    <n v="0"/>
    <m/>
    <m/>
    <m/>
    <m/>
    <m/>
    <m/>
    <n v="114.69133399999998"/>
    <m/>
    <m/>
    <n v="70.678347569799911"/>
    <m/>
    <m/>
    <m/>
    <m/>
    <m/>
    <m/>
    <m/>
    <m/>
    <m/>
    <m/>
    <m/>
    <m/>
    <n v="63.789600000000007"/>
    <n v="-17.794019999999989"/>
    <m/>
    <m/>
    <m/>
    <m/>
    <n v="-61.377640000000021"/>
    <n v="6.6891899999999946"/>
    <n v="31"/>
    <n v="8.6563541177661421"/>
    <n v="0.20161619682479071"/>
    <n v="0.30369667329062011"/>
    <n v="0"/>
    <n v="0"/>
    <n v="0"/>
    <n v="0"/>
    <n v="0"/>
    <n v="0.71262480879180856"/>
    <n v="0"/>
    <n v="0"/>
    <n v="6.6871636490234749"/>
    <n v="0"/>
    <n v="0"/>
    <n v="0"/>
    <n v="1.1187499774818281"/>
    <n v="0"/>
    <n v="-0.31431175410687473"/>
    <m/>
    <n v="0"/>
    <n v="0"/>
    <n v="0"/>
    <n v="0"/>
    <n v="-4.0836129615879013E-2"/>
    <n v="-1.2349303923646193E-2"/>
    <n v="0"/>
    <n v="0"/>
    <m/>
    <m/>
    <m/>
    <n v="112.92375638371169"/>
    <n v="0"/>
    <n v="0"/>
    <n v="-61.377640000000028"/>
    <n v="6.6891899999999893"/>
    <n v="0"/>
    <n v="0"/>
    <n v="-63.3490641257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49"/>
    <s v="Regular"/>
    <s v="Verde"/>
    <s v="A4"/>
    <s v="Rural"/>
    <s v="Agropecuária rural"/>
    <s v="Não se aplica"/>
    <s v="Não se aplica"/>
    <s v="Ponta"/>
    <s v="CATIVO"/>
    <x v="10"/>
    <n v="0"/>
    <n v="0"/>
    <n v="13.318"/>
    <n v="12.78528"/>
    <n v="13.318"/>
    <n v="12.78528"/>
    <m/>
    <n v="1614.19"/>
    <n v="209.4"/>
    <m/>
    <n v="24286.571619999999"/>
    <n v="24286.571619999999"/>
    <n v="16143.413699999999"/>
    <n v="0"/>
    <n v="713.01881104371705"/>
    <n v="0"/>
    <n v="0"/>
    <n v="0"/>
    <n v="4147.4647954013526"/>
    <n v="15486.658053783951"/>
    <n v="2752.1746324448709"/>
    <n v="36.663987393054988"/>
    <n v="0"/>
    <n v="0"/>
    <n v="0"/>
    <n v="0"/>
    <n v="126.64887470976969"/>
    <m/>
    <n v="17.684230500711141"/>
    <n v="322.22801611446164"/>
    <n v="479.96345766568413"/>
    <n v="0"/>
    <n v="0"/>
    <n v="0"/>
    <n v="0"/>
    <n v="0"/>
    <n v="0"/>
    <n v="0"/>
    <n v="0"/>
    <n v="0"/>
    <n v="0"/>
    <m/>
    <n v="0"/>
    <n v="0"/>
    <n v="0"/>
    <n v="0"/>
    <n v="0"/>
    <n v="204.09084345873595"/>
    <n v="0"/>
    <n v="0"/>
    <n v="0"/>
    <n v="0"/>
    <n v="0"/>
    <m/>
    <m/>
    <m/>
    <m/>
    <m/>
    <n v="645.73654799999917"/>
    <m/>
    <m/>
    <m/>
    <n v="2956.2654759036068"/>
    <m/>
    <m/>
    <m/>
    <m/>
    <m/>
    <m/>
    <m/>
    <m/>
    <m/>
    <m/>
    <m/>
    <m/>
    <n v="15503.398499999999"/>
    <n v="-7811.7402551999985"/>
    <m/>
    <m/>
    <m/>
    <m/>
    <n v="-8447.2078600000004"/>
    <n v="304.04993999999976"/>
    <n v="31"/>
    <n v="544.61794594651474"/>
    <n v="38.90324266978422"/>
    <n v="57.946962810225045"/>
    <n v="0"/>
    <n v="0"/>
    <n v="0"/>
    <n v="0"/>
    <n v="0"/>
    <n v="135.96400630993594"/>
    <n v="0"/>
    <n v="0"/>
    <n v="303.9578343948624"/>
    <n v="0"/>
    <n v="0"/>
    <n v="0"/>
    <n v="22.540361380494602"/>
    <n v="0"/>
    <n v="-12.429431497747714"/>
    <m/>
    <n v="0"/>
    <n v="0"/>
    <n v="0"/>
    <n v="0"/>
    <n v="-1.8561623693661318"/>
    <n v="-0.40886775167222211"/>
    <n v="0"/>
    <n v="0"/>
    <m/>
    <m/>
    <m/>
    <n v="15486.658053783951"/>
    <n v="0"/>
    <n v="0"/>
    <n v="-8447.2078600000004"/>
    <n v="304.04993999999942"/>
    <n v="0"/>
    <n v="0"/>
    <n v="-8687.855643132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0"/>
    <s v="Sistema de Compensação"/>
    <s v="Verde"/>
    <s v="A4"/>
    <s v="Rural"/>
    <s v="Agropecuária rural"/>
    <s v="Não se aplica"/>
    <s v="Não se aplica"/>
    <s v="Ponta"/>
    <s v="CATIVO"/>
    <x v="10"/>
    <n v="0"/>
    <n v="0"/>
    <n v="6.0999999999999999E-2"/>
    <n v="5.8560000000000001E-2"/>
    <n v="6.0999999999999999E-2"/>
    <n v="5.8560000000000001E-2"/>
    <m/>
    <n v="1614.19"/>
    <n v="209.4"/>
    <m/>
    <n v="111.23899"/>
    <n v="111.23899"/>
    <n v="73.941149999999993"/>
    <n v="0"/>
    <n v="3.2658167497872612"/>
    <n v="0"/>
    <n v="0"/>
    <n v="0"/>
    <n v="18.996497410983817"/>
    <n v="70.933033584683969"/>
    <n v="12.605695493252524"/>
    <n v="0.16793086281546435"/>
    <n v="0"/>
    <n v="0"/>
    <n v="0"/>
    <n v="0"/>
    <n v="0.58008570035260187"/>
    <m/>
    <n v="8.0998502818995316E-2"/>
    <n v="1.4758904477385613"/>
    <n v="2.1983609338944836"/>
    <n v="0"/>
    <n v="0"/>
    <n v="0"/>
    <n v="0"/>
    <n v="0"/>
    <n v="0"/>
    <n v="0"/>
    <n v="0"/>
    <n v="0"/>
    <n v="0"/>
    <m/>
    <n v="0"/>
    <n v="0"/>
    <n v="0"/>
    <n v="0"/>
    <n v="0"/>
    <n v="0.93479061803445662"/>
    <n v="0"/>
    <n v="0"/>
    <n v="0"/>
    <n v="0"/>
    <n v="0"/>
    <m/>
    <m/>
    <m/>
    <m/>
    <m/>
    <n v="2.9576459999999969"/>
    <m/>
    <m/>
    <m/>
    <n v="13.540486111286981"/>
    <m/>
    <m/>
    <m/>
    <m/>
    <m/>
    <m/>
    <m/>
    <m/>
    <m/>
    <m/>
    <m/>
    <m/>
    <n v="72.728999999999999"/>
    <n v="-34.090430400000031"/>
    <m/>
    <m/>
    <m/>
    <m/>
    <n v="-38.690470000000005"/>
    <n v="1.3926299999999989"/>
    <n v="31"/>
    <n v="2.4944957728440826"/>
    <n v="0.17818725055239804"/>
    <n v="0.26541257932300111"/>
    <n v="0"/>
    <n v="0"/>
    <n v="0"/>
    <n v="0"/>
    <n v="0"/>
    <n v="0.62275149308500488"/>
    <n v="0"/>
    <n v="0"/>
    <n v="1.3922081317079602"/>
    <n v="0"/>
    <n v="0"/>
    <n v="0"/>
    <n v="0.10324088032814027"/>
    <n v="0"/>
    <n v="-5.6930118738745428E-2"/>
    <m/>
    <n v="0"/>
    <n v="0"/>
    <n v="0"/>
    <n v="0"/>
    <n v="-8.501719817640363E-3"/>
    <n v="-1.8727235960358662E-3"/>
    <n v="0"/>
    <n v="0"/>
    <m/>
    <m/>
    <m/>
    <n v="70.933033584683969"/>
    <n v="0"/>
    <n v="0"/>
    <n v="-38.690470000000012"/>
    <n v="1.3926299999999987"/>
    <n v="0"/>
    <n v="0"/>
    <n v="-39.792701173682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1"/>
    <s v="Regular"/>
    <s v="Verde"/>
    <s v="A4"/>
    <s v="Rural"/>
    <s v="Agropecuária rural"/>
    <s v="Não se aplica"/>
    <s v="Não se aplica"/>
    <s v="Fora ponta"/>
    <s v="CATIVO"/>
    <x v="10"/>
    <n v="0"/>
    <n v="0"/>
    <n v="116.556"/>
    <n v="111.89376"/>
    <n v="116.556"/>
    <n v="111.89376"/>
    <m/>
    <n v="79.7"/>
    <n v="209.4"/>
    <m/>
    <n v="33696.339599999999"/>
    <n v="33696.339599999999"/>
    <n v="36426.081120000003"/>
    <n v="0"/>
    <n v="6240.1727391508848"/>
    <n v="0"/>
    <n v="0"/>
    <n v="0"/>
    <n v="0"/>
    <n v="0"/>
    <n v="24086.384326418709"/>
    <n v="320.87458436588952"/>
    <n v="0"/>
    <n v="0"/>
    <n v="0"/>
    <n v="0"/>
    <n v="1108.4011293491453"/>
    <m/>
    <n v="154.76822122247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6.1550045184283"/>
    <n v="0"/>
    <n v="0"/>
    <n v="0"/>
    <n v="0"/>
    <n v="0"/>
    <m/>
    <m/>
    <m/>
    <m/>
    <m/>
    <n v="1457.0432447999992"/>
    <m/>
    <m/>
    <m/>
    <n v="25872.539330937136"/>
    <m/>
    <m/>
    <m/>
    <m/>
    <m/>
    <m/>
    <m/>
    <m/>
    <m/>
    <m/>
    <m/>
    <m/>
    <n v="34967.862800000003"/>
    <n v="2619.3467840000048"/>
    <m/>
    <m/>
    <m/>
    <m/>
    <n v="68.768040000000397"/>
    <n v="2660.9734799999983"/>
    <n v="31"/>
    <n v="2728.832860666269"/>
    <n v="0"/>
    <n v="0"/>
    <n v="0"/>
    <n v="0"/>
    <n v="0"/>
    <n v="0"/>
    <n v="0"/>
    <n v="0"/>
    <n v="0"/>
    <n v="0"/>
    <n v="2660.167393432017"/>
    <n v="0"/>
    <n v="0"/>
    <n v="0"/>
    <n v="197.2679352053558"/>
    <n v="0"/>
    <n v="-108.77945770021597"/>
    <m/>
    <n v="0"/>
    <n v="0"/>
    <n v="0"/>
    <n v="0"/>
    <n v="-16.244695984670443"/>
    <n v="-3.5783142862222235"/>
    <n v="0"/>
    <n v="0"/>
    <m/>
    <m/>
    <m/>
    <n v="0"/>
    <n v="0"/>
    <n v="0"/>
    <n v="68.768040000000838"/>
    <n v="2660.97347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2"/>
    <s v="Sistema de Compensação"/>
    <s v="Verde"/>
    <s v="A4"/>
    <s v="Rural"/>
    <s v="Agropecuária rural"/>
    <s v="Não se aplica"/>
    <s v="Não se aplica"/>
    <s v="Fora ponta"/>
    <s v="CATIVO"/>
    <x v="10"/>
    <n v="0"/>
    <n v="0"/>
    <n v="0.64100000000000001"/>
    <n v="0.61536000000000002"/>
    <n v="0.64100000000000001"/>
    <n v="0.61536000000000002"/>
    <m/>
    <n v="79.7"/>
    <n v="209.4"/>
    <m/>
    <n v="185.31310000000002"/>
    <n v="185.31310000000002"/>
    <n v="200.32532"/>
    <n v="0"/>
    <n v="34.317844862518598"/>
    <n v="0"/>
    <n v="0"/>
    <n v="0"/>
    <n v="0"/>
    <n v="0"/>
    <n v="132.46312805204704"/>
    <n v="1.7646505420444696"/>
    <n v="0"/>
    <n v="0"/>
    <n v="0"/>
    <n v="0"/>
    <n v="6.095654654524882"/>
    <m/>
    <n v="0.85114820175370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229637075424048"/>
    <n v="0"/>
    <n v="0"/>
    <n v="0"/>
    <n v="0"/>
    <n v="0"/>
    <m/>
    <m/>
    <m/>
    <m/>
    <m/>
    <n v="8.0130127999999985"/>
    <m/>
    <m/>
    <m/>
    <n v="142.28609175958945"/>
    <m/>
    <m/>
    <m/>
    <m/>
    <m/>
    <m/>
    <m/>
    <m/>
    <m/>
    <m/>
    <m/>
    <m/>
    <n v="193.76239999999999"/>
    <n v="15.831823999999983"/>
    <m/>
    <m/>
    <m/>
    <m/>
    <n v="0.37819000000000219"/>
    <n v="14.63402999999999"/>
    <n v="31"/>
    <n v="15.007222825826801"/>
    <n v="0"/>
    <n v="0"/>
    <n v="0"/>
    <n v="0"/>
    <n v="0"/>
    <n v="0"/>
    <n v="0"/>
    <n v="0"/>
    <n v="0"/>
    <n v="0"/>
    <n v="14.629596924996747"/>
    <n v="0"/>
    <n v="0"/>
    <n v="0"/>
    <n v="1.0848754801694742"/>
    <n v="0"/>
    <n v="-0.59823288707436006"/>
    <m/>
    <n v="0"/>
    <n v="0"/>
    <n v="0"/>
    <n v="0"/>
    <n v="-8.9337744313237266E-2"/>
    <n v="-1.9678947951786596E-2"/>
    <n v="0"/>
    <n v="0"/>
    <m/>
    <m/>
    <m/>
    <n v="0"/>
    <n v="0"/>
    <n v="0"/>
    <n v="0.37818999999999647"/>
    <n v="14.63402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3"/>
    <s v="Regular"/>
    <s v="Verde"/>
    <s v="A4"/>
    <s v="Rural"/>
    <s v="Agropecuária rural"/>
    <s v="Não se aplica"/>
    <s v="Não se aplica"/>
    <s v="Não se aplica"/>
    <s v="CATIVO"/>
    <x v="10"/>
    <n v="5096"/>
    <n v="4892.16"/>
    <n v="0"/>
    <n v="0"/>
    <n v="0"/>
    <n v="0"/>
    <n v="44.35"/>
    <m/>
    <m/>
    <n v="226007.6"/>
    <m/>
    <n v="226007.6"/>
    <n v="147631.12"/>
    <n v="0"/>
    <n v="0"/>
    <n v="0"/>
    <n v="0"/>
    <n v="0"/>
    <n v="66870.036554482693"/>
    <n v="146346.14467216161"/>
    <m/>
    <m/>
    <m/>
    <n v="0"/>
    <n v="0"/>
    <n v="0"/>
    <n v="0"/>
    <m/>
    <n v="0"/>
    <n v="5053.8086447042879"/>
    <n v="7732.1169408079322"/>
    <n v="0"/>
    <n v="0"/>
    <m/>
    <m/>
    <n v="0"/>
    <n v="0"/>
    <n v="0"/>
    <m/>
    <m/>
    <n v="0"/>
    <m/>
    <n v="0"/>
    <n v="0"/>
    <n v="0"/>
    <n v="0"/>
    <m/>
    <n v="0"/>
    <n v="0"/>
    <n v="423.87"/>
    <n v="1960.18"/>
    <n v="598.22"/>
    <n v="129"/>
    <m/>
    <m/>
    <m/>
    <m/>
    <m/>
    <n v="5905.244800000004"/>
    <m/>
    <m/>
    <m/>
    <n v="0"/>
    <m/>
    <m/>
    <m/>
    <m/>
    <m/>
    <m/>
    <m/>
    <m/>
    <m/>
    <m/>
    <m/>
    <m/>
    <n v="141725.87519999998"/>
    <n v="-75241.45080000005"/>
    <m/>
    <m/>
    <m/>
    <m/>
    <n v="-78376.48000000001"/>
    <n v="0"/>
    <n v="31"/>
    <n v="3735.8335657899588"/>
    <n v="610.15657943829046"/>
    <n v="933.51417833437426"/>
    <n v="0"/>
    <n v="0"/>
    <m/>
    <m/>
    <m/>
    <n v="2192.16280801729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6346.14467216161"/>
    <m/>
    <n v="0"/>
    <n v="0"/>
    <n v="-78376.48000000001"/>
    <m/>
    <n v="0"/>
    <m/>
    <n v="-82098.67967802926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54"/>
    <s v="Sistema de Compensação"/>
    <s v="Verde"/>
    <s v="A4"/>
    <s v="Rural"/>
    <s v="Agropecuária rural"/>
    <s v="Não se aplica"/>
    <s v="Não se aplica"/>
    <s v="Não se aplica"/>
    <s v="CATIVO"/>
    <x v="10"/>
    <n v="846"/>
    <n v="812.16"/>
    <n v="0"/>
    <n v="0"/>
    <n v="0"/>
    <n v="0"/>
    <n v="44.35"/>
    <m/>
    <m/>
    <n v="37520.1"/>
    <m/>
    <n v="37520.1"/>
    <n v="24508.62"/>
    <n v="0"/>
    <n v="0"/>
    <n v="0"/>
    <n v="0"/>
    <n v="0"/>
    <n v="11101.265880120163"/>
    <n v="24295.297957741117"/>
    <m/>
    <m/>
    <m/>
    <n v="0"/>
    <n v="0"/>
    <n v="0"/>
    <n v="0"/>
    <m/>
    <n v="0"/>
    <n v="838.99570514517802"/>
    <n v="1283.6285188232948"/>
    <n v="0"/>
    <n v="0"/>
    <m/>
    <m/>
    <n v="0"/>
    <n v="0"/>
    <n v="0"/>
    <m/>
    <m/>
    <n v="0"/>
    <m/>
    <n v="0"/>
    <n v="0"/>
    <n v="0"/>
    <n v="0"/>
    <m/>
    <n v="0"/>
    <n v="0"/>
    <n v="63.63"/>
    <n v="294.38"/>
    <n v="41.8"/>
    <n v="19"/>
    <m/>
    <m/>
    <m/>
    <m/>
    <m/>
    <n v="980.34480000000087"/>
    <m/>
    <m/>
    <m/>
    <n v="0"/>
    <m/>
    <m/>
    <m/>
    <m/>
    <m/>
    <m/>
    <m/>
    <m/>
    <m/>
    <m/>
    <m/>
    <m/>
    <n v="23528.275199999996"/>
    <n v="-12491.050800000012"/>
    <m/>
    <m/>
    <m/>
    <m/>
    <n v="-13011.480000000001"/>
    <n v="0"/>
    <n v="31"/>
    <n v="620.19528976811489"/>
    <n v="101.29365506373506"/>
    <n v="154.97507748643648"/>
    <n v="0"/>
    <n v="0"/>
    <m/>
    <m/>
    <m/>
    <n v="363.92655721794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295.297957741117"/>
    <m/>
    <n v="0"/>
    <n v="0"/>
    <n v="-13011.48"/>
    <m/>
    <n v="0"/>
    <m/>
    <n v="-13629.41189317361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55"/>
    <s v="Regular"/>
    <s v="Verde"/>
    <s v="A4"/>
    <s v="Rural"/>
    <s v="Agropecuária rural"/>
    <s v="IRRIG./AQUIC. PR"/>
    <s v="Não se aplica"/>
    <s v="Fora ponta"/>
    <s v="CATIVO"/>
    <x v="10"/>
    <n v="0"/>
    <n v="0"/>
    <n v="80.194000000000003"/>
    <n v="24.058199999999999"/>
    <n v="80.194000000000003"/>
    <n v="24.058199999999999"/>
    <m/>
    <n v="79.7"/>
    <n v="209.4"/>
    <m/>
    <n v="23184.085400000004"/>
    <n v="23184.085400000004"/>
    <n v="25062.228880000002"/>
    <n v="0"/>
    <n v="4293.4247284006497"/>
    <n v="0"/>
    <n v="0"/>
    <n v="0"/>
    <n v="0"/>
    <n v="0"/>
    <n v="16572.14990796546"/>
    <n v="220.77127233808767"/>
    <n v="0"/>
    <n v="0"/>
    <n v="0"/>
    <n v="0"/>
    <n v="762.61299432912381"/>
    <m/>
    <n v="106.48514647650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8.9278495517249"/>
    <n v="0"/>
    <n v="0"/>
    <n v="0"/>
    <n v="0"/>
    <n v="0"/>
    <m/>
    <m/>
    <m/>
    <m/>
    <m/>
    <m/>
    <n v="17543.560215999998"/>
    <m/>
    <m/>
    <n v="17801.077757517185"/>
    <m/>
    <m/>
    <m/>
    <m/>
    <m/>
    <m/>
    <m/>
    <m/>
    <m/>
    <m/>
    <m/>
    <m/>
    <n v="7519.2311999999993"/>
    <n v="563.97557999999935"/>
    <m/>
    <m/>
    <m/>
    <m/>
    <n v="47.314460000000274"/>
    <n v="1830.8290199999988"/>
    <n v="31"/>
    <n v="1877.5182953110125"/>
    <n v="0"/>
    <n v="0"/>
    <n v="0"/>
    <n v="0"/>
    <n v="0"/>
    <n v="0"/>
    <n v="0"/>
    <n v="0"/>
    <n v="0"/>
    <n v="0"/>
    <n v="1830.2744084293117"/>
    <n v="0"/>
    <n v="0"/>
    <n v="0"/>
    <n v="135.72621568909631"/>
    <n v="0"/>
    <n v="-74.843507248114292"/>
    <m/>
    <n v="0"/>
    <n v="0"/>
    <n v="0"/>
    <n v="0"/>
    <n v="-11.176834738620414"/>
    <n v="-2.4619868206639239"/>
    <n v="0"/>
    <n v="0"/>
    <m/>
    <m/>
    <m/>
    <n v="0"/>
    <n v="0"/>
    <n v="0"/>
    <n v="47.314460000000508"/>
    <n v="1830.82901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7"/>
    <s v="PROJETADO"/>
    <s v="Convencional"/>
    <s v="B1"/>
    <s v="Residencial"/>
    <s v="Residencial"/>
    <s v="Não se aplica"/>
    <s v="Não se aplica"/>
    <s v="Não se aplica"/>
    <s v="CATIVO"/>
    <x v="11"/>
    <n v="0"/>
    <n v="0"/>
    <n v="1196.758"/>
    <n v="1196.758"/>
    <n v="1196.758"/>
    <n v="1196.758"/>
    <m/>
    <n v="581.32000000000005"/>
    <n v="209.4"/>
    <m/>
    <n v="946300.48576000007"/>
    <n v="946300.48576000007"/>
    <n v="722925.60505999997"/>
    <n v="0"/>
    <n v="73645.983075973258"/>
    <n v="0"/>
    <n v="0"/>
    <n v="0"/>
    <n v="88788.846063549368"/>
    <n v="461236.89024661446"/>
    <n v="247310.9332313755"/>
    <n v="3294.6328446116308"/>
    <n v="0"/>
    <n v="0"/>
    <n v="0"/>
    <n v="0"/>
    <n v="11380.691845616051"/>
    <m/>
    <n v="2181.6471286827268"/>
    <n v="6820.8992133994952"/>
    <n v="10274.394778710324"/>
    <n v="0"/>
    <n v="0"/>
    <n v="0"/>
    <n v="0"/>
    <n v="0"/>
    <n v="0"/>
    <n v="0"/>
    <n v="0"/>
    <n v="0"/>
    <n v="0"/>
    <m/>
    <n v="0"/>
    <n v="0"/>
    <n v="0"/>
    <n v="0"/>
    <n v="0"/>
    <n v="41374.656805957668"/>
    <n v="0"/>
    <n v="1516.61"/>
    <n v="7220.03"/>
    <n v="239615.69"/>
    <n v="8577"/>
    <m/>
    <m/>
    <m/>
    <m/>
    <m/>
    <m/>
    <m/>
    <m/>
    <m/>
    <n v="288685.5900373332"/>
    <m/>
    <m/>
    <m/>
    <m/>
    <m/>
    <m/>
    <m/>
    <m/>
    <m/>
    <m/>
    <m/>
    <m/>
    <n v="722926.81319999998"/>
    <n v="-223373.70256000012"/>
    <m/>
    <m/>
    <m/>
    <m/>
    <n v="-250696.8658400001"/>
    <n v="27321.985139999982"/>
    <n v="30"/>
    <n v="35356.86362208036"/>
    <n v="823.50101187591463"/>
    <n v="1240.4485438018291"/>
    <n v="0"/>
    <n v="0"/>
    <n v="0"/>
    <n v="0"/>
    <n v="0"/>
    <n v="2910.7148154268507"/>
    <n v="0"/>
    <n v="0"/>
    <n v="27313.708512894314"/>
    <n v="0"/>
    <n v="0"/>
    <n v="0"/>
    <n v="4569.5323738948646"/>
    <n v="0"/>
    <n v="-1283.8058232813491"/>
    <m/>
    <n v="0"/>
    <n v="0"/>
    <n v="0"/>
    <n v="0"/>
    <n v="-166.79510172982918"/>
    <n v="-50.440710802235571"/>
    <n v="0"/>
    <n v="0"/>
    <m/>
    <m/>
    <m/>
    <n v="461236.89024661446"/>
    <n v="0"/>
    <n v="0"/>
    <n v="-250696.8658400001"/>
    <n v="27321.985140000004"/>
    <n v="0"/>
    <n v="0"/>
    <n v="-258749.1443172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8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61199999999999999"/>
    <n v="-0.61199999999999999"/>
    <n v="-0.61199999999999999"/>
    <n v="-0.61199999999999999"/>
    <m/>
    <n v="581.32000000000005"/>
    <n v="209.4"/>
    <m/>
    <n v="-483.92064000000005"/>
    <n v="-483.92064000000005"/>
    <n v="-369.69083999999998"/>
    <n v="0"/>
    <n v="-37.661199375726447"/>
    <n v="0"/>
    <n v="0"/>
    <n v="0"/>
    <n v="-45.404980615038468"/>
    <n v="-235.86805087655821"/>
    <n v="-126.4702564241073"/>
    <n v="-1.6848145580830194"/>
    <n v="0"/>
    <n v="0"/>
    <n v="0"/>
    <n v="0"/>
    <n v="-5.8198762068162679"/>
    <m/>
    <n v="-1.1156541612872684"/>
    <n v="-3.4880822343368427"/>
    <n v="-5.2541362619432821"/>
    <n v="0"/>
    <n v="0"/>
    <n v="0"/>
    <n v="0"/>
    <n v="0"/>
    <n v="0"/>
    <n v="0"/>
    <n v="0"/>
    <n v="0"/>
    <n v="0"/>
    <m/>
    <n v="0"/>
    <n v="0"/>
    <n v="0"/>
    <n v="0"/>
    <n v="0"/>
    <n v="-21.158237475952607"/>
    <n v="0"/>
    <n v="-1.25"/>
    <n v="-7.26"/>
    <n v="-172.48"/>
    <n v="0"/>
    <m/>
    <m/>
    <m/>
    <m/>
    <m/>
    <m/>
    <m/>
    <m/>
    <m/>
    <n v="-147.62849390005991"/>
    <m/>
    <m/>
    <m/>
    <m/>
    <m/>
    <m/>
    <m/>
    <m/>
    <m/>
    <m/>
    <m/>
    <m/>
    <n v="-368.48269999999997"/>
    <n v="115.40794000000011"/>
    <m/>
    <m/>
    <m/>
    <m/>
    <n v="128.20176000000004"/>
    <n v="-13.97195999999999"/>
    <n v="30"/>
    <n v="-18.080848873968876"/>
    <n v="-0.42112325070570611"/>
    <n v="-0.63434253943296781"/>
    <n v="0"/>
    <n v="0"/>
    <n v="0"/>
    <n v="0"/>
    <n v="0"/>
    <n v="-1.4884859487392106"/>
    <n v="0"/>
    <n v="0"/>
    <n v="-13.967727485332318"/>
    <n v="0"/>
    <n v="0"/>
    <n v="0"/>
    <n v="-2.3367746969927587"/>
    <n v="0"/>
    <n v="0.65651465362937245"/>
    <m/>
    <n v="0"/>
    <n v="0"/>
    <n v="0"/>
    <n v="0"/>
    <n v="8.5295943088457449E-2"/>
    <n v="2.5794450516284817E-2"/>
    <n v="0"/>
    <n v="0"/>
    <m/>
    <m/>
    <m/>
    <n v="-235.86805087655821"/>
    <n v="0"/>
    <n v="0"/>
    <n v="128.20176000000006"/>
    <n v="-13.971959999999967"/>
    <n v="0"/>
    <n v="0"/>
    <n v="132.3195469110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59"/>
    <s v="PROJETADO"/>
    <s v="Convencional"/>
    <s v="B1"/>
    <s v="Residencial"/>
    <s v="Residencial"/>
    <s v="Não se aplica"/>
    <s v="Não se aplica"/>
    <s v="Não se aplica"/>
    <s v="CATIVO"/>
    <x v="11"/>
    <n v="0"/>
    <n v="0"/>
    <n v="74.823999999999998"/>
    <n v="74.823999999999998"/>
    <n v="74.823999999999998"/>
    <n v="74.823999999999998"/>
    <m/>
    <n v="581.32000000000005"/>
    <n v="209.4"/>
    <m/>
    <n v="59164.833280000006"/>
    <n v="59164.833280000006"/>
    <n v="45198.933679999995"/>
    <n v="0"/>
    <n v="4604.5123890348941"/>
    <n v="0"/>
    <n v="0"/>
    <n v="0"/>
    <n v="5551.2782182020237"/>
    <n v="28837.567056842468"/>
    <n v="15462.435403067655"/>
    <n v="205.98785048039844"/>
    <n v="0"/>
    <n v="0"/>
    <n v="0"/>
    <n v="0"/>
    <n v="711.54643349480455"/>
    <m/>
    <n v="136.40148196757937"/>
    <n v="426.45794951310444"/>
    <n v="642.3782543523597"/>
    <n v="0"/>
    <n v="0"/>
    <n v="0"/>
    <n v="0"/>
    <n v="0"/>
    <n v="0"/>
    <n v="0"/>
    <n v="0"/>
    <n v="0"/>
    <n v="0"/>
    <m/>
    <n v="0"/>
    <n v="0"/>
    <n v="0"/>
    <n v="0"/>
    <n v="0"/>
    <n v="2586.8365374194082"/>
    <n v="0"/>
    <n v="90.22"/>
    <n v="451.97"/>
    <n v="41823.1"/>
    <n v="987"/>
    <m/>
    <m/>
    <m/>
    <m/>
    <m/>
    <m/>
    <m/>
    <m/>
    <m/>
    <n v="18049.271940487062"/>
    <m/>
    <m/>
    <m/>
    <m/>
    <m/>
    <m/>
    <m/>
    <m/>
    <m/>
    <m/>
    <m/>
    <m/>
    <n v="45196.517399999997"/>
    <n v="-13968.345880000015"/>
    <m/>
    <m/>
    <m/>
    <m/>
    <n v="-15674.131520000004"/>
    <n v="1708.2319199999988"/>
    <n v="30"/>
    <n v="2210.5905819376494"/>
    <n v="51.487134167980003"/>
    <n v="77.555630997601952"/>
    <n v="0"/>
    <n v="0"/>
    <n v="0"/>
    <n v="0"/>
    <n v="0"/>
    <n v="181.98443239944845"/>
    <n v="0"/>
    <n v="0"/>
    <n v="1707.7144466707578"/>
    <n v="0"/>
    <n v="0"/>
    <n v="0"/>
    <n v="285.69743452252624"/>
    <n v="0"/>
    <n v="-80.266425560725111"/>
    <m/>
    <n v="0"/>
    <n v="0"/>
    <n v="0"/>
    <n v="0"/>
    <n v="-10.428404649756089"/>
    <n v="-3.1536666101805793"/>
    <n v="0"/>
    <n v="0"/>
    <m/>
    <m/>
    <m/>
    <n v="28837.567056842468"/>
    <n v="0"/>
    <n v="0"/>
    <n v="-15674.131520000006"/>
    <n v="1708.2319199999984"/>
    <n v="0"/>
    <n v="0"/>
    <n v="-16177.57806874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0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58.23"/>
    <n v="58.23"/>
    <n v="58.23"/>
    <n v="58.23"/>
    <m/>
    <n v="510.28"/>
    <n v="209.4"/>
    <m/>
    <n v="41906.966399999998"/>
    <n v="41906.966399999998"/>
    <n v="31108.212899999999"/>
    <n v="0"/>
    <n v="0"/>
    <n v="0"/>
    <n v="0"/>
    <n v="0"/>
    <n v="4320.150361460278"/>
    <n v="22442.15131134311"/>
    <n v="12033.272927411384"/>
    <n v="160.30514986466375"/>
    <n v="0"/>
    <n v="0"/>
    <n v="0"/>
    <n v="0"/>
    <n v="0"/>
    <m/>
    <n v="106.15121211071509"/>
    <n v="331.88076553175546"/>
    <n v="499.91561198195637"/>
    <n v="0"/>
    <n v="0"/>
    <n v="0"/>
    <n v="0"/>
    <n v="0"/>
    <n v="0"/>
    <n v="0"/>
    <n v="0"/>
    <n v="0"/>
    <n v="0"/>
    <m/>
    <n v="0"/>
    <n v="0"/>
    <n v="0"/>
    <n v="0"/>
    <n v="0"/>
    <n v="2013.1440657266671"/>
    <n v="0"/>
    <n v="19.43"/>
    <n v="97.29"/>
    <n v="3367.87"/>
    <n v="155"/>
    <m/>
    <m/>
    <m/>
    <m/>
    <m/>
    <m/>
    <m/>
    <n v="20220.3675"/>
    <m/>
    <n v="14046.416993138051"/>
    <m/>
    <m/>
    <m/>
    <m/>
    <m/>
    <m/>
    <m/>
    <m/>
    <m/>
    <m/>
    <m/>
    <m/>
    <n v="10887.8454"/>
    <n v="-3779.7392999999993"/>
    <m/>
    <m/>
    <m/>
    <m/>
    <n v="-12128.144399999997"/>
    <n v="1329.390899999999"/>
    <n v="30"/>
    <n v="1790.9206878726873"/>
    <n v="40.068638706851743"/>
    <n v="60.35582691369558"/>
    <n v="0"/>
    <n v="0"/>
    <n v="0"/>
    <n v="0"/>
    <n v="0"/>
    <n v="141.62506012268568"/>
    <n v="0"/>
    <n v="0"/>
    <n v="1328.9881886779422"/>
    <n v="0"/>
    <n v="0"/>
    <n v="0"/>
    <n v="222.33723955210507"/>
    <n v="0"/>
    <n v="0"/>
    <m/>
    <n v="0"/>
    <n v="0"/>
    <n v="0"/>
    <n v="0"/>
    <n v="0"/>
    <n v="-2.4542661005935855"/>
    <n v="0"/>
    <n v="0"/>
    <m/>
    <m/>
    <m/>
    <n v="22442.15131134311"/>
    <n v="0"/>
    <n v="0"/>
    <n v="-12128.144399999997"/>
    <n v="1329.3909000000003"/>
    <n v="0"/>
    <n v="0"/>
    <n v="-12589.815713445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1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06"/>
    <n v="0.06"/>
    <n v="0.06"/>
    <n v="0.06"/>
    <m/>
    <n v="510.28"/>
    <n v="209.4"/>
    <m/>
    <n v="43.180799999999998"/>
    <n v="43.180799999999998"/>
    <n v="32.053800000000003"/>
    <n v="0"/>
    <n v="0"/>
    <n v="0"/>
    <n v="0"/>
    <n v="0"/>
    <n v="4.4514686877488696"/>
    <n v="23.12431871338806"/>
    <n v="12.399044747461499"/>
    <n v="0.1651778978512764"/>
    <n v="0"/>
    <n v="0"/>
    <n v="0"/>
    <n v="0"/>
    <n v="0"/>
    <m/>
    <n v="0.10937785894973219"/>
    <n v="0.34196884650361203"/>
    <n v="0.51511139822973351"/>
    <n v="0"/>
    <n v="0"/>
    <n v="0"/>
    <n v="0"/>
    <n v="0"/>
    <n v="0"/>
    <n v="0"/>
    <n v="0"/>
    <n v="0"/>
    <n v="0"/>
    <m/>
    <n v="0"/>
    <n v="0"/>
    <n v="0"/>
    <n v="0"/>
    <n v="0"/>
    <n v="2.0743370074463341"/>
    <n v="0"/>
    <n v="0.02"/>
    <n v="0.12"/>
    <n v="2.66"/>
    <n v="0"/>
    <m/>
    <m/>
    <m/>
    <m/>
    <m/>
    <m/>
    <m/>
    <n v="20.835000000000001"/>
    <m/>
    <n v="14.473381754907834"/>
    <m/>
    <m/>
    <m/>
    <m/>
    <m/>
    <m/>
    <m/>
    <m/>
    <m/>
    <m/>
    <m/>
    <m/>
    <n v="11.2188"/>
    <n v="-3.9245999999999981"/>
    <m/>
    <m/>
    <m/>
    <m/>
    <n v="-12.496799999999999"/>
    <n v="1.369799999999999"/>
    <n v="30"/>
    <n v="1.8453587716359472"/>
    <n v="4.1286593206441791E-2"/>
    <n v="6.2190445042447862E-2"/>
    <n v="0"/>
    <n v="0"/>
    <n v="0"/>
    <n v="0"/>
    <n v="0"/>
    <n v="0.14592999497443149"/>
    <n v="0"/>
    <n v="0"/>
    <n v="1.3693850475816003"/>
    <n v="0"/>
    <n v="0"/>
    <n v="0"/>
    <n v="0.22909555852870156"/>
    <n v="0"/>
    <n v="0"/>
    <m/>
    <n v="0"/>
    <n v="0"/>
    <n v="0"/>
    <n v="0"/>
    <n v="0"/>
    <n v="-2.5288676976749913E-3"/>
    <n v="0"/>
    <n v="0"/>
    <m/>
    <m/>
    <m/>
    <n v="23.12431871338806"/>
    <n v="0"/>
    <n v="0"/>
    <n v="-12.496799999999997"/>
    <n v="1.3697999999999997"/>
    <n v="0"/>
    <n v="0"/>
    <n v="-12.9725045991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2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0.151"/>
    <n v="-1.1249499999999999"/>
    <n v="0.151"/>
    <n v="-1.1249499999999999"/>
    <m/>
    <n v="510.28"/>
    <n v="209.4"/>
    <m/>
    <n v="108.67167999999999"/>
    <n v="108.67167999999999"/>
    <n v="80.668729999999996"/>
    <n v="0"/>
    <n v="0"/>
    <n v="0"/>
    <n v="0"/>
    <n v="0"/>
    <n v="11.202862864167988"/>
    <n v="58.196202095359951"/>
    <n v="31.204262614444776"/>
    <n v="0.41569770959237895"/>
    <n v="0"/>
    <n v="0"/>
    <n v="0"/>
    <n v="0"/>
    <n v="0"/>
    <m/>
    <n v="0.27526761169015934"/>
    <n v="0.86062159703409025"/>
    <n v="1.2963636855448295"/>
    <n v="0"/>
    <n v="0"/>
    <n v="0"/>
    <n v="0"/>
    <n v="0"/>
    <n v="0"/>
    <n v="0"/>
    <n v="0"/>
    <n v="0"/>
    <n v="0"/>
    <m/>
    <n v="0"/>
    <n v="0"/>
    <n v="0"/>
    <n v="0"/>
    <n v="0"/>
    <n v="5.2204148020732735"/>
    <n v="0"/>
    <n v="0.05"/>
    <n v="0.25"/>
    <n v="17.829999999999998"/>
    <n v="0"/>
    <m/>
    <m/>
    <m/>
    <m/>
    <m/>
    <m/>
    <m/>
    <n v="291.01188100000002"/>
    <m/>
    <n v="36.424677416518051"/>
    <m/>
    <m/>
    <m/>
    <m/>
    <m/>
    <m/>
    <m/>
    <m/>
    <m/>
    <m/>
    <m/>
    <m/>
    <n v="-209.41760000000002"/>
    <n v="73.916055499999942"/>
    <m/>
    <m/>
    <m/>
    <m/>
    <n v="-31.450279999999996"/>
    <n v="3.4473299999999973"/>
    <n v="30"/>
    <n v="4.64415290861713"/>
    <n v="0.10390459290287857"/>
    <n v="0.15651262002349364"/>
    <n v="0"/>
    <n v="0"/>
    <n v="0"/>
    <n v="0"/>
    <n v="0"/>
    <n v="0.3672571540189864"/>
    <n v="0"/>
    <n v="0"/>
    <n v="3.4462857030803598"/>
    <n v="0"/>
    <n v="0"/>
    <n v="0"/>
    <n v="0.57655715563056642"/>
    <n v="0"/>
    <n v="0"/>
    <m/>
    <n v="0"/>
    <n v="0"/>
    <n v="0"/>
    <n v="0"/>
    <n v="0"/>
    <n v="-6.3643170391486925E-3"/>
    <n v="0"/>
    <n v="0"/>
    <m/>
    <m/>
    <m/>
    <n v="58.196202095359951"/>
    <n v="0"/>
    <n v="0"/>
    <n v="-31.450279999999999"/>
    <n v="3.4473300000000009"/>
    <n v="0"/>
    <n v="0"/>
    <n v="-32.64746990778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3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10.193"/>
    <n v="110.193"/>
    <n v="110.193"/>
    <n v="110.193"/>
    <m/>
    <n v="510.28"/>
    <n v="209.4"/>
    <m/>
    <n v="79303.698239999998"/>
    <n v="79303.698239999998"/>
    <n v="58868.406390000004"/>
    <n v="0"/>
    <n v="0"/>
    <n v="0"/>
    <n v="0"/>
    <n v="0"/>
    <n v="8175.3448184851868"/>
    <n v="42468.967533072842"/>
    <n v="22771.465630950417"/>
    <n v="303.35746829876166"/>
    <n v="0"/>
    <n v="0"/>
    <n v="0"/>
    <n v="0"/>
    <n v="0"/>
    <m/>
    <n v="200.87790685413066"/>
    <n v="628.04288504620865"/>
    <n v="946.02783841881717"/>
    <n v="0"/>
    <n v="0"/>
    <n v="0"/>
    <n v="0"/>
    <n v="0"/>
    <n v="0"/>
    <n v="0"/>
    <n v="0"/>
    <n v="0"/>
    <n v="0"/>
    <m/>
    <n v="0"/>
    <n v="0"/>
    <n v="0"/>
    <n v="0"/>
    <n v="0"/>
    <n v="3809.6236310255645"/>
    <n v="0"/>
    <n v="74.91"/>
    <n v="350.7"/>
    <n v="11843.06"/>
    <n v="512"/>
    <m/>
    <m/>
    <m/>
    <m/>
    <m/>
    <m/>
    <m/>
    <n v="23547.142169999999"/>
    <m/>
    <n v="26581.089261975983"/>
    <m/>
    <m/>
    <m/>
    <m/>
    <m/>
    <m/>
    <m/>
    <m/>
    <m/>
    <m/>
    <m/>
    <m/>
    <n v="35320.302599999995"/>
    <n v="-12262.166730000012"/>
    <m/>
    <m/>
    <m/>
    <m/>
    <n v="-22950.998039999995"/>
    <n v="2515.7061899999981"/>
    <n v="30"/>
    <n v="3389.0936520479881"/>
    <n v="75.824892753290669"/>
    <n v="114.21586184270757"/>
    <n v="0"/>
    <n v="0"/>
    <n v="0"/>
    <n v="0"/>
    <n v="0"/>
    <n v="268.00773227029367"/>
    <n v="0"/>
    <n v="0"/>
    <n v="2514.9441091359877"/>
    <n v="0"/>
    <n v="0"/>
    <n v="0"/>
    <n v="420.74544801588763"/>
    <n v="0"/>
    <n v="0"/>
    <m/>
    <n v="0"/>
    <n v="0"/>
    <n v="0"/>
    <n v="0"/>
    <n v="0"/>
    <n v="-4.6443919701650032"/>
    <n v="0"/>
    <n v="0"/>
    <m/>
    <m/>
    <m/>
    <n v="42468.967533072842"/>
    <n v="0"/>
    <n v="0"/>
    <n v="-22950.998039999999"/>
    <n v="2515.7061900000008"/>
    <n v="0"/>
    <n v="0"/>
    <n v="-23824.6533215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4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7.0000000000000007E-2"/>
    <n v="7.0000000000000007E-2"/>
    <n v="7.0000000000000007E-2"/>
    <n v="7.0000000000000007E-2"/>
    <m/>
    <n v="510.28"/>
    <n v="209.4"/>
    <m/>
    <n v="50.377600000000001"/>
    <n v="50.377600000000001"/>
    <n v="37.396100000000004"/>
    <n v="0"/>
    <n v="0"/>
    <n v="0"/>
    <n v="0"/>
    <n v="0"/>
    <n v="5.1933801357070148"/>
    <n v="26.978371832286072"/>
    <n v="14.465552205371752"/>
    <n v="0.19270754749315583"/>
    <n v="0"/>
    <n v="0"/>
    <n v="0"/>
    <n v="0"/>
    <n v="0"/>
    <m/>
    <n v="0.12760750210802091"/>
    <n v="0.39896365425421404"/>
    <n v="0.60096329793468917"/>
    <n v="0"/>
    <n v="0"/>
    <n v="0"/>
    <n v="0"/>
    <n v="0"/>
    <n v="0"/>
    <n v="0"/>
    <n v="0"/>
    <n v="0"/>
    <n v="0"/>
    <m/>
    <n v="0"/>
    <n v="0"/>
    <n v="0"/>
    <n v="0"/>
    <n v="0"/>
    <n v="2.4200598420207231"/>
    <n v="0"/>
    <n v="0.05"/>
    <n v="0.31"/>
    <n v="7.59"/>
    <n v="0"/>
    <m/>
    <m/>
    <m/>
    <m/>
    <m/>
    <m/>
    <m/>
    <n v="14.958300000000001"/>
    <m/>
    <n v="16.885612047392474"/>
    <m/>
    <m/>
    <m/>
    <m/>
    <m/>
    <m/>
    <m/>
    <m/>
    <m/>
    <m/>
    <m/>
    <m/>
    <n v="22.437800000000003"/>
    <n v="-7.8189000000000028"/>
    <m/>
    <m/>
    <m/>
    <m/>
    <n v="-14.579599999999999"/>
    <n v="1.598099999999999"/>
    <n v="30"/>
    <n v="2.1529185669086139"/>
    <n v="4.8167692074182145E-2"/>
    <n v="7.255551921618919E-2"/>
    <n v="0"/>
    <n v="0"/>
    <n v="0"/>
    <n v="0"/>
    <n v="0"/>
    <n v="0.17025166080350473"/>
    <n v="0"/>
    <n v="0"/>
    <n v="1.5976158888451994"/>
    <n v="0"/>
    <n v="0"/>
    <n v="0"/>
    <n v="0.26727815161681878"/>
    <n v="0"/>
    <n v="0"/>
    <m/>
    <n v="0"/>
    <n v="0"/>
    <n v="0"/>
    <n v="0"/>
    <n v="0"/>
    <n v="-2.9503456472874945E-3"/>
    <n v="0"/>
    <n v="0"/>
    <m/>
    <m/>
    <m/>
    <n v="26.978371832286072"/>
    <n v="0"/>
    <n v="0"/>
    <n v="-14.579599999999999"/>
    <n v="1.5980999999999987"/>
    <n v="0"/>
    <n v="0"/>
    <n v="-15.13458869897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5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0.127"/>
    <n v="-0.53339999999999999"/>
    <n v="0.127"/>
    <n v="-0.53339999999999999"/>
    <m/>
    <n v="510.28"/>
    <n v="209.4"/>
    <m/>
    <n v="91.399360000000001"/>
    <n v="91.399360000000001"/>
    <n v="67.84720999999999"/>
    <n v="0"/>
    <n v="0"/>
    <n v="0"/>
    <n v="0"/>
    <n v="0"/>
    <n v="9.4222753890684405"/>
    <n v="48.946474610004728"/>
    <n v="26.244644715460176"/>
    <n v="0.34962655045186841"/>
    <n v="0"/>
    <n v="0"/>
    <n v="0"/>
    <n v="0"/>
    <n v="0"/>
    <m/>
    <n v="0.23151646811026649"/>
    <n v="0.72383405843264548"/>
    <n v="1.0903191262529361"/>
    <n v="0"/>
    <n v="0"/>
    <n v="0"/>
    <n v="0"/>
    <n v="0"/>
    <n v="0"/>
    <n v="0"/>
    <n v="0"/>
    <n v="0"/>
    <n v="0"/>
    <m/>
    <n v="0"/>
    <n v="0"/>
    <n v="0"/>
    <n v="0"/>
    <n v="0"/>
    <n v="4.3906799990947407"/>
    <n v="0"/>
    <n v="0.09"/>
    <n v="0.4"/>
    <n v="58.76"/>
    <n v="0"/>
    <m/>
    <m/>
    <m/>
    <m/>
    <m/>
    <m/>
    <m/>
    <n v="238.82324599999998"/>
    <m/>
    <n v="30.635324714554915"/>
    <m/>
    <m/>
    <m/>
    <m/>
    <m/>
    <m/>
    <m/>
    <m/>
    <m/>
    <m/>
    <m/>
    <m/>
    <n v="-169.8862"/>
    <n v="60.411254000000014"/>
    <m/>
    <m/>
    <m/>
    <m/>
    <n v="-26.451559999999997"/>
    <n v="2.8994099999999978"/>
    <n v="30"/>
    <n v="3.9060093999627625"/>
    <n v="8.7389955620301829E-2"/>
    <n v="0.13163644200651436"/>
    <n v="0"/>
    <n v="0"/>
    <n v="0"/>
    <n v="0"/>
    <n v="0"/>
    <n v="0.30888515602921451"/>
    <n v="0"/>
    <n v="0"/>
    <n v="2.8985316840477182"/>
    <n v="0"/>
    <n v="0"/>
    <n v="0"/>
    <n v="0.48491893221908544"/>
    <n v="0"/>
    <n v="0"/>
    <m/>
    <n v="0"/>
    <n v="0"/>
    <n v="0"/>
    <n v="0"/>
    <n v="0"/>
    <n v="-5.3527699600787459E-3"/>
    <n v="0"/>
    <n v="0"/>
    <m/>
    <m/>
    <m/>
    <n v="48.946474610004728"/>
    <n v="0"/>
    <n v="0"/>
    <n v="-26.451560000000001"/>
    <n v="2.899409999999996"/>
    <n v="0"/>
    <n v="0"/>
    <n v="-27.45846806813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6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84.488"/>
    <n v="84.488"/>
    <n v="84.488"/>
    <n v="84.488"/>
    <m/>
    <n v="510.28"/>
    <n v="209.4"/>
    <m/>
    <n v="60804.323839999997"/>
    <n v="60804.323839999997"/>
    <n v="45136.024239999999"/>
    <n v="0"/>
    <n v="0"/>
    <n v="0"/>
    <n v="0"/>
    <n v="0"/>
    <n v="6268.2614415087746"/>
    <n v="32562.123990945507"/>
    <n v="17459.50821039212"/>
    <n v="232.59250389431068"/>
    <n v="0"/>
    <n v="0"/>
    <n v="0"/>
    <n v="0"/>
    <n v="0"/>
    <m/>
    <n v="154.01860911574957"/>
    <n v="481.53773172328619"/>
    <n v="725.34553022722878"/>
    <n v="0"/>
    <n v="0"/>
    <n v="0"/>
    <n v="0"/>
    <n v="0"/>
    <n v="0"/>
    <n v="0"/>
    <n v="0"/>
    <n v="0"/>
    <n v="0"/>
    <m/>
    <n v="0"/>
    <n v="0"/>
    <n v="0"/>
    <n v="0"/>
    <n v="0"/>
    <n v="2920.9430847520975"/>
    <n v="0"/>
    <n v="81.72"/>
    <n v="403.54"/>
    <n v="13696.83"/>
    <n v="1019"/>
    <m/>
    <m/>
    <m/>
    <m/>
    <m/>
    <m/>
    <m/>
    <n v="4514.1938399999981"/>
    <m/>
    <n v="20380.451295144216"/>
    <m/>
    <m/>
    <m/>
    <m/>
    <m/>
    <m/>
    <m/>
    <m/>
    <m/>
    <m/>
    <m/>
    <m/>
    <n v="40622.792000000001"/>
    <n v="-14100.960480000009"/>
    <m/>
    <m/>
    <m/>
    <m/>
    <n v="-17597.160639999998"/>
    <n v="1928.8610399999986"/>
    <n v="30"/>
    <n v="2598.5111982996314"/>
    <n v="58.137028113764302"/>
    <n v="87.572438679105517"/>
    <n v="0"/>
    <n v="0"/>
    <n v="0"/>
    <n v="0"/>
    <n v="0"/>
    <n v="205.48889025666358"/>
    <n v="0"/>
    <n v="0"/>
    <n v="1928.2767316679019"/>
    <n v="0"/>
    <n v="0"/>
    <n v="0"/>
    <n v="322.597092482883"/>
    <n v="0"/>
    <n v="0"/>
    <m/>
    <n v="0"/>
    <n v="0"/>
    <n v="0"/>
    <n v="0"/>
    <n v="0"/>
    <n v="-3.5609829006860707"/>
    <n v="0"/>
    <n v="0"/>
    <m/>
    <m/>
    <m/>
    <n v="32562.123990945507"/>
    <n v="0"/>
    <n v="0"/>
    <n v="-17597.160639999998"/>
    <n v="1928.8610399999998"/>
    <n v="0"/>
    <n v="0"/>
    <n v="-18267.01614284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7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-2.4E-2"/>
    <n v="-2.4E-2"/>
    <n v="-2.4E-2"/>
    <n v="-2.4E-2"/>
    <m/>
    <n v="510.28"/>
    <n v="209.4"/>
    <m/>
    <n v="-17.272320000000001"/>
    <n v="-17.272320000000001"/>
    <n v="-12.82152"/>
    <n v="0"/>
    <n v="0"/>
    <n v="0"/>
    <n v="0"/>
    <n v="0"/>
    <n v="-1.7805874750995478"/>
    <n v="-9.2497274853552245"/>
    <n v="-4.9596178989846003"/>
    <n v="-6.6071159140510566E-2"/>
    <n v="0"/>
    <n v="0"/>
    <n v="0"/>
    <n v="0"/>
    <n v="0"/>
    <m/>
    <n v="-4.3751143579892883E-2"/>
    <n v="-0.13678753860144482"/>
    <n v="-0.20604455929189341"/>
    <n v="0"/>
    <n v="0"/>
    <n v="0"/>
    <n v="0"/>
    <n v="0"/>
    <n v="0"/>
    <n v="0"/>
    <n v="0"/>
    <n v="0"/>
    <n v="0"/>
    <m/>
    <n v="0"/>
    <n v="0"/>
    <n v="0"/>
    <n v="0"/>
    <n v="0"/>
    <n v="-0.82973480297853364"/>
    <n v="0"/>
    <n v="0"/>
    <n v="0.16"/>
    <n v="-3.8"/>
    <n v="0"/>
    <m/>
    <m/>
    <m/>
    <m/>
    <m/>
    <m/>
    <m/>
    <n v="-1.2823199999999995"/>
    <m/>
    <n v="-5.7893527019631339"/>
    <m/>
    <m/>
    <m/>
    <m/>
    <m/>
    <m/>
    <m/>
    <m/>
    <m/>
    <m/>
    <m/>
    <m/>
    <n v="-9.6159999999999997"/>
    <n v="5.8990400000000012"/>
    <m/>
    <m/>
    <m/>
    <m/>
    <n v="4.9987199999999996"/>
    <n v="-0.54791999999999963"/>
    <n v="30"/>
    <n v="-0.73814350865437994"/>
    <n v="-1.6514637282576711E-2"/>
    <n v="-2.4876178016979139E-2"/>
    <n v="0"/>
    <n v="0"/>
    <n v="0"/>
    <n v="0"/>
    <n v="0"/>
    <n v="-5.8371997989772773E-2"/>
    <n v="0"/>
    <n v="0"/>
    <n v="-0.54775401903263976"/>
    <n v="0"/>
    <n v="0"/>
    <n v="0"/>
    <n v="-9.1638223411480757E-2"/>
    <n v="0"/>
    <n v="0"/>
    <m/>
    <n v="0"/>
    <n v="0"/>
    <n v="0"/>
    <n v="0"/>
    <n v="0"/>
    <n v="1.0115470790700021E-3"/>
    <n v="0"/>
    <n v="0"/>
    <m/>
    <m/>
    <m/>
    <n v="-9.2497274853552245"/>
    <n v="0"/>
    <n v="0"/>
    <n v="4.9987199999999996"/>
    <n v="-0.54792000000000041"/>
    <n v="0"/>
    <n v="0"/>
    <n v="5.189001839648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8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0.12"/>
    <n v="-3.5999999999999997E-2"/>
    <n v="0.12"/>
    <n v="-3.5999999999999997E-2"/>
    <m/>
    <n v="510.28"/>
    <n v="209.4"/>
    <m/>
    <n v="86.361599999999996"/>
    <n v="86.361599999999996"/>
    <n v="64.107600000000005"/>
    <n v="0"/>
    <n v="0"/>
    <n v="0"/>
    <n v="0"/>
    <n v="0"/>
    <n v="8.9029373754977392"/>
    <n v="46.248637426776121"/>
    <n v="24.798089494922998"/>
    <n v="0.3303557957025528"/>
    <n v="0"/>
    <n v="0"/>
    <n v="0"/>
    <n v="0"/>
    <n v="0"/>
    <m/>
    <n v="0.21875571789946438"/>
    <n v="0.68393769300722407"/>
    <n v="1.030222796459467"/>
    <n v="0"/>
    <n v="0"/>
    <n v="0"/>
    <n v="0"/>
    <n v="0"/>
    <n v="0"/>
    <n v="0"/>
    <n v="0"/>
    <n v="0"/>
    <n v="0"/>
    <m/>
    <n v="0"/>
    <n v="0"/>
    <n v="0"/>
    <n v="0"/>
    <n v="0"/>
    <n v="4.1486740148926682"/>
    <n v="0"/>
    <n v="0.12"/>
    <n v="0.56999999999999995"/>
    <n v="103.67"/>
    <n v="9"/>
    <m/>
    <m/>
    <m/>
    <m/>
    <m/>
    <m/>
    <m/>
    <n v="81.416399999999996"/>
    <m/>
    <n v="28.946763509815668"/>
    <m/>
    <m/>
    <m/>
    <m/>
    <m/>
    <m/>
    <m/>
    <m/>
    <m/>
    <m/>
    <m/>
    <m/>
    <n v="-19.231999999999999"/>
    <n v="4.0555599999999927"/>
    <m/>
    <m/>
    <m/>
    <m/>
    <n v="-24.993599999999997"/>
    <n v="2.739599999999998"/>
    <n v="30"/>
    <n v="3.6907175432718944"/>
    <n v="8.2573186412883581E-2"/>
    <n v="0.12438089008489572"/>
    <n v="0"/>
    <n v="0"/>
    <n v="0"/>
    <n v="0"/>
    <n v="0"/>
    <n v="0.29185998994886297"/>
    <n v="0"/>
    <n v="0"/>
    <n v="2.7387700951632006"/>
    <n v="0"/>
    <n v="0"/>
    <n v="0"/>
    <n v="0.45819111705740312"/>
    <n v="0"/>
    <n v="0"/>
    <m/>
    <n v="0"/>
    <n v="0"/>
    <n v="0"/>
    <n v="0"/>
    <n v="0"/>
    <n v="-5.0577353953499826E-3"/>
    <n v="0"/>
    <n v="0"/>
    <m/>
    <m/>
    <m/>
    <n v="46.248637426776121"/>
    <n v="0"/>
    <n v="0"/>
    <n v="-24.993599999999994"/>
    <n v="2.7395999999999994"/>
    <n v="0"/>
    <n v="0"/>
    <n v="-25.94500919824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69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8.498000000000001"/>
    <n v="18.498000000000001"/>
    <n v="18.498000000000001"/>
    <n v="18.498000000000001"/>
    <m/>
    <n v="510.28"/>
    <n v="209.4"/>
    <m/>
    <n v="13312.64064"/>
    <n v="13312.64064"/>
    <n v="9882.1865400000006"/>
    <n v="0"/>
    <n v="0"/>
    <n v="0"/>
    <n v="0"/>
    <n v="0"/>
    <n v="1372.3877964329765"/>
    <n v="7129.2274593375396"/>
    <n v="3822.6254956423809"/>
    <n v="50.924345907548521"/>
    <n v="0"/>
    <n v="0"/>
    <n v="0"/>
    <n v="0"/>
    <n v="0"/>
    <m/>
    <n v="33.721193914202438"/>
    <n v="105.42899537706359"/>
    <n v="158.80884407422687"/>
    <n v="0"/>
    <n v="0"/>
    <n v="0"/>
    <n v="0"/>
    <n v="0"/>
    <n v="0"/>
    <n v="0"/>
    <n v="0"/>
    <n v="0"/>
    <n v="0"/>
    <m/>
    <n v="0"/>
    <n v="0"/>
    <n v="0"/>
    <n v="0"/>
    <n v="0"/>
    <n v="639.51809939570478"/>
    <n v="0"/>
    <n v="20.29"/>
    <n v="97.29"/>
    <n v="3332.05"/>
    <n v="254"/>
    <m/>
    <m/>
    <m/>
    <m/>
    <m/>
    <m/>
    <m/>
    <m/>
    <m/>
    <n v="4462.1435950380856"/>
    <m/>
    <m/>
    <m/>
    <m/>
    <m/>
    <m/>
    <m/>
    <m/>
    <m/>
    <m/>
    <m/>
    <m/>
    <n v="9883.255000000001"/>
    <n v="-3429.4156399999993"/>
    <m/>
    <m/>
    <m/>
    <m/>
    <n v="-3852.7634399999997"/>
    <n v="422.30933999999974"/>
    <n v="30"/>
    <n v="568.92410929536163"/>
    <n v="12.728656685546014"/>
    <n v="19.173314206586667"/>
    <n v="0"/>
    <n v="0"/>
    <n v="0"/>
    <n v="0"/>
    <n v="0"/>
    <n v="44.990217450617365"/>
    <n v="0"/>
    <n v="0"/>
    <n v="422.18141016940717"/>
    <n v="0"/>
    <n v="0"/>
    <n v="0"/>
    <n v="70.630160694398796"/>
    <n v="0"/>
    <n v="0"/>
    <m/>
    <n v="0"/>
    <n v="0"/>
    <n v="0"/>
    <n v="0"/>
    <n v="0"/>
    <n v="-0.77964991119319649"/>
    <n v="0"/>
    <n v="0"/>
    <m/>
    <m/>
    <m/>
    <n v="7129.2274593375396"/>
    <n v="0"/>
    <n v="0"/>
    <n v="-3852.7634399999988"/>
    <n v="422.30933999999979"/>
    <n v="0"/>
    <n v="0"/>
    <n v="-3999.4231679087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0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-2.7E-2"/>
    <n v="-2.7E-2"/>
    <n v="-2.7E-2"/>
    <n v="-2.7E-2"/>
    <m/>
    <n v="510.28"/>
    <n v="209.4"/>
    <m/>
    <n v="-19.431359999999998"/>
    <n v="-19.431359999999998"/>
    <n v="-14.424209999999999"/>
    <n v="0"/>
    <n v="0"/>
    <n v="0"/>
    <n v="0"/>
    <n v="0"/>
    <n v="-2.0031609094869913"/>
    <n v="-10.405943421024627"/>
    <n v="-5.5795701363576748"/>
    <n v="-7.4330054033074383E-2"/>
    <n v="0"/>
    <n v="0"/>
    <n v="0"/>
    <n v="0"/>
    <n v="0"/>
    <m/>
    <n v="-4.9220036527379489E-2"/>
    <n v="-0.15388598092662542"/>
    <n v="-0.23180012920338008"/>
    <n v="0"/>
    <n v="0"/>
    <n v="0"/>
    <n v="0"/>
    <n v="0"/>
    <n v="0"/>
    <n v="0"/>
    <n v="0"/>
    <n v="0"/>
    <n v="0"/>
    <m/>
    <n v="0"/>
    <n v="0"/>
    <n v="0"/>
    <n v="0"/>
    <n v="0"/>
    <n v="-0.93345165335085023"/>
    <n v="0"/>
    <n v="0.02"/>
    <n v="0.68"/>
    <n v="-4.5599999999999996"/>
    <n v="0"/>
    <m/>
    <m/>
    <m/>
    <m/>
    <m/>
    <m/>
    <m/>
    <m/>
    <m/>
    <n v="-6.5130217897085254"/>
    <m/>
    <m/>
    <m/>
    <m/>
    <m/>
    <m/>
    <m/>
    <m/>
    <m/>
    <m/>
    <m/>
    <m/>
    <n v="-16.026900000000001"/>
    <n v="3.3744599999999991"/>
    <m/>
    <m/>
    <m/>
    <m/>
    <n v="5.6235599999999994"/>
    <n v="-0.61640999999999957"/>
    <n v="30"/>
    <n v="-0.83041144723617499"/>
    <n v="-1.8578966942898789E-2"/>
    <n v="-2.7985700269101549E-2"/>
    <n v="0"/>
    <n v="0"/>
    <n v="0"/>
    <n v="0"/>
    <n v="0"/>
    <n v="-6.566849773849448E-2"/>
    <n v="0"/>
    <n v="0"/>
    <n v="-0.61622327141171951"/>
    <n v="0"/>
    <n v="0"/>
    <n v="0"/>
    <n v="-0.10309300133791599"/>
    <n v="0"/>
    <n v="0"/>
    <m/>
    <n v="0"/>
    <n v="0"/>
    <n v="0"/>
    <n v="0"/>
    <n v="0"/>
    <n v="1.1379904639537489E-3"/>
    <n v="0"/>
    <n v="0"/>
    <m/>
    <m/>
    <m/>
    <n v="-10.405943421024627"/>
    <n v="0"/>
    <n v="0"/>
    <n v="5.6235599999999994"/>
    <n v="-0.61640999999999924"/>
    <n v="0"/>
    <n v="0"/>
    <n v="5.83762706960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1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0.72899999999999998"/>
    <n v="0.72899999999999998"/>
    <n v="0.72899999999999998"/>
    <n v="0.72899999999999998"/>
    <m/>
    <n v="510.28"/>
    <n v="209.4"/>
    <m/>
    <n v="524.64671999999996"/>
    <n v="524.64671999999996"/>
    <n v="389.45366999999999"/>
    <n v="0"/>
    <n v="0"/>
    <n v="0"/>
    <n v="0"/>
    <n v="0"/>
    <n v="54.085344556148762"/>
    <n v="280.96047236766492"/>
    <n v="150.64839368165721"/>
    <n v="2.0069114588930081"/>
    <n v="0"/>
    <n v="0"/>
    <n v="0"/>
    <n v="0"/>
    <n v="0"/>
    <m/>
    <n v="1.3289409862392463"/>
    <n v="4.1549214850188863"/>
    <n v="6.2586034884912625"/>
    <n v="0"/>
    <n v="0"/>
    <n v="0"/>
    <n v="0"/>
    <n v="0"/>
    <n v="0"/>
    <n v="0"/>
    <n v="0"/>
    <n v="0"/>
    <n v="0"/>
    <m/>
    <n v="0"/>
    <n v="0"/>
    <n v="0"/>
    <n v="0"/>
    <n v="0"/>
    <n v="25.203194640472958"/>
    <n v="0"/>
    <n v="0.82"/>
    <n v="3.83"/>
    <n v="168.31"/>
    <n v="4"/>
    <m/>
    <m/>
    <m/>
    <m/>
    <m/>
    <m/>
    <m/>
    <m/>
    <m/>
    <n v="175.85158832213017"/>
    <m/>
    <m/>
    <m/>
    <m/>
    <m/>
    <m/>
    <m/>
    <m/>
    <m/>
    <m/>
    <m/>
    <m/>
    <n v="389.98789999999997"/>
    <n v="-134.68881999999996"/>
    <m/>
    <m/>
    <m/>
    <m/>
    <n v="-151.83611999999997"/>
    <n v="16.643069999999987"/>
    <n v="30"/>
    <n v="22.421109075376734"/>
    <n v="0.50163210745826792"/>
    <n v="0.75561390726574107"/>
    <n v="0"/>
    <n v="0"/>
    <n v="0"/>
    <n v="0"/>
    <n v="0"/>
    <n v="1.7730494389393527"/>
    <n v="0"/>
    <n v="0"/>
    <n v="16.638028328116434"/>
    <n v="0"/>
    <n v="0"/>
    <n v="0"/>
    <n v="2.783511036123727"/>
    <n v="0"/>
    <n v="0"/>
    <m/>
    <n v="0"/>
    <n v="0"/>
    <n v="0"/>
    <n v="0"/>
    <n v="0"/>
    <n v="-3.072574252675131E-2"/>
    <n v="0"/>
    <n v="0"/>
    <m/>
    <m/>
    <m/>
    <n v="280.96047236766492"/>
    <n v="0"/>
    <n v="0"/>
    <n v="-151.83611999999997"/>
    <n v="16.643069999999994"/>
    <n v="0"/>
    <n v="0"/>
    <n v="-157.61593087930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2"/>
    <s v="PROJETADO"/>
    <s v="Branca"/>
    <s v="B1"/>
    <s v="Residencial"/>
    <s v="Residencial"/>
    <s v="Não se aplica"/>
    <s v="Não se aplica"/>
    <s v="Ponta"/>
    <s v="CATIVO"/>
    <x v="11"/>
    <n v="0"/>
    <n v="0"/>
    <n v="3.6999999999999998E-2"/>
    <n v="3.6999999999999998E-2"/>
    <n v="3.6999999999999998E-2"/>
    <n v="3.6999999999999998E-2"/>
    <m/>
    <n v="1292.1099999999999"/>
    <n v="209.4"/>
    <m/>
    <n v="55.555869999999992"/>
    <n v="55.555869999999992"/>
    <n v="36.880859999999998"/>
    <n v="0"/>
    <n v="2.2769025766370561"/>
    <n v="0"/>
    <n v="0"/>
    <n v="0"/>
    <n v="6.861459776016102"/>
    <n v="35.650003954916144"/>
    <n v="7.6460775942679247"/>
    <n v="0.10185970367495378"/>
    <n v="0"/>
    <n v="0"/>
    <n v="0"/>
    <n v="0"/>
    <n v="0.35185526086961094"/>
    <m/>
    <n v="6.7449679685668187E-2"/>
    <n v="0.52720672008397629"/>
    <n v="0.7941300722708392"/>
    <n v="0"/>
    <n v="0"/>
    <n v="0"/>
    <n v="0"/>
    <n v="0"/>
    <n v="0"/>
    <n v="0"/>
    <n v="0"/>
    <n v="0"/>
    <n v="0"/>
    <m/>
    <n v="0"/>
    <n v="0"/>
    <n v="0"/>
    <n v="0"/>
    <n v="0"/>
    <n v="1.2791744879252391"/>
    <n v="0"/>
    <n v="0"/>
    <n v="0"/>
    <n v="0"/>
    <n v="0"/>
    <m/>
    <m/>
    <m/>
    <m/>
    <m/>
    <m/>
    <m/>
    <m/>
    <m/>
    <n v="8.9252520821931647"/>
    <m/>
    <m/>
    <m/>
    <m/>
    <m/>
    <m/>
    <m/>
    <m/>
    <m/>
    <m/>
    <m/>
    <m/>
    <n v="39.871199999999995"/>
    <n v="-15.714669999999991"/>
    <m/>
    <m/>
    <m/>
    <m/>
    <n v="-19.519719999999996"/>
    <n v="0.84470999999999941"/>
    <n v="30"/>
    <n v="1.3237852640395893"/>
    <n v="6.3650737809475277E-2"/>
    <n v="9.5876936107106236E-2"/>
    <n v="0"/>
    <n v="0"/>
    <n v="0"/>
    <n v="0"/>
    <n v="0"/>
    <n v="0.22493537770738392"/>
    <n v="0"/>
    <n v="0"/>
    <n v="0.84445411267531956"/>
    <n v="0"/>
    <n v="0"/>
    <n v="0"/>
    <n v="0.14127559442603288"/>
    <n v="0"/>
    <n v="-3.9691245399161357E-2"/>
    <m/>
    <n v="0"/>
    <n v="0"/>
    <n v="0"/>
    <n v="0"/>
    <n v="-5.1567808729949816E-3"/>
    <n v="-1.5594684135662451E-3"/>
    <n v="0"/>
    <n v="0"/>
    <m/>
    <m/>
    <m/>
    <n v="35.650003954916144"/>
    <n v="0"/>
    <n v="0"/>
    <n v="-19.519719999999996"/>
    <n v="0.84470999999999918"/>
    <n v="0"/>
    <n v="0"/>
    <n v="-19.99928499498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3"/>
    <s v="PROJETADO"/>
    <s v="Branca"/>
    <s v="B1"/>
    <s v="Residencial"/>
    <s v="Residencial"/>
    <s v="Não se aplica"/>
    <s v="Não se aplica"/>
    <s v="Fora ponta"/>
    <s v="CATIVO"/>
    <x v="11"/>
    <n v="0"/>
    <n v="0"/>
    <n v="0.40400000000000003"/>
    <n v="0.40400000000000003"/>
    <n v="0.40400000000000003"/>
    <n v="0.40400000000000003"/>
    <m/>
    <n v="344.38"/>
    <n v="209.4"/>
    <m/>
    <n v="223.72712000000001"/>
    <n v="223.72712000000001"/>
    <n v="191.15260000000001"/>
    <n v="0"/>
    <n v="24.861314620577591"/>
    <n v="0"/>
    <n v="0"/>
    <n v="0"/>
    <n v="14.986611248754549"/>
    <n v="77.851873001740017"/>
    <n v="83.4869012995741"/>
    <n v="1.1121978455319279"/>
    <n v="0"/>
    <n v="0"/>
    <n v="0"/>
    <n v="0"/>
    <n v="3.8418790646303469"/>
    <m/>
    <n v="0.73647758359486348"/>
    <n v="1.1512951165621605"/>
    <n v="1.7342083740401031"/>
    <n v="0"/>
    <n v="0"/>
    <n v="0"/>
    <n v="0"/>
    <n v="0"/>
    <n v="0"/>
    <n v="0"/>
    <n v="0"/>
    <n v="0"/>
    <n v="0"/>
    <m/>
    <n v="0"/>
    <n v="0"/>
    <n v="0"/>
    <n v="0"/>
    <n v="0"/>
    <n v="13.967202516805317"/>
    <n v="0"/>
    <n v="0"/>
    <n v="0"/>
    <n v="0"/>
    <n v="0"/>
    <m/>
    <m/>
    <m/>
    <m/>
    <m/>
    <m/>
    <m/>
    <m/>
    <m/>
    <n v="97.454103816379416"/>
    <m/>
    <m/>
    <m/>
    <m/>
    <m/>
    <m/>
    <m/>
    <m/>
    <m/>
    <m/>
    <m/>
    <m/>
    <n v="189.26"/>
    <n v="-34.497119999999995"/>
    <m/>
    <m/>
    <m/>
    <m/>
    <n v="-41.797840000000008"/>
    <n v="9.223319999999994"/>
    <n v="30"/>
    <n v="11.096053421290975"/>
    <n v="0.13899819712835182"/>
    <n v="0.20937449830957644"/>
    <n v="0"/>
    <n v="0"/>
    <n v="0"/>
    <n v="0"/>
    <n v="0"/>
    <n v="0.49129764974725454"/>
    <n v="0"/>
    <n v="0"/>
    <n v="9.2205259870494416"/>
    <n v="0"/>
    <n v="0"/>
    <n v="0"/>
    <n v="1.5425767607599248"/>
    <n v="0"/>
    <n v="-0.43338549030435658"/>
    <m/>
    <n v="0"/>
    <n v="0"/>
    <n v="0"/>
    <n v="0"/>
    <n v="-5.6306472234863847E-2"/>
    <n v="-1.7027709164344929E-2"/>
    <n v="0"/>
    <n v="0"/>
    <m/>
    <m/>
    <m/>
    <n v="77.851873001740017"/>
    <n v="0"/>
    <n v="0"/>
    <n v="-41.797840000000008"/>
    <n v="9.2233199999999869"/>
    <n v="0"/>
    <n v="0"/>
    <n v="-43.674098817037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4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53"/>
    <n v="2.4700000000000002"/>
    <n v="85.0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75"/>
    <s v="PROJETADO"/>
    <s v="Branca"/>
    <s v="B1"/>
    <s v="Residencial"/>
    <s v="Residencial"/>
    <s v="Não se aplica"/>
    <s v="Não se aplica"/>
    <s v="Intermediário"/>
    <s v="CATIVO"/>
    <x v="11"/>
    <n v="0"/>
    <n v="0"/>
    <n v="3.3000000000000002E-2"/>
    <n v="3.3000000000000002E-2"/>
    <n v="3.3000000000000002E-2"/>
    <n v="3.3000000000000002E-2"/>
    <m/>
    <n v="818.26"/>
    <n v="209.4"/>
    <m/>
    <n v="33.912780000000005"/>
    <n v="33.912780000000005"/>
    <n v="24.254339999999999"/>
    <n v="0"/>
    <n v="2.0307509467303477"/>
    <n v="0"/>
    <n v="0"/>
    <n v="0"/>
    <n v="3.6724616673928261"/>
    <n v="19.077574180940154"/>
    <n v="6.8194746111038258"/>
    <n v="9.0847843818202031E-2"/>
    <n v="0"/>
    <n v="0"/>
    <n v="0"/>
    <n v="0"/>
    <n v="0.31381685428911249"/>
    <m/>
    <n v="6.0157822422352715E-2"/>
    <n v="0.28212853341683175"/>
    <n v="0.42496690353952893"/>
    <n v="0"/>
    <n v="0"/>
    <n v="0"/>
    <n v="0"/>
    <n v="0"/>
    <n v="0"/>
    <n v="0"/>
    <n v="0"/>
    <n v="0"/>
    <n v="0"/>
    <m/>
    <n v="0"/>
    <n v="0"/>
    <n v="0"/>
    <n v="0"/>
    <n v="0"/>
    <n v="1.1408853540954838"/>
    <n v="0"/>
    <n v="0"/>
    <n v="0"/>
    <n v="0"/>
    <n v="0"/>
    <m/>
    <m/>
    <m/>
    <m/>
    <m/>
    <m/>
    <m/>
    <m/>
    <m/>
    <n v="7.9603599651993093"/>
    <m/>
    <m/>
    <m/>
    <m/>
    <m/>
    <m/>
    <m/>
    <m/>
    <m/>
    <m/>
    <m/>
    <m/>
    <n v="22.049399999999999"/>
    <n v="-11.893380000000008"/>
    <m/>
    <m/>
    <m/>
    <m/>
    <n v="-10.41183"/>
    <n v="0.75338999999999956"/>
    <n v="30"/>
    <n v="1.0435351788430474"/>
    <n v="3.4061950701663068E-2"/>
    <n v="5.1307117160019566E-2"/>
    <n v="0"/>
    <n v="0"/>
    <n v="0"/>
    <n v="0"/>
    <n v="0"/>
    <n v="0.12039224585391306"/>
    <n v="0"/>
    <n v="0"/>
    <n v="0.753161776169879"/>
    <n v="0"/>
    <n v="0"/>
    <n v="0"/>
    <n v="0.12600255719078612"/>
    <n v="0"/>
    <n v="-3.5400299950603342E-2"/>
    <m/>
    <n v="0"/>
    <n v="0"/>
    <n v="0"/>
    <n v="0"/>
    <n v="-4.5992910488873995E-3"/>
    <n v="-1.3908772337212494E-3"/>
    <n v="0"/>
    <n v="0"/>
    <m/>
    <m/>
    <m/>
    <n v="19.077574180940154"/>
    <n v="0"/>
    <n v="0"/>
    <n v="-10.411830000000002"/>
    <n v="0.75338999999999956"/>
    <n v="0"/>
    <n v="0"/>
    <n v="-10.7023226011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6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8.6120000000000001"/>
    <n v="8.6120000000000001"/>
    <n v="8.6120000000000001"/>
    <n v="8.6120000000000001"/>
    <m/>
    <n v="581.32000000000005"/>
    <n v="209.4"/>
    <m/>
    <n v="6809.6806400000005"/>
    <n v="6809.6806400000005"/>
    <n v="5202.2508399999997"/>
    <n v="0"/>
    <n v="529.96445918914401"/>
    <n v="0"/>
    <n v="0"/>
    <n v="0"/>
    <n v="638.93413898155438"/>
    <n v="3319.1105459949663"/>
    <n v="1779.6762227523072"/>
    <n v="23.70853427158654"/>
    <n v="0"/>
    <n v="0"/>
    <n v="0"/>
    <n v="0"/>
    <n v="81.896689367813238"/>
    <m/>
    <n v="15.699368687918229"/>
    <n v="49.083928434818446"/>
    <n v="73.935656025907761"/>
    <n v="0"/>
    <n v="0"/>
    <n v="0"/>
    <n v="0"/>
    <n v="0"/>
    <n v="0"/>
    <n v="0"/>
    <n v="0"/>
    <n v="0"/>
    <n v="0"/>
    <m/>
    <n v="0"/>
    <n v="0"/>
    <n v="0"/>
    <n v="0"/>
    <n v="0"/>
    <n v="297.7365051354638"/>
    <n v="0"/>
    <n v="11.15"/>
    <n v="51.71"/>
    <n v="1091.31"/>
    <n v="7"/>
    <m/>
    <m/>
    <m/>
    <m/>
    <m/>
    <m/>
    <m/>
    <m/>
    <m/>
    <n v="2077.4127278877709"/>
    <m/>
    <m/>
    <m/>
    <m/>
    <m/>
    <m/>
    <m/>
    <m/>
    <m/>
    <m/>
    <m/>
    <m/>
    <n v="5201.0426999999991"/>
    <n v="-1608.6679400000021"/>
    <m/>
    <m/>
    <m/>
    <m/>
    <n v="-1804.0417600000007"/>
    <n v="196.61195999999987"/>
    <n v="30"/>
    <n v="254.43181454676369"/>
    <n v="5.9260023448979453"/>
    <n v="8.926401878426006"/>
    <n v="0"/>
    <n v="0"/>
    <n v="0"/>
    <n v="0"/>
    <n v="0"/>
    <n v="20.945818611996856"/>
    <n v="0"/>
    <n v="0"/>
    <n v="196.55240049621239"/>
    <n v="0"/>
    <n v="0"/>
    <n v="0"/>
    <n v="32.88284916748637"/>
    <n v="0"/>
    <n v="-9.2384055507452558"/>
    <m/>
    <n v="0"/>
    <n v="0"/>
    <n v="0"/>
    <n v="0"/>
    <n v="-1.2002755913035941"/>
    <n v="-0.36297681020628403"/>
    <n v="0"/>
    <n v="0"/>
    <m/>
    <m/>
    <m/>
    <n v="3319.1105459949663"/>
    <n v="0"/>
    <n v="0"/>
    <n v="-1804.041760000001"/>
    <n v="196.61195999999973"/>
    <n v="0"/>
    <n v="0"/>
    <n v="-1861.986826793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7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2.4910000000000001"/>
    <n v="2.4910000000000001"/>
    <n v="2.4910000000000001"/>
    <n v="2.4910000000000001"/>
    <m/>
    <n v="581.32000000000005"/>
    <n v="209.4"/>
    <m/>
    <n v="1969.68352"/>
    <n v="1969.68352"/>
    <n v="1504.73837"/>
    <n v="0"/>
    <n v="153.29092752440292"/>
    <n v="0"/>
    <n v="0"/>
    <n v="0"/>
    <n v="184.81014168637392"/>
    <n v="960.04463191749437"/>
    <n v="514.76700776544328"/>
    <n v="6.857635725792159"/>
    <n v="0"/>
    <n v="0"/>
    <n v="0"/>
    <n v="0"/>
    <n v="23.688417698005431"/>
    <m/>
    <n v="4.5410041107297152"/>
    <n v="14.19740661067496"/>
    <n v="21.38570821650444"/>
    <n v="0"/>
    <n v="0"/>
    <n v="0"/>
    <n v="0"/>
    <n v="0"/>
    <n v="0"/>
    <n v="0"/>
    <n v="0"/>
    <n v="0"/>
    <n v="0"/>
    <m/>
    <n v="0"/>
    <n v="0"/>
    <n v="0"/>
    <n v="0"/>
    <n v="0"/>
    <n v="86.119558092480304"/>
    <n v="0"/>
    <n v="3.18"/>
    <n v="14.78"/>
    <n v="382.3"/>
    <n v="3"/>
    <m/>
    <m/>
    <m/>
    <m/>
    <m/>
    <m/>
    <m/>
    <m/>
    <m/>
    <n v="600.88656585792364"/>
    <m/>
    <m/>
    <m/>
    <m/>
    <m/>
    <m/>
    <m/>
    <m/>
    <m/>
    <m/>
    <m/>
    <m/>
    <n v="1504.1343000000002"/>
    <n v="-465.57921999999985"/>
    <m/>
    <m/>
    <m/>
    <m/>
    <n v="-521.81468000000018"/>
    <n v="56.869529999999962"/>
    <n v="30"/>
    <n v="73.593781936366781"/>
    <n v="1.7140817279541078"/>
    <n v="2.5819399766789566"/>
    <n v="0"/>
    <n v="0"/>
    <n v="0"/>
    <n v="0"/>
    <n v="0"/>
    <n v="6.0585269580218153"/>
    <n v="0"/>
    <n v="0"/>
    <n v="56.852302558762744"/>
    <n v="0"/>
    <n v="0"/>
    <n v="0"/>
    <n v="9.5112839382499317"/>
    <n v="0"/>
    <n v="-2.672186278089498"/>
    <m/>
    <n v="0"/>
    <n v="0"/>
    <n v="0"/>
    <n v="0"/>
    <n v="-0.34717678796298657"/>
    <n v="-0.10499015724847371"/>
    <n v="0"/>
    <n v="0"/>
    <m/>
    <m/>
    <m/>
    <n v="960.04463191749437"/>
    <n v="0"/>
    <n v="0"/>
    <n v="-521.81468000000018"/>
    <n v="56.869529999999941"/>
    <n v="0"/>
    <n v="0"/>
    <n v="-538.5751492734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8"/>
    <s v="PROJETADO"/>
    <s v="Verde"/>
    <s v="A4"/>
    <s v="Industrial"/>
    <s v="Não se aplica"/>
    <s v="Não se aplica"/>
    <s v="Não se aplica"/>
    <s v="Ponta"/>
    <s v="CATIVO"/>
    <x v="11"/>
    <n v="0"/>
    <n v="0"/>
    <n v="12.183999999999999"/>
    <n v="12.183999999999999"/>
    <n v="12.183999999999999"/>
    <n v="12.183999999999999"/>
    <m/>
    <n v="1614.19"/>
    <n v="209.4"/>
    <m/>
    <n v="22218.620559999999"/>
    <n v="22218.620559999999"/>
    <n v="14768.835599999999"/>
    <n v="0"/>
    <n v="652.3067422853768"/>
    <n v="0"/>
    <n v="0"/>
    <n v="0"/>
    <n v="3794.3167943512594"/>
    <n v="14168.001331078514"/>
    <n v="2517.8326867178484"/>
    <n v="33.542125123665862"/>
    <n v="0"/>
    <n v="0"/>
    <n v="0"/>
    <n v="0"/>
    <n v="115.86498644419837"/>
    <m/>
    <n v="16.178455054862933"/>
    <n v="294.79097074174803"/>
    <n v="439.09556751754735"/>
    <n v="0"/>
    <n v="0"/>
    <n v="0"/>
    <n v="0"/>
    <n v="0"/>
    <n v="0"/>
    <n v="0"/>
    <n v="0"/>
    <n v="0"/>
    <n v="0"/>
    <m/>
    <n v="0"/>
    <n v="0"/>
    <n v="0"/>
    <n v="0"/>
    <n v="0"/>
    <n v="186.71293262511179"/>
    <n v="0"/>
    <n v="0"/>
    <n v="0"/>
    <n v="0"/>
    <n v="0"/>
    <m/>
    <m/>
    <m/>
    <m/>
    <m/>
    <m/>
    <m/>
    <m/>
    <m/>
    <n v="2704.5456193429604"/>
    <m/>
    <m/>
    <m/>
    <m/>
    <m/>
    <m/>
    <m/>
    <m/>
    <m/>
    <m/>
    <m/>
    <m/>
    <n v="14763.986999999997"/>
    <n v="-7454.6635599999972"/>
    <m/>
    <m/>
    <m/>
    <m/>
    <n v="-7727.9456800000007"/>
    <n v="278.1607199999998"/>
    <n v="30"/>
    <n v="498.24486059561059"/>
    <n v="35.590712470990468"/>
    <n v="53.01289945035154"/>
    <n v="0"/>
    <n v="0"/>
    <n v="0"/>
    <n v="0"/>
    <n v="0"/>
    <n v="124.3869539630773"/>
    <n v="0"/>
    <n v="0"/>
    <n v="278.07645699556997"/>
    <n v="0"/>
    <n v="0"/>
    <n v="0"/>
    <n v="20.62109649045999"/>
    <n v="0"/>
    <n v="-11.371091257588091"/>
    <m/>
    <n v="0"/>
    <n v="0"/>
    <n v="0"/>
    <n v="0"/>
    <n v="-1.6981140042316412"/>
    <n v="-0.37405351301804757"/>
    <n v="0"/>
    <n v="0"/>
    <m/>
    <m/>
    <m/>
    <n v="14168.001331078514"/>
    <n v="0"/>
    <n v="0"/>
    <n v="-7727.9456799999989"/>
    <n v="278.16071999999986"/>
    <n v="0"/>
    <n v="0"/>
    <n v="-7948.102804920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79"/>
    <s v="PROJETADO"/>
    <s v="Verde"/>
    <s v="A4"/>
    <s v="Industrial"/>
    <s v="Não se aplica"/>
    <s v="Não se aplica"/>
    <s v="Não se aplica"/>
    <s v="Fora ponta"/>
    <s v="CATIVO"/>
    <x v="11"/>
    <n v="0"/>
    <n v="0"/>
    <n v="275.39800000000002"/>
    <n v="275.39800000000002"/>
    <n v="275.39800000000002"/>
    <n v="275.39800000000002"/>
    <m/>
    <n v="79.7"/>
    <n v="209.4"/>
    <m/>
    <n v="79617.56180000001"/>
    <n v="79617.56180000001"/>
    <n v="86067.382960000003"/>
    <n v="0"/>
    <n v="14744.252479637906"/>
    <n v="0"/>
    <n v="0"/>
    <n v="0"/>
    <n v="0"/>
    <n v="0"/>
    <n v="56911.20208935671"/>
    <n v="758.16104520743045"/>
    <n v="0"/>
    <n v="0"/>
    <n v="0"/>
    <n v="0"/>
    <n v="2618.9252738640303"/>
    <m/>
    <n v="365.685666874519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20.3191250074315"/>
    <n v="0"/>
    <n v="0"/>
    <n v="0"/>
    <n v="0"/>
    <n v="0"/>
    <m/>
    <m/>
    <m/>
    <m/>
    <m/>
    <m/>
    <m/>
    <m/>
    <m/>
    <n v="61131.52121436414"/>
    <m/>
    <m/>
    <m/>
    <m/>
    <m/>
    <m/>
    <m/>
    <m/>
    <m/>
    <m/>
    <m/>
    <m/>
    <n v="86068.007999999987"/>
    <n v="6450.4161999999778"/>
    <m/>
    <m/>
    <m/>
    <m/>
    <n v="162.48482000000095"/>
    <n v="6287.3363399999962"/>
    <n v="30"/>
    <n v="6447.6741837551672"/>
    <n v="0"/>
    <n v="0"/>
    <n v="0"/>
    <n v="0"/>
    <n v="0"/>
    <n v="0"/>
    <n v="0"/>
    <n v="0"/>
    <n v="0"/>
    <n v="0"/>
    <n v="6285.4317222312893"/>
    <n v="0"/>
    <n v="0"/>
    <n v="0"/>
    <n v="466.103802632937"/>
    <n v="0"/>
    <n v="-257.02362033463942"/>
    <m/>
    <n v="0"/>
    <n v="0"/>
    <n v="0"/>
    <n v="0"/>
    <n v="-38.382895644893324"/>
    <n v="-8.4548251295259433"/>
    <n v="0"/>
    <n v="0"/>
    <m/>
    <m/>
    <m/>
    <n v="0"/>
    <n v="0"/>
    <n v="0"/>
    <n v="162.48481999999785"/>
    <n v="6287.336339999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0"/>
    <s v="PROJETADO"/>
    <s v="Verde"/>
    <s v="A4"/>
    <s v="Industrial"/>
    <s v="Não se aplica"/>
    <s v="Não se aplica"/>
    <s v="Não se aplica"/>
    <s v="Não se aplica"/>
    <s v="CATIVO"/>
    <x v="11"/>
    <n v="1666"/>
    <n v="1666"/>
    <n v="0"/>
    <n v="0"/>
    <n v="0"/>
    <n v="0"/>
    <n v="44.35"/>
    <m/>
    <m/>
    <n v="73887.100000000006"/>
    <m/>
    <n v="73887.100000000006"/>
    <n v="48264.02"/>
    <n v="0"/>
    <n v="0"/>
    <n v="0"/>
    <n v="0"/>
    <n v="0"/>
    <n v="21861.358104350111"/>
    <n v="47843.931912052838"/>
    <m/>
    <m/>
    <m/>
    <n v="0"/>
    <n v="0"/>
    <n v="0"/>
    <n v="0"/>
    <m/>
    <n v="0"/>
    <n v="1652.2066723071709"/>
    <n v="2527.8074614179777"/>
    <n v="0"/>
    <n v="0"/>
    <m/>
    <m/>
    <n v="0"/>
    <n v="0"/>
    <n v="0"/>
    <m/>
    <m/>
    <n v="0"/>
    <m/>
    <n v="0"/>
    <n v="0"/>
    <n v="0"/>
    <n v="0"/>
    <m/>
    <n v="0"/>
    <n v="0"/>
    <n v="316.83"/>
    <n v="1463.54"/>
    <n v="28999.79"/>
    <n v="7"/>
    <m/>
    <m/>
    <m/>
    <m/>
    <m/>
    <m/>
    <m/>
    <m/>
    <m/>
    <n v="0"/>
    <m/>
    <m/>
    <m/>
    <m/>
    <m/>
    <m/>
    <m/>
    <m/>
    <m/>
    <m/>
    <m/>
    <m/>
    <n v="48264.02"/>
    <n v="-25623.109999999993"/>
    <m/>
    <m/>
    <m/>
    <m/>
    <n v="-25623.080000000005"/>
    <n v="0"/>
    <n v="30"/>
    <n v="1221.3302042005598"/>
    <n v="199.47426635482566"/>
    <n v="305.18732753239146"/>
    <n v="0"/>
    <n v="0"/>
    <m/>
    <m/>
    <m/>
    <n v="716.668610313343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843.931912052838"/>
    <m/>
    <n v="0"/>
    <n v="0"/>
    <n v="-25623.080000000009"/>
    <m/>
    <n v="0"/>
    <m/>
    <n v="-26839.95297166341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8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302.43200000000002"/>
    <n v="302.43200000000002"/>
    <n v="302.43200000000002"/>
    <n v="302.43200000000002"/>
    <m/>
    <n v="581.32000000000005"/>
    <n v="209.4"/>
    <m/>
    <n v="239139.03104000003"/>
    <n v="239139.03104000003"/>
    <n v="182690.09824000002"/>
    <n v="0"/>
    <n v="18611.032433986438"/>
    <n v="0"/>
    <n v="0"/>
    <n v="0"/>
    <n v="22437.776302887771"/>
    <n v="116558.8992854563"/>
    <n v="62497.79835107128"/>
    <n v="832.58470004928711"/>
    <n v="0"/>
    <n v="0"/>
    <n v="0"/>
    <n v="0"/>
    <n v="2876.0078447383294"/>
    <m/>
    <n v="551.3227439647568"/>
    <n v="1723.7053697630065"/>
    <n v="2596.4361731569129"/>
    <n v="0"/>
    <n v="0"/>
    <n v="0"/>
    <n v="0"/>
    <n v="0"/>
    <n v="0"/>
    <n v="0"/>
    <n v="0"/>
    <n v="0"/>
    <n v="0"/>
    <m/>
    <n v="0"/>
    <n v="0"/>
    <n v="0"/>
    <n v="0"/>
    <n v="0"/>
    <n v="10455.764830600161"/>
    <n v="0"/>
    <n v="390.6"/>
    <n v="1825.28"/>
    <n v="62546.84"/>
    <n v="817"/>
    <m/>
    <m/>
    <m/>
    <m/>
    <m/>
    <m/>
    <m/>
    <m/>
    <m/>
    <n v="72953.563181671445"/>
    <m/>
    <m/>
    <m/>
    <m/>
    <m/>
    <m/>
    <m/>
    <m/>
    <m/>
    <m/>
    <m/>
    <m/>
    <n v="182688.89009999999"/>
    <n v="-56450.170940000069"/>
    <m/>
    <m/>
    <m/>
    <m/>
    <n v="-63353.455360000029"/>
    <n v="6904.5225599999958"/>
    <n v="30"/>
    <n v="8935.0119062943704"/>
    <n v="208.10644927684348"/>
    <n v="313.47301125129297"/>
    <n v="0"/>
    <n v="0"/>
    <n v="0"/>
    <n v="0"/>
    <n v="0"/>
    <n v="735.56500400178993"/>
    <n v="0"/>
    <n v="0"/>
    <n v="6902.4309785032965"/>
    <n v="0"/>
    <n v="0"/>
    <n v="0"/>
    <n v="1154.7637992825403"/>
    <n v="0"/>
    <n v="-324.42980347456978"/>
    <m/>
    <n v="0"/>
    <n v="0"/>
    <n v="0"/>
    <n v="0"/>
    <n v="-42.150690621124795"/>
    <n v="-12.746841925720673"/>
    <n v="0"/>
    <n v="0"/>
    <m/>
    <m/>
    <m/>
    <n v="116558.8992854563"/>
    <n v="0"/>
    <n v="0"/>
    <n v="-63353.455360000007"/>
    <n v="6904.5225599999976"/>
    <n v="0"/>
    <n v="0"/>
    <n v="-65388.34184868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2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0.28799999999999998"/>
    <n v="-0.28799999999999998"/>
    <n v="-0.28799999999999998"/>
    <n v="-0.28799999999999998"/>
    <m/>
    <n v="581.32000000000005"/>
    <n v="209.4"/>
    <m/>
    <n v="-227.72736"/>
    <n v="-227.72736"/>
    <n v="-173.97215999999997"/>
    <n v="0"/>
    <n v="-17.72291735328303"/>
    <n v="0"/>
    <n v="0"/>
    <n v="0"/>
    <n v="-21.367049701194574"/>
    <n v="-110.99672982426267"/>
    <n v="-59.515414787815196"/>
    <n v="-0.79285390968612668"/>
    <n v="0"/>
    <n v="0"/>
    <n v="0"/>
    <n v="0"/>
    <n v="-2.7387652737958903"/>
    <m/>
    <n v="-0.52501372295871451"/>
    <n v="-1.6414504632173377"/>
    <n v="-2.4725347115027208"/>
    <n v="0"/>
    <n v="0"/>
    <n v="0"/>
    <n v="0"/>
    <n v="0"/>
    <n v="0"/>
    <n v="0"/>
    <n v="0"/>
    <n v="0"/>
    <n v="0"/>
    <m/>
    <n v="0"/>
    <n v="0"/>
    <n v="0"/>
    <n v="0"/>
    <n v="0"/>
    <n v="-9.9568176357424019"/>
    <n v="0"/>
    <n v="-0.54"/>
    <n v="-2.58"/>
    <n v="-72.66"/>
    <n v="0"/>
    <m/>
    <m/>
    <m/>
    <m/>
    <m/>
    <m/>
    <m/>
    <m/>
    <m/>
    <n v="-69.4722324235576"/>
    <m/>
    <m/>
    <m/>
    <m/>
    <m/>
    <m/>
    <m/>
    <m/>
    <m/>
    <m/>
    <m/>
    <m/>
    <n v="-175.18029999999999"/>
    <n v="52.517060000000043"/>
    <m/>
    <m/>
    <m/>
    <m/>
    <n v="60.330240000000018"/>
    <n v="-6.5750399999999951"/>
    <n v="30"/>
    <n v="-8.5086347642206448"/>
    <n v="-0.19817564739092064"/>
    <n v="-0.29851413620374956"/>
    <n v="0"/>
    <n v="0"/>
    <n v="0"/>
    <n v="0"/>
    <n v="0"/>
    <n v="-0.70046397587727327"/>
    <n v="0"/>
    <n v="0"/>
    <n v="-6.5730482283916771"/>
    <n v="0"/>
    <n v="0"/>
    <n v="0"/>
    <n v="-1.09965868093777"/>
    <n v="0"/>
    <n v="0.30894807229617172"/>
    <m/>
    <n v="0"/>
    <n v="0"/>
    <n v="0"/>
    <n v="0"/>
    <n v="4.0139267335744577E-2"/>
    <n v="1.2138564948839914E-2"/>
    <n v="0"/>
    <n v="0"/>
    <m/>
    <m/>
    <m/>
    <n v="-110.99672982426267"/>
    <n v="0"/>
    <n v="0"/>
    <n v="60.330240000000032"/>
    <n v="-6.5750400000000013"/>
    <n v="0"/>
    <n v="0"/>
    <n v="62.2680220757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3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42.094000000000001"/>
    <n v="42.094000000000001"/>
    <n v="42.094000000000001"/>
    <n v="42.094000000000001"/>
    <m/>
    <n v="581.32000000000005"/>
    <n v="209.4"/>
    <m/>
    <n v="33284.567680000007"/>
    <n v="33284.567680000007"/>
    <n v="25427.722580000001"/>
    <n v="0"/>
    <n v="2590.3766773232501"/>
    <n v="0"/>
    <n v="0"/>
    <n v="0"/>
    <n v="3123.0020490350153"/>
    <n v="16223.251198689284"/>
    <n v="8698.7564933274061"/>
    <n v="115.88330720252715"/>
    <n v="0"/>
    <n v="0"/>
    <n v="0"/>
    <n v="0"/>
    <n v="400.29717164987579"/>
    <m/>
    <n v="76.735859910500452"/>
    <n v="239.91394374538407"/>
    <n v="361.3849866180401"/>
    <n v="0"/>
    <n v="0"/>
    <n v="0"/>
    <n v="0"/>
    <n v="0"/>
    <n v="0"/>
    <n v="0"/>
    <n v="0"/>
    <n v="0"/>
    <n v="0"/>
    <m/>
    <n v="0"/>
    <n v="0"/>
    <n v="0"/>
    <n v="0"/>
    <n v="0"/>
    <n v="1455.285699857433"/>
    <n v="0"/>
    <n v="54.58"/>
    <n v="254.63"/>
    <n v="23042.27"/>
    <n v="101"/>
    <m/>
    <m/>
    <m/>
    <m/>
    <m/>
    <m/>
    <m/>
    <m/>
    <m/>
    <n v="10154.04219318484"/>
    <m/>
    <m/>
    <m/>
    <m/>
    <m/>
    <m/>
    <m/>
    <m/>
    <m/>
    <m/>
    <m/>
    <m/>
    <n v="25425.3063"/>
    <n v="-7859.291380000006"/>
    <m/>
    <m/>
    <m/>
    <m/>
    <n v="-8817.851120000003"/>
    <n v="961.00601999999935"/>
    <n v="30"/>
    <n v="1243.6196936288288"/>
    <n v="28.965297573866053"/>
    <n v="43.630743226946606"/>
    <n v="0"/>
    <n v="0"/>
    <n v="0"/>
    <n v="0"/>
    <n v="0"/>
    <n v="102.3796201408959"/>
    <n v="0"/>
    <n v="0"/>
    <n v="960.71490321499732"/>
    <n v="0"/>
    <n v="0"/>
    <n v="0"/>
    <n v="160.72580734511962"/>
    <n v="0"/>
    <n v="-45.155764427900067"/>
    <m/>
    <n v="0"/>
    <n v="0"/>
    <n v="0"/>
    <n v="0"/>
    <n v="-5.8667441639959748"/>
    <n v="-1.7741692810988496"/>
    <n v="0"/>
    <n v="0"/>
    <m/>
    <m/>
    <m/>
    <n v="16223.251198689284"/>
    <n v="0"/>
    <n v="0"/>
    <n v="-8817.8511200000048"/>
    <n v="961.0060199999989"/>
    <n v="0"/>
    <n v="0"/>
    <n v="-9101.076809922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4"/>
    <s v="PROJETADO"/>
    <s v="Verde"/>
    <s v="A4"/>
    <s v="Comercial"/>
    <s v="Não se aplica"/>
    <s v="Não se aplica"/>
    <s v="Não se aplica"/>
    <s v="Ponta"/>
    <s v="CATIVO"/>
    <x v="11"/>
    <n v="0"/>
    <n v="0"/>
    <n v="30.815999999999999"/>
    <n v="30.815999999999999"/>
    <n v="30.815999999999999"/>
    <n v="30.815999999999999"/>
    <m/>
    <n v="1614.19"/>
    <n v="209.4"/>
    <m/>
    <n v="56195.74944"/>
    <n v="56195.74944"/>
    <n v="37353.614399999999"/>
    <n v="0"/>
    <n v="1649.8263764171186"/>
    <n v="0"/>
    <n v="0"/>
    <n v="0"/>
    <n v="9596.6567904406111"/>
    <n v="35833.973163042967"/>
    <n v="6368.1493822962266"/>
    <n v="84.835368336415556"/>
    <n v="0"/>
    <n v="0"/>
    <n v="0"/>
    <n v="0"/>
    <n v="293.0478842961603"/>
    <m/>
    <n v="40.918850210986221"/>
    <n v="745.59082028707383"/>
    <n v="1110.568697358892"/>
    <n v="0"/>
    <n v="0"/>
    <n v="0"/>
    <n v="0"/>
    <n v="0"/>
    <n v="0"/>
    <n v="0"/>
    <n v="0"/>
    <n v="0"/>
    <n v="0"/>
    <m/>
    <n v="0"/>
    <n v="0"/>
    <n v="0"/>
    <n v="0"/>
    <n v="0"/>
    <n v="472.23783090737402"/>
    <n v="0"/>
    <n v="0"/>
    <n v="0"/>
    <n v="0"/>
    <n v="0"/>
    <m/>
    <m/>
    <m/>
    <m/>
    <m/>
    <m/>
    <m/>
    <m/>
    <m/>
    <n v="6840.3872132036004"/>
    <m/>
    <m/>
    <m/>
    <m/>
    <m/>
    <m/>
    <m/>
    <m/>
    <m/>
    <m/>
    <m/>
    <m/>
    <n v="37358.462999999996"/>
    <n v="-18837.31644000001"/>
    <m/>
    <m/>
    <m/>
    <m/>
    <n v="-19545.664320000003"/>
    <n v="703.52927999999952"/>
    <n v="30"/>
    <n v="1260.1701923928449"/>
    <n v="90.016693656109851"/>
    <n v="134.08121384291144"/>
    <n v="0"/>
    <n v="0"/>
    <n v="0"/>
    <n v="0"/>
    <n v="0"/>
    <n v="314.60180345750086"/>
    <n v="0"/>
    <n v="0"/>
    <n v="703.31616043790928"/>
    <n v="0"/>
    <n v="0"/>
    <n v="0"/>
    <n v="52.155261773638813"/>
    <n v="0"/>
    <n v="-28.759976050052046"/>
    <m/>
    <n v="0"/>
    <n v="0"/>
    <n v="0"/>
    <n v="0"/>
    <n v="-4.2949016049246893"/>
    <n v="-0.94606312025312889"/>
    <n v="0"/>
    <n v="0"/>
    <m/>
    <m/>
    <m/>
    <n v="35833.973163042967"/>
    <n v="0"/>
    <n v="0"/>
    <n v="-19545.664320000003"/>
    <n v="703.52927999999974"/>
    <n v="0"/>
    <n v="0"/>
    <n v="-20102.48982570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5"/>
    <s v="PROJETADO"/>
    <s v="Verde"/>
    <s v="A4"/>
    <s v="Comercial"/>
    <s v="Não se aplica"/>
    <s v="Não se aplica"/>
    <s v="Não se aplica"/>
    <s v="Fora ponta"/>
    <s v="CATIVO"/>
    <x v="11"/>
    <n v="0"/>
    <n v="0"/>
    <n v="469.56299999999999"/>
    <n v="469.56299999999999"/>
    <n v="469.56299999999999"/>
    <n v="469.56299999999999"/>
    <m/>
    <n v="79.7"/>
    <n v="209.4"/>
    <m/>
    <n v="135750.66329999999"/>
    <n v="135750.66329999999"/>
    <n v="146747.82876"/>
    <n v="0"/>
    <n v="25139.454270169765"/>
    <n v="0"/>
    <n v="0"/>
    <n v="0"/>
    <n v="0"/>
    <n v="0"/>
    <n v="97035.54414587107"/>
    <n v="1292.6904874789816"/>
    <n v="0"/>
    <n v="0"/>
    <n v="0"/>
    <n v="0"/>
    <n v="4465.3570772896519"/>
    <m/>
    <n v="623.50655703599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95.7883110838284"/>
    <n v="0"/>
    <n v="0"/>
    <n v="0"/>
    <n v="0"/>
    <n v="0"/>
    <m/>
    <m/>
    <m/>
    <m/>
    <m/>
    <m/>
    <m/>
    <m/>
    <m/>
    <n v="104231.3324569549"/>
    <m/>
    <m/>
    <m/>
    <m/>
    <m/>
    <m/>
    <m/>
    <m/>
    <m/>
    <m/>
    <m/>
    <m/>
    <n v="146746.89120000001"/>
    <n v="10996.197899999999"/>
    <m/>
    <m/>
    <m/>
    <m/>
    <n v="277.04217000000159"/>
    <n v="10720.123289999992"/>
    <n v="30"/>
    <n v="10993.504792143096"/>
    <n v="0"/>
    <n v="0"/>
    <n v="0"/>
    <n v="0"/>
    <n v="0"/>
    <n v="0"/>
    <n v="0"/>
    <n v="0"/>
    <n v="0"/>
    <n v="0"/>
    <n v="10716.87585162597"/>
    <n v="0"/>
    <n v="0"/>
    <n v="0"/>
    <n v="794.72290966430319"/>
    <n v="0"/>
    <n v="-438.23405484133764"/>
    <m/>
    <n v="0"/>
    <n v="0"/>
    <n v="0"/>
    <n v="0"/>
    <n v="-65.444148569355093"/>
    <n v="-14.415765736481717"/>
    <n v="0"/>
    <n v="0"/>
    <m/>
    <m/>
    <m/>
    <n v="0"/>
    <n v="0"/>
    <n v="0"/>
    <n v="277.04217000000062"/>
    <n v="10720.12329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6"/>
    <s v="PROJETADO"/>
    <s v="Verde"/>
    <s v="A4"/>
    <s v="Comercial"/>
    <s v="Não se aplica"/>
    <s v="Não se aplica"/>
    <s v="Não se aplica"/>
    <s v="Não se aplica"/>
    <s v="CATIVO"/>
    <x v="11"/>
    <n v="4901"/>
    <n v="4901"/>
    <n v="0"/>
    <n v="0"/>
    <n v="0"/>
    <n v="0"/>
    <n v="44.35"/>
    <m/>
    <m/>
    <n v="217359.35"/>
    <m/>
    <n v="217359.35"/>
    <n v="141981.97"/>
    <n v="0"/>
    <n v="0"/>
    <n v="0"/>
    <n v="0"/>
    <n v="0"/>
    <n v="64311.234135306055"/>
    <n v="140746.16464644115"/>
    <m/>
    <m/>
    <m/>
    <n v="0"/>
    <n v="0"/>
    <n v="0"/>
    <n v="0"/>
    <m/>
    <n v="0"/>
    <n v="4860.423109830399"/>
    <n v="7436.2451190933434"/>
    <n v="0"/>
    <n v="0"/>
    <m/>
    <m/>
    <n v="0"/>
    <n v="0"/>
    <n v="0"/>
    <m/>
    <m/>
    <n v="0"/>
    <m/>
    <n v="0"/>
    <n v="0"/>
    <n v="0"/>
    <n v="0"/>
    <m/>
    <n v="0"/>
    <n v="0"/>
    <n v="720.16"/>
    <n v="3326.98"/>
    <n v="112083.23"/>
    <n v="33"/>
    <m/>
    <m/>
    <m/>
    <m/>
    <m/>
    <m/>
    <m/>
    <m/>
    <m/>
    <n v="0"/>
    <m/>
    <m/>
    <m/>
    <m/>
    <m/>
    <m/>
    <m/>
    <m/>
    <m/>
    <m/>
    <m/>
    <m/>
    <n v="141981.97"/>
    <n v="-75377.410000000033"/>
    <m/>
    <m/>
    <m/>
    <m/>
    <n v="-75377.380000000019"/>
    <n v="0"/>
    <n v="30"/>
    <n v="3592.880750772485"/>
    <n v="586.80875114345781"/>
    <n v="897.79297253076311"/>
    <n v="0"/>
    <n v="0"/>
    <m/>
    <m/>
    <m/>
    <n v="2108.27902709825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0746.16464644115"/>
    <m/>
    <n v="0"/>
    <n v="0"/>
    <n v="-75377.38"/>
    <m/>
    <n v="0"/>
    <m/>
    <n v="-78957.148567900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87"/>
    <s v="PROJETADO"/>
    <s v="Verde"/>
    <s v="A4"/>
    <s v="Comercial"/>
    <s v="Não se aplica"/>
    <s v="Não se aplica"/>
    <s v="Não se aplica"/>
    <s v="Não se aplica"/>
    <s v="CATIVO"/>
    <x v="11"/>
    <n v="554"/>
    <n v="554"/>
    <n v="0"/>
    <n v="0"/>
    <n v="0"/>
    <n v="0"/>
    <n v="44.35"/>
    <m/>
    <m/>
    <n v="24569.9"/>
    <m/>
    <n v="24569.9"/>
    <n v="16049.38"/>
    <n v="0"/>
    <n v="0"/>
    <n v="0"/>
    <n v="0"/>
    <n v="0"/>
    <n v="7269.6232831992556"/>
    <n v="15909.686842303283"/>
    <m/>
    <m/>
    <m/>
    <n v="0"/>
    <n v="0"/>
    <n v="0"/>
    <n v="0"/>
    <m/>
    <n v="0"/>
    <n v="549.4132631801757"/>
    <n v="840.57943194811514"/>
    <n v="0"/>
    <n v="0"/>
    <m/>
    <m/>
    <n v="0"/>
    <n v="0"/>
    <n v="0"/>
    <m/>
    <m/>
    <n v="0"/>
    <m/>
    <n v="0"/>
    <n v="0"/>
    <n v="0"/>
    <n v="0"/>
    <m/>
    <n v="0"/>
    <n v="0"/>
    <n v="37.57"/>
    <n v="173.66"/>
    <n v="8096.64"/>
    <n v="4"/>
    <m/>
    <m/>
    <m/>
    <m/>
    <m/>
    <m/>
    <m/>
    <m/>
    <m/>
    <n v="0"/>
    <m/>
    <m/>
    <m/>
    <m/>
    <m/>
    <m/>
    <m/>
    <m/>
    <m/>
    <m/>
    <m/>
    <m/>
    <n v="16049.38"/>
    <n v="-8520.5499999999975"/>
    <m/>
    <m/>
    <m/>
    <m/>
    <n v="-8520.5200000000023"/>
    <n v="0"/>
    <n v="30"/>
    <n v="406.13261292143579"/>
    <n v="66.331778847883243"/>
    <n v="101.48486161641347"/>
    <n v="0"/>
    <n v="0"/>
    <m/>
    <m/>
    <m/>
    <n v="238.315972457139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09.686842303283"/>
    <m/>
    <n v="0"/>
    <n v="0"/>
    <n v="-8520.5200000000023"/>
    <m/>
    <n v="0"/>
    <m/>
    <n v="-8925.170435955300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88"/>
    <s v="PROJETADO"/>
    <s v="Convencional"/>
    <s v="B2"/>
    <s v="Rural"/>
    <s v="Não se aplica"/>
    <s v="Não se aplica"/>
    <s v="Não se aplica"/>
    <s v="Não se aplica"/>
    <s v="CATIVO"/>
    <x v="11"/>
    <n v="0"/>
    <n v="0"/>
    <n v="3569.2060000000001"/>
    <n v="3569.2060000000001"/>
    <n v="3569.2060000000001"/>
    <n v="3569.2060000000001"/>
    <m/>
    <n v="581.32000000000005"/>
    <n v="209.4"/>
    <m/>
    <n v="2822242.5683200005"/>
    <n v="2822242.5683200005"/>
    <n v="2156050.2684200001"/>
    <n v="0"/>
    <n v="219641.46859320113"/>
    <n v="0"/>
    <n v="0"/>
    <n v="0"/>
    <n v="264803.47915208986"/>
    <n v="1375590.951628949"/>
    <n v="737579.08178180119"/>
    <n v="9825.8990679693816"/>
    <n v="0"/>
    <n v="0"/>
    <n v="0"/>
    <n v="0"/>
    <n v="33941.72724938867"/>
    <m/>
    <n v="6506.5351738422978"/>
    <n v="20342.620979229519"/>
    <n v="30642.311553832573"/>
    <n v="0"/>
    <n v="0"/>
    <n v="0"/>
    <n v="0"/>
    <n v="0"/>
    <n v="0"/>
    <n v="0"/>
    <n v="0"/>
    <n v="0"/>
    <n v="0"/>
    <m/>
    <n v="0"/>
    <n v="0"/>
    <n v="0"/>
    <n v="0"/>
    <n v="0"/>
    <n v="123395.60154999167"/>
    <n v="0"/>
    <n v="4118.4399999999996"/>
    <n v="19338.87"/>
    <n v="196001.81"/>
    <n v="13347"/>
    <m/>
    <m/>
    <m/>
    <m/>
    <m/>
    <n v="258731.74293999973"/>
    <m/>
    <m/>
    <m/>
    <n v="860974.68333179282"/>
    <m/>
    <m/>
    <m/>
    <m/>
    <m/>
    <m/>
    <m/>
    <m/>
    <m/>
    <m/>
    <m/>
    <m/>
    <n v="1897320.6518000001"/>
    <n v="-586311.37329999963"/>
    <m/>
    <m/>
    <m/>
    <m/>
    <n v="-747677.2728800003"/>
    <n v="81484.972979999948"/>
    <n v="30"/>
    <n v="105448.16059814184"/>
    <n v="2456.0059365331872"/>
    <n v="3699.5084931362508"/>
    <n v="0"/>
    <n v="0"/>
    <n v="0"/>
    <n v="0"/>
    <n v="0"/>
    <n v="8680.9035607118858"/>
    <n v="0"/>
    <n v="0"/>
    <n v="81460.288802308845"/>
    <n v="0"/>
    <n v="0"/>
    <n v="0"/>
    <n v="13628.154034566571"/>
    <n v="0"/>
    <n v="-3828.8170601664751"/>
    <m/>
    <n v="0"/>
    <n v="0"/>
    <n v="0"/>
    <n v="0"/>
    <n v="-497.44900628591859"/>
    <n v="-150.43416266246277"/>
    <n v="0"/>
    <n v="0"/>
    <m/>
    <m/>
    <m/>
    <n v="1375590.951628949"/>
    <n v="0"/>
    <n v="0"/>
    <n v="-747677.2728800003"/>
    <n v="81484.972979999962"/>
    <n v="0"/>
    <n v="0"/>
    <n v="-771692.3541701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89"/>
    <s v="PROJETADO"/>
    <s v="Convencional"/>
    <s v="B2"/>
    <s v="Rural"/>
    <s v="Não se aplica"/>
    <s v="Não se aplica"/>
    <s v="Não se aplica"/>
    <s v="Não se aplica"/>
    <s v="CATIVO"/>
    <x v="11"/>
    <n v="0"/>
    <n v="0"/>
    <n v="-6.7149999999999999"/>
    <n v="-6.7149999999999999"/>
    <n v="-6.7149999999999999"/>
    <n v="-6.7149999999999999"/>
    <m/>
    <n v="581.32000000000005"/>
    <n v="209.4"/>
    <m/>
    <n v="-5309.6848000000009"/>
    <n v="-5309.6848000000009"/>
    <n v="-4056.3300499999996"/>
    <n v="0"/>
    <n v="-413.2270487058874"/>
    <n v="0"/>
    <n v="0"/>
    <n v="0"/>
    <n v="-498.19353730389435"/>
    <n v="-2587.9966693400138"/>
    <n v="-1387.6597579867328"/>
    <n v="-18.486159734522019"/>
    <n v="0"/>
    <n v="0"/>
    <n v="0"/>
    <n v="0"/>
    <n v="-63.856975047011822"/>
    <m/>
    <n v="-12.241205380790861"/>
    <n v="-38.272013404529247"/>
    <n v="-57.649550651877682"/>
    <n v="0"/>
    <n v="0"/>
    <n v="0"/>
    <n v="0"/>
    <n v="0"/>
    <n v="0"/>
    <n v="0"/>
    <n v="0"/>
    <n v="0"/>
    <n v="0"/>
    <m/>
    <n v="0"/>
    <n v="0"/>
    <n v="0"/>
    <n v="0"/>
    <n v="0"/>
    <n v="-232.1528834167022"/>
    <n v="0"/>
    <n v="-11.99"/>
    <n v="-61.81"/>
    <n v="-53.7"/>
    <n v="0"/>
    <m/>
    <m/>
    <m/>
    <m/>
    <m/>
    <n v="-486.77034999999944"/>
    <m/>
    <m/>
    <m/>
    <n v="-1619.812641403435"/>
    <m/>
    <m/>
    <m/>
    <m/>
    <m/>
    <m/>
    <m/>
    <m/>
    <m/>
    <m/>
    <m/>
    <m/>
    <n v="-3572.2175999999999"/>
    <n v="1100.3851499999992"/>
    <m/>
    <m/>
    <m/>
    <m/>
    <n v="1406.6582000000005"/>
    <n v="-153.30344999999988"/>
    <n v="30"/>
    <n v="-198.38709181160266"/>
    <n v="-4.6206578896876067"/>
    <n v="-6.9601473076672775"/>
    <n v="0"/>
    <n v="0"/>
    <n v="0"/>
    <n v="0"/>
    <n v="0"/>
    <n v="-16.331998604221781"/>
    <n v="0"/>
    <n v="0"/>
    <n v="-153.25700990850737"/>
    <n v="0"/>
    <n v="0"/>
    <n v="0"/>
    <n v="-25.639611258670584"/>
    <n v="0"/>
    <n v="7.2034246717667543"/>
    <m/>
    <n v="0"/>
    <n v="0"/>
    <n v="0"/>
    <n v="0"/>
    <n v="0.93588604222056659"/>
    <n v="0.28302244316479275"/>
    <n v="0"/>
    <n v="0"/>
    <m/>
    <m/>
    <m/>
    <n v="-2587.9966693400138"/>
    <n v="0"/>
    <n v="0"/>
    <n v="1406.6582000000008"/>
    <n v="-153.30344999999988"/>
    <n v="0"/>
    <n v="0"/>
    <n v="1451.8394730515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0"/>
    <s v="PROJETADO"/>
    <s v="Convencional"/>
    <s v="B2"/>
    <s v="Rural"/>
    <s v="Não se aplica"/>
    <s v="Não se aplica"/>
    <s v="Não se aplica"/>
    <s v="Não se aplica"/>
    <s v="CATIVO"/>
    <x v="11"/>
    <n v="0"/>
    <n v="0"/>
    <n v="203.92"/>
    <n v="203.92"/>
    <n v="203.92"/>
    <n v="203.92"/>
    <m/>
    <n v="581.32000000000005"/>
    <n v="209.4"/>
    <m/>
    <n v="161243.62239999999"/>
    <n v="161243.62239999999"/>
    <n v="123181.95439999999"/>
    <n v="0"/>
    <n v="12548.810092644013"/>
    <n v="0"/>
    <n v="0"/>
    <n v="0"/>
    <n v="15129.05824676249"/>
    <n v="78591.851200568213"/>
    <n v="42140.220081705818"/>
    <n v="561.38461549720466"/>
    <n v="0"/>
    <n v="0"/>
    <n v="0"/>
    <n v="0"/>
    <n v="1939.1979674738125"/>
    <m/>
    <n v="371.73888328382316"/>
    <n v="1162.2381196502761"/>
    <n v="1750.6919387834544"/>
    <n v="0"/>
    <n v="0"/>
    <n v="0"/>
    <n v="0"/>
    <n v="0"/>
    <n v="0"/>
    <n v="0"/>
    <n v="0"/>
    <n v="0"/>
    <n v="0"/>
    <m/>
    <n v="0"/>
    <n v="0"/>
    <n v="0"/>
    <n v="0"/>
    <n v="0"/>
    <n v="7049.9800426409402"/>
    <n v="0"/>
    <n v="243.2"/>
    <n v="1146.47"/>
    <n v="9374.5499999999993"/>
    <n v="1017"/>
    <m/>
    <m/>
    <m/>
    <m/>
    <m/>
    <n v="14782.160799999983"/>
    <m/>
    <m/>
    <m/>
    <n v="49190.20012434676"/>
    <m/>
    <m/>
    <m/>
    <m/>
    <m/>
    <m/>
    <m/>
    <m/>
    <m/>
    <m/>
    <m/>
    <m/>
    <n v="108399.7936"/>
    <n v="-33497.968399999983"/>
    <m/>
    <m/>
    <m/>
    <m/>
    <n v="-42717.161600000014"/>
    <n v="4655.4935999999961"/>
    <n v="30"/>
    <n v="6024.5861149995617"/>
    <n v="140.31936811096011"/>
    <n v="211.36459255093268"/>
    <n v="0"/>
    <n v="0"/>
    <n v="0"/>
    <n v="0"/>
    <n v="0"/>
    <n v="495.9674095864375"/>
    <n v="0"/>
    <n v="0"/>
    <n v="4654.0833150473263"/>
    <n v="0"/>
    <n v="0"/>
    <n v="0"/>
    <n v="778.61943825288108"/>
    <n v="0"/>
    <n v="-218.75239896748462"/>
    <m/>
    <n v="0"/>
    <n v="0"/>
    <n v="0"/>
    <n v="0"/>
    <n v="-28.420831233003582"/>
    <n v="-8.594778348498096"/>
    <n v="0"/>
    <n v="0"/>
    <m/>
    <m/>
    <m/>
    <n v="78591.851200568213"/>
    <n v="0"/>
    <n v="0"/>
    <n v="-42717.161600000021"/>
    <n v="4655.4935999999943"/>
    <n v="0"/>
    <n v="0"/>
    <n v="-44089.2189642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1"/>
    <s v="PROJETADO"/>
    <s v="Convencional"/>
    <s v="B2"/>
    <s v="Rural"/>
    <s v="Não se aplica"/>
    <s v="Não se aplica"/>
    <s v="Não se aplica"/>
    <s v="Não se aplica"/>
    <s v="CATIVO"/>
    <x v="11"/>
    <n v="0"/>
    <n v="0"/>
    <n v="0.1"/>
    <n v="0.1"/>
    <n v="0.1"/>
    <n v="0.1"/>
    <m/>
    <n v="581.32000000000005"/>
    <n v="209.4"/>
    <m/>
    <n v="79.072000000000003"/>
    <n v="79.072000000000003"/>
    <n v="60.406999999999996"/>
    <n v="0"/>
    <n v="6.1537907476677205"/>
    <n v="0"/>
    <n v="0"/>
    <n v="0"/>
    <n v="7.4191144795814497"/>
    <n v="38.540531188980104"/>
    <n v="20.665074579102502"/>
    <n v="0.275296496418794"/>
    <n v="0"/>
    <n v="0"/>
    <n v="0"/>
    <n v="0"/>
    <n v="0.95096016451246212"/>
    <m/>
    <n v="0.182296431582887"/>
    <n v="0.56994807750602006"/>
    <n v="0.85851899704955592"/>
    <n v="0"/>
    <n v="0"/>
    <n v="0"/>
    <n v="0"/>
    <n v="0"/>
    <n v="0"/>
    <n v="0"/>
    <n v="0"/>
    <n v="0"/>
    <n v="0"/>
    <m/>
    <n v="0"/>
    <n v="0"/>
    <n v="0"/>
    <n v="0"/>
    <n v="0"/>
    <n v="3.4572283457438902"/>
    <n v="0"/>
    <n v="0.19"/>
    <n v="0.88"/>
    <n v="11.12"/>
    <n v="3"/>
    <m/>
    <m/>
    <m/>
    <m/>
    <m/>
    <n v="7.2489999999999934"/>
    <m/>
    <m/>
    <m/>
    <n v="24.122302924846391"/>
    <m/>
    <m/>
    <m/>
    <m/>
    <m/>
    <m/>
    <m/>
    <m/>
    <m/>
    <m/>
    <m/>
    <m/>
    <n v="53.158000000000001"/>
    <n v="-16.457000000000008"/>
    <m/>
    <m/>
    <m/>
    <m/>
    <n v="-20.948000000000008"/>
    <n v="2.2829999999999986"/>
    <n v="30"/>
    <n v="2.9543870709099522"/>
    <n v="6.8810988677402984E-2"/>
    <n v="0.10365074173741307"/>
    <n v="0"/>
    <n v="0"/>
    <n v="0"/>
    <n v="0"/>
    <n v="0"/>
    <n v="0.24321665829072003"/>
    <n v="0"/>
    <n v="0"/>
    <n v="2.2823084126359987"/>
    <n v="0"/>
    <n v="0"/>
    <n v="0"/>
    <n v="0.38182593088116956"/>
    <n v="0"/>
    <n v="-0.10727363621395014"/>
    <m/>
    <n v="0"/>
    <n v="0"/>
    <n v="0"/>
    <n v="0"/>
    <n v="-1.3937245602689163E-2"/>
    <n v="-4.2147794961249763E-3"/>
    <n v="0"/>
    <n v="0"/>
    <m/>
    <m/>
    <m/>
    <n v="38.540531188980104"/>
    <n v="0"/>
    <n v="0"/>
    <n v="-20.948000000000008"/>
    <n v="2.2829999999999977"/>
    <n v="0"/>
    <n v="0"/>
    <n v="-21.62084099853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2"/>
    <s v="PROJETADO"/>
    <s v="Verde"/>
    <s v="A4"/>
    <s v="Rural"/>
    <s v="Não se aplica"/>
    <s v="Não se aplica"/>
    <s v="Não se aplica"/>
    <s v="Ponta"/>
    <s v="CATIVO"/>
    <x v="11"/>
    <n v="0"/>
    <n v="0"/>
    <n v="34.584000000000003"/>
    <n v="33.20064"/>
    <n v="34.584000000000003"/>
    <n v="33.20064"/>
    <m/>
    <n v="1614.19"/>
    <n v="209.4"/>
    <m/>
    <n v="63067.036560000008"/>
    <n v="63067.036560000008"/>
    <n v="41920.995600000002"/>
    <n v="0"/>
    <n v="1851.5574831908632"/>
    <n v="0"/>
    <n v="0"/>
    <n v="0"/>
    <n v="10770.079778056794"/>
    <n v="40215.541532667383"/>
    <n v="7146.8093924368095"/>
    <n v="95.208540321475724"/>
    <n v="0"/>
    <n v="0"/>
    <n v="0"/>
    <n v="0"/>
    <n v="328.8800632949899"/>
    <m/>
    <n v="45.922167565444823"/>
    <n v="836.75729909164602"/>
    <n v="1246.3625334066694"/>
    <n v="0"/>
    <n v="0"/>
    <n v="0"/>
    <n v="0"/>
    <n v="0"/>
    <n v="0"/>
    <n v="0"/>
    <n v="0"/>
    <n v="0"/>
    <n v="0"/>
    <m/>
    <n v="0"/>
    <n v="0"/>
    <n v="0"/>
    <n v="0"/>
    <n v="0"/>
    <n v="529.98030711645333"/>
    <n v="0"/>
    <n v="0"/>
    <n v="0"/>
    <n v="0"/>
    <n v="0"/>
    <m/>
    <m/>
    <m/>
    <m/>
    <m/>
    <n v="1676.839824000004"/>
    <m/>
    <m/>
    <m/>
    <n v="7676.7896995532628"/>
    <m/>
    <m/>
    <m/>
    <m/>
    <m/>
    <m/>
    <m/>
    <m/>
    <m/>
    <m/>
    <m/>
    <m/>
    <n v="40243.380000000005"/>
    <n v="-20301.005097599998"/>
    <m/>
    <m/>
    <m/>
    <m/>
    <n v="-21935.593680000005"/>
    <n v="789.55271999999957"/>
    <n v="30"/>
    <n v="1414.2564230826174"/>
    <n v="101.02340775580558"/>
    <n v="150.47587939846994"/>
    <n v="0"/>
    <n v="0"/>
    <n v="0"/>
    <n v="0"/>
    <n v="0"/>
    <n v="353.06946945658819"/>
    <n v="0"/>
    <n v="0"/>
    <n v="789.31354142603413"/>
    <n v="0"/>
    <n v="0"/>
    <n v="0"/>
    <n v="58.532501725711427"/>
    <n v="0"/>
    <n v="-32.276577482963603"/>
    <m/>
    <n v="0"/>
    <n v="0"/>
    <n v="0"/>
    <n v="0"/>
    <n v="-4.8200570192339569"/>
    <n v="-1.0617421777918707"/>
    <n v="0"/>
    <n v="0"/>
    <m/>
    <m/>
    <m/>
    <n v="40215.541532667383"/>
    <n v="0"/>
    <n v="0"/>
    <n v="-21935.593680000005"/>
    <n v="789.55271999999968"/>
    <n v="0"/>
    <n v="0"/>
    <n v="-22560.504547387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3"/>
    <s v="PROJETADO"/>
    <s v="Verde"/>
    <s v="A4"/>
    <s v="Rural"/>
    <s v="Não se aplica"/>
    <s v="Não se aplica"/>
    <s v="Não se aplica"/>
    <s v="Ponta"/>
    <s v="CATIVO"/>
    <x v="11"/>
    <n v="0"/>
    <n v="0"/>
    <n v="3.1629999999999998"/>
    <n v="3.0364800000000001"/>
    <n v="3.1629999999999998"/>
    <n v="3.0364800000000001"/>
    <m/>
    <n v="1614.19"/>
    <n v="209.4"/>
    <m/>
    <n v="5768.0151699999997"/>
    <n v="5768.0151699999997"/>
    <n v="3834.0304499999997"/>
    <n v="0"/>
    <n v="169.34062917339517"/>
    <n v="0"/>
    <n v="0"/>
    <n v="0"/>
    <n v="985.01510345806253"/>
    <n v="3678.0522168582847"/>
    <n v="653.63630893701202"/>
    <n v="8.707628181726454"/>
    <n v="0"/>
    <n v="0"/>
    <n v="0"/>
    <n v="0"/>
    <n v="30.078870003529172"/>
    <m/>
    <n v="4.1999715478111828"/>
    <n v="76.528548954050322"/>
    <n v="113.99042022800413"/>
    <n v="0"/>
    <n v="0"/>
    <n v="0"/>
    <n v="0"/>
    <n v="0"/>
    <n v="0"/>
    <n v="0"/>
    <n v="0"/>
    <n v="0"/>
    <n v="0"/>
    <m/>
    <n v="0"/>
    <n v="0"/>
    <n v="0"/>
    <n v="0"/>
    <n v="0"/>
    <n v="48.471192210540757"/>
    <n v="0"/>
    <n v="0"/>
    <n v="0"/>
    <n v="0"/>
    <n v="0"/>
    <m/>
    <m/>
    <m/>
    <m/>
    <m/>
    <n v="153.3612179999997"/>
    <m/>
    <m/>
    <m/>
    <n v="702.10750114755274"/>
    <m/>
    <m/>
    <m/>
    <m/>
    <m/>
    <m/>
    <m/>
    <m/>
    <m/>
    <m/>
    <m/>
    <m/>
    <n v="3684.9359999999997"/>
    <n v="-1852.388563200001"/>
    <m/>
    <m/>
    <m/>
    <m/>
    <n v="-2006.1960100000001"/>
    <n v="72.211289999999948"/>
    <n v="30"/>
    <n v="129.34573982796428"/>
    <n v="9.2394471065120456"/>
    <n v="13.762294891781195"/>
    <n v="0"/>
    <n v="0"/>
    <n v="0"/>
    <n v="0"/>
    <n v="0"/>
    <n v="32.291196272588081"/>
    <n v="0"/>
    <n v="0"/>
    <n v="72.189415091676665"/>
    <n v="0"/>
    <n v="0"/>
    <n v="0"/>
    <n v="5.3532935160312647"/>
    <n v="0"/>
    <n v="-2.951966648699198"/>
    <m/>
    <n v="0"/>
    <n v="0"/>
    <n v="0"/>
    <n v="0"/>
    <n v="-0.44083507841305547"/>
    <n v="-9.7105323512481689E-2"/>
    <n v="0"/>
    <n v="0"/>
    <m/>
    <m/>
    <m/>
    <n v="3678.0522168582847"/>
    <n v="0"/>
    <n v="0"/>
    <n v="-2006.1960100000001"/>
    <n v="72.211289999999963"/>
    <n v="0"/>
    <n v="0"/>
    <n v="-2063.349406759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4"/>
    <s v="PROJETADO"/>
    <s v="Verde"/>
    <s v="A4"/>
    <s v="Rural"/>
    <s v="Não se aplica"/>
    <s v="Não se aplica"/>
    <s v="Não se aplica"/>
    <s v="Fora ponta"/>
    <s v="CATIVO"/>
    <x v="11"/>
    <n v="0"/>
    <n v="0"/>
    <n v="385.24200000000002"/>
    <n v="369.83231999999998"/>
    <n v="385.24200000000002"/>
    <n v="369.83231999999998"/>
    <m/>
    <n v="79.7"/>
    <n v="209.4"/>
    <m/>
    <n v="111373.46220000001"/>
    <n v="111373.46220000001"/>
    <n v="120395.82984000001"/>
    <n v="0"/>
    <n v="20625.078300353183"/>
    <n v="0"/>
    <n v="0"/>
    <n v="0"/>
    <n v="0"/>
    <n v="0"/>
    <n v="79610.546610026053"/>
    <n v="1060.5577287336905"/>
    <n v="0"/>
    <n v="0"/>
    <n v="0"/>
    <n v="0"/>
    <n v="3663.497956971099"/>
    <m/>
    <n v="511.54139709828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03.6165126693468"/>
    <n v="0"/>
    <n v="0"/>
    <n v="0"/>
    <n v="0"/>
    <n v="0"/>
    <m/>
    <m/>
    <m/>
    <m/>
    <m/>
    <n v="4815.8331936000113"/>
    <m/>
    <m/>
    <m/>
    <n v="85514.163122695405"/>
    <m/>
    <m/>
    <m/>
    <m/>
    <m/>
    <m/>
    <m/>
    <m/>
    <m/>
    <m/>
    <m/>
    <m/>
    <n v="115579.27159999999"/>
    <n v="8660.7178879999992"/>
    <m/>
    <m/>
    <m/>
    <m/>
    <n v="227.29278000000133"/>
    <n v="8795.0748599999952"/>
    <n v="30"/>
    <n v="9019.3643305260193"/>
    <n v="0"/>
    <n v="0"/>
    <n v="0"/>
    <n v="0"/>
    <n v="0"/>
    <n v="0"/>
    <n v="0"/>
    <n v="0"/>
    <n v="0"/>
    <n v="0"/>
    <n v="8792.4105750071758"/>
    <n v="0"/>
    <n v="0"/>
    <n v="0"/>
    <n v="652.011856055301"/>
    <n v="0"/>
    <n v="-359.53889841232376"/>
    <m/>
    <n v="0"/>
    <n v="0"/>
    <n v="0"/>
    <n v="0"/>
    <n v="-53.692123704711321"/>
    <n v="-11.827078419410611"/>
    <n v="0"/>
    <n v="0"/>
    <m/>
    <m/>
    <m/>
    <n v="0"/>
    <n v="0"/>
    <n v="0"/>
    <n v="227.2927800000034"/>
    <n v="8795.074859999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5"/>
    <s v="PROJETADO"/>
    <s v="Verde"/>
    <s v="A4"/>
    <s v="Rural"/>
    <s v="Não se aplica"/>
    <s v="Não se aplica"/>
    <s v="Não se aplica"/>
    <s v="Fora ponta"/>
    <s v="CATIVO"/>
    <x v="11"/>
    <n v="0"/>
    <n v="0"/>
    <n v="26.338000000000001"/>
    <n v="25.284479999999999"/>
    <n v="26.338000000000001"/>
    <n v="25.284479999999999"/>
    <m/>
    <n v="79.7"/>
    <n v="209.4"/>
    <m/>
    <n v="7614.3158000000003"/>
    <n v="7614.3158000000003"/>
    <n v="8231.1517600000006"/>
    <n v="0"/>
    <n v="1410.0833041950309"/>
    <n v="0"/>
    <n v="0"/>
    <n v="0"/>
    <n v="0"/>
    <n v="0"/>
    <n v="5442.7673426440169"/>
    <n v="72.507591226781969"/>
    <n v="0"/>
    <n v="0"/>
    <n v="0"/>
    <n v="0"/>
    <n v="250.46388812929226"/>
    <m/>
    <n v="34.972763397486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.61500488182821"/>
    <n v="0"/>
    <n v="0"/>
    <n v="0"/>
    <n v="0"/>
    <n v="0"/>
    <m/>
    <m/>
    <m/>
    <m/>
    <m/>
    <n v="329.2460704000008"/>
    <m/>
    <m/>
    <m/>
    <n v="5846.382347525845"/>
    <m/>
    <m/>
    <m/>
    <m/>
    <m/>
    <m/>
    <m/>
    <m/>
    <m/>
    <m/>
    <m/>
    <m/>
    <n v="7900.5056000000004"/>
    <n v="590.7324320000007"/>
    <m/>
    <m/>
    <m/>
    <m/>
    <n v="15.53942000000009"/>
    <n v="601.2965399999996"/>
    <n v="30"/>
    <n v="616.6306314923977"/>
    <n v="0"/>
    <n v="0"/>
    <n v="0"/>
    <n v="0"/>
    <n v="0"/>
    <n v="0"/>
    <n v="0"/>
    <n v="0"/>
    <n v="0"/>
    <n v="0"/>
    <n v="601.11438972006908"/>
    <n v="0"/>
    <n v="0"/>
    <n v="0"/>
    <n v="44.576365673484531"/>
    <n v="0"/>
    <n v="-24.580745366247129"/>
    <m/>
    <n v="0"/>
    <n v="0"/>
    <n v="0"/>
    <n v="0"/>
    <n v="-3.6707917468362439"/>
    <n v="-0.8085867880720059"/>
    <n v="0"/>
    <n v="0"/>
    <m/>
    <m/>
    <m/>
    <n v="0"/>
    <n v="0"/>
    <n v="0"/>
    <n v="15.539420000000064"/>
    <n v="601.2965400000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6"/>
    <s v="PROJETADO"/>
    <s v="Verde"/>
    <s v="A4"/>
    <s v="Rural"/>
    <s v="Não se aplica"/>
    <s v="Não se aplica"/>
    <s v="Não se aplica"/>
    <s v="Não se aplica"/>
    <s v="CATIVO"/>
    <x v="11"/>
    <n v="2516"/>
    <n v="2415.36"/>
    <n v="0"/>
    <n v="0"/>
    <n v="0"/>
    <n v="0"/>
    <n v="44.35"/>
    <m/>
    <m/>
    <n v="111584.6"/>
    <m/>
    <n v="111584.6"/>
    <n v="72888.52"/>
    <n v="0"/>
    <n v="0"/>
    <n v="0"/>
    <n v="0"/>
    <n v="0"/>
    <n v="33015.112239222617"/>
    <n v="72254.101254936933"/>
    <m/>
    <m/>
    <m/>
    <n v="0"/>
    <n v="0"/>
    <n v="0"/>
    <n v="0"/>
    <m/>
    <n v="0"/>
    <n v="2495.1692602189928"/>
    <n v="3817.5051458149055"/>
    <n v="0"/>
    <n v="0"/>
    <m/>
    <m/>
    <n v="0"/>
    <n v="0"/>
    <n v="0"/>
    <m/>
    <m/>
    <n v="0"/>
    <m/>
    <n v="0"/>
    <n v="0"/>
    <n v="0"/>
    <n v="0"/>
    <m/>
    <n v="0"/>
    <n v="0"/>
    <n v="479.8"/>
    <n v="2216.3200000000002"/>
    <n v="91.28"/>
    <n v="17"/>
    <m/>
    <m/>
    <m/>
    <m/>
    <m/>
    <n v="2915.5407999999961"/>
    <m/>
    <m/>
    <m/>
    <n v="0"/>
    <m/>
    <m/>
    <m/>
    <m/>
    <m/>
    <m/>
    <m/>
    <m/>
    <m/>
    <m/>
    <m/>
    <m/>
    <n v="69972.979200000002"/>
    <n v="-37148.266799999998"/>
    <m/>
    <m/>
    <m/>
    <m/>
    <n v="-38696.080000000009"/>
    <n v="0"/>
    <n v="30"/>
    <n v="1844.4578594049308"/>
    <n v="301.24685122973688"/>
    <n v="460.89514770197911"/>
    <n v="0"/>
    <n v="0"/>
    <m/>
    <m/>
    <m/>
    <n v="1082.31586047321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72254.101254936933"/>
    <m/>
    <n v="0"/>
    <n v="0"/>
    <n v="-38696.080000000002"/>
    <m/>
    <n v="0"/>
    <m/>
    <n v="-40533.806528634537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697"/>
    <s v="PROJETADO"/>
    <s v="Verde"/>
    <s v="A4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8"/>
    <n v="387.24"/>
    <n v="34.83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698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262.964"/>
    <n v="262.964"/>
    <n v="262.964"/>
    <n v="262.964"/>
    <m/>
    <n v="581.32000000000005"/>
    <n v="209.4"/>
    <m/>
    <n v="207930.89408"/>
    <n v="207930.89408"/>
    <n v="158848.66347999999"/>
    <n v="0"/>
    <n v="16182.254301696943"/>
    <n v="0"/>
    <n v="0"/>
    <n v="0"/>
    <n v="19509.600200086563"/>
    <n v="101347.72243578963"/>
    <n v="54341.706716191096"/>
    <n v="723.9306788427175"/>
    <n v="0"/>
    <n v="0"/>
    <n v="0"/>
    <n v="0"/>
    <n v="2500.6828870085506"/>
    <m/>
    <n v="479.37398834762297"/>
    <n v="1498.7582625329305"/>
    <n v="2257.595895401394"/>
    <n v="0"/>
    <n v="0"/>
    <n v="0"/>
    <n v="0"/>
    <n v="0"/>
    <n v="0"/>
    <n v="0"/>
    <n v="0"/>
    <n v="0"/>
    <n v="0"/>
    <m/>
    <n v="0"/>
    <n v="0"/>
    <n v="0"/>
    <n v="0"/>
    <n v="0"/>
    <n v="9091.2659471019633"/>
    <n v="0"/>
    <n v="350.66"/>
    <n v="1632.66"/>
    <n v="47473.9"/>
    <n v="480"/>
    <m/>
    <m/>
    <m/>
    <m/>
    <m/>
    <m/>
    <m/>
    <m/>
    <m/>
    <n v="63432.972663293061"/>
    <m/>
    <m/>
    <m/>
    <m/>
    <m/>
    <m/>
    <m/>
    <m/>
    <m/>
    <m/>
    <m/>
    <m/>
    <n v="158846.24719999998"/>
    <n v="-49084.676880000043"/>
    <m/>
    <m/>
    <m/>
    <m/>
    <n v="-55085.698720000022"/>
    <n v="6003.4681199999959"/>
    <n v="30"/>
    <n v="7768.9744171476195"/>
    <n v="180.94812826564612"/>
    <n v="272.56413650237073"/>
    <n v="0"/>
    <n v="0"/>
    <n v="0"/>
    <n v="0"/>
    <n v="0"/>
    <n v="639.57225330760775"/>
    <n v="0"/>
    <n v="0"/>
    <n v="6001.6494942041318"/>
    <n v="0"/>
    <n v="0"/>
    <n v="0"/>
    <n v="1004.0647408823588"/>
    <n v="0"/>
    <n v="-282.09104473365005"/>
    <m/>
    <n v="0"/>
    <n v="0"/>
    <n v="0"/>
    <n v="0"/>
    <n v="-36.649938526655205"/>
    <n v="-11.083352754190116"/>
    <n v="0"/>
    <n v="0"/>
    <m/>
    <m/>
    <m/>
    <n v="101347.72243578963"/>
    <n v="0"/>
    <n v="0"/>
    <n v="-55085.698720000015"/>
    <n v="6003.4681199999977"/>
    <n v="0"/>
    <n v="0"/>
    <n v="-56855.02832338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699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4.8559999999999999"/>
    <n v="4.8559999999999999"/>
    <n v="4.8559999999999999"/>
    <n v="4.8559999999999999"/>
    <m/>
    <n v="581.32000000000005"/>
    <n v="209.4"/>
    <m/>
    <n v="3839.73632"/>
    <n v="3839.73632"/>
    <n v="2933.3639199999998"/>
    <n v="0"/>
    <n v="298.82807870674446"/>
    <n v="0"/>
    <n v="0"/>
    <n v="0"/>
    <n v="360.27219912847517"/>
    <n v="1871.5281945368736"/>
    <n v="1003.4960215612174"/>
    <n v="13.368397866096636"/>
    <n v="0"/>
    <n v="0"/>
    <n v="0"/>
    <n v="0"/>
    <n v="46.178625588725154"/>
    <m/>
    <n v="8.8523147176649921"/>
    <n v="27.67667864369233"/>
    <n v="41.689682496726434"/>
    <n v="0"/>
    <n v="0"/>
    <n v="0"/>
    <n v="0"/>
    <n v="0"/>
    <n v="0"/>
    <n v="0"/>
    <n v="0"/>
    <n v="0"/>
    <n v="0"/>
    <m/>
    <n v="0"/>
    <n v="0"/>
    <n v="0"/>
    <n v="0"/>
    <n v="0"/>
    <n v="167.8830084693233"/>
    <n v="0"/>
    <n v="6.3"/>
    <n v="29.23"/>
    <n v="1041.8599999999999"/>
    <n v="6"/>
    <m/>
    <m/>
    <m/>
    <m/>
    <m/>
    <m/>
    <m/>
    <m/>
    <m/>
    <n v="1171.3790300305407"/>
    <m/>
    <m/>
    <m/>
    <m/>
    <m/>
    <m/>
    <m/>
    <m/>
    <m/>
    <m/>
    <m/>
    <m/>
    <n v="2935.7802000000001"/>
    <n v="-903.98612000000048"/>
    <m/>
    <m/>
    <m/>
    <m/>
    <n v="-1017.2348800000003"/>
    <n v="110.86247999999992"/>
    <n v="30"/>
    <n v="143.46503616338578"/>
    <n v="3.3414616101746901"/>
    <n v="5.0332800187687781"/>
    <n v="0"/>
    <n v="0"/>
    <n v="0"/>
    <n v="0"/>
    <n v="0"/>
    <n v="11.810600926597374"/>
    <n v="0"/>
    <n v="0"/>
    <n v="110.82889651760399"/>
    <n v="0"/>
    <n v="0"/>
    <n v="0"/>
    <n v="18.541467203589605"/>
    <n v="0"/>
    <n v="-5.2092077745493839"/>
    <m/>
    <n v="0"/>
    <n v="0"/>
    <n v="0"/>
    <n v="0"/>
    <n v="-0.67679264646658055"/>
    <n v="-0.2046696923318283"/>
    <n v="0"/>
    <n v="0"/>
    <m/>
    <m/>
    <m/>
    <n v="1871.5281945368736"/>
    <n v="0"/>
    <n v="0"/>
    <n v="-1017.2348800000002"/>
    <n v="110.86247999999989"/>
    <n v="0"/>
    <n v="0"/>
    <n v="-1049.9080388887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0"/>
    <s v="PROJETADO"/>
    <s v="Verde"/>
    <s v="A4"/>
    <s v="Poder público"/>
    <s v="Não se aplica"/>
    <s v="Não se aplica"/>
    <s v="Não se aplica"/>
    <s v="Ponta"/>
    <s v="CATIVO"/>
    <x v="11"/>
    <n v="0"/>
    <n v="0"/>
    <n v="0.23799999999999999"/>
    <n v="0.23799999999999999"/>
    <n v="0.23799999999999999"/>
    <n v="0.23799999999999999"/>
    <m/>
    <n v="1614.19"/>
    <n v="209.4"/>
    <m/>
    <n v="434.01441999999997"/>
    <n v="434.01441999999997"/>
    <n v="288.49169999999998"/>
    <n v="0"/>
    <n v="12.742039122120788"/>
    <n v="0"/>
    <n v="0"/>
    <n v="0"/>
    <n v="74.117481701871284"/>
    <n v="276.75511464188168"/>
    <n v="49.182877498263949"/>
    <n v="0.65520566147672976"/>
    <n v="0"/>
    <n v="0"/>
    <n v="0"/>
    <n v="0"/>
    <n v="2.2632851915396595"/>
    <m/>
    <n v="0.31602694542493254"/>
    <n v="5.7583922387176649"/>
    <n v="8.5772115125719193"/>
    <n v="0"/>
    <n v="0"/>
    <n v="0"/>
    <n v="0"/>
    <n v="0"/>
    <n v="0"/>
    <n v="0"/>
    <n v="0"/>
    <n v="0"/>
    <n v="0"/>
    <m/>
    <n v="0"/>
    <n v="0"/>
    <n v="0"/>
    <n v="0"/>
    <n v="0"/>
    <n v="3.6472158539705029"/>
    <n v="0"/>
    <n v="0"/>
    <n v="0"/>
    <n v="0"/>
    <n v="0"/>
    <m/>
    <m/>
    <m/>
    <m/>
    <m/>
    <m/>
    <m/>
    <m/>
    <m/>
    <n v="52.830093352234449"/>
    <m/>
    <m/>
    <m/>
    <m/>
    <m/>
    <m/>
    <m/>
    <m/>
    <m/>
    <m/>
    <m/>
    <m/>
    <n v="290.916"/>
    <n v="-143.12841999999995"/>
    <m/>
    <m/>
    <m/>
    <m/>
    <n v="-150.95626000000001"/>
    <n v="5.4335399999999963"/>
    <n v="30"/>
    <n v="9.7326228514243951"/>
    <n v="0.69522238740116027"/>
    <n v="1.0355441619487582"/>
    <n v="0"/>
    <n v="0"/>
    <n v="0"/>
    <n v="0"/>
    <n v="0"/>
    <n v="2.4297517271185427"/>
    <n v="0"/>
    <n v="0"/>
    <n v="5.4318940220736778"/>
    <n v="0"/>
    <n v="0"/>
    <n v="0"/>
    <n v="0.40280868062454678"/>
    <n v="0"/>
    <n v="-0.22212079114461325"/>
    <m/>
    <n v="0"/>
    <n v="0"/>
    <n v="0"/>
    <n v="0"/>
    <n v="-3.3170644534399774E-2"/>
    <n v="-7.3066920632218757E-3"/>
    <n v="0"/>
    <n v="0"/>
    <m/>
    <m/>
    <m/>
    <n v="276.75511464188168"/>
    <n v="0"/>
    <n v="0"/>
    <n v="-150.95625999999999"/>
    <n v="5.4335400000000007"/>
    <n v="0"/>
    <n v="0"/>
    <n v="-155.2567685137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1"/>
    <s v="PROJETADO"/>
    <s v="Verde"/>
    <s v="A4"/>
    <s v="Poder público"/>
    <s v="Não se aplica"/>
    <s v="Não se aplica"/>
    <s v="Não se aplica"/>
    <s v="Fora ponta"/>
    <s v="CATIVO"/>
    <x v="11"/>
    <n v="0"/>
    <n v="0"/>
    <n v="4.9580000000000002"/>
    <n v="4.9580000000000002"/>
    <n v="4.9580000000000002"/>
    <n v="4.9580000000000002"/>
    <m/>
    <n v="79.7"/>
    <n v="209.4"/>
    <m/>
    <n v="1433.3578000000002"/>
    <n v="1433.3578000000002"/>
    <n v="1549.47416"/>
    <n v="0"/>
    <n v="265.44130238434821"/>
    <n v="0"/>
    <n v="0"/>
    <n v="0"/>
    <n v="0"/>
    <n v="0"/>
    <n v="1024.574397631902"/>
    <n v="13.649200292443808"/>
    <n v="0"/>
    <n v="0"/>
    <n v="0"/>
    <n v="0"/>
    <n v="47.148604956527869"/>
    <m/>
    <n v="6.58345208158325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978555478931739"/>
    <n v="0"/>
    <n v="0"/>
    <n v="0"/>
    <n v="0"/>
    <n v="0"/>
    <m/>
    <m/>
    <m/>
    <m/>
    <m/>
    <m/>
    <m/>
    <m/>
    <m/>
    <n v="1100.5529531108336"/>
    <m/>
    <m/>
    <m/>
    <m/>
    <m/>
    <m/>
    <m/>
    <m/>
    <m/>
    <m/>
    <m/>
    <m/>
    <n v="1550.0991999999999"/>
    <n v="116.71139999999968"/>
    <m/>
    <m/>
    <m/>
    <m/>
    <n v="2.9252200000000168"/>
    <n v="113.19113999999992"/>
    <n v="30"/>
    <n v="116.07770791021767"/>
    <n v="0"/>
    <n v="0"/>
    <n v="0"/>
    <n v="0"/>
    <n v="0"/>
    <n v="0"/>
    <n v="0"/>
    <n v="0"/>
    <n v="0"/>
    <n v="0"/>
    <n v="113.15685109849278"/>
    <n v="0"/>
    <n v="0"/>
    <n v="0"/>
    <n v="8.391283355195398"/>
    <n v="0"/>
    <n v="-4.6272053886344224"/>
    <m/>
    <n v="0"/>
    <n v="0"/>
    <n v="0"/>
    <n v="0"/>
    <n v="-0.69100863698132287"/>
    <n v="-0.15221251785484835"/>
    <n v="0"/>
    <n v="0"/>
    <m/>
    <m/>
    <m/>
    <n v="0"/>
    <n v="0"/>
    <n v="0"/>
    <n v="2.9252200000000244"/>
    <n v="113.191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2"/>
    <s v="PROJETADO"/>
    <s v="Verde"/>
    <s v="A4"/>
    <s v="Poder público"/>
    <s v="Não se aplica"/>
    <s v="Não se aplica"/>
    <s v="Não se aplica"/>
    <s v="Não se aplica"/>
    <s v="CATIVO"/>
    <x v="11"/>
    <n v="143"/>
    <n v="143"/>
    <n v="0"/>
    <n v="0"/>
    <n v="0"/>
    <n v="0"/>
    <n v="44.35"/>
    <m/>
    <m/>
    <n v="6342.05"/>
    <m/>
    <n v="6342.05"/>
    <n v="4142.71"/>
    <n v="0"/>
    <n v="0"/>
    <n v="0"/>
    <n v="0"/>
    <n v="0"/>
    <n v="1876.4551073961979"/>
    <n v="4106.6520188616778"/>
    <m/>
    <m/>
    <m/>
    <n v="0"/>
    <n v="0"/>
    <n v="0"/>
    <n v="0"/>
    <m/>
    <n v="0"/>
    <n v="141.81605890751828"/>
    <n v="216.97266925736545"/>
    <n v="0"/>
    <n v="0"/>
    <m/>
    <m/>
    <n v="0"/>
    <n v="0"/>
    <n v="0"/>
    <m/>
    <m/>
    <n v="0"/>
    <m/>
    <n v="0"/>
    <n v="0"/>
    <n v="0"/>
    <n v="0"/>
    <m/>
    <n v="0"/>
    <n v="0"/>
    <n v="12.7"/>
    <n v="58.71"/>
    <n v="1108.55"/>
    <n v="2"/>
    <m/>
    <m/>
    <m/>
    <m/>
    <m/>
    <m/>
    <m/>
    <m/>
    <m/>
    <n v="0"/>
    <m/>
    <m/>
    <m/>
    <m/>
    <m/>
    <m/>
    <m/>
    <m/>
    <m/>
    <m/>
    <m/>
    <m/>
    <n v="4142.71"/>
    <n v="-2199.3700000000008"/>
    <m/>
    <m/>
    <m/>
    <m/>
    <n v="-2199.34"/>
    <n v="0"/>
    <n v="30"/>
    <n v="104.83206434614658"/>
    <n v="17.121740749543847"/>
    <n v="26.195550922648238"/>
    <n v="0"/>
    <n v="0"/>
    <m/>
    <m/>
    <m/>
    <n v="61.51477267395466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.6520188616778"/>
    <m/>
    <n v="0"/>
    <n v="0"/>
    <n v="-2199.34"/>
    <m/>
    <n v="0"/>
    <m/>
    <n v="-2303.7894807610255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03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582.70899999999995"/>
    <n v="582.70899999999995"/>
    <n v="582.70899999999995"/>
    <n v="582.70899999999995"/>
    <m/>
    <n v="319.73"/>
    <n v="115.17"/>
    <m/>
    <n v="253420.14409999998"/>
    <n v="253420.14409999998"/>
    <n v="193593.41106999997"/>
    <n v="0"/>
    <n v="19722.280890304926"/>
    <n v="0"/>
    <n v="0"/>
    <n v="0"/>
    <n v="23777.516286053364"/>
    <n v="123518.52913729698"/>
    <n v="66229.487186028447"/>
    <n v="882.29760372434055"/>
    <n v="0"/>
    <n v="0"/>
    <n v="0"/>
    <n v="0"/>
    <n v="3047.7317557659062"/>
    <m/>
    <n v="584.24174243177958"/>
    <n v="1826.6263086250046"/>
    <n v="2751.4671043846247"/>
    <n v="0"/>
    <n v="0"/>
    <n v="0"/>
    <n v="0"/>
    <n v="0"/>
    <n v="0"/>
    <n v="0"/>
    <n v="0"/>
    <n v="0"/>
    <n v="0"/>
    <m/>
    <n v="0"/>
    <n v="0"/>
    <n v="0"/>
    <n v="0"/>
    <n v="0"/>
    <n v="11080.069396660421"/>
    <n v="0"/>
    <n v="411.88"/>
    <n v="1903.19"/>
    <n v="49009.82"/>
    <n v="41"/>
    <m/>
    <m/>
    <m/>
    <m/>
    <m/>
    <m/>
    <m/>
    <m/>
    <m/>
    <n v="77309.556582688863"/>
    <m/>
    <m/>
    <m/>
    <m/>
    <m/>
    <m/>
    <m/>
    <m/>
    <m/>
    <m/>
    <m/>
    <m/>
    <n v="193593.7433"/>
    <n v="-59826.430800000002"/>
    <m/>
    <m/>
    <m/>
    <m/>
    <n v="-67139.730980000008"/>
    <n v="7312.9979499999972"/>
    <n v="30"/>
    <n v="9468.5136463656381"/>
    <n v="220.53230320671651"/>
    <n v="332.19021036886306"/>
    <n v="0"/>
    <n v="0"/>
    <n v="0"/>
    <n v="0"/>
    <n v="0"/>
    <n v="779.48494654755996"/>
    <n v="0"/>
    <n v="0"/>
    <n v="7314.5690905029187"/>
    <n v="0"/>
    <n v="0"/>
    <n v="0"/>
    <n v="1223.7137349680761"/>
    <n v="0"/>
    <n v="-343.80122306531484"/>
    <m/>
    <n v="0"/>
    <n v="0"/>
    <n v="0"/>
    <n v="0"/>
    <n v="-44.667471463435504"/>
    <n v="-13.50794469974096"/>
    <n v="0"/>
    <n v="0"/>
    <m/>
    <m/>
    <m/>
    <n v="123518.52913729698"/>
    <n v="0"/>
    <n v="0"/>
    <n v="-67139.730980000008"/>
    <n v="7312.9979500000045"/>
    <n v="0"/>
    <n v="0"/>
    <n v="-69292.62250577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4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82.465999999999994"/>
    <n v="77.518039999999999"/>
    <n v="82.465999999999994"/>
    <n v="77.518039999999999"/>
    <m/>
    <n v="581.32000000000005"/>
    <n v="209.4"/>
    <m/>
    <n v="65207.515520000001"/>
    <n v="65207.515520000001"/>
    <n v="49815.236619999996"/>
    <n v="0"/>
    <n v="5074.7850779716618"/>
    <n v="0"/>
    <n v="0"/>
    <n v="0"/>
    <n v="6118.2469467316378"/>
    <n v="31782.834450304326"/>
    <n v="17041.660402402667"/>
    <n v="227.02600873672264"/>
    <n v="0"/>
    <n v="0"/>
    <n v="0"/>
    <n v="0"/>
    <n v="784.21880926684685"/>
    <m/>
    <n v="150.33257526914358"/>
    <n v="470.01338159611447"/>
    <n v="707.98627610688675"/>
    <n v="0"/>
    <n v="0"/>
    <n v="0"/>
    <n v="0"/>
    <n v="0"/>
    <n v="0"/>
    <n v="0"/>
    <n v="0"/>
    <n v="0"/>
    <n v="0"/>
    <m/>
    <n v="0"/>
    <n v="0"/>
    <n v="0"/>
    <n v="0"/>
    <n v="0"/>
    <n v="2851.0379276011563"/>
    <n v="0"/>
    <n v="100.12"/>
    <n v="462.85"/>
    <n v="16888.900000000001"/>
    <n v="21"/>
    <m/>
    <m/>
    <m/>
    <m/>
    <n v="2988.914197199997"/>
    <m/>
    <m/>
    <m/>
    <m/>
    <n v="19892.698330003823"/>
    <m/>
    <m/>
    <m/>
    <m/>
    <m/>
    <m/>
    <m/>
    <m/>
    <m/>
    <m/>
    <m/>
    <m/>
    <n v="46827.506399999998"/>
    <n v="-14467.588188800015"/>
    <m/>
    <m/>
    <m/>
    <m/>
    <n v="-17274.977680000004"/>
    <n v="1882.6987799999986"/>
    <n v="30"/>
    <n v="2436.3648418965822"/>
    <n v="56.745669922707123"/>
    <n v="85.47662068117495"/>
    <n v="0"/>
    <n v="0"/>
    <n v="0"/>
    <n v="0"/>
    <n v="0"/>
    <n v="200.57104942602473"/>
    <n v="0"/>
    <n v="0"/>
    <n v="1882.1284555644015"/>
    <n v="0"/>
    <n v="0"/>
    <n v="0"/>
    <n v="314.876572160465"/>
    <n v="0"/>
    <n v="-88.464276840196362"/>
    <m/>
    <n v="0"/>
    <n v="0"/>
    <n v="0"/>
    <n v="0"/>
    <n v="-11.493488958713556"/>
    <n v="-3.4757600592744211"/>
    <n v="0"/>
    <n v="0"/>
    <m/>
    <m/>
    <m/>
    <n v="31782.834450304326"/>
    <n v="0"/>
    <n v="0"/>
    <n v="-17274.977680000004"/>
    <n v="1882.6987799999988"/>
    <n v="0"/>
    <n v="0"/>
    <n v="-17829.842737850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5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25.890999999999998"/>
    <n v="25.890999999999998"/>
    <n v="25.890999999999998"/>
    <n v="25.890999999999998"/>
    <m/>
    <n v="581.32000000000005"/>
    <n v="209.4"/>
    <m/>
    <n v="20472.53152"/>
    <n v="20472.53152"/>
    <n v="15639.976369999998"/>
    <n v="0"/>
    <n v="1593.2779624786492"/>
    <n v="0"/>
    <n v="0"/>
    <n v="0"/>
    <n v="1920.882929908433"/>
    <n v="9978.5289301388366"/>
    <n v="5350.3944592754278"/>
    <n v="71.277015887789958"/>
    <n v="0"/>
    <n v="0"/>
    <n v="0"/>
    <n v="0"/>
    <n v="246.21309619392153"/>
    <m/>
    <n v="47.198369101125266"/>
    <n v="147.56525674708362"/>
    <n v="222.27915352610052"/>
    <n v="0"/>
    <n v="0"/>
    <n v="0"/>
    <n v="0"/>
    <n v="0"/>
    <n v="0"/>
    <n v="0"/>
    <n v="0"/>
    <n v="0"/>
    <n v="0"/>
    <m/>
    <n v="0"/>
    <n v="0"/>
    <n v="0"/>
    <n v="0"/>
    <n v="0"/>
    <n v="895.11099099655053"/>
    <n v="0"/>
    <n v="33.369999999999997"/>
    <n v="154.62"/>
    <n v="5312.94"/>
    <n v="18"/>
    <m/>
    <m/>
    <m/>
    <m/>
    <m/>
    <m/>
    <m/>
    <m/>
    <m/>
    <n v="6245.5054502719786"/>
    <m/>
    <m/>
    <m/>
    <m/>
    <m/>
    <m/>
    <m/>
    <m/>
    <m/>
    <m/>
    <m/>
    <m/>
    <n v="15639.372299999999"/>
    <n v="-4833.1892200000002"/>
    <m/>
    <m/>
    <m/>
    <m/>
    <n v="-5423.6466800000017"/>
    <n v="591.09152999999958"/>
    <n v="30"/>
    <n v="764.92035652929371"/>
    <n v="17.815853078466432"/>
    <n v="26.836213543233583"/>
    <n v="0"/>
    <n v="0"/>
    <n v="0"/>
    <n v="0"/>
    <n v="0"/>
    <n v="62.971224998050275"/>
    <n v="0"/>
    <n v="0"/>
    <n v="590.91247111558641"/>
    <n v="0"/>
    <n v="0"/>
    <n v="0"/>
    <n v="98.858551764443632"/>
    <n v="0"/>
    <n v="-27.774217152153597"/>
    <m/>
    <n v="0"/>
    <n v="0"/>
    <n v="0"/>
    <n v="0"/>
    <n v="-3.6084922589922428"/>
    <n v="-1.0912485593417145"/>
    <n v="0"/>
    <n v="0"/>
    <m/>
    <m/>
    <m/>
    <n v="9978.5289301388366"/>
    <n v="0"/>
    <n v="0"/>
    <n v="-5423.6466800000017"/>
    <n v="591.09152999999969"/>
    <n v="0"/>
    <n v="0"/>
    <n v="-5597.851942930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6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6.53"/>
    <n v="309.60000000000002"/>
    <n v="1047.52"/>
    <n v="13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707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.83"/>
    <n v="22.78"/>
    <n v="177.5"/>
    <n v="2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n v="0"/>
    <m/>
    <m/>
    <m/>
    <m/>
    <n v="0"/>
    <n v="0"/>
    <n v="0"/>
    <n v="0"/>
  </r>
  <r>
    <n v="708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48.018999999999998"/>
    <n v="48.018999999999998"/>
    <n v="48.018999999999998"/>
    <n v="48.018999999999998"/>
    <m/>
    <n v="581.32000000000005"/>
    <n v="209.4"/>
    <m/>
    <n v="37969.583679999996"/>
    <n v="37969.583679999996"/>
    <n v="29006.837329999998"/>
    <n v="0"/>
    <n v="2954.9887791225624"/>
    <n v="0"/>
    <n v="0"/>
    <n v="0"/>
    <n v="3562.584581950216"/>
    <n v="18506.777671636355"/>
    <n v="9923.1621621392296"/>
    <n v="132.1946246153407"/>
    <n v="0"/>
    <n v="0"/>
    <n v="0"/>
    <n v="0"/>
    <n v="456.64156139723912"/>
    <m/>
    <n v="87.536923481786502"/>
    <n v="273.68336733761578"/>
    <n v="412.25223719322622"/>
    <n v="0"/>
    <n v="0"/>
    <n v="0"/>
    <n v="0"/>
    <n v="0"/>
    <n v="0"/>
    <n v="0"/>
    <n v="0"/>
    <n v="0"/>
    <n v="0"/>
    <m/>
    <n v="0"/>
    <n v="0"/>
    <n v="0"/>
    <n v="0"/>
    <n v="0"/>
    <n v="1660.1264793427586"/>
    <n v="0"/>
    <n v="0"/>
    <n v="0"/>
    <n v="0"/>
    <n v="0"/>
    <m/>
    <m/>
    <m/>
    <m/>
    <m/>
    <n v="3480.8973099999967"/>
    <m/>
    <m/>
    <m/>
    <n v="11583.288641481988"/>
    <m/>
    <m/>
    <m/>
    <m/>
    <m/>
    <m/>
    <m/>
    <m/>
    <m/>
    <m/>
    <m/>
    <m/>
    <n v="25526.471600000004"/>
    <n v="-7887.5795499999949"/>
    <m/>
    <m/>
    <m/>
    <m/>
    <n v="-10059.020120000003"/>
    <n v="1096.2737699999991"/>
    <n v="30"/>
    <n v="1418.6671275802473"/>
    <n v="33.042348653002136"/>
    <n v="49.772049674888365"/>
    <n v="0"/>
    <n v="0"/>
    <n v="0"/>
    <n v="0"/>
    <n v="0"/>
    <n v="116.79020714462104"/>
    <n v="0"/>
    <n v="0"/>
    <n v="1095.9416766636805"/>
    <n v="0"/>
    <n v="0"/>
    <n v="0"/>
    <n v="183.34899374982888"/>
    <n v="0"/>
    <n v="-51.511727373576377"/>
    <m/>
    <n v="0"/>
    <n v="0"/>
    <n v="0"/>
    <n v="0"/>
    <n v="-6.6925259659552694"/>
    <n v="-2.0238949662442565"/>
    <n v="0"/>
    <n v="0"/>
    <m/>
    <m/>
    <m/>
    <n v="18506.777671636355"/>
    <n v="0"/>
    <n v="0"/>
    <n v="-10059.020120000001"/>
    <n v="1096.2737699999998"/>
    <n v="0"/>
    <n v="0"/>
    <n v="-10382.11163908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09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1.952"/>
    <n v="1.952"/>
    <n v="1.952"/>
    <n v="1.952"/>
    <m/>
    <n v="581.32000000000005"/>
    <n v="209.4"/>
    <m/>
    <n v="1543.4854400000002"/>
    <n v="1543.4854400000002"/>
    <n v="1179.14464"/>
    <n v="0"/>
    <n v="120.12199539447388"/>
    <n v="0"/>
    <n v="0"/>
    <n v="0"/>
    <n v="144.82111464142989"/>
    <n v="752.31116880889158"/>
    <n v="403.38225578408077"/>
    <n v="5.3737876100948592"/>
    <n v="0"/>
    <n v="0"/>
    <n v="0"/>
    <n v="0"/>
    <n v="18.56274241128326"/>
    <m/>
    <n v="3.558426344497954"/>
    <n v="11.12538647291751"/>
    <n v="16.758290822407332"/>
    <n v="0"/>
    <n v="0"/>
    <n v="0"/>
    <n v="0"/>
    <n v="0"/>
    <n v="0"/>
    <n v="0"/>
    <n v="0"/>
    <n v="0"/>
    <n v="0"/>
    <m/>
    <n v="0"/>
    <n v="0"/>
    <n v="0"/>
    <n v="0"/>
    <n v="0"/>
    <n v="67.485097308920729"/>
    <n v="0"/>
    <n v="0"/>
    <n v="0"/>
    <n v="0"/>
    <n v="0"/>
    <m/>
    <m/>
    <m/>
    <m/>
    <m/>
    <n v="141.50047999999984"/>
    <m/>
    <m/>
    <m/>
    <n v="470.8673530930015"/>
    <m/>
    <m/>
    <m/>
    <m/>
    <m/>
    <m/>
    <m/>
    <m/>
    <m/>
    <m/>
    <m/>
    <m/>
    <n v="1036.5810000000001"/>
    <n v="-321.74819999999977"/>
    <m/>
    <m/>
    <m/>
    <m/>
    <n v="-408.90496000000013"/>
    <n v="44.564159999999966"/>
    <n v="30"/>
    <n v="57.669635624162311"/>
    <n v="1.3431904989829064"/>
    <n v="2.023262478714301"/>
    <n v="0"/>
    <n v="0"/>
    <n v="0"/>
    <n v="0"/>
    <n v="0"/>
    <n v="4.7475891698348676"/>
    <n v="0"/>
    <n v="0"/>
    <n v="44.550660214654727"/>
    <n v="0"/>
    <n v="0"/>
    <n v="0"/>
    <n v="7.4532421708004364"/>
    <n v="0"/>
    <n v="-2.093981378896288"/>
    <m/>
    <n v="0"/>
    <n v="0"/>
    <n v="0"/>
    <n v="0"/>
    <n v="-0.27205503416449162"/>
    <n v="-8.2272495764359466E-2"/>
    <n v="0"/>
    <n v="0"/>
    <m/>
    <m/>
    <m/>
    <n v="752.31116880889158"/>
    <n v="0"/>
    <n v="0"/>
    <n v="-408.90496000000019"/>
    <n v="44.564159999999958"/>
    <n v="0"/>
    <n v="0"/>
    <n v="-422.03881629137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0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28.355"/>
    <n v="11.342000000000001"/>
    <n v="28.355"/>
    <n v="11.342000000000001"/>
    <m/>
    <n v="581.32000000000005"/>
    <n v="209.4"/>
    <m/>
    <n v="22420.865600000001"/>
    <n v="22420.865600000001"/>
    <n v="17128.404849999999"/>
    <n v="0"/>
    <n v="1744.907366501182"/>
    <n v="0"/>
    <n v="0"/>
    <n v="0"/>
    <n v="2103.6899106853202"/>
    <n v="10928.167618635307"/>
    <n v="5859.581896904514"/>
    <n v="78.060321559549038"/>
    <n v="0"/>
    <n v="0"/>
    <n v="0"/>
    <n v="0"/>
    <n v="269.64475464750859"/>
    <m/>
    <n v="51.690153175327609"/>
    <n v="161.60877737683199"/>
    <n v="243.43306161340158"/>
    <n v="0"/>
    <n v="0"/>
    <n v="0"/>
    <n v="0"/>
    <n v="0"/>
    <n v="0"/>
    <n v="0"/>
    <n v="0"/>
    <n v="0"/>
    <n v="0"/>
    <m/>
    <n v="0"/>
    <n v="0"/>
    <n v="0"/>
    <n v="0"/>
    <n v="0"/>
    <n v="980.29709743568003"/>
    <n v="0"/>
    <n v="0"/>
    <n v="0"/>
    <n v="0"/>
    <n v="0"/>
    <m/>
    <m/>
    <m/>
    <m/>
    <m/>
    <m/>
    <n v="11099.224489999997"/>
    <m/>
    <m/>
    <n v="6839.8789943401944"/>
    <m/>
    <m/>
    <m/>
    <m/>
    <m/>
    <m/>
    <m/>
    <m/>
    <m/>
    <m/>
    <m/>
    <m/>
    <n v="6028.1172000000006"/>
    <n v="-1864.2435000000005"/>
    <m/>
    <m/>
    <m/>
    <m/>
    <n v="-5939.805400000002"/>
    <n v="647.34464999999955"/>
    <n v="30"/>
    <n v="837.71645395651467"/>
    <n v="19.511355839477602"/>
    <n v="29.390167819643494"/>
    <n v="0"/>
    <n v="0"/>
    <n v="0"/>
    <n v="0"/>
    <n v="0"/>
    <n v="68.964083458333334"/>
    <n v="0"/>
    <n v="0"/>
    <n v="647.14855040293787"/>
    <n v="0"/>
    <n v="0"/>
    <n v="0"/>
    <n v="108.26674270135561"/>
    <n v="0"/>
    <n v="-30.417439548465381"/>
    <m/>
    <n v="0"/>
    <n v="0"/>
    <n v="0"/>
    <n v="0"/>
    <n v="-3.9519059906424445"/>
    <n v="-1.1951007261262419"/>
    <n v="0"/>
    <n v="0"/>
    <m/>
    <m/>
    <m/>
    <n v="10928.167618635307"/>
    <n v="0"/>
    <n v="0"/>
    <n v="-5939.8054000000011"/>
    <n v="647.34465"/>
    <n v="0"/>
    <n v="0"/>
    <n v="-6130.58946513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1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0.29299999999999998"/>
    <n v="0.1172"/>
    <n v="0.29299999999999998"/>
    <n v="0.1172"/>
    <m/>
    <n v="581.32000000000005"/>
    <n v="209.4"/>
    <m/>
    <n v="231.68096"/>
    <n v="231.68096"/>
    <n v="176.99250999999998"/>
    <n v="0"/>
    <n v="18.030606890666419"/>
    <n v="0"/>
    <n v="0"/>
    <n v="0"/>
    <n v="21.738005425173647"/>
    <n v="112.92375638371169"/>
    <n v="60.54866851677032"/>
    <n v="0.80661873450706645"/>
    <n v="0"/>
    <n v="0"/>
    <n v="0"/>
    <n v="0"/>
    <n v="2.7863132820215135"/>
    <m/>
    <n v="0.53412854453785885"/>
    <n v="1.6699478670926386"/>
    <n v="2.5154606613551986"/>
    <n v="0"/>
    <n v="0"/>
    <n v="0"/>
    <n v="0"/>
    <n v="0"/>
    <n v="0"/>
    <n v="0"/>
    <n v="0"/>
    <n v="0"/>
    <n v="0"/>
    <m/>
    <n v="0"/>
    <n v="0"/>
    <n v="0"/>
    <n v="0"/>
    <n v="0"/>
    <n v="10.129679053029596"/>
    <n v="0"/>
    <n v="0"/>
    <n v="0"/>
    <n v="0"/>
    <n v="0"/>
    <m/>
    <m/>
    <m/>
    <m/>
    <m/>
    <m/>
    <n v="114.69133399999998"/>
    <m/>
    <m/>
    <n v="70.678347569799911"/>
    <m/>
    <m/>
    <m/>
    <m/>
    <m/>
    <m/>
    <m/>
    <m/>
    <m/>
    <m/>
    <m/>
    <m/>
    <n v="63.789600000000007"/>
    <n v="-17.794019999999989"/>
    <m/>
    <m/>
    <m/>
    <m/>
    <n v="-61.377640000000021"/>
    <n v="6.6891899999999946"/>
    <n v="30"/>
    <n v="8.6563541177661421"/>
    <n v="0.20161619682479071"/>
    <n v="0.30369667329062011"/>
    <n v="0"/>
    <n v="0"/>
    <n v="0"/>
    <n v="0"/>
    <n v="0"/>
    <n v="0.71262480879180856"/>
    <n v="0"/>
    <n v="0"/>
    <n v="6.6871636490234749"/>
    <n v="0"/>
    <n v="0"/>
    <n v="0"/>
    <n v="1.1187499774818281"/>
    <n v="0"/>
    <n v="-0.31431175410687473"/>
    <m/>
    <n v="0"/>
    <n v="0"/>
    <n v="0"/>
    <n v="0"/>
    <n v="-4.0836129615879013E-2"/>
    <n v="-1.2349303923646193E-2"/>
    <n v="0"/>
    <n v="0"/>
    <m/>
    <m/>
    <m/>
    <n v="112.92375638371169"/>
    <n v="0"/>
    <n v="0"/>
    <n v="-61.377640000000028"/>
    <n v="6.6891899999999893"/>
    <n v="0"/>
    <n v="0"/>
    <n v="-63.3490641257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2"/>
    <s v="PROJETADO"/>
    <s v="Verde"/>
    <s v="A4"/>
    <s v="Rural"/>
    <s v="Agropecuária rural"/>
    <s v="Não se aplica"/>
    <s v="Não se aplica"/>
    <s v="Ponta"/>
    <s v="CATIVO"/>
    <x v="11"/>
    <n v="0"/>
    <n v="0"/>
    <n v="13.318"/>
    <n v="12.78528"/>
    <n v="13.318"/>
    <n v="12.78528"/>
    <m/>
    <n v="1614.19"/>
    <n v="209.4"/>
    <m/>
    <n v="24286.571619999999"/>
    <n v="24286.571619999999"/>
    <n v="16143.413699999999"/>
    <n v="0"/>
    <n v="713.01881104371705"/>
    <n v="0"/>
    <n v="0"/>
    <n v="0"/>
    <n v="4147.4647954013526"/>
    <n v="15486.658053783951"/>
    <n v="2752.1746324448709"/>
    <n v="36.663987393054988"/>
    <n v="0"/>
    <n v="0"/>
    <n v="0"/>
    <n v="0"/>
    <n v="126.64887470976969"/>
    <m/>
    <n v="17.684230500711141"/>
    <n v="322.22801611446164"/>
    <n v="479.96345766568413"/>
    <n v="0"/>
    <n v="0"/>
    <n v="0"/>
    <n v="0"/>
    <n v="0"/>
    <n v="0"/>
    <n v="0"/>
    <n v="0"/>
    <n v="0"/>
    <n v="0"/>
    <m/>
    <n v="0"/>
    <n v="0"/>
    <n v="0"/>
    <n v="0"/>
    <n v="0"/>
    <n v="204.09084345873595"/>
    <n v="0"/>
    <n v="0"/>
    <n v="0"/>
    <n v="0"/>
    <n v="0"/>
    <m/>
    <m/>
    <m/>
    <m/>
    <m/>
    <n v="645.73654799999917"/>
    <m/>
    <m/>
    <m/>
    <n v="2956.2654759036068"/>
    <m/>
    <m/>
    <m/>
    <m/>
    <m/>
    <m/>
    <m/>
    <m/>
    <m/>
    <m/>
    <m/>
    <m/>
    <n v="15503.398499999999"/>
    <n v="-7811.7402551999985"/>
    <m/>
    <m/>
    <m/>
    <m/>
    <n v="-8447.2078600000004"/>
    <n v="304.04993999999976"/>
    <n v="30"/>
    <n v="544.61794594651474"/>
    <n v="38.90324266978422"/>
    <n v="57.946962810225045"/>
    <n v="0"/>
    <n v="0"/>
    <n v="0"/>
    <n v="0"/>
    <n v="0"/>
    <n v="135.96400630993594"/>
    <n v="0"/>
    <n v="0"/>
    <n v="303.9578343948624"/>
    <n v="0"/>
    <n v="0"/>
    <n v="0"/>
    <n v="22.540361380494602"/>
    <n v="0"/>
    <n v="-12.429431497747714"/>
    <m/>
    <n v="0"/>
    <n v="0"/>
    <n v="0"/>
    <n v="0"/>
    <n v="-1.8561623693661318"/>
    <n v="-0.40886775167222211"/>
    <n v="0"/>
    <n v="0"/>
    <m/>
    <m/>
    <m/>
    <n v="15486.658053783951"/>
    <n v="0"/>
    <n v="0"/>
    <n v="-8447.2078600000004"/>
    <n v="304.04993999999942"/>
    <n v="0"/>
    <n v="0"/>
    <n v="-8687.855643132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3"/>
    <s v="PROJETADO"/>
    <s v="Verde"/>
    <s v="A4"/>
    <s v="Rural"/>
    <s v="Agropecuária rural"/>
    <s v="Não se aplica"/>
    <s v="Não se aplica"/>
    <s v="Ponta"/>
    <s v="CATIVO"/>
    <x v="11"/>
    <n v="0"/>
    <n v="0"/>
    <n v="6.0999999999999999E-2"/>
    <n v="5.8560000000000001E-2"/>
    <n v="6.0999999999999999E-2"/>
    <n v="5.8560000000000001E-2"/>
    <m/>
    <n v="1614.19"/>
    <n v="209.4"/>
    <m/>
    <n v="111.23899"/>
    <n v="111.23899"/>
    <n v="73.941149999999993"/>
    <n v="0"/>
    <n v="3.2658167497872612"/>
    <n v="0"/>
    <n v="0"/>
    <n v="0"/>
    <n v="18.996497410983817"/>
    <n v="70.933033584683969"/>
    <n v="12.605695493252524"/>
    <n v="0.16793086281546435"/>
    <n v="0"/>
    <n v="0"/>
    <n v="0"/>
    <n v="0"/>
    <n v="0.58008570035260187"/>
    <m/>
    <n v="8.0998502818995316E-2"/>
    <n v="1.4758904477385613"/>
    <n v="2.1983609338944836"/>
    <n v="0"/>
    <n v="0"/>
    <n v="0"/>
    <n v="0"/>
    <n v="0"/>
    <n v="0"/>
    <n v="0"/>
    <n v="0"/>
    <n v="0"/>
    <n v="0"/>
    <m/>
    <n v="0"/>
    <n v="0"/>
    <n v="0"/>
    <n v="0"/>
    <n v="0"/>
    <n v="0.93479061803445662"/>
    <n v="0"/>
    <n v="0"/>
    <n v="0"/>
    <n v="0"/>
    <n v="0"/>
    <m/>
    <m/>
    <m/>
    <m/>
    <m/>
    <n v="2.9576459999999969"/>
    <m/>
    <m/>
    <m/>
    <n v="13.540486111286981"/>
    <m/>
    <m/>
    <m/>
    <m/>
    <m/>
    <m/>
    <m/>
    <m/>
    <m/>
    <m/>
    <m/>
    <m/>
    <n v="72.728999999999999"/>
    <n v="-34.090430400000031"/>
    <m/>
    <m/>
    <m/>
    <m/>
    <n v="-38.690470000000005"/>
    <n v="1.3926299999999989"/>
    <n v="30"/>
    <n v="2.4944957728440826"/>
    <n v="0.17818725055239804"/>
    <n v="0.26541257932300111"/>
    <n v="0"/>
    <n v="0"/>
    <n v="0"/>
    <n v="0"/>
    <n v="0"/>
    <n v="0.62275149308500488"/>
    <n v="0"/>
    <n v="0"/>
    <n v="1.3922081317079602"/>
    <n v="0"/>
    <n v="0"/>
    <n v="0"/>
    <n v="0.10324088032814027"/>
    <n v="0"/>
    <n v="-5.6930118738745428E-2"/>
    <m/>
    <n v="0"/>
    <n v="0"/>
    <n v="0"/>
    <n v="0"/>
    <n v="-8.501719817640363E-3"/>
    <n v="-1.8727235960358662E-3"/>
    <n v="0"/>
    <n v="0"/>
    <m/>
    <m/>
    <m/>
    <n v="70.933033584683969"/>
    <n v="0"/>
    <n v="0"/>
    <n v="-38.690470000000012"/>
    <n v="1.3926299999999987"/>
    <n v="0"/>
    <n v="0"/>
    <n v="-39.792701173682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4"/>
    <s v="PROJETADO"/>
    <s v="Verde"/>
    <s v="A4"/>
    <s v="Rural"/>
    <s v="Agropecuária rural"/>
    <s v="Não se aplica"/>
    <s v="Não se aplica"/>
    <s v="Fora ponta"/>
    <s v="CATIVO"/>
    <x v="11"/>
    <n v="0"/>
    <n v="0"/>
    <n v="116.556"/>
    <n v="111.89376"/>
    <n v="116.556"/>
    <n v="111.89376"/>
    <m/>
    <n v="79.7"/>
    <n v="209.4"/>
    <m/>
    <n v="33696.339599999999"/>
    <n v="33696.339599999999"/>
    <n v="36426.081120000003"/>
    <n v="0"/>
    <n v="6240.1727391508848"/>
    <n v="0"/>
    <n v="0"/>
    <n v="0"/>
    <n v="0"/>
    <n v="0"/>
    <n v="24086.384326418709"/>
    <n v="320.87458436588952"/>
    <n v="0"/>
    <n v="0"/>
    <n v="0"/>
    <n v="0"/>
    <n v="1108.4011293491453"/>
    <m/>
    <n v="154.768221222472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86.1550045184283"/>
    <n v="0"/>
    <n v="0"/>
    <n v="0"/>
    <n v="0"/>
    <n v="0"/>
    <m/>
    <m/>
    <m/>
    <m/>
    <m/>
    <n v="1457.0432447999992"/>
    <m/>
    <m/>
    <m/>
    <n v="25872.539330937136"/>
    <m/>
    <m/>
    <m/>
    <m/>
    <m/>
    <m/>
    <m/>
    <m/>
    <m/>
    <m/>
    <m/>
    <m/>
    <n v="34967.862800000003"/>
    <n v="2619.3467840000048"/>
    <m/>
    <m/>
    <m/>
    <m/>
    <n v="68.768040000000397"/>
    <n v="2660.9734799999983"/>
    <n v="30"/>
    <n v="2728.832860666269"/>
    <n v="0"/>
    <n v="0"/>
    <n v="0"/>
    <n v="0"/>
    <n v="0"/>
    <n v="0"/>
    <n v="0"/>
    <n v="0"/>
    <n v="0"/>
    <n v="0"/>
    <n v="2660.167393432017"/>
    <n v="0"/>
    <n v="0"/>
    <n v="0"/>
    <n v="197.2679352053558"/>
    <n v="0"/>
    <n v="-108.77945770021597"/>
    <m/>
    <n v="0"/>
    <n v="0"/>
    <n v="0"/>
    <n v="0"/>
    <n v="-16.244695984670443"/>
    <n v="-3.5783142862222235"/>
    <n v="0"/>
    <n v="0"/>
    <m/>
    <m/>
    <m/>
    <n v="0"/>
    <n v="0"/>
    <n v="0"/>
    <n v="68.768040000000838"/>
    <n v="2660.973479999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5"/>
    <s v="PROJETADO"/>
    <s v="Verde"/>
    <s v="A4"/>
    <s v="Rural"/>
    <s v="Agropecuária rural"/>
    <s v="Não se aplica"/>
    <s v="Não se aplica"/>
    <s v="Fora ponta"/>
    <s v="CATIVO"/>
    <x v="11"/>
    <n v="0"/>
    <n v="0"/>
    <n v="0.64100000000000001"/>
    <n v="0.61536000000000002"/>
    <n v="0.64100000000000001"/>
    <n v="0.61536000000000002"/>
    <m/>
    <n v="79.7"/>
    <n v="209.4"/>
    <m/>
    <n v="185.31310000000002"/>
    <n v="185.31310000000002"/>
    <n v="200.32532"/>
    <n v="0"/>
    <n v="34.317844862518598"/>
    <n v="0"/>
    <n v="0"/>
    <n v="0"/>
    <n v="0"/>
    <n v="0"/>
    <n v="132.46312805204704"/>
    <n v="1.7646505420444696"/>
    <n v="0"/>
    <n v="0"/>
    <n v="0"/>
    <n v="0"/>
    <n v="6.095654654524882"/>
    <m/>
    <n v="0.85114820175370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8229637075424048"/>
    <n v="0"/>
    <n v="0"/>
    <n v="0"/>
    <n v="0"/>
    <n v="0"/>
    <m/>
    <m/>
    <m/>
    <m/>
    <m/>
    <n v="8.0130127999999985"/>
    <m/>
    <m/>
    <m/>
    <n v="142.28609175958945"/>
    <m/>
    <m/>
    <m/>
    <m/>
    <m/>
    <m/>
    <m/>
    <m/>
    <m/>
    <m/>
    <m/>
    <m/>
    <n v="193.76239999999999"/>
    <n v="15.831823999999983"/>
    <m/>
    <m/>
    <m/>
    <m/>
    <n v="0.37819000000000219"/>
    <n v="14.63402999999999"/>
    <n v="30"/>
    <n v="15.007222825826801"/>
    <n v="0"/>
    <n v="0"/>
    <n v="0"/>
    <n v="0"/>
    <n v="0"/>
    <n v="0"/>
    <n v="0"/>
    <n v="0"/>
    <n v="0"/>
    <n v="0"/>
    <n v="14.629596924996747"/>
    <n v="0"/>
    <n v="0"/>
    <n v="0"/>
    <n v="1.0848754801694742"/>
    <n v="0"/>
    <n v="-0.59823288707436006"/>
    <m/>
    <n v="0"/>
    <n v="0"/>
    <n v="0"/>
    <n v="0"/>
    <n v="-8.9337744313237266E-2"/>
    <n v="-1.9678947951786596E-2"/>
    <n v="0"/>
    <n v="0"/>
    <m/>
    <m/>
    <m/>
    <n v="0"/>
    <n v="0"/>
    <n v="0"/>
    <n v="0.37818999999999647"/>
    <n v="14.63402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16"/>
    <s v="PROJETADO"/>
    <s v="Verde"/>
    <s v="A4"/>
    <s v="Rural"/>
    <s v="Agropecuária rural"/>
    <s v="Não se aplica"/>
    <s v="Não se aplica"/>
    <s v="Não se aplica"/>
    <s v="CATIVO"/>
    <x v="11"/>
    <n v="5096"/>
    <n v="4892.16"/>
    <n v="0"/>
    <n v="0"/>
    <n v="0"/>
    <n v="0"/>
    <n v="44.35"/>
    <m/>
    <m/>
    <n v="226007.6"/>
    <m/>
    <n v="226007.6"/>
    <n v="147631.12"/>
    <n v="0"/>
    <n v="0"/>
    <n v="0"/>
    <n v="0"/>
    <n v="0"/>
    <n v="66870.036554482693"/>
    <n v="146346.14467216161"/>
    <m/>
    <m/>
    <m/>
    <n v="0"/>
    <n v="0"/>
    <n v="0"/>
    <n v="0"/>
    <m/>
    <n v="0"/>
    <n v="5053.8086447042879"/>
    <n v="7732.1169408079322"/>
    <n v="0"/>
    <n v="0"/>
    <m/>
    <m/>
    <n v="0"/>
    <n v="0"/>
    <n v="0"/>
    <m/>
    <m/>
    <n v="0"/>
    <m/>
    <n v="0"/>
    <n v="0"/>
    <n v="0"/>
    <n v="0"/>
    <m/>
    <n v="0"/>
    <n v="0"/>
    <n v="423.87"/>
    <n v="1960.18"/>
    <n v="598.22"/>
    <n v="129"/>
    <m/>
    <m/>
    <m/>
    <m/>
    <m/>
    <n v="5905.244800000004"/>
    <m/>
    <m/>
    <m/>
    <n v="0"/>
    <m/>
    <m/>
    <m/>
    <m/>
    <m/>
    <m/>
    <m/>
    <m/>
    <m/>
    <m/>
    <m/>
    <m/>
    <n v="141725.87519999998"/>
    <n v="-75241.45080000005"/>
    <m/>
    <m/>
    <m/>
    <m/>
    <n v="-78376.48000000001"/>
    <n v="0"/>
    <n v="30"/>
    <n v="3735.8335657899588"/>
    <n v="610.15657943829046"/>
    <n v="933.51417833437426"/>
    <n v="0"/>
    <n v="0"/>
    <m/>
    <m/>
    <m/>
    <n v="2192.16280801729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6346.14467216161"/>
    <m/>
    <n v="0"/>
    <n v="0"/>
    <n v="-78376.48000000001"/>
    <m/>
    <n v="0"/>
    <m/>
    <n v="-82098.679678029264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17"/>
    <s v="PROJETADO"/>
    <s v="Verde"/>
    <s v="A4"/>
    <s v="Rural"/>
    <s v="Agropecuária rural"/>
    <s v="Não se aplica"/>
    <s v="Não se aplica"/>
    <s v="Não se aplica"/>
    <s v="CATIVO"/>
    <x v="11"/>
    <n v="846"/>
    <n v="812.16"/>
    <n v="0"/>
    <n v="0"/>
    <n v="0"/>
    <n v="0"/>
    <n v="44.35"/>
    <m/>
    <m/>
    <n v="37520.1"/>
    <m/>
    <n v="37520.1"/>
    <n v="24508.62"/>
    <n v="0"/>
    <n v="0"/>
    <n v="0"/>
    <n v="0"/>
    <n v="0"/>
    <n v="11101.265880120163"/>
    <n v="24295.297957741117"/>
    <m/>
    <m/>
    <m/>
    <n v="0"/>
    <n v="0"/>
    <n v="0"/>
    <n v="0"/>
    <m/>
    <n v="0"/>
    <n v="838.99570514517802"/>
    <n v="1283.6285188232948"/>
    <n v="0"/>
    <n v="0"/>
    <m/>
    <m/>
    <n v="0"/>
    <n v="0"/>
    <n v="0"/>
    <m/>
    <m/>
    <n v="0"/>
    <m/>
    <n v="0"/>
    <n v="0"/>
    <n v="0"/>
    <n v="0"/>
    <m/>
    <n v="0"/>
    <n v="0"/>
    <n v="63.63"/>
    <n v="294.38"/>
    <n v="41.8"/>
    <n v="19"/>
    <m/>
    <m/>
    <m/>
    <m/>
    <m/>
    <n v="980.34480000000087"/>
    <m/>
    <m/>
    <m/>
    <n v="0"/>
    <m/>
    <m/>
    <m/>
    <m/>
    <m/>
    <m/>
    <m/>
    <m/>
    <m/>
    <m/>
    <m/>
    <m/>
    <n v="23528.275199999996"/>
    <n v="-12491.050800000012"/>
    <m/>
    <m/>
    <m/>
    <m/>
    <n v="-13011.480000000001"/>
    <n v="0"/>
    <n v="30"/>
    <n v="620.19528976811489"/>
    <n v="101.29365506373506"/>
    <n v="154.97507748643648"/>
    <n v="0"/>
    <n v="0"/>
    <m/>
    <m/>
    <m/>
    <n v="363.92655721794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295.297957741117"/>
    <m/>
    <n v="0"/>
    <n v="0"/>
    <n v="-13011.48"/>
    <m/>
    <n v="0"/>
    <m/>
    <n v="-13629.411893173619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18"/>
    <s v="PROJETADO"/>
    <s v="Verde"/>
    <s v="A4"/>
    <s v="Rural"/>
    <s v="Agropecuária rural"/>
    <s v="IRRIG./AQUIC. PR"/>
    <s v="Não se aplica"/>
    <s v="Fora ponta"/>
    <s v="CATIVO"/>
    <x v="11"/>
    <n v="0"/>
    <n v="0"/>
    <n v="80.194000000000003"/>
    <n v="24.058199999999999"/>
    <n v="80.194000000000003"/>
    <n v="24.058199999999999"/>
    <m/>
    <n v="79.7"/>
    <n v="209.4"/>
    <m/>
    <n v="23184.085400000004"/>
    <n v="23184.085400000004"/>
    <n v="25062.228880000002"/>
    <n v="0"/>
    <n v="4293.4247284006497"/>
    <n v="0"/>
    <n v="0"/>
    <n v="0"/>
    <n v="0"/>
    <n v="0"/>
    <n v="16572.14990796546"/>
    <n v="220.77127233808767"/>
    <n v="0"/>
    <n v="0"/>
    <n v="0"/>
    <n v="0"/>
    <n v="762.61299432912381"/>
    <m/>
    <n v="106.48514647650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8.9278495517249"/>
    <n v="0"/>
    <n v="0"/>
    <n v="0"/>
    <n v="0"/>
    <n v="0"/>
    <m/>
    <m/>
    <m/>
    <m/>
    <m/>
    <m/>
    <n v="17543.560215999998"/>
    <m/>
    <m/>
    <n v="17801.077757517185"/>
    <m/>
    <m/>
    <m/>
    <m/>
    <m/>
    <m/>
    <m/>
    <m/>
    <m/>
    <m/>
    <m/>
    <m/>
    <n v="7519.2311999999993"/>
    <n v="563.97557999999935"/>
    <m/>
    <m/>
    <m/>
    <m/>
    <n v="47.314460000000274"/>
    <n v="1830.8290199999988"/>
    <n v="30"/>
    <n v="1877.5182953110125"/>
    <n v="0"/>
    <n v="0"/>
    <n v="0"/>
    <n v="0"/>
    <n v="0"/>
    <n v="0"/>
    <n v="0"/>
    <n v="0"/>
    <n v="0"/>
    <n v="0"/>
    <n v="1830.2744084293117"/>
    <n v="0"/>
    <n v="0"/>
    <n v="0"/>
    <n v="135.72621568909631"/>
    <n v="0"/>
    <n v="-74.843507248114292"/>
    <m/>
    <n v="0"/>
    <n v="0"/>
    <n v="0"/>
    <n v="0"/>
    <n v="-11.176834738620414"/>
    <n v="-2.4619868206639239"/>
    <n v="0"/>
    <n v="0"/>
    <m/>
    <m/>
    <m/>
    <n v="0"/>
    <n v="0"/>
    <n v="0"/>
    <n v="47.314460000000508"/>
    <n v="1830.829019999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m/>
    <n v="0"/>
    <m/>
    <m/>
    <m/>
    <m/>
    <n v="0"/>
    <n v="0"/>
    <n v="0"/>
    <n v="0"/>
  </r>
  <r>
    <n v="722"/>
    <s v="Regular"/>
    <s v="Verde"/>
    <s v="A4"/>
    <s v="Industrial"/>
    <s v="Não se aplica"/>
    <s v="Fonte incentivada"/>
    <s v="Não se aplica"/>
    <s v="Não se aplica"/>
    <s v="LIVRE"/>
    <x v="0"/>
    <n v="1709"/>
    <n v="860.88947247999999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301.54000000000002"/>
    <n v="0"/>
    <n v="9594.5499999999993"/>
    <n v="1"/>
    <m/>
    <n v="24569.7619822544"/>
    <m/>
    <m/>
    <m/>
    <m/>
    <m/>
    <m/>
    <m/>
    <n v="0"/>
    <m/>
    <m/>
    <m/>
    <m/>
    <m/>
    <m/>
    <m/>
    <m/>
    <m/>
    <m/>
    <m/>
    <m/>
    <n v="24939.9833"/>
    <n v="-13240.494804488008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25"/>
    <s v="Regular"/>
    <s v="Verde"/>
    <s v="A4"/>
    <s v="Industrial"/>
    <s v="Não se aplica"/>
    <s v="Fonte incentivada"/>
    <s v="Não se aplica"/>
    <s v="Não se aplica"/>
    <s v="LIVRE"/>
    <x v="1"/>
    <n v="1709"/>
    <n v="865.20215107000001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6.06"/>
    <n v="1"/>
    <m/>
    <n v="24444.823683502098"/>
    <m/>
    <m/>
    <m/>
    <m/>
    <m/>
    <m/>
    <m/>
    <n v="0"/>
    <m/>
    <m/>
    <m/>
    <m/>
    <m/>
    <m/>
    <m/>
    <m/>
    <m/>
    <m/>
    <m/>
    <m/>
    <n v="25064.844000000001"/>
    <n v="-13306.90139995451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28"/>
    <s v="Regular"/>
    <s v="Verde"/>
    <s v="A4"/>
    <s v="Industrial"/>
    <s v="Não se aplica"/>
    <s v="Fonte incentivada"/>
    <s v="Não se aplica"/>
    <s v="Não se aplica"/>
    <s v="LIVRE"/>
    <x v="2"/>
    <n v="1709"/>
    <n v="13.325568610000101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546.09"/>
    <n v="0"/>
    <n v="10501.75"/>
    <n v="1"/>
    <m/>
    <n v="49123.688277368296"/>
    <m/>
    <m/>
    <m/>
    <m/>
    <m/>
    <m/>
    <m/>
    <n v="0"/>
    <m/>
    <m/>
    <m/>
    <m/>
    <m/>
    <m/>
    <m/>
    <m/>
    <m/>
    <m/>
    <m/>
    <m/>
    <n v="386.17009999999999"/>
    <n v="-204.84886785350449"/>
    <m/>
    <m/>
    <m/>
    <m/>
    <n v="-26284.420000000006"/>
    <n v="0"/>
    <n v="30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31"/>
    <s v="Regular"/>
    <s v="Verde"/>
    <s v="A4"/>
    <s v="Industrial"/>
    <s v="Não se aplica"/>
    <s v="Fonte incentivada"/>
    <s v="Não se aplica"/>
    <s v="Não se aplica"/>
    <s v="LIVRE"/>
    <x v="3"/>
    <n v="1709"/>
    <n v="14.182358670000101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998.62"/>
    <n v="0"/>
    <n v="10160.41"/>
    <n v="1"/>
    <m/>
    <n v="49098.867069330096"/>
    <m/>
    <m/>
    <m/>
    <m/>
    <m/>
    <m/>
    <m/>
    <n v="0"/>
    <m/>
    <m/>
    <m/>
    <m/>
    <m/>
    <m/>
    <m/>
    <m/>
    <m/>
    <m/>
    <m/>
    <m/>
    <n v="410.7946"/>
    <n v="-218.2230070145045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34"/>
    <s v="Regular"/>
    <s v="Verde"/>
    <s v="A4"/>
    <s v="Industrial"/>
    <s v="Não se aplica"/>
    <s v="Fonte incentivada"/>
    <s v="Não se aplica"/>
    <s v="Não se aplica"/>
    <s v="LIVRE"/>
    <x v="4"/>
    <n v="1709"/>
    <n v="7.5780136200001103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863.01"/>
    <n v="0"/>
    <n v="11513.4"/>
    <n v="1"/>
    <m/>
    <n v="49290.194945428593"/>
    <m/>
    <m/>
    <m/>
    <m/>
    <m/>
    <m/>
    <m/>
    <n v="0"/>
    <m/>
    <m/>
    <m/>
    <m/>
    <m/>
    <m/>
    <m/>
    <m/>
    <m/>
    <m/>
    <m/>
    <m/>
    <n v="219.5926"/>
    <n v="-116.52230404700487"/>
    <m/>
    <m/>
    <m/>
    <m/>
    <n v="-26284.420000000006"/>
    <n v="0"/>
    <n v="30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37"/>
    <s v="Regular"/>
    <s v="Verde"/>
    <s v="A4"/>
    <s v="Industrial"/>
    <s v="Não se aplica"/>
    <s v="Fonte incentivada"/>
    <s v="Não se aplica"/>
    <s v="Não se aplica"/>
    <s v="LIVRE"/>
    <x v="5"/>
    <n v="1704"/>
    <n v="11.058721440000101"/>
    <n v="0"/>
    <n v="0"/>
    <n v="0"/>
    <n v="0"/>
    <n v="44.35"/>
    <m/>
    <m/>
    <n v="75572.400000000009"/>
    <m/>
    <n v="75572.400000000009"/>
    <n v="49364.88"/>
    <n v="0"/>
    <n v="0"/>
    <n v="0"/>
    <n v="0"/>
    <n v="0"/>
    <n v="22359.99652449735"/>
    <n v="48935.210070911184"/>
    <m/>
    <m/>
    <m/>
    <n v="0"/>
    <n v="0"/>
    <n v="0"/>
    <n v="0"/>
    <m/>
    <n v="0"/>
    <n v="1689.8920585902877"/>
    <n v="2585.4645343674874"/>
    <n v="0"/>
    <n v="0"/>
    <m/>
    <m/>
    <n v="0"/>
    <n v="0"/>
    <n v="0"/>
    <m/>
    <m/>
    <n v="0"/>
    <m/>
    <n v="0"/>
    <n v="0"/>
    <n v="0"/>
    <n v="0"/>
    <m/>
    <n v="0"/>
    <n v="0"/>
    <n v="992.75"/>
    <n v="0"/>
    <n v="15041.69"/>
    <n v="1"/>
    <m/>
    <n v="49044.508839883201"/>
    <m/>
    <m/>
    <m/>
    <m/>
    <m/>
    <m/>
    <m/>
    <n v="0"/>
    <m/>
    <m/>
    <m/>
    <m/>
    <m/>
    <m/>
    <m/>
    <m/>
    <m/>
    <m/>
    <m/>
    <m/>
    <n v="320.40820000000002"/>
    <n v="-170.0760958640044"/>
    <m/>
    <m/>
    <m/>
    <m/>
    <n v="-26207.520000000004"/>
    <n v="0"/>
    <m/>
    <n v="1249.1876758449944"/>
    <n v="204.02409956099837"/>
    <n v="312.14838302232602"/>
    <n v="0"/>
    <n v="0"/>
    <m/>
    <m/>
    <m/>
    <n v="733.015193261671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935.210070911184"/>
    <m/>
    <n v="0"/>
    <n v="0"/>
    <n v="-26207.520000000011"/>
    <m/>
    <n v="0"/>
    <m/>
    <n v="-27452.14877773977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40"/>
    <s v="Regular"/>
    <s v="Verde"/>
    <s v="A4"/>
    <s v="Industrial"/>
    <s v="Não se aplica"/>
    <s v="Fonte incentivada"/>
    <s v="Não se aplica"/>
    <s v="Não se aplica"/>
    <s v="LIVRE"/>
    <x v="6"/>
    <n v="1709"/>
    <n v="8.1847940700001498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313"/>
    <n v="0"/>
    <n v="3033.05"/>
    <n v="1"/>
    <m/>
    <n v="49272.616515792091"/>
    <m/>
    <m/>
    <m/>
    <m/>
    <m/>
    <m/>
    <m/>
    <n v="0"/>
    <m/>
    <m/>
    <m/>
    <m/>
    <m/>
    <m/>
    <m/>
    <m/>
    <m/>
    <m/>
    <m/>
    <m/>
    <n v="236.97459999999998"/>
    <n v="-126.05101700450663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43"/>
    <s v="Regular"/>
    <s v="Verde"/>
    <s v="A4"/>
    <s v="Industrial"/>
    <s v="Não se aplica"/>
    <s v="Fonte incentivada"/>
    <s v="Não se aplica"/>
    <s v="Não se aplica"/>
    <s v="LIVRE"/>
    <x v="7"/>
    <n v="1704"/>
    <n v="3.5111260800000199"/>
    <n v="0"/>
    <n v="0"/>
    <n v="0"/>
    <n v="0"/>
    <n v="44.35"/>
    <m/>
    <m/>
    <n v="75572.400000000009"/>
    <m/>
    <n v="75572.400000000009"/>
    <n v="49364.88"/>
    <n v="0"/>
    <n v="0"/>
    <n v="0"/>
    <n v="0"/>
    <n v="0"/>
    <n v="22359.99652449735"/>
    <n v="48935.210070911184"/>
    <m/>
    <m/>
    <m/>
    <n v="0"/>
    <n v="0"/>
    <n v="0"/>
    <n v="0"/>
    <m/>
    <n v="0"/>
    <n v="1689.8920585902877"/>
    <n v="2585.4645343674874"/>
    <n v="0"/>
    <n v="0"/>
    <m/>
    <m/>
    <n v="0"/>
    <n v="0"/>
    <n v="0"/>
    <m/>
    <m/>
    <n v="0"/>
    <m/>
    <n v="0"/>
    <n v="0"/>
    <n v="0"/>
    <n v="0"/>
    <m/>
    <n v="0"/>
    <n v="0"/>
    <n v="683.09"/>
    <n v="0"/>
    <n v="9993.6"/>
    <n v="1"/>
    <m/>
    <n v="49263.162677462402"/>
    <m/>
    <m/>
    <m/>
    <m/>
    <m/>
    <m/>
    <m/>
    <n v="0"/>
    <m/>
    <m/>
    <m/>
    <m/>
    <m/>
    <m/>
    <m/>
    <m/>
    <m/>
    <m/>
    <m/>
    <m/>
    <n v="101.68469999999999"/>
    <n v="-54.063741648000871"/>
    <m/>
    <m/>
    <m/>
    <m/>
    <n v="-26207.520000000004"/>
    <n v="0"/>
    <n v="29"/>
    <n v="1249.1876758449944"/>
    <n v="204.02409956099837"/>
    <n v="312.14838302232602"/>
    <n v="0"/>
    <n v="0"/>
    <m/>
    <m/>
    <m/>
    <n v="733.015193261671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935.210070911184"/>
    <m/>
    <n v="0"/>
    <n v="0"/>
    <n v="-26207.520000000011"/>
    <m/>
    <n v="0"/>
    <m/>
    <n v="-27452.14877773977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46"/>
    <s v="Regular"/>
    <s v="Verde"/>
    <s v="A4"/>
    <s v="Industrial"/>
    <s v="Não se aplica"/>
    <s v="Fonte incentivada"/>
    <s v="Não se aplica"/>
    <s v="Não se aplica"/>
    <s v="LIVRE"/>
    <x v="8"/>
    <n v="1702"/>
    <n v="3.2286940000000599"/>
    <n v="0"/>
    <n v="0"/>
    <n v="0"/>
    <n v="0"/>
    <n v="44.35"/>
    <m/>
    <m/>
    <n v="75483.7"/>
    <m/>
    <n v="75483.7"/>
    <n v="49306.939999999995"/>
    <n v="0"/>
    <n v="0"/>
    <n v="0"/>
    <n v="0"/>
    <n v="0"/>
    <n v="22333.752397121181"/>
    <n v="48877.774378339687"/>
    <m/>
    <m/>
    <m/>
    <n v="0"/>
    <n v="0"/>
    <n v="0"/>
    <n v="0"/>
    <m/>
    <n v="0"/>
    <n v="1687.9086172069658"/>
    <n v="2582.4299515806715"/>
    <n v="0"/>
    <n v="0"/>
    <m/>
    <m/>
    <n v="0"/>
    <n v="0"/>
    <n v="0"/>
    <m/>
    <m/>
    <n v="0"/>
    <m/>
    <n v="0"/>
    <n v="0"/>
    <n v="0"/>
    <n v="0"/>
    <m/>
    <n v="0"/>
    <n v="0"/>
    <n v="157.01"/>
    <n v="0"/>
    <n v="10475.25"/>
    <n v="1"/>
    <m/>
    <n v="49213.404734819997"/>
    <m/>
    <m/>
    <m/>
    <m/>
    <m/>
    <m/>
    <m/>
    <n v="0"/>
    <m/>
    <m/>
    <m/>
    <m/>
    <m/>
    <m/>
    <m/>
    <m/>
    <m/>
    <m/>
    <m/>
    <m/>
    <n v="93.573099999999997"/>
    <n v="-49.649478900002649"/>
    <m/>
    <m/>
    <m/>
    <m/>
    <n v="-26176.760000000006"/>
    <n v="0"/>
    <n v="31"/>
    <n v="1247.7214931268682"/>
    <n v="203.78463465541017"/>
    <n v="311.7820116807502"/>
    <n v="0"/>
    <n v="0"/>
    <m/>
    <m/>
    <m/>
    <n v="732.154846790705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877.774378339687"/>
    <m/>
    <n v="0"/>
    <n v="0"/>
    <n v="-26176.760000000002"/>
    <m/>
    <n v="0"/>
    <m/>
    <n v="-27419.927945841013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49"/>
    <s v="Regular"/>
    <s v="Verde"/>
    <s v="A4"/>
    <s v="Industrial"/>
    <s v="Não se aplica"/>
    <s v="Fonte incentivada"/>
    <s v="Não se aplica"/>
    <s v="Não se aplica"/>
    <s v="LIVRE"/>
    <x v="9"/>
    <n v="1704"/>
    <n v="852"/>
    <n v="0"/>
    <n v="0"/>
    <n v="0"/>
    <n v="0"/>
    <n v="44.35"/>
    <m/>
    <m/>
    <n v="75572.400000000009"/>
    <m/>
    <n v="75572.400000000009"/>
    <n v="49364.88"/>
    <n v="0"/>
    <n v="0"/>
    <n v="0"/>
    <n v="0"/>
    <n v="0"/>
    <n v="22359.99652449735"/>
    <n v="48935.210070911184"/>
    <m/>
    <m/>
    <m/>
    <n v="0"/>
    <n v="0"/>
    <n v="0"/>
    <n v="0"/>
    <m/>
    <n v="0"/>
    <n v="1689.8920585902877"/>
    <n v="2585.4645343674874"/>
    <n v="0"/>
    <n v="0"/>
    <m/>
    <m/>
    <n v="0"/>
    <n v="0"/>
    <n v="0"/>
    <m/>
    <m/>
    <n v="0"/>
    <m/>
    <n v="0"/>
    <n v="0"/>
    <n v="0"/>
    <n v="0"/>
    <m/>
    <n v="0"/>
    <n v="0"/>
    <n v="682.98"/>
    <n v="0"/>
    <n v="9851.31"/>
    <n v="1"/>
    <m/>
    <n v="24682.44"/>
    <m/>
    <m/>
    <m/>
    <m/>
    <m/>
    <m/>
    <m/>
    <n v="0"/>
    <m/>
    <m/>
    <m/>
    <m/>
    <m/>
    <m/>
    <m/>
    <m/>
    <m/>
    <m/>
    <m/>
    <m/>
    <n v="24682.44"/>
    <n v="-13103.790000000012"/>
    <m/>
    <m/>
    <m/>
    <m/>
    <n v="-26207.520000000004"/>
    <n v="0"/>
    <n v="30"/>
    <n v="1249.1876758449944"/>
    <n v="204.02409956099837"/>
    <n v="312.14838302232602"/>
    <n v="0"/>
    <n v="0"/>
    <m/>
    <m/>
    <m/>
    <n v="733.015193261671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935.210070911184"/>
    <m/>
    <n v="0"/>
    <n v="0"/>
    <n v="-26207.520000000011"/>
    <m/>
    <n v="0"/>
    <m/>
    <n v="-27452.148777739771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52"/>
    <s v="Regular"/>
    <s v="Verde"/>
    <s v="A4"/>
    <s v="Industrial"/>
    <s v="Não se aplica"/>
    <s v="Fonte incentivada"/>
    <s v="Não se aplica"/>
    <s v="Não se aplica"/>
    <s v="LIVRE"/>
    <x v="10"/>
    <n v="1709"/>
    <n v="854.5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606.03"/>
    <n v="0"/>
    <n v="10519.2"/>
    <n v="1"/>
    <m/>
    <n v="24754.864999999998"/>
    <m/>
    <m/>
    <m/>
    <m/>
    <m/>
    <m/>
    <m/>
    <n v="0"/>
    <m/>
    <m/>
    <m/>
    <m/>
    <m/>
    <m/>
    <m/>
    <m/>
    <m/>
    <m/>
    <m/>
    <m/>
    <n v="24754.864999999998"/>
    <n v="-13142.240000000013"/>
    <m/>
    <m/>
    <m/>
    <m/>
    <n v="-26284.420000000006"/>
    <n v="0"/>
    <n v="31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  <r>
    <n v="755"/>
    <s v="PROJETADO"/>
    <s v="Verde"/>
    <s v="A4"/>
    <s v="Industrial"/>
    <s v="Não se aplica"/>
    <s v="Fonte incentivada"/>
    <s v="Não se aplica"/>
    <s v="Não se aplica"/>
    <s v="LIVRE"/>
    <x v="11"/>
    <n v="1709"/>
    <n v="854.5"/>
    <n v="0"/>
    <n v="0"/>
    <n v="0"/>
    <n v="0"/>
    <n v="44.35"/>
    <m/>
    <m/>
    <n v="75794.150000000009"/>
    <m/>
    <n v="75794.150000000009"/>
    <n v="49509.729999999996"/>
    <n v="0"/>
    <n v="0"/>
    <n v="0"/>
    <n v="0"/>
    <n v="0"/>
    <n v="22425.606842937777"/>
    <n v="49078.79930233991"/>
    <m/>
    <m/>
    <m/>
    <n v="0"/>
    <n v="0"/>
    <n v="0"/>
    <n v="0"/>
    <m/>
    <n v="0"/>
    <n v="1694.8506620485925"/>
    <n v="2593.0509913345281"/>
    <n v="0"/>
    <n v="0"/>
    <m/>
    <m/>
    <n v="0"/>
    <n v="0"/>
    <n v="0"/>
    <m/>
    <m/>
    <n v="0"/>
    <m/>
    <n v="0"/>
    <n v="0"/>
    <n v="0"/>
    <n v="0"/>
    <m/>
    <n v="0"/>
    <n v="0"/>
    <n v="606.03"/>
    <n v="0"/>
    <n v="10519.2"/>
    <n v="1"/>
    <m/>
    <n v="24754.864999999998"/>
    <m/>
    <m/>
    <m/>
    <m/>
    <m/>
    <m/>
    <m/>
    <n v="0"/>
    <m/>
    <m/>
    <m/>
    <m/>
    <m/>
    <m/>
    <m/>
    <m/>
    <m/>
    <m/>
    <m/>
    <m/>
    <n v="24754.864999999998"/>
    <n v="-13142.240000000013"/>
    <m/>
    <m/>
    <m/>
    <m/>
    <n v="-26284.420000000006"/>
    <n v="0"/>
    <n v="30"/>
    <n v="1252.8531326403172"/>
    <n v="204.62276182496839"/>
    <n v="313.06431137626487"/>
    <n v="0"/>
    <n v="0"/>
    <m/>
    <m/>
    <m/>
    <n v="735.166059439081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078.79930233991"/>
    <m/>
    <n v="0"/>
    <n v="0"/>
    <n v="-26284.420000000013"/>
    <m/>
    <n v="0"/>
    <m/>
    <n v="-27532.700857486656"/>
    <m/>
    <n v="0"/>
    <n v="0"/>
    <m/>
    <n v="0"/>
    <n v="0"/>
    <n v="0"/>
    <n v="0"/>
    <n v="0"/>
    <m/>
    <m/>
    <n v="0"/>
    <n v="0"/>
    <m/>
    <n v="0"/>
    <m/>
    <n v="0"/>
    <m/>
    <n v="238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0">
        <item m="1" x="39"/>
        <item m="1" x="47"/>
        <item m="1" x="55"/>
        <item m="1" x="16"/>
        <item m="1" x="24"/>
        <item m="1" x="28"/>
        <item m="1" x="35"/>
        <item m="1" x="43"/>
        <item m="1" x="51"/>
        <item m="1" x="12"/>
        <item m="1" x="20"/>
        <item m="1" x="32"/>
        <item m="1" x="40"/>
        <item m="1" x="48"/>
        <item m="1" x="56"/>
        <item m="1" x="17"/>
        <item m="1" x="25"/>
        <item m="1" x="29"/>
        <item m="1" x="36"/>
        <item m="1" x="44"/>
        <item m="1" x="52"/>
        <item m="1" x="13"/>
        <item m="1" x="21"/>
        <item m="1" x="33"/>
        <item m="1" x="41"/>
        <item m="1" x="49"/>
        <item m="1" x="57"/>
        <item m="1" x="18"/>
        <item m="1" x="26"/>
        <item m="1" x="30"/>
        <item m="1" x="37"/>
        <item m="1" x="45"/>
        <item m="1" x="53"/>
        <item m="1" x="14"/>
        <item m="1" x="22"/>
        <item m="1" x="34"/>
        <item m="1" x="42"/>
        <item m="1" x="50"/>
        <item m="1" x="58"/>
        <item m="1" x="19"/>
        <item m="1" x="27"/>
        <item m="1" x="31"/>
        <item m="1" x="38"/>
        <item m="1" x="46"/>
        <item m="1" x="54"/>
        <item m="1" x="15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443">
      <pivotArea type="all" dataOnly="0" outline="0" fieldPosition="0"/>
    </format>
    <format dxfId="442">
      <pivotArea type="all" dataOnly="0" outline="0" fieldPosition="0"/>
    </format>
    <format dxfId="441">
      <pivotArea type="all" dataOnly="0" outline="0" fieldPosition="0"/>
    </format>
    <format dxfId="440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4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81" dataDxfId="580">
  <autoFilter ref="AA5:AE7" xr:uid="{B3DE7FE8-5926-4E44-9EDC-9655DE4A4B67}"/>
  <tableColumns count="5">
    <tableColumn id="1" xr3:uid="{1315B14B-5316-4DE2-9050-0B99168CC239}" name="Cotas" dataDxfId="579"/>
    <tableColumn id="2" xr3:uid="{00C64702-8D8C-4EE8-B854-0E39030818B6}" name="Valor da &quot;Cota&quot;" dataDxfId="578"/>
    <tableColumn id="3" xr3:uid="{63BFFE80-8EC9-4566-842F-9FD193C67815}" name="Ano" dataDxfId="577"/>
    <tableColumn id="4" xr3:uid="{7B5A7EF8-5CB6-4557-B7D2-1C4857462594}" name="Custo Médio da Cota" dataDxfId="576"/>
    <tableColumn id="5" xr3:uid="{D3F4B71D-C886-4718-A85E-FA54E9F8D838}" name="Energia MWh" dataDxfId="57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4" dataDxfId="573" headerRowCellStyle="Normal 5" dataCellStyle="Normal 5">
  <autoFilter ref="AA21:AG23" xr:uid="{8109BFC4-5B84-4531-A319-ED0D5E86A4C5}"/>
  <tableColumns count="7">
    <tableColumn id="1" xr3:uid="{59A03A63-2F04-4649-A4AF-9B891D5BEBED}" name="Leilão" dataDxfId="572" dataCellStyle="Normal 5"/>
    <tableColumn id="2" xr3:uid="{1B8E1FA7-1B1E-42CD-98A0-C36F374D9818}" name="Produto" dataDxfId="571" dataCellStyle="Normal 5"/>
    <tableColumn id="3" xr3:uid="{3C5EB2AC-0FA8-44FB-8B3B-4F205233DD96}" name="Modalidade" dataDxfId="570" dataCellStyle="Normal 5"/>
    <tableColumn id="4" xr3:uid="{C358BA83-832A-4936-8DD9-2979DA133039}" name="Fonte" dataDxfId="569" dataCellStyle="Normal 5"/>
    <tableColumn id="5" xr3:uid="{9CA52279-BDEC-44E2-A60F-C256B4A0590B}" name="Montante" dataDxfId="568" dataCellStyle="Normal 5"/>
    <tableColumn id="6" xr3:uid="{4C1D6705-AC4A-482B-AC5B-B0F755A722F2}" name="Data Base" dataDxfId="567" dataCellStyle="Vírgula"/>
    <tableColumn id="7" xr3:uid="{3DEA0CF9-631C-4B3F-B4AC-928E92F0AB84}" name="Custo Base" dataDxfId="56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5" dataDxfId="564">
  <autoFilter ref="AA10:AD11" xr:uid="{3C49DBE7-062C-4416-B6BA-09DB0F685AD5}"/>
  <tableColumns count="4">
    <tableColumn id="1" xr3:uid="{6F9C1B42-695A-4B8B-B63F-DA108D710421}" name="GSF previsto" dataDxfId="563" dataCellStyle="Normal 5"/>
    <tableColumn id="2" xr3:uid="{4D1DBAC9-9D60-4D51-A973-81AD2081E4F6}" name="PLD" dataDxfId="562" dataCellStyle="Normal 5"/>
    <tableColumn id="3" xr3:uid="{0DCF2C66-C111-4FF7-BEB4-BFD00E93A10A}" name="MWm repactuado" dataDxfId="561" dataCellStyle="Normal 5"/>
    <tableColumn id="4" xr3:uid="{030AED12-E9C5-474F-937C-742184A44EF8}" name="Fator de rateio" dataDxfId="56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9" dataDxfId="558">
  <autoFilter ref="AI5:AJ20" xr:uid="{C3573309-01D4-4FAA-88C4-46F0CAA1CC27}"/>
  <tableColumns count="2">
    <tableColumn id="1" xr3:uid="{56AC757E-E114-458B-A041-461374D0BA5F}" name="Data" dataDxfId="557"/>
    <tableColumn id="2" xr3:uid="{578DAC09-D952-4F72-9444-614F5761412A}" name="Valor Pis/Cofins Transmissora" dataDxfId="55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5"/>
    <tableColumn id="2" xr3:uid="{AAB31625-7790-4B9A-AC2F-62007C1AB8C0}" name="Valor" dataDxfId="55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53">
  <autoFilter ref="B70:D77" xr:uid="{2E07311B-F74E-449E-81FD-B2BBBED3E4B3}"/>
  <tableColumns count="3">
    <tableColumn id="1" xr3:uid="{34D06310-1B0F-4D68-8C00-ED68EED3BDEB}" name="Encargo" dataDxfId="552"/>
    <tableColumn id="2" xr3:uid="{9D37526B-68DA-4918-8BA1-31EFC93C676E}" name="Valor" dataDxfId="551" dataCellStyle="Vírgula"/>
    <tableColumn id="3" xr3:uid="{62B99FEA-2637-4880-B5A6-705D0DFDF64C}" name="DSP" dataDxfId="55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9">
  <autoFilter ref="AA15:AB16" xr:uid="{1246E986-5AFA-4E40-BCC4-649D094A68F9}"/>
  <tableColumns count="2">
    <tableColumn id="1" xr3:uid="{D4D96454-0BF2-4CE9-B9F7-0CF391A2F556}" name="Proinfa" dataDxfId="548"/>
    <tableColumn id="2" xr3:uid="{62B09719-28BC-4F30-8705-5FB3C24A0D07}" name="MWh" dataDxfId="54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6" dataDxfId="545">
  <autoFilter ref="AO5:AQ9" xr:uid="{1A968768-5E00-4725-815D-7B925098B780}"/>
  <tableColumns count="3">
    <tableColumn id="1" xr3:uid="{FC8C62E6-3A06-4479-B5D7-11BDBC46D611}" name="Conta Escassez" dataDxfId="544"/>
    <tableColumn id="2" xr3:uid="{55A5FC57-FA17-4C65-B2C8-0C51598692AE}" name="Valor" dataDxfId="543"/>
    <tableColumn id="3" xr3:uid="{C90C9243-AD2A-42D1-9D06-640F7A17A24B}" name="Legislacao" dataDxfId="54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41" dataDxfId="540">
  <autoFilter ref="AI24:AK45" xr:uid="{63306B16-ABC6-4C4A-8A31-BA4561D3E91F}"/>
  <tableColumns count="3">
    <tableColumn id="1" xr3:uid="{E80EBDF5-704B-4864-987B-30FABD11C257}" name="Grupo_TARIFA" dataDxfId="539"/>
    <tableColumn id="2" xr3:uid="{C48FAF4C-2500-4FE3-A576-CC56F4BB20F4}" name="Detalhe_Grupo_TARIFA" dataDxfId="538"/>
    <tableColumn id="3" xr3:uid="{C451D982-3266-4B86-86BB-DCF98A1C0BC5}" name="valor" dataDxfId="53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6" dataDxfId="535">
  <autoFilter ref="AM24:AP31" xr:uid="{5E07B889-3CC1-4EB8-A2FA-27865F10E9FF}"/>
  <tableColumns count="4">
    <tableColumn id="1" xr3:uid="{A684CBA1-85F2-4F6F-9549-132415395C97}" name="Grupo Tarifa" dataDxfId="534"/>
    <tableColumn id="2" xr3:uid="{601A6100-10DA-47B4-AC85-55E7B31A99AC}" name="Detalhe Grupo" dataDxfId="533"/>
    <tableColumn id="3" xr3:uid="{C6D6A904-43B1-4BB1-8721-FC3B084DEB3F}" name="Det3" dataDxfId="532"/>
    <tableColumn id="4" xr3:uid="{49E46CEE-1005-4E4F-AD52-B5C103AA28C0}" name="Valor" dataDxfId="53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30" tableBorderDxfId="529">
  <autoFilter ref="AA26:AB30" xr:uid="{ED60079D-08D5-46B4-B1E6-28428B2FF85A}"/>
  <tableColumns count="2">
    <tableColumn id="1" xr3:uid="{C7D3432F-090C-4D89-8F9B-66E323363124}" name="Dados de perda" dataDxfId="528"/>
    <tableColumn id="2" xr3:uid="{7924BC5A-340A-47DE-8986-F75E2F948A7A}" name="Valor" dataDxfId="52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tableColumns count="8">
    <tableColumn id="1" xr3:uid="{00000000-0010-0000-1600-000001000000}" name="IdeAgenteSuprida" dataDxfId="526"/>
    <tableColumn id="2" xr3:uid="{00000000-0010-0000-1600-000002000000}" name="NomPessoaSuprida" dataDxfId="525"/>
    <tableColumn id="3" xr3:uid="{00000000-0010-0000-1600-000003000000}" name="IdeAgenteSupridora" dataDxfId="524"/>
    <tableColumn id="4" xr3:uid="{00000000-0010-0000-1600-000004000000}" name="NomPessoaSupridora" dataDxfId="523"/>
    <tableColumn id="5" xr3:uid="{00000000-0010-0000-1600-000005000000}" name="DescSubGrupoSgt" dataDxfId="522"/>
    <tableColumn id="6" xr3:uid="{00000000-0010-0000-1600-000006000000}" name="MesAno"/>
    <tableColumn id="7" xr3:uid="{00000000-0010-0000-1600-000007000000}" name="Descricao" dataDxfId="521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20" dataDxfId="518" headerRowBorderDxfId="519" tableBorderDxfId="517">
  <autoFilter ref="A9:AN61" xr:uid="{00000000-0009-0000-0100-00001A000000}"/>
  <tableColumns count="40">
    <tableColumn id="1" xr3:uid="{00000000-0010-0000-0000-000001000000}" name="Sigla" dataDxfId="516"/>
    <tableColumn id="2" xr3:uid="{00000000-0010-0000-0000-000002000000}" name="NomeSAMP" dataDxfId="515"/>
    <tableColumn id="3" xr3:uid="{00000000-0010-0000-0000-000003000000}" name="SARI" dataDxfId="514"/>
    <tableColumn id="4" xr3:uid="{00000000-0010-0000-0000-000004000000}" name="Área" dataDxfId="513"/>
    <tableColumn id="5" xr3:uid="{00000000-0010-0000-0000-000005000000}" name="Tipo de Contrato" dataDxfId="512"/>
    <tableColumn id="6" xr3:uid="{00000000-0010-0000-0000-000006000000}" name="Sede" dataDxfId="511"/>
    <tableColumn id="7" xr3:uid="{00000000-0010-0000-0000-000007000000}" name="UF" dataDxfId="510"/>
    <tableColumn id="8" xr3:uid="{00000000-0010-0000-0000-000008000000}" name="WACC ERD" dataDxfId="509"/>
    <tableColumn id="9" xr3:uid="{00000000-0010-0000-0000-000009000000}" name="Supridora 1" dataDxfId="508"/>
    <tableColumn id="33" xr3:uid="{00000000-0010-0000-0000-000021000000}" name="idsreagsupridora 1" dataDxfId="507"/>
    <tableColumn id="10" xr3:uid="{00000000-0010-0000-0000-00000A000000}" name="Supridora 2" dataDxfId="506"/>
    <tableColumn id="35" xr3:uid="{00000000-0010-0000-0000-000023000000}" name="idsreagsupridora2" dataDxfId="505"/>
    <tableColumn id="11" xr3:uid="{00000000-0010-0000-0000-00000B000000}" name="Desconto Tusd" dataDxfId="504"/>
    <tableColumn id="12" xr3:uid="{00000000-0010-0000-0000-00000C000000}" name="Proinfa MWh" dataDxfId="503"/>
    <tableColumn id="36" xr3:uid="{00000000-0010-0000-0000-000024000000}" name="REH Proinfa" dataDxfId="502"/>
    <tableColumn id="13" xr3:uid="{00000000-0010-0000-0000-00000D000000}" name="Beta" dataDxfId="501"/>
    <tableColumn id="14" xr3:uid="{00000000-0010-0000-0000-00000E000000}" name="Limite PB" dataDxfId="500" dataCellStyle="Vírgula"/>
    <tableColumn id="31" xr3:uid="{00000000-0010-0000-0000-00001F000000}" name="Data Base Limite PB" dataDxfId="499" dataCellStyle="Vírgula"/>
    <tableColumn id="30" xr3:uid="{00000000-0010-0000-0000-00001E000000}" name="Despacho limite Parcela B" dataDxfId="498" dataCellStyle="Vírgula"/>
    <tableColumn id="15" xr3:uid="{00000000-0010-0000-0000-00000F000000}" name="Contrato Permissão" dataDxfId="497"/>
    <tableColumn id="16" xr3:uid="{00000000-0010-0000-0000-000010000000}" name="Data Contrato" dataDxfId="496"/>
    <tableColumn id="17" xr3:uid="{00000000-0010-0000-0000-000011000000}" name="Próxima Revisão" dataDxfId="495"/>
    <tableColumn id="19" xr3:uid="{00000000-0010-0000-0000-000013000000}" name="Última REH" dataDxfId="494"/>
    <tableColumn id="20" xr3:uid="{00000000-0010-0000-0000-000014000000}" name="Data última REH " dataDxfId="493"/>
    <tableColumn id="21" xr3:uid="{00000000-0010-0000-0000-000015000000}" name="Pd" dataDxfId="492"/>
    <tableColumn id="22" xr3:uid="{00000000-0010-0000-0000-000016000000}" name="T" dataDxfId="491"/>
    <tableColumn id="26" xr3:uid="{00000000-0010-0000-0000-00001A000000}" name="Supridora para calculo da subvenção" dataDxfId="490"/>
    <tableColumn id="24" xr3:uid="{00000000-0010-0000-0000-000018000000}" name="Densidade Cooperativa" dataDxfId="489" dataCellStyle="Vírgula"/>
    <tableColumn id="25" xr3:uid="{00000000-0010-0000-0000-000019000000}" name="Densidade Principal Supridora" dataDxfId="488"/>
    <tableColumn id="27" xr3:uid="{00000000-0010-0000-0000-00001B000000}" name="Subvenção Anual (R$)" dataDxfId="487"/>
    <tableColumn id="28" xr3:uid="{00000000-0010-0000-0000-00001C000000}" name="Data Referência Subvenção" dataDxfId="486"/>
    <tableColumn id="39" xr3:uid="{3093CAC3-54C5-4BCF-9CB8-B8E3D611B57C}" name="Data de aniversarioda supridora" dataDxfId="485"/>
    <tableColumn id="23" xr3:uid="{00000000-0010-0000-0000-000017000000}" name="Geração Própria" dataDxfId="484"/>
    <tableColumn id="29" xr3:uid="{00000000-0010-0000-0000-00001D000000}" name="Data de referência da Geração Própria" dataDxfId="483"/>
    <tableColumn id="18" xr3:uid="{00000000-0010-0000-0000-000012000000}" name="Data da RTE" dataDxfId="482"/>
    <tableColumn id="32" xr3:uid="{00000000-0010-0000-0000-000020000000}" name="Data original" dataDxfId="481"/>
    <tableColumn id="34" xr3:uid="{00000000-0010-0000-0000-000022000000}" name="Regularização" dataDxfId="480"/>
    <tableColumn id="37" xr3:uid="{00000000-0010-0000-0000-000025000000}" name="vigência das tarifas" dataDxfId="479"/>
    <tableColumn id="38" xr3:uid="{00000000-0010-0000-0000-000026000000}" name="TUSD 2019" dataDxfId="478"/>
    <tableColumn id="40" xr3:uid="{00724FE7-7DEC-42A0-9F57-47D4901A2437}" name="CDE Conta covid" dataDxfId="477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6">
  <autoFilter ref="A68:N150" xr:uid="{00000000-0009-0000-0100-00001B000000}"/>
  <tableColumns count="14">
    <tableColumn id="1" xr3:uid="{00000000-0010-0000-0100-000001000000}" name="Permissionária" dataDxfId="475"/>
    <tableColumn id="2" xr3:uid="{00000000-0010-0000-0100-000002000000}" name="Supridora" dataDxfId="474"/>
    <tableColumn id="11" xr3:uid="{00000000-0010-0000-0100-00000B000000}" name="idsreag supridora" dataDxfId="473"/>
    <tableColumn id="13" xr3:uid="{00000000-0010-0000-0100-00000D000000}" name="codsariSUP" dataDxfId="472"/>
    <tableColumn id="3" xr3:uid="{00000000-0010-0000-0100-000003000000}" name="Classe" dataDxfId="471"/>
    <tableColumn id="12" xr3:uid="{00000000-0010-0000-0100-00000C000000}" name="chave" dataDxfId="470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9" dataCellStyle="Porcentagem"/>
    <tableColumn id="5" xr3:uid="{00000000-0010-0000-0100-000005000000}" name="2016" dataDxfId="468" dataCellStyle="Porcentagem"/>
    <tableColumn id="6" xr3:uid="{00000000-0010-0000-0100-000006000000}" name="2017" dataDxfId="467" dataCellStyle="Porcentagem"/>
    <tableColumn id="7" xr3:uid="{00000000-0010-0000-0100-000007000000}" name="2018" dataDxfId="466"/>
    <tableColumn id="8" xr3:uid="{00000000-0010-0000-0100-000008000000}" name="2019"/>
    <tableColumn id="9" xr3:uid="{00000000-0010-0000-0100-000009000000}" name="2020" dataDxfId="465"/>
    <tableColumn id="10" xr3:uid="{00000000-0010-0000-0100-00000A000000}" name="2021" dataDxfId="464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63"/>
    <tableColumn id="2" xr3:uid="{00000000-0010-0000-0200-000002000000}" name="Sigla" dataDxfId="462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61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6" dataDxfId="445">
  <autoFilter ref="E43:E99" xr:uid="{00000000-0009-0000-0100-000015000000}"/>
  <tableColumns count="1">
    <tableColumn id="1" xr3:uid="{00000000-0010-0000-0300-000001000000}" name="Colunas1" dataDxfId="444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725" totalsRowShown="0" headerRowDxfId="439" dataDxfId="438" totalsRowDxfId="437">
  <autoFilter ref="A2:FI725" xr:uid="{00000000-000C-0000-FFFF-FFFF12000000}"/>
  <tableColumns count="165">
    <tableColumn id="1" xr3:uid="{00000000-0010-0000-1200-000001000000}" name="Código" dataDxfId="436" totalsRowDxfId="435"/>
    <tableColumn id="74" xr3:uid="{00000000-0010-0000-1200-00004A000000}" name="TipoMercado" dataDxfId="434" totalsRowDxfId="433"/>
    <tableColumn id="75" xr3:uid="{00000000-0010-0000-1200-00004B000000}" name="Modalidade" dataDxfId="432" totalsRowDxfId="431"/>
    <tableColumn id="76" xr3:uid="{00000000-0010-0000-1200-00004C000000}" name="Subgrupo" dataDxfId="430" totalsRowDxfId="429"/>
    <tableColumn id="77" xr3:uid="{00000000-0010-0000-1200-00004D000000}" name="Classe" dataDxfId="428" totalsRowDxfId="427"/>
    <tableColumn id="78" xr3:uid="{00000000-0010-0000-1200-00004E000000}" name="Subclasse" dataDxfId="426" totalsRowDxfId="425"/>
    <tableColumn id="79" xr3:uid="{00000000-0010-0000-1200-00004F000000}" name="Detalhe" dataDxfId="424" totalsRowDxfId="423"/>
    <tableColumn id="80" xr3:uid="{00000000-0010-0000-1200-000050000000}" name="Agente" dataDxfId="422" totalsRowDxfId="421"/>
    <tableColumn id="81" xr3:uid="{00000000-0010-0000-1200-000051000000}" name="Posto" dataDxfId="420" totalsRowDxfId="419"/>
    <tableColumn id="82" xr3:uid="{00000000-0010-0000-1200-000052000000}" name="OPÇÃO" dataDxfId="418" totalsRowDxfId="417"/>
    <tableColumn id="83" xr3:uid="{00000000-0010-0000-1200-000053000000}" name="AnoMes" dataDxfId="416" totalsRowDxfId="415"/>
    <tableColumn id="84" xr3:uid="{00000000-0010-0000-1200-000054000000}" name="D" dataDxfId="414" totalsRowDxfId="413"/>
    <tableColumn id="85" xr3:uid="{00000000-0010-0000-1200-000055000000}" name="Daj" dataDxfId="412" totalsRowDxfId="411"/>
    <tableColumn id="86" xr3:uid="{00000000-0010-0000-1200-000056000000}" name="TUSD_E" dataDxfId="410" totalsRowDxfId="409"/>
    <tableColumn id="87" xr3:uid="{00000000-0010-0000-1200-000057000000}" name="TUSD_Eaj" dataDxfId="408" totalsRowDxfId="407"/>
    <tableColumn id="88" xr3:uid="{00000000-0010-0000-1200-000058000000}" name="TE_E" dataDxfId="406" totalsRowDxfId="405"/>
    <tableColumn id="89" xr3:uid="{00000000-0010-0000-1200-000059000000}" name="TE_Eaj" dataDxfId="404" totalsRowDxfId="403"/>
    <tableColumn id="90" xr3:uid="{00000000-0010-0000-1200-00005A000000}" name="TUSD/KW" dataDxfId="402" totalsRowDxfId="401"/>
    <tableColumn id="91" xr3:uid="{00000000-0010-0000-1200-00005B000000}" name="TUSD/MWh" dataDxfId="400" totalsRowDxfId="399"/>
    <tableColumn id="92" xr3:uid="{00000000-0010-0000-1200-00005C000000}" name="TE" dataDxfId="398" totalsRowDxfId="397"/>
    <tableColumn id="93" xr3:uid="{00000000-0010-0000-1200-00005D000000}" name="ReceitaD" dataDxfId="396" totalsRowDxfId="395"/>
    <tableColumn id="94" xr3:uid="{00000000-0010-0000-1200-00005E000000}" name="ReceitaE" dataDxfId="394" totalsRowDxfId="393"/>
    <tableColumn id="95" xr3:uid="{00000000-0010-0000-1200-00005F000000}" name="Total" dataDxfId="392" totalsRowDxfId="391"/>
    <tableColumn id="96" xr3:uid="{00000000-0010-0000-1200-000060000000}" name="Total com Tar de aplicação" dataDxfId="390" totalsRowDxfId="389"/>
    <tableColumn id="97" xr3:uid="{00000000-0010-0000-1200-000061000000}" name="CCC" dataDxfId="388" totalsRowDxfId="387"/>
    <tableColumn id="98" xr3:uid="{00000000-0010-0000-1200-000062000000}" name="CDE" dataDxfId="386" totalsRowDxfId="385"/>
    <tableColumn id="99" xr3:uid="{00000000-0010-0000-1200-000063000000}" name="CFURH" dataDxfId="384" totalsRowDxfId="383"/>
    <tableColumn id="100" xr3:uid="{00000000-0010-0000-1200-000064000000}" name="Conexao_D" dataDxfId="382" totalsRowDxfId="381"/>
    <tableColumn id="101" xr3:uid="{00000000-0010-0000-1200-000065000000}" name="Conexao_T" dataDxfId="380" totalsRowDxfId="379"/>
    <tableColumn id="102" xr3:uid="{00000000-0010-0000-1200-000066000000}" name="CUSD" dataDxfId="378" totalsRowDxfId="377"/>
    <tableColumn id="103" xr3:uid="{00000000-0010-0000-1200-000067000000}" name="DISTRIBUICAO" dataDxfId="376" totalsRowDxfId="375"/>
    <tableColumn id="104" xr3:uid="{00000000-0010-0000-1200-000068000000}" name="EnergiaRevenda" dataDxfId="374" totalsRowDxfId="373"/>
    <tableColumn id="105" xr3:uid="{00000000-0010-0000-1200-000069000000}" name="ESSERR" dataDxfId="372" totalsRowDxfId="371"/>
    <tableColumn id="106" xr3:uid="{00000000-0010-0000-1200-00006A000000}" name="ITAIPU" dataDxfId="370" totalsRowDxfId="369"/>
    <tableColumn id="107" xr3:uid="{00000000-0010-0000-1200-00006B000000}" name="ONS" dataDxfId="368" totalsRowDxfId="367"/>
    <tableColumn id="108" xr3:uid="{00000000-0010-0000-1200-00006C000000}" name="OUTROS" dataDxfId="366" totalsRowDxfId="365"/>
    <tableColumn id="109" xr3:uid="{00000000-0010-0000-1200-00006D000000}" name="PeD" dataDxfId="364" totalsRowDxfId="363"/>
    <tableColumn id="110" xr3:uid="{00000000-0010-0000-1200-00006E000000}" name="PROINFA" dataDxfId="362" totalsRowDxfId="361"/>
    <tableColumn id="111" xr3:uid="{00000000-0010-0000-1200-00006F000000}" name="RGR" dataDxfId="360" totalsRowDxfId="359"/>
    <tableColumn id="112" xr3:uid="{00000000-0010-0000-1200-000070000000}" name="TFSEE" dataDxfId="358" totalsRowDxfId="357"/>
    <tableColumn id="113" xr3:uid="{00000000-0010-0000-1200-000071000000}" name="TUST_FR" dataDxfId="356" totalsRowDxfId="355"/>
    <tableColumn id="114" xr3:uid="{00000000-0010-0000-1200-000072000000}" name="TUST_RB" dataDxfId="354" totalsRowDxfId="353"/>
    <tableColumn id="115" xr3:uid="{00000000-0010-0000-1200-000073000000}" name="TUSDG_ONS" dataDxfId="352" totalsRowDxfId="351"/>
    <tableColumn id="116" xr3:uid="{00000000-0010-0000-1200-000074000000}" name="TUSDG_T" dataDxfId="350" totalsRowDxfId="349"/>
    <tableColumn id="117" xr3:uid="{00000000-0010-0000-1200-000075000000}" name="TUST_CI" dataDxfId="348" totalsRowDxfId="347"/>
    <tableColumn id="118" xr3:uid="{00000000-0010-0000-1200-000076000000}" name="TUST_ITAIPU" dataDxfId="346" totalsRowDxfId="345"/>
    <tableColumn id="119" xr3:uid="{00000000-0010-0000-1200-000077000000}" name="CVA_CCC" dataDxfId="344" totalsRowDxfId="343"/>
    <tableColumn id="120" xr3:uid="{00000000-0010-0000-1200-000078000000}" name="CVA_CDE" dataDxfId="342" totalsRowDxfId="341"/>
    <tableColumn id="121" xr3:uid="{00000000-0010-0000-1200-000079000000}" name="CVA_PROINFA" dataDxfId="340" totalsRowDxfId="339"/>
    <tableColumn id="122" xr3:uid="{00000000-0010-0000-1200-00007A000000}" name="CVA_TranItaipu" dataDxfId="338" totalsRowDxfId="337"/>
    <tableColumn id="123" xr3:uid="{00000000-0010-0000-1200-00007B000000}" name="CVA_ESSERR" dataDxfId="336" totalsRowDxfId="335"/>
    <tableColumn id="124" xr3:uid="{00000000-0010-0000-1200-00007C000000}" name="CVA_CFURH" dataDxfId="334" totalsRowDxfId="333"/>
    <tableColumn id="125" xr3:uid="{00000000-0010-0000-1200-00007D000000}" name="CVA_CDE_E" dataDxfId="332" totalsRowDxfId="331"/>
    <tableColumn id="126" xr3:uid="{00000000-0010-0000-1200-00007E000000}" name="CVA_Energia" dataDxfId="330" totalsRowDxfId="329"/>
    <tableColumn id="127" xr3:uid="{00000000-0010-0000-1200-00007F000000}" name="CVA_RB" dataDxfId="328" totalsRowDxfId="327"/>
    <tableColumn id="128" xr3:uid="{00000000-0010-0000-1200-000080000000}" name="perdasnt" dataDxfId="326" totalsRowDxfId="325"/>
    <tableColumn id="129" xr3:uid="{00000000-0010-0000-1200-000081000000}" name="perdasrb_d" dataDxfId="324" totalsRowDxfId="323"/>
    <tableColumn id="130" xr3:uid="{00000000-0010-0000-1200-000082000000}" name="perdasrb_c" dataDxfId="322" totalsRowDxfId="321"/>
    <tableColumn id="131" xr3:uid="{00000000-0010-0000-1200-000083000000}" name="perdastec" dataDxfId="320" totalsRowDxfId="319"/>
    <tableColumn id="132" xr3:uid="{00000000-0010-0000-1200-000084000000}" name="RI" dataDxfId="318" totalsRowDxfId="317"/>
    <tableColumn id="133" xr3:uid="{00000000-0010-0000-1200-000085000000}" name="PisPasep" dataDxfId="316" totalsRowDxfId="315"/>
    <tableColumn id="134" xr3:uid="{00000000-0010-0000-1200-000086000000}" name="Cofins" dataDxfId="314" totalsRowDxfId="313"/>
    <tableColumn id="135" xr3:uid="{00000000-0010-0000-1200-000087000000}" name="ICMS" dataDxfId="312" totalsRowDxfId="311"/>
    <tableColumn id="136" xr3:uid="{00000000-0010-0000-1200-000088000000}" name="UC" dataDxfId="310" totalsRowDxfId="309"/>
    <tableColumn id="137" xr3:uid="{00000000-0010-0000-1200-000089000000}" name="total_dummy" dataDxfId="308" totalsRowDxfId="307"/>
    <tableColumn id="138" xr3:uid="{00000000-0010-0000-1200-00008A000000}" name="Subs_CarFI" dataDxfId="306" totalsRowDxfId="305"/>
    <tableColumn id="139" xr3:uid="{00000000-0010-0000-1200-00008B000000}" name="Subs_GerFI" dataDxfId="304" totalsRowDxfId="303"/>
    <tableColumn id="140" xr3:uid="{00000000-0010-0000-1200-00008C000000}" name="Subs_Dist" dataDxfId="302" totalsRowDxfId="301"/>
    <tableColumn id="141" xr3:uid="{00000000-0010-0000-1200-00008D000000}" name="Subs_AguaEsgoto" dataDxfId="300" totalsRowDxfId="299"/>
    <tableColumn id="142" xr3:uid="{00000000-0010-0000-1200-00008E000000}" name="Subs_Rural" dataDxfId="298" totalsRowDxfId="297"/>
    <tableColumn id="143" xr3:uid="{00000000-0010-0000-1200-00008F000000}" name="Subs_Irrigante" dataDxfId="296" totalsRowDxfId="295"/>
    <tableColumn id="144" xr3:uid="{00000000-0010-0000-1200-000090000000}" name="Subs_BaixaRenda" dataDxfId="294" totalsRowDxfId="293"/>
    <tableColumn id="145" xr3:uid="{00000000-0010-0000-1200-000091000000}" name="CDE_E" dataDxfId="292" totalsRowDxfId="291"/>
    <tableColumn id="2" xr3:uid="{00000000-0010-0000-1200-000002000000}" name="DespesaEnergia" dataDxfId="290" totalsRowDxfId="289"/>
    <tableColumn id="3" xr3:uid="{00000000-0010-0000-1200-000003000000}" name="RTE_CUSD" dataDxfId="288" totalsRowDxfId="287"/>
    <tableColumn id="4" xr3:uid="{00000000-0010-0000-1200-000004000000}" name="RTE_Energia" dataDxfId="286" totalsRowDxfId="285"/>
    <tableColumn id="5" xr3:uid="{00000000-0010-0000-1200-000005000000}" name="RTE_CDE_USO" dataDxfId="284" totalsRowDxfId="283"/>
    <tableColumn id="6" xr3:uid="{00000000-0010-0000-1200-000006000000}" name="RTE_CDE_E" dataDxfId="282" totalsRowDxfId="281"/>
    <tableColumn id="7" xr3:uid="{00000000-0010-0000-1200-000007000000}" name="RTE_PeD" dataDxfId="280" totalsRowDxfId="279"/>
    <tableColumn id="8" xr3:uid="{00000000-0010-0000-1200-000008000000}" name="Dif_Subs_Car" dataDxfId="278" totalsRowDxfId="277"/>
    <tableColumn id="9" xr3:uid="{00000000-0010-0000-1200-000009000000}" name="Dif_Subs_Ger" dataDxfId="276" totalsRowDxfId="275"/>
    <tableColumn id="10" xr3:uid="{00000000-0010-0000-1200-00000A000000}" name="Dif_Subs_D" dataDxfId="274" totalsRowDxfId="273"/>
    <tableColumn id="11" xr3:uid="{00000000-0010-0000-1200-00000B000000}" name="Dif_Subs_Agua" dataDxfId="272" totalsRowDxfId="271"/>
    <tableColumn id="12" xr3:uid="{00000000-0010-0000-1200-00000C000000}" name="Dif_Subs_Ru" dataDxfId="270" totalsRowDxfId="269"/>
    <tableColumn id="13" xr3:uid="{00000000-0010-0000-1200-00000D000000}" name="Dif_Subs_Irr" dataDxfId="268" totalsRowDxfId="267"/>
    <tableColumn id="14" xr3:uid="{00000000-0010-0000-1200-00000E000000}" name="dif_subs_baixa" dataDxfId="266" totalsRowDxfId="265"/>
    <tableColumn id="15" xr3:uid="{00000000-0010-0000-1200-00000F000000}" name="FinTotAj" dataDxfId="264" totalsRowDxfId="263"/>
    <tableColumn id="16" xr3:uid="{00000000-0010-0000-1200-000010000000}" name="FinAj" dataDxfId="262" totalsRowDxfId="261"/>
    <tableColumn id="17" xr3:uid="{00000000-0010-0000-1200-000011000000}" name="RTE_CDE_E_Dec" dataDxfId="260" totalsRowDxfId="259"/>
    <tableColumn id="18" xr3:uid="{00000000-0010-0000-1200-000012000000}" name="RTE_CDE_E_ACR" dataDxfId="258" totalsRowDxfId="257"/>
    <tableColumn id="19" xr3:uid="{00000000-0010-0000-1200-000013000000}" name="CDE_E_Dec" dataDxfId="256" totalsRowDxfId="255"/>
    <tableColumn id="20" xr3:uid="{00000000-0010-0000-1200-000014000000}" name="CDE_E_ACR" dataDxfId="254" totalsRowDxfId="253"/>
    <tableColumn id="21" xr3:uid="{00000000-0010-0000-1200-000015000000}" name="FinPostTUSD" dataDxfId="252" totalsRowDxfId="251"/>
    <tableColumn id="22" xr3:uid="{00000000-0010-0000-1200-000016000000}" name="FinPostTE" dataDxfId="250" totalsRowDxfId="249"/>
    <tableColumn id="23" xr3:uid="{00000000-0010-0000-1200-000017000000}" name="FinPostQtddias" dataDxfId="248" totalsRowDxfId="247"/>
    <tableColumn id="24" xr3:uid="{00000000-0010-0000-1200-000018000000}" name="FinCT_Geral" dataDxfId="246" totalsRowDxfId="245"/>
    <tableColumn id="25" xr3:uid="{00000000-0010-0000-1200-000019000000}" name="finCT_TUST_FR" dataDxfId="244" totalsRowDxfId="243"/>
    <tableColumn id="26" xr3:uid="{00000000-0010-0000-1200-00001A000000}" name="finCT_TUST_RB" dataDxfId="242" totalsRowDxfId="241"/>
    <tableColumn id="27" xr3:uid="{00000000-0010-0000-1200-00001B000000}" name="FINCT_TUSDG_ONS" dataDxfId="240" totalsRowDxfId="239"/>
    <tableColumn id="28" xr3:uid="{00000000-0010-0000-1200-00001C000000}" name="FINCT_TUSDG_T" dataDxfId="238" totalsRowDxfId="237"/>
    <tableColumn id="29" xr3:uid="{00000000-0010-0000-1200-00001D000000}" name="FINCT_TUST_CI" dataDxfId="236" totalsRowDxfId="235"/>
    <tableColumn id="30" xr3:uid="{00000000-0010-0000-1200-00001E000000}" name="FINCT_TUST_ITAIPU" dataDxfId="234" totalsRowDxfId="233"/>
    <tableColumn id="31" xr3:uid="{00000000-0010-0000-1200-00001F000000}" name="FinCT_Itaipu" dataDxfId="232" totalsRowDxfId="231"/>
    <tableColumn id="32" xr3:uid="{00000000-0010-0000-1200-000020000000}" name="FinCT_CUSD" dataDxfId="230" totalsRowDxfId="229"/>
    <tableColumn id="33" xr3:uid="{00000000-0010-0000-1200-000021000000}" name="FinCT_Conexao_D" dataDxfId="228" totalsRowDxfId="227"/>
    <tableColumn id="34" xr3:uid="{00000000-0010-0000-1200-000022000000}" name="FinCT_Conexao_T" dataDxfId="226" totalsRowDxfId="225"/>
    <tableColumn id="35" xr3:uid="{00000000-0010-0000-1200-000023000000}" name="FinCT_EnergiaRevenda" dataDxfId="224" totalsRowDxfId="223"/>
    <tableColumn id="36" xr3:uid="{00000000-0010-0000-1200-000024000000}" name="FINCT_perdasrb_c" dataDxfId="222" totalsRowDxfId="221"/>
    <tableColumn id="37" xr3:uid="{00000000-0010-0000-1200-000025000000}" name="FINCT_perdasrb_d" dataDxfId="220" totalsRowDxfId="219"/>
    <tableColumn id="38" xr3:uid="{00000000-0010-0000-1200-000026000000}" name="FinCT_perdasnt" dataDxfId="218" totalsRowDxfId="217"/>
    <tableColumn id="39" xr3:uid="{00000000-0010-0000-1200-000027000000}" name="FinCT_perdastec" dataDxfId="216" totalsRowDxfId="215"/>
    <tableColumn id="40" xr3:uid="{00000000-0010-0000-1200-000028000000}" name="FinCT_CCC" dataDxfId="214" totalsRowDxfId="213"/>
    <tableColumn id="41" xr3:uid="{00000000-0010-0000-1200-000029000000}" name="FinCT_CDE" dataDxfId="212" totalsRowDxfId="211"/>
    <tableColumn id="42" xr3:uid="{00000000-0010-0000-1200-00002A000000}" name="FinCT_CDE_E" dataDxfId="210" totalsRowDxfId="209"/>
    <tableColumn id="43" xr3:uid="{00000000-0010-0000-1200-00002B000000}" name="FinCT_CFURH" dataDxfId="208" totalsRowDxfId="207"/>
    <tableColumn id="44" xr3:uid="{00000000-0010-0000-1200-00002C000000}" name="FinCT_ONS" dataDxfId="206" totalsRowDxfId="205"/>
    <tableColumn id="45" xr3:uid="{00000000-0010-0000-1200-00002D000000}" name="FinCT_ESSERR" dataDxfId="204" totalsRowDxfId="203"/>
    <tableColumn id="46" xr3:uid="{00000000-0010-0000-1200-00002E000000}" name="FinCT_Ped" dataDxfId="202" totalsRowDxfId="201"/>
    <tableColumn id="47" xr3:uid="{00000000-0010-0000-1200-00002F000000}" name="finCT_PROINFA" dataDxfId="200" totalsRowDxfId="199"/>
    <tableColumn id="48" xr3:uid="{00000000-0010-0000-1200-000030000000}" name="finCT_TFSEE" dataDxfId="198" totalsRowDxfId="197"/>
    <tableColumn id="49" xr3:uid="{00000000-0010-0000-1200-000031000000}" name="FINCT_Liminar" dataDxfId="196" totalsRowDxfId="195"/>
    <tableColumn id="50" xr3:uid="{00000000-0010-0000-1200-000032000000}" name="FinCT_Subsidio" dataDxfId="194" totalsRowDxfId="193"/>
    <tableColumn id="51" xr3:uid="{00000000-0010-0000-1200-000033000000}" name="FINCT_RGR" dataDxfId="192" totalsRowDxfId="191"/>
    <tableColumn id="52" xr3:uid="{00000000-0010-0000-1200-000034000000}" name="Tipo_ato" dataDxfId="190" totalsRowDxfId="189"/>
    <tableColumn id="53" xr3:uid="{00000000-0010-0000-1200-000035000000}" name="DIST_D" dataDxfId="188" totalsRowDxfId="187"/>
    <tableColumn id="54" xr3:uid="{00000000-0010-0000-1200-000036000000}" name="DIST_E" dataDxfId="186" totalsRowDxfId="185"/>
    <tableColumn id="55" xr3:uid="{00000000-0010-0000-1200-000037000000}" name="FIN_RI" dataDxfId="184" totalsRowDxfId="183"/>
    <tableColumn id="56" xr3:uid="{00000000-0010-0000-1200-000038000000}" name="FINCT_RI" dataDxfId="182" totalsRowDxfId="181"/>
    <tableColumn id="57" xr3:uid="{00000000-0010-0000-1200-000039000000}" name="Fin_TUSD" dataDxfId="180" totalsRowDxfId="179"/>
    <tableColumn id="58" xr3:uid="{00000000-0010-0000-1200-00003A000000}" name="Fin_TE" dataDxfId="178" totalsRowDxfId="177"/>
    <tableColumn id="59" xr3:uid="{00000000-0010-0000-1200-00003B000000}" name="CVA_TUSD" dataDxfId="176" totalsRowDxfId="175"/>
    <tableColumn id="60" xr3:uid="{00000000-0010-0000-1200-00003C000000}" name="CVA_TE" dataDxfId="174" totalsRowDxfId="173"/>
    <tableColumn id="61" xr3:uid="{00000000-0010-0000-1200-00003D000000}" name="FinCT_ParcelaB" dataDxfId="172" totalsRowDxfId="171"/>
    <tableColumn id="62" xr3:uid="{00000000-0010-0000-1200-00003E000000}" name="CVA_EnergiaRevenda" dataDxfId="170" totalsRowDxfId="169"/>
    <tableColumn id="63" xr3:uid="{00000000-0010-0000-1200-00003F000000}" name="CVA_perdasnt" dataDxfId="168" totalsRowDxfId="167"/>
    <tableColumn id="64" xr3:uid="{00000000-0010-0000-1200-000040000000}" name="CVA_perdasrb_d" dataDxfId="166" totalsRowDxfId="165"/>
    <tableColumn id="65" xr3:uid="{00000000-0010-0000-1200-000041000000}" name="CVA_perdasrb_c" dataDxfId="164" totalsRowDxfId="163"/>
    <tableColumn id="66" xr3:uid="{00000000-0010-0000-1200-000042000000}" name="CVA_perdastec" dataDxfId="162" totalsRowDxfId="161"/>
    <tableColumn id="67" xr3:uid="{00000000-0010-0000-1200-000043000000}" name="CVA_TUST_RB" dataDxfId="160" totalsRowDxfId="159"/>
    <tableColumn id="68" xr3:uid="{00000000-0010-0000-1200-000044000000}" name="CVA_TUST_FR" dataDxfId="158" totalsRowDxfId="157"/>
    <tableColumn id="69" xr3:uid="{00000000-0010-0000-1200-000045000000}" name="CVA_TUSDG_ONS" dataDxfId="156" totalsRowDxfId="155"/>
    <tableColumn id="70" xr3:uid="{00000000-0010-0000-1200-000046000000}" name="CVA_TUSDG_T" dataDxfId="154" totalsRowDxfId="153"/>
    <tableColumn id="71" xr3:uid="{FD269DC2-F12E-4BFC-8985-48C037DAEE3D}" name="CVA_TUST_CI" dataDxfId="152" totalsRowDxfId="151"/>
    <tableColumn id="72" xr3:uid="{2C34E4B3-7F07-4D64-9725-21233E09B2F8}" name="CVA_TUST_ITAIPU" dataDxfId="150" totalsRowDxfId="149"/>
    <tableColumn id="73" xr3:uid="{8FF1C04E-705B-4D43-8218-1D303ACBF1B4}" name="CVA_liminar" dataDxfId="148" totalsRowDxfId="147"/>
    <tableColumn id="146" xr3:uid="{A0539E69-57F8-49AD-B6ED-5CA0CA7D6897}" name="covidTusdEco" dataDxfId="146" totalsRowDxfId="145"/>
    <tableColumn id="147" xr3:uid="{412F0612-265D-4505-B4E2-63112B7EB7C9}" name="covidTeEco" dataDxfId="144" totalsRowDxfId="143"/>
    <tableColumn id="148" xr3:uid="{50DABFA8-FB5B-4872-BBA1-9BB3F56B96E2}" name="CVA_CovidTusd" dataDxfId="142" totalsRowDxfId="141"/>
    <tableColumn id="149" xr3:uid="{C64DE2C8-238E-48D0-AEEB-540EC8B5DBF4}" name="CVA_CovidTe_ou_CVA_CDE_E" dataDxfId="140" totalsRowDxfId="139"/>
    <tableColumn id="150" xr3:uid="{8D5DC1D4-E0A6-41B2-A2BB-26D2CA19EF4D}" name="FinCT_CDECOVIDTUSD" dataDxfId="138" totalsRowDxfId="137"/>
    <tableColumn id="151" xr3:uid="{D8258B5F-46FF-48E9-9CE8-9678AF6BD40F}" name="FinCT_CDECOVIDTE_ou_FinCT_CDE_E" dataDxfId="136" totalsRowDxfId="135"/>
    <tableColumn id="152" xr3:uid="{FA4B6803-ED14-4E9F-9237-11D021C62E1A}" name="idsreag" dataDxfId="134" totalsRowDxfId="133"/>
    <tableColumn id="153" xr3:uid="{6D0A4132-E9DF-49BA-93FC-314F55CD4E6C}" name="FinCTAn3En" dataDxfId="132" totalsRowDxfId="131"/>
    <tableColumn id="154" xr3:uid="{BCEBACD9-92B7-4C07-9349-0BF06725A083}" name="An3En" dataDxfId="130" totalsRowDxfId="129"/>
    <tableColumn id="155" xr3:uid="{E0739760-5FFA-460A-9B92-A98307BBEDBF}" name="CVA_An3En" dataDxfId="128" totalsRowDxfId="127"/>
    <tableColumn id="156" xr3:uid="{B6B0B208-D422-4A68-A0C8-E9FD52441D0C}" name="Fin_An3En" dataDxfId="126" totalsRowDxfId="125"/>
    <tableColumn id="157" xr3:uid="{7FDB53B5-00DC-4051-9BCD-5C44BCE1FE22}" name="FIN_CFURH" dataDxfId="124" totalsRowDxfId="123"/>
    <tableColumn id="158" xr3:uid="{234C3200-BA41-45F1-B762-23558F062AAD}" name="TEAngra" dataDxfId="122" totalsRowDxfId="121"/>
    <tableColumn id="159" xr3:uid="{4BBB7D5C-E9AD-4D0D-B22B-8576940F6A95}" name="TUSDAngra" dataDxfId="120" totalsRowDxfId="119"/>
    <tableColumn id="160" xr3:uid="{326F4D4F-8A5C-44D5-BA24-641AA39AE29E}" name="teCheia" dataDxfId="118" totalsRowDxfId="117"/>
    <tableColumn id="161" xr3:uid="{11C36C6C-88C1-412F-8622-2358DD383682}" name="tusdcheia" dataDxfId="116" totalsRowDxfId="115"/>
    <tableColumn id="162" xr3:uid="{14D370CA-1BC7-4B1B-93D5-6756E4EAFFCA}" name="AngraIII_TE" dataDxfId="114" totalsRowDxfId="113"/>
    <tableColumn id="163" xr3:uid="{C9000446-FA08-4BA9-A8BF-3E9F938C3AEE}" name="AngraIII_TUSD" dataDxfId="112" totalsRowDxfId="111"/>
    <tableColumn id="164" xr3:uid="{1E3DAD37-4778-41FB-BEFE-20A527048580}" name="AngraIII_Desc_TE" dataDxfId="110" totalsRowDxfId="109"/>
    <tableColumn id="165" xr3:uid="{6C19244C-C9FE-4DCB-ABD7-0AFB4C980B1D}" name="AngraIII_Desc_TUSD" dataDxfId="108" totalsRowDxfId="10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4" dataDxfId="103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2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101" dataDxfId="100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99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98" dataDxfId="97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96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95" dataDxfId="94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3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92" dataDxfId="91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0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89" dataDxfId="87" headerRowBorderDxfId="88" tableBorderDxfId="86" totalsRowBorderDxfId="85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84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83" dataDxfId="82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1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80" dataDxfId="79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78" dataCellStyle="Normal 54 2">
      <calculatedColumnFormula>IF(AN165=0,0,1)</calculatedColumnFormula>
    </tableColumn>
    <tableColumn id="2" xr3:uid="{00000000-0010-0000-0B00-000002000000}" name="2" dataDxfId="77" dataCellStyle="Normal 54 2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76" dataDxfId="75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4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73" dataDxfId="72" tableBorderDxfId="71" headerRowCellStyle="Normal 54 2" dataCellStyle="Year 2 6">
  <autoFilter ref="BS287:BS294" xr:uid="{00000000-0009-0000-0100-000013000000}"/>
  <tableColumns count="1">
    <tableColumn id="1" xr3:uid="{00000000-0010-0000-0D00-000001000000}" name="Colunas1" dataDxfId="70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69" dataDxfId="67" headerRowBorderDxfId="68" tableBorderDxfId="66" totalsRowBorderDxfId="65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4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63" dataDxfId="62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1" dataCellStyle="Normal 54 2">
      <calculatedColumnFormula>IF(BU297=0,0,1)</calculatedColumnFormula>
    </tableColumn>
    <tableColumn id="2" xr3:uid="{00000000-0010-0000-0F00-000002000000}" name="Colunas2" dataDxfId="60" dataCellStyle="Normal 54 2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59" dataDxfId="57" headerRowBorderDxfId="58" tableBorderDxfId="56" totalsRowBorderDxfId="55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4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6" totalsRowShown="0">
  <autoFilter ref="A1:Q276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13" Type="http://schemas.openxmlformats.org/officeDocument/2006/relationships/table" Target="../tables/table28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12" Type="http://schemas.openxmlformats.org/officeDocument/2006/relationships/table" Target="../tables/table2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21.xml"/><Relationship Id="rId11" Type="http://schemas.openxmlformats.org/officeDocument/2006/relationships/table" Target="../tables/table26.xml"/><Relationship Id="rId5" Type="http://schemas.openxmlformats.org/officeDocument/2006/relationships/table" Target="../tables/table20.xml"/><Relationship Id="rId15" Type="http://schemas.openxmlformats.org/officeDocument/2006/relationships/table" Target="../tables/table30.xml"/><Relationship Id="rId10" Type="http://schemas.openxmlformats.org/officeDocument/2006/relationships/table" Target="../tables/table25.xml"/><Relationship Id="rId4" Type="http://schemas.openxmlformats.org/officeDocument/2006/relationships/table" Target="../tables/table19.xml"/><Relationship Id="rId9" Type="http://schemas.openxmlformats.org/officeDocument/2006/relationships/table" Target="../tables/table24.xml"/><Relationship Id="rId14" Type="http://schemas.openxmlformats.org/officeDocument/2006/relationships/table" Target="../tables/table2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965">
        <v>43922</v>
      </c>
      <c r="C2" s="234"/>
      <c r="D2" s="234"/>
      <c r="E2" s="234"/>
      <c r="F2" s="234"/>
      <c r="G2" s="234"/>
      <c r="H2" s="234"/>
      <c r="I2" s="966"/>
    </row>
    <row r="3" spans="1:15">
      <c r="A3">
        <v>255</v>
      </c>
      <c r="B3" s="965">
        <v>43922</v>
      </c>
      <c r="C3" s="234"/>
      <c r="D3" s="234"/>
      <c r="E3" s="234"/>
      <c r="F3" s="234"/>
      <c r="G3" s="234"/>
      <c r="H3" s="234"/>
      <c r="I3" s="966"/>
    </row>
    <row r="4" spans="1:15">
      <c r="A4">
        <v>206</v>
      </c>
      <c r="B4" s="965">
        <v>43922</v>
      </c>
      <c r="C4" s="234"/>
      <c r="D4" s="234"/>
      <c r="E4" s="234"/>
      <c r="F4" s="234"/>
      <c r="G4" s="234"/>
      <c r="H4" s="234"/>
      <c r="I4" s="966"/>
    </row>
    <row r="5" spans="1:15">
      <c r="A5">
        <v>256</v>
      </c>
      <c r="B5" s="965">
        <v>43922</v>
      </c>
      <c r="C5" s="234"/>
      <c r="D5" s="234"/>
      <c r="E5" s="234"/>
      <c r="F5" s="234"/>
      <c r="G5" s="234"/>
      <c r="H5" s="234"/>
      <c r="I5" s="966"/>
      <c r="J5" s="234">
        <v>4154376.2782662762</v>
      </c>
    </row>
    <row r="6" spans="1:15">
      <c r="A6">
        <v>203</v>
      </c>
      <c r="B6" s="965">
        <v>43952</v>
      </c>
      <c r="C6" s="234"/>
      <c r="D6" s="234"/>
      <c r="E6" s="234"/>
      <c r="F6" s="234"/>
      <c r="G6" s="234"/>
      <c r="H6" s="234"/>
      <c r="I6" s="966"/>
      <c r="J6" s="234"/>
    </row>
    <row r="7" spans="1:15">
      <c r="A7">
        <v>211</v>
      </c>
      <c r="B7" s="965">
        <v>43952</v>
      </c>
      <c r="C7" s="234"/>
      <c r="D7" s="234"/>
      <c r="E7" s="234"/>
      <c r="F7" s="234"/>
      <c r="G7" s="234"/>
      <c r="H7" s="234"/>
      <c r="I7" s="966"/>
      <c r="J7" s="234">
        <v>18046086.986190885</v>
      </c>
      <c r="N7" s="234"/>
      <c r="O7" s="966"/>
    </row>
    <row r="8" spans="1:15">
      <c r="A8">
        <v>254</v>
      </c>
      <c r="B8" s="965">
        <v>43952</v>
      </c>
      <c r="C8" s="234"/>
      <c r="D8" s="234"/>
      <c r="E8" s="234"/>
      <c r="F8" s="234"/>
      <c r="G8" s="234"/>
      <c r="H8" s="234"/>
      <c r="I8" s="966"/>
      <c r="N8" s="234"/>
      <c r="O8" s="966"/>
    </row>
    <row r="9" spans="1:15">
      <c r="A9">
        <v>210</v>
      </c>
      <c r="B9" s="965">
        <v>43952</v>
      </c>
      <c r="C9" s="234"/>
      <c r="D9" s="234"/>
      <c r="E9" s="234"/>
      <c r="F9" s="234"/>
      <c r="G9" s="234"/>
      <c r="H9" s="234"/>
      <c r="I9" s="966"/>
      <c r="N9" s="234"/>
      <c r="O9" s="966"/>
    </row>
    <row r="10" spans="1:15">
      <c r="A10">
        <v>258</v>
      </c>
      <c r="B10" s="965">
        <v>44013</v>
      </c>
      <c r="C10" s="234"/>
      <c r="D10" s="234"/>
      <c r="E10" s="234"/>
      <c r="F10" s="234"/>
      <c r="G10" s="234"/>
      <c r="H10" s="234"/>
      <c r="I10" s="966"/>
    </row>
    <row r="11" spans="1:15">
      <c r="A11">
        <v>247</v>
      </c>
      <c r="B11" s="965">
        <v>44013</v>
      </c>
      <c r="C11" s="234"/>
      <c r="D11" s="234"/>
      <c r="E11" s="234"/>
      <c r="F11" s="234"/>
      <c r="G11" s="234"/>
      <c r="H11" s="234"/>
      <c r="I11" s="966"/>
    </row>
    <row r="12" spans="1:15">
      <c r="A12">
        <v>248</v>
      </c>
      <c r="B12" s="965">
        <v>44013</v>
      </c>
      <c r="C12" s="234"/>
      <c r="D12" s="234"/>
      <c r="E12" s="234"/>
      <c r="F12" s="234"/>
      <c r="G12" s="234"/>
      <c r="H12" s="234"/>
      <c r="I12" s="967"/>
    </row>
    <row r="13" spans="1:15">
      <c r="A13">
        <v>209</v>
      </c>
      <c r="B13" s="965">
        <v>44013</v>
      </c>
      <c r="C13" s="234"/>
      <c r="D13" s="234"/>
      <c r="E13" s="234"/>
      <c r="F13" s="234"/>
      <c r="G13" s="234"/>
      <c r="H13" s="234"/>
      <c r="I13" s="966"/>
    </row>
    <row r="14" spans="1:15">
      <c r="A14">
        <v>207</v>
      </c>
      <c r="B14" s="965">
        <v>44013</v>
      </c>
      <c r="C14" s="234"/>
      <c r="D14" s="234"/>
      <c r="E14" s="234"/>
      <c r="F14" s="234"/>
      <c r="G14" s="234"/>
      <c r="H14" s="234"/>
      <c r="I14" s="966"/>
    </row>
    <row r="15" spans="1:15">
      <c r="A15">
        <v>249</v>
      </c>
      <c r="B15" s="965">
        <v>44013</v>
      </c>
      <c r="C15" s="234"/>
      <c r="D15" s="234"/>
      <c r="E15" s="234"/>
      <c r="F15" s="234"/>
      <c r="G15" s="234"/>
      <c r="H15" s="234"/>
      <c r="I15" s="966"/>
    </row>
    <row r="16" spans="1:15">
      <c r="A16">
        <v>237</v>
      </c>
      <c r="B16" s="965">
        <v>44013</v>
      </c>
      <c r="C16" s="234"/>
      <c r="D16" s="234"/>
      <c r="E16" s="234"/>
      <c r="F16" s="234"/>
      <c r="G16" s="234"/>
      <c r="H16" s="234"/>
      <c r="I16" s="967"/>
    </row>
    <row r="17" spans="1:10">
      <c r="A17">
        <v>246</v>
      </c>
      <c r="B17" s="965">
        <v>44013</v>
      </c>
      <c r="C17" s="234"/>
      <c r="D17" s="234"/>
      <c r="E17" s="234"/>
      <c r="F17" s="234"/>
      <c r="G17" s="234"/>
      <c r="H17" s="234"/>
      <c r="I17" s="966"/>
    </row>
    <row r="18" spans="1:10">
      <c r="A18">
        <v>238</v>
      </c>
      <c r="B18" s="965">
        <v>44013</v>
      </c>
      <c r="C18" s="234"/>
      <c r="D18" s="234"/>
      <c r="E18" s="234"/>
      <c r="F18" s="234"/>
      <c r="G18" s="234"/>
      <c r="H18" s="234"/>
      <c r="I18" s="966"/>
    </row>
    <row r="19" spans="1:10">
      <c r="A19">
        <v>240</v>
      </c>
      <c r="B19" s="965">
        <v>44013</v>
      </c>
      <c r="C19" s="234"/>
      <c r="D19" s="234"/>
      <c r="E19" s="234"/>
      <c r="F19" s="234"/>
      <c r="G19" s="234"/>
      <c r="H19" s="234"/>
      <c r="I19" s="966"/>
      <c r="J19" s="234">
        <v>81721407.839354143</v>
      </c>
    </row>
    <row r="20" spans="1:10">
      <c r="A20">
        <v>242</v>
      </c>
      <c r="B20" s="965">
        <v>44013</v>
      </c>
      <c r="C20" s="234"/>
      <c r="D20" s="234"/>
      <c r="E20" s="234"/>
      <c r="F20" s="234"/>
      <c r="G20" s="234"/>
      <c r="H20" s="234"/>
      <c r="I20" s="966"/>
    </row>
    <row r="21" spans="1:10">
      <c r="A21">
        <v>245</v>
      </c>
      <c r="B21" s="965">
        <v>44013</v>
      </c>
      <c r="C21" s="234"/>
      <c r="D21" s="234"/>
      <c r="E21" s="234"/>
      <c r="F21" s="234"/>
      <c r="G21" s="234"/>
      <c r="H21" s="234"/>
      <c r="I21" s="966"/>
    </row>
    <row r="22" spans="1:10">
      <c r="A22">
        <v>257</v>
      </c>
      <c r="B22" s="965">
        <v>44013</v>
      </c>
      <c r="C22" s="234"/>
      <c r="D22" s="234"/>
      <c r="E22" s="234"/>
      <c r="F22" s="234"/>
      <c r="G22" s="234"/>
      <c r="H22" s="234"/>
      <c r="I22" s="966"/>
    </row>
    <row r="23" spans="1:10">
      <c r="A23">
        <v>239</v>
      </c>
      <c r="B23" s="965">
        <v>44013</v>
      </c>
      <c r="C23" s="234"/>
      <c r="D23" s="234"/>
      <c r="E23" s="234"/>
      <c r="F23" s="234"/>
      <c r="G23" s="234"/>
      <c r="H23" s="234"/>
      <c r="I23" s="966"/>
    </row>
    <row r="24" spans="1:10">
      <c r="A24">
        <v>232</v>
      </c>
      <c r="B24" s="965">
        <v>44075</v>
      </c>
      <c r="C24" s="234"/>
      <c r="D24" s="234"/>
      <c r="E24" s="234"/>
      <c r="F24" s="234"/>
      <c r="G24" s="234"/>
      <c r="H24" s="234"/>
      <c r="I24" s="966"/>
    </row>
    <row r="25" spans="1:10">
      <c r="A25">
        <v>222</v>
      </c>
      <c r="B25" s="965">
        <v>44075</v>
      </c>
      <c r="C25" s="234"/>
      <c r="D25" s="234"/>
      <c r="E25" s="234"/>
      <c r="F25" s="234"/>
      <c r="G25" s="234"/>
      <c r="H25" s="234"/>
      <c r="I25" s="966"/>
    </row>
    <row r="26" spans="1:10">
      <c r="A26">
        <v>202</v>
      </c>
      <c r="B26" s="965">
        <v>44075</v>
      </c>
      <c r="C26" s="234"/>
      <c r="D26" s="234"/>
      <c r="E26" s="234"/>
      <c r="F26" s="234"/>
      <c r="G26" s="234"/>
      <c r="H26" s="234"/>
      <c r="I26" s="966"/>
    </row>
    <row r="27" spans="1:10">
      <c r="A27">
        <v>260</v>
      </c>
      <c r="B27" s="965">
        <v>44075</v>
      </c>
      <c r="C27" s="234"/>
      <c r="D27" s="234"/>
      <c r="E27" s="234"/>
      <c r="F27" s="234"/>
      <c r="G27" s="234"/>
      <c r="H27" s="234"/>
      <c r="I27" s="966"/>
    </row>
    <row r="28" spans="1:10">
      <c r="A28">
        <v>230</v>
      </c>
      <c r="B28" s="965">
        <v>44075</v>
      </c>
      <c r="C28" s="234"/>
      <c r="D28" s="234"/>
      <c r="E28" s="234"/>
      <c r="F28" s="234"/>
      <c r="G28" s="234"/>
      <c r="H28" s="234"/>
      <c r="I28" s="966"/>
    </row>
    <row r="29" spans="1:10">
      <c r="A29">
        <v>221</v>
      </c>
      <c r="B29" s="965">
        <v>44075</v>
      </c>
      <c r="C29" s="234"/>
      <c r="D29" s="234"/>
      <c r="E29" s="234"/>
      <c r="F29" s="234"/>
      <c r="G29" s="234"/>
      <c r="H29" s="234"/>
      <c r="I29" s="966"/>
    </row>
    <row r="30" spans="1:10">
      <c r="A30">
        <v>218</v>
      </c>
      <c r="B30" s="965">
        <v>44075</v>
      </c>
      <c r="C30" s="234"/>
      <c r="D30" s="234"/>
      <c r="E30" s="234"/>
      <c r="F30" s="234"/>
      <c r="G30" s="234"/>
      <c r="H30" s="234"/>
      <c r="I30" s="966"/>
    </row>
    <row r="31" spans="1:10">
      <c r="A31">
        <v>261</v>
      </c>
      <c r="B31" s="965">
        <v>44075</v>
      </c>
      <c r="C31" s="234"/>
      <c r="D31" s="234"/>
      <c r="E31" s="234"/>
      <c r="F31" s="234"/>
      <c r="G31" s="234"/>
      <c r="H31" s="234"/>
      <c r="I31" s="966"/>
    </row>
    <row r="32" spans="1:10">
      <c r="A32">
        <v>262</v>
      </c>
      <c r="B32" s="965">
        <v>44075</v>
      </c>
      <c r="C32" s="234"/>
      <c r="D32" s="234"/>
      <c r="E32" s="234"/>
      <c r="F32" s="234"/>
      <c r="G32" s="234"/>
      <c r="H32" s="234"/>
      <c r="I32" s="966"/>
    </row>
    <row r="33" spans="1:9">
      <c r="A33">
        <v>227</v>
      </c>
      <c r="B33" s="965">
        <v>44075</v>
      </c>
      <c r="C33" s="234"/>
      <c r="D33" s="234"/>
      <c r="E33" s="234"/>
      <c r="F33" s="234"/>
      <c r="G33" s="234"/>
      <c r="H33" s="234"/>
      <c r="I33" s="966"/>
    </row>
    <row r="34" spans="1:9">
      <c r="A34">
        <v>231</v>
      </c>
      <c r="B34" s="965">
        <v>44075</v>
      </c>
      <c r="C34" s="234"/>
      <c r="D34" s="234"/>
      <c r="E34" s="234"/>
      <c r="F34" s="234"/>
      <c r="G34" s="234"/>
      <c r="H34" s="234"/>
      <c r="I34" s="966"/>
    </row>
    <row r="35" spans="1:9">
      <c r="A35">
        <v>216</v>
      </c>
      <c r="B35" s="965">
        <v>44075</v>
      </c>
      <c r="C35" s="234"/>
      <c r="D35" s="234"/>
      <c r="E35" s="234"/>
      <c r="F35" s="234"/>
      <c r="G35" s="234"/>
      <c r="H35" s="234"/>
      <c r="I35" s="966"/>
    </row>
    <row r="36" spans="1:9">
      <c r="A36">
        <v>229</v>
      </c>
      <c r="B36" s="965">
        <v>44075</v>
      </c>
      <c r="C36" s="234"/>
      <c r="D36" s="234"/>
      <c r="E36" s="234"/>
      <c r="F36" s="234"/>
      <c r="G36" s="234"/>
      <c r="H36" s="234"/>
      <c r="I36" s="966"/>
    </row>
    <row r="37" spans="1:9">
      <c r="A37">
        <v>215</v>
      </c>
      <c r="B37" s="965">
        <v>44075</v>
      </c>
      <c r="C37" s="234"/>
      <c r="D37" s="234"/>
      <c r="E37" s="234"/>
      <c r="F37" s="234"/>
      <c r="G37" s="234"/>
      <c r="H37" s="234"/>
      <c r="I37" s="966"/>
    </row>
    <row r="38" spans="1:9">
      <c r="A38">
        <v>224</v>
      </c>
      <c r="B38" s="965">
        <v>44075</v>
      </c>
      <c r="C38" s="234"/>
      <c r="D38" s="234"/>
      <c r="E38" s="234"/>
      <c r="F38" s="234"/>
      <c r="G38" s="234"/>
      <c r="H38" s="234"/>
      <c r="I38" s="966"/>
    </row>
    <row r="39" spans="1:9">
      <c r="A39">
        <v>226</v>
      </c>
      <c r="B39" s="965">
        <v>44075</v>
      </c>
      <c r="C39" s="234"/>
      <c r="D39" s="234"/>
      <c r="E39" s="234"/>
      <c r="F39" s="234"/>
      <c r="G39" s="234"/>
      <c r="H39" s="234"/>
      <c r="I39" s="966"/>
    </row>
    <row r="40" spans="1:9">
      <c r="A40">
        <v>234</v>
      </c>
      <c r="B40" s="965">
        <v>44075</v>
      </c>
      <c r="C40" s="234"/>
      <c r="D40" s="234"/>
      <c r="E40" s="234"/>
      <c r="F40" s="234"/>
      <c r="G40" s="234"/>
      <c r="H40" s="234"/>
      <c r="I40" s="966"/>
    </row>
    <row r="41" spans="1:9">
      <c r="A41">
        <v>223</v>
      </c>
      <c r="B41" s="965">
        <v>44075</v>
      </c>
      <c r="C41" s="234"/>
      <c r="D41" s="234"/>
      <c r="E41" s="234"/>
      <c r="F41" s="234"/>
      <c r="G41" s="234"/>
      <c r="H41" s="234"/>
      <c r="I41" s="966"/>
    </row>
    <row r="42" spans="1:9">
      <c r="A42">
        <v>225</v>
      </c>
      <c r="B42" s="965">
        <v>44075</v>
      </c>
      <c r="C42" s="234"/>
      <c r="D42" s="234"/>
      <c r="E42" s="234"/>
      <c r="F42" s="234"/>
      <c r="G42" s="234"/>
      <c r="H42" s="234"/>
      <c r="I42" s="966"/>
    </row>
    <row r="43" spans="1:9">
      <c r="A43">
        <v>228</v>
      </c>
      <c r="B43" s="965">
        <v>44075</v>
      </c>
      <c r="C43" s="234"/>
      <c r="D43" s="234"/>
      <c r="E43" s="234"/>
      <c r="F43" s="234"/>
      <c r="G43" s="234"/>
      <c r="H43" s="234"/>
      <c r="I43" s="966"/>
    </row>
    <row r="44" spans="1:9">
      <c r="A44">
        <v>220</v>
      </c>
      <c r="B44" s="965">
        <v>44075</v>
      </c>
      <c r="C44" s="234"/>
      <c r="D44" s="234"/>
      <c r="E44" s="234"/>
      <c r="F44" s="234"/>
      <c r="G44" s="234"/>
      <c r="H44" s="234"/>
      <c r="I44" s="966"/>
    </row>
    <row r="45" spans="1:9">
      <c r="A45">
        <v>201</v>
      </c>
      <c r="B45" s="965">
        <v>44136</v>
      </c>
      <c r="C45" s="234"/>
      <c r="D45" s="234"/>
      <c r="E45" s="234"/>
      <c r="F45" s="234"/>
      <c r="G45" s="234"/>
      <c r="H45" s="234"/>
      <c r="I45" s="966"/>
    </row>
    <row r="46" spans="1:9">
      <c r="A46">
        <v>213</v>
      </c>
      <c r="B46" s="965">
        <v>44136</v>
      </c>
      <c r="C46" s="234"/>
      <c r="D46" s="234"/>
      <c r="E46" s="234"/>
      <c r="F46" s="234"/>
      <c r="G46" s="234"/>
      <c r="H46" s="234"/>
      <c r="I46" s="966"/>
    </row>
    <row r="47" spans="1:9">
      <c r="A47">
        <v>219</v>
      </c>
      <c r="B47" s="965">
        <v>44136</v>
      </c>
      <c r="C47" s="234"/>
      <c r="D47" s="234"/>
      <c r="E47" s="234"/>
      <c r="F47" s="234"/>
      <c r="G47" s="234"/>
      <c r="H47" s="234"/>
      <c r="I47" s="966"/>
    </row>
    <row r="48" spans="1:9">
      <c r="A48">
        <v>205</v>
      </c>
      <c r="B48" s="965">
        <v>44136</v>
      </c>
      <c r="C48" s="234"/>
      <c r="D48" s="234"/>
      <c r="E48" s="234"/>
      <c r="F48" s="234"/>
      <c r="G48" s="234"/>
      <c r="H48" s="234"/>
      <c r="I48" s="966"/>
    </row>
    <row r="49" spans="1:10">
      <c r="A49">
        <v>208</v>
      </c>
      <c r="B49" s="965">
        <v>44136</v>
      </c>
      <c r="C49" s="234"/>
      <c r="D49" s="234"/>
      <c r="E49" s="234"/>
      <c r="F49" s="234"/>
      <c r="G49" s="234"/>
      <c r="H49" s="234"/>
      <c r="I49" s="966"/>
    </row>
    <row r="50" spans="1:10">
      <c r="A50">
        <v>263</v>
      </c>
      <c r="B50" s="965">
        <v>44166</v>
      </c>
      <c r="C50" s="234"/>
      <c r="D50" s="234"/>
      <c r="F50" s="234"/>
      <c r="G50" s="234"/>
      <c r="H50" s="234"/>
      <c r="I50" s="966"/>
      <c r="J50" s="234">
        <v>5389974.3136365721</v>
      </c>
    </row>
    <row r="51" spans="1:10">
      <c r="A51">
        <v>217</v>
      </c>
      <c r="B51" s="965">
        <v>44166</v>
      </c>
      <c r="C51" s="234"/>
      <c r="D51" s="234"/>
      <c r="E51" s="234"/>
      <c r="F51" s="234"/>
      <c r="G51" s="234"/>
      <c r="H51" s="234"/>
      <c r="I51" s="966"/>
      <c r="J51" s="234"/>
    </row>
    <row r="52" spans="1:10">
      <c r="A52">
        <v>264</v>
      </c>
      <c r="B52" s="965">
        <v>44166</v>
      </c>
      <c r="C52" s="234"/>
      <c r="D52" s="234"/>
      <c r="F52" s="234"/>
      <c r="G52" s="234"/>
      <c r="H52" s="234"/>
      <c r="I52" s="966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X9" zoomScale="107" zoomScaleNormal="107" workbookViewId="0">
      <selection activeCell="AB12" sqref="AB12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94" t="s">
        <v>12</v>
      </c>
      <c r="C1" s="995"/>
      <c r="D1" s="995"/>
      <c r="E1" s="996" t="s">
        <v>13</v>
      </c>
      <c r="F1" s="997">
        <f ca="1">LnkTXTIRTEco</f>
        <v>0.12970000000000001</v>
      </c>
    </row>
    <row r="2" spans="2:43" ht="28.5" customHeight="1">
      <c r="B2" s="138" t="str">
        <f>CAPA!C9</f>
        <v>Cermissões</v>
      </c>
      <c r="C2" s="70"/>
      <c r="D2" s="70"/>
      <c r="E2" s="84" t="s">
        <v>14</v>
      </c>
      <c r="F2" s="85">
        <f ca="1">LnkTXTIRTTotal</f>
        <v>-9.4E-2</v>
      </c>
      <c r="M2" s="86"/>
      <c r="N2" s="87"/>
      <c r="AA2" s="902"/>
      <c r="AB2" s="964"/>
      <c r="AC2" s="902"/>
      <c r="AD2" s="902"/>
    </row>
    <row r="3" spans="2:43" ht="21" customHeight="1">
      <c r="B3" s="998" t="s">
        <v>15</v>
      </c>
      <c r="C3" s="820"/>
      <c r="I3" s="998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99" t="s">
        <v>17</v>
      </c>
      <c r="C5" s="1000">
        <v>134568.58900000001</v>
      </c>
      <c r="D5" s="1763" t="s">
        <v>18</v>
      </c>
      <c r="E5" s="91"/>
      <c r="F5" s="72"/>
      <c r="G5" s="72"/>
      <c r="H5" s="72" t="s">
        <v>19</v>
      </c>
      <c r="I5" s="493" t="s">
        <v>20</v>
      </c>
      <c r="J5" s="493" t="s">
        <v>21</v>
      </c>
      <c r="K5" s="493"/>
      <c r="L5" s="493" t="s">
        <v>22</v>
      </c>
      <c r="M5" s="493" t="s">
        <v>23</v>
      </c>
      <c r="N5" s="493" t="s">
        <v>24</v>
      </c>
      <c r="O5" s="493"/>
      <c r="P5" s="493"/>
      <c r="Q5" s="493" t="s">
        <v>25</v>
      </c>
      <c r="R5" s="493" t="s">
        <v>26</v>
      </c>
      <c r="S5" s="819" t="s">
        <v>27</v>
      </c>
      <c r="T5" s="493" t="s">
        <v>28</v>
      </c>
      <c r="U5" s="71" t="s">
        <v>29</v>
      </c>
      <c r="V5" s="819" t="s">
        <v>30</v>
      </c>
      <c r="AA5" s="68" t="s">
        <v>31</v>
      </c>
      <c r="AB5" s="68" t="s">
        <v>32</v>
      </c>
      <c r="AC5" s="68" t="s">
        <v>20</v>
      </c>
      <c r="AD5" s="902" t="s">
        <v>33</v>
      </c>
      <c r="AE5" s="902" t="s">
        <v>2175</v>
      </c>
      <c r="AI5" s="940" t="s">
        <v>34</v>
      </c>
      <c r="AJ5" s="940" t="s">
        <v>35</v>
      </c>
      <c r="AL5" s="945" t="s">
        <v>36</v>
      </c>
      <c r="AM5" s="945" t="s">
        <v>37</v>
      </c>
      <c r="AO5" s="902" t="s">
        <v>2205</v>
      </c>
      <c r="AP5" s="902" t="s">
        <v>37</v>
      </c>
      <c r="AQ5" s="902" t="s">
        <v>2206</v>
      </c>
    </row>
    <row r="6" spans="2:43" ht="16.5">
      <c r="B6" s="94"/>
      <c r="C6" s="89"/>
      <c r="D6" s="1764"/>
      <c r="E6" s="91"/>
      <c r="F6" s="72"/>
      <c r="G6" s="72"/>
      <c r="H6" s="68" t="str">
        <f>CONCATENATE(W6,J6,L6,O6)</f>
        <v>396A4Não se aplicaEnergia</v>
      </c>
      <c r="I6" s="1001">
        <v>2022</v>
      </c>
      <c r="J6" s="1002" t="s">
        <v>597</v>
      </c>
      <c r="K6" s="1002" t="s">
        <v>829</v>
      </c>
      <c r="L6" s="1002" t="s">
        <v>1322</v>
      </c>
      <c r="M6" s="1002" t="s">
        <v>438</v>
      </c>
      <c r="N6" s="1002">
        <v>2381</v>
      </c>
      <c r="O6" s="1002" t="s">
        <v>120</v>
      </c>
      <c r="P6" s="1002" t="s">
        <v>830</v>
      </c>
      <c r="Q6" s="1003">
        <v>44734</v>
      </c>
      <c r="R6" s="1003">
        <v>44732</v>
      </c>
      <c r="S6" s="521" t="s">
        <v>2314</v>
      </c>
      <c r="T6" s="1003" t="s">
        <v>2315</v>
      </c>
      <c r="U6" s="1002">
        <v>11.36</v>
      </c>
      <c r="V6" s="1002">
        <v>167</v>
      </c>
      <c r="W6" s="68">
        <f>VLOOKUP(V6,DescontosTE[[#All],[idsreag supridora]:[codsariSUP]],2,FALSE)</f>
        <v>396</v>
      </c>
      <c r="AA6" s="903" t="s">
        <v>1228</v>
      </c>
      <c r="AB6" s="904">
        <v>3.0123285044380822E-4</v>
      </c>
      <c r="AC6" s="903">
        <v>2022</v>
      </c>
      <c r="AD6" s="903">
        <v>349.15</v>
      </c>
      <c r="AE6" s="903">
        <v>4029.9285012328069</v>
      </c>
      <c r="AI6" s="943">
        <v>44287</v>
      </c>
      <c r="AJ6" s="944">
        <v>23622.2</v>
      </c>
      <c r="AL6" s="946" t="s">
        <v>2329</v>
      </c>
      <c r="AM6" s="947">
        <v>0</v>
      </c>
      <c r="AO6" s="1577" t="s">
        <v>2223</v>
      </c>
      <c r="AP6" s="1578">
        <v>0</v>
      </c>
      <c r="AQ6" s="1578"/>
    </row>
    <row r="7" spans="2:43" ht="16.5">
      <c r="B7" s="1004"/>
      <c r="C7" s="1005">
        <v>0</v>
      </c>
      <c r="D7" s="1764"/>
      <c r="E7" s="72"/>
      <c r="F7" s="72"/>
      <c r="G7" s="72"/>
      <c r="H7" s="68" t="str">
        <f t="shared" ref="H7:H30" si="0">CONCATENATE(W7,J7,L7,O7)</f>
        <v>396A4Fora pontaPotência</v>
      </c>
      <c r="I7" s="519">
        <v>2022</v>
      </c>
      <c r="J7" s="520" t="s">
        <v>597</v>
      </c>
      <c r="K7" s="520" t="s">
        <v>829</v>
      </c>
      <c r="L7" s="520" t="s">
        <v>2244</v>
      </c>
      <c r="M7" s="520" t="s">
        <v>438</v>
      </c>
      <c r="N7" s="520">
        <v>2381</v>
      </c>
      <c r="O7" s="520" t="s">
        <v>1321</v>
      </c>
      <c r="P7" s="520" t="s">
        <v>830</v>
      </c>
      <c r="Q7" s="521">
        <v>44734</v>
      </c>
      <c r="R7" s="521">
        <v>44732</v>
      </c>
      <c r="S7" s="521" t="s">
        <v>2314</v>
      </c>
      <c r="T7" s="521" t="s">
        <v>2315</v>
      </c>
      <c r="U7" s="520">
        <v>19.98</v>
      </c>
      <c r="V7" s="520">
        <v>167</v>
      </c>
      <c r="W7" s="68">
        <f>VLOOKUP(V7,DescontosTE[[#All],[idsreag supridora]:[codsariSUP]],2,FALSE)</f>
        <v>396</v>
      </c>
      <c r="AA7" s="903"/>
      <c r="AB7" s="904"/>
      <c r="AC7" s="903"/>
      <c r="AD7" s="903"/>
      <c r="AE7" s="903"/>
      <c r="AI7" s="943">
        <v>44317</v>
      </c>
      <c r="AJ7" s="944">
        <v>17715.96</v>
      </c>
      <c r="AL7" s="946" t="s">
        <v>2330</v>
      </c>
      <c r="AM7" s="947">
        <v>0</v>
      </c>
      <c r="AO7" s="1577" t="s">
        <v>2224</v>
      </c>
      <c r="AP7" s="1578">
        <v>-1076365.77</v>
      </c>
      <c r="AQ7" s="1578"/>
    </row>
    <row r="8" spans="2:43" ht="16.5">
      <c r="B8" s="94" t="s">
        <v>38</v>
      </c>
      <c r="C8" s="120">
        <v>0</v>
      </c>
      <c r="D8" s="1764"/>
      <c r="E8" s="72"/>
      <c r="F8" s="72"/>
      <c r="G8" s="72"/>
      <c r="H8" s="68" t="str">
        <f t="shared" si="0"/>
        <v>396A3Não se aplicaEnergia</v>
      </c>
      <c r="I8" s="519">
        <v>2022</v>
      </c>
      <c r="J8" s="520" t="s">
        <v>599</v>
      </c>
      <c r="K8" s="520" t="s">
        <v>829</v>
      </c>
      <c r="L8" s="520" t="s">
        <v>1322</v>
      </c>
      <c r="M8" s="520" t="s">
        <v>438</v>
      </c>
      <c r="N8" s="520">
        <v>2381</v>
      </c>
      <c r="O8" s="520" t="s">
        <v>120</v>
      </c>
      <c r="P8" s="520" t="s">
        <v>830</v>
      </c>
      <c r="Q8" s="521">
        <v>44734</v>
      </c>
      <c r="R8" s="521">
        <v>44732</v>
      </c>
      <c r="S8" s="521" t="s">
        <v>2314</v>
      </c>
      <c r="T8" s="521" t="s">
        <v>2315</v>
      </c>
      <c r="U8" s="520">
        <v>5.15</v>
      </c>
      <c r="V8" s="520">
        <v>167</v>
      </c>
      <c r="W8" s="68">
        <f>VLOOKUP(V8,DescontosTE[[#All],[idsreag supridora]:[codsariSUP]],2,FALSE)</f>
        <v>396</v>
      </c>
      <c r="AI8" s="943">
        <v>44348</v>
      </c>
      <c r="AJ8" s="944">
        <v>17301.8</v>
      </c>
      <c r="AL8" s="946" t="s">
        <v>2331</v>
      </c>
      <c r="AM8" s="947">
        <v>0</v>
      </c>
      <c r="AO8" s="1577" t="s">
        <v>2225</v>
      </c>
      <c r="AP8" s="1578">
        <v>0</v>
      </c>
      <c r="AQ8" s="1578"/>
    </row>
    <row r="9" spans="2:43" ht="16.5">
      <c r="B9" s="94" t="s">
        <v>39</v>
      </c>
      <c r="C9" s="120">
        <v>0</v>
      </c>
      <c r="D9" s="1764"/>
      <c r="E9" s="72"/>
      <c r="F9" s="72"/>
      <c r="G9" s="72"/>
      <c r="H9" s="68" t="str">
        <f t="shared" si="0"/>
        <v>396A3PontaPotência</v>
      </c>
      <c r="I9" s="519">
        <v>2022</v>
      </c>
      <c r="J9" s="520" t="s">
        <v>599</v>
      </c>
      <c r="K9" s="520" t="s">
        <v>829</v>
      </c>
      <c r="L9" s="520" t="s">
        <v>973</v>
      </c>
      <c r="M9" s="520" t="s">
        <v>438</v>
      </c>
      <c r="N9" s="520">
        <v>2381</v>
      </c>
      <c r="O9" s="520" t="s">
        <v>1321</v>
      </c>
      <c r="P9" s="520" t="s">
        <v>830</v>
      </c>
      <c r="Q9" s="521">
        <v>44734</v>
      </c>
      <c r="R9" s="521">
        <v>44732</v>
      </c>
      <c r="S9" s="521" t="s">
        <v>2314</v>
      </c>
      <c r="T9" s="521" t="s">
        <v>2315</v>
      </c>
      <c r="U9" s="520">
        <v>18.95</v>
      </c>
      <c r="V9" s="520">
        <v>167</v>
      </c>
      <c r="W9" s="68">
        <f>VLOOKUP(V9,DescontosTE[[#All],[idsreag supridora]:[codsariSUP]],2,FALSE)</f>
        <v>396</v>
      </c>
      <c r="AI9" s="943">
        <v>44378</v>
      </c>
      <c r="AJ9" s="944">
        <v>16118.62</v>
      </c>
      <c r="AL9" s="946" t="s">
        <v>2332</v>
      </c>
      <c r="AM9" s="947"/>
      <c r="AO9" s="1577"/>
      <c r="AP9" s="1578"/>
      <c r="AQ9" s="1578" t="s">
        <v>2226</v>
      </c>
    </row>
    <row r="10" spans="2:43" ht="16.5">
      <c r="B10" s="94" t="s">
        <v>40</v>
      </c>
      <c r="C10" s="120">
        <v>219625.82160260301</v>
      </c>
      <c r="D10" s="1764"/>
      <c r="H10" s="68" t="str">
        <f t="shared" si="0"/>
        <v>396A3Fora pontaPotência</v>
      </c>
      <c r="I10" s="519">
        <v>2022</v>
      </c>
      <c r="J10" s="520" t="s">
        <v>599</v>
      </c>
      <c r="K10" s="520" t="s">
        <v>829</v>
      </c>
      <c r="L10" s="520" t="s">
        <v>2244</v>
      </c>
      <c r="M10" s="520" t="s">
        <v>438</v>
      </c>
      <c r="N10" s="520">
        <v>2381</v>
      </c>
      <c r="O10" s="520" t="s">
        <v>1321</v>
      </c>
      <c r="P10" s="520" t="s">
        <v>830</v>
      </c>
      <c r="Q10" s="521">
        <v>44734</v>
      </c>
      <c r="R10" s="521">
        <v>44732</v>
      </c>
      <c r="S10" s="521" t="s">
        <v>2314</v>
      </c>
      <c r="T10" s="521" t="s">
        <v>2315</v>
      </c>
      <c r="U10" s="520">
        <v>16.11</v>
      </c>
      <c r="V10" s="520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08" t="s">
        <v>45</v>
      </c>
      <c r="AI10" s="943">
        <v>44409</v>
      </c>
      <c r="AJ10" s="944">
        <v>16267.07</v>
      </c>
      <c r="AL10" s="946" t="s">
        <v>2333</v>
      </c>
      <c r="AM10" s="947">
        <v>0</v>
      </c>
    </row>
    <row r="11" spans="2:43" ht="16.5">
      <c r="B11" s="94" t="s">
        <v>41</v>
      </c>
      <c r="C11" s="120">
        <v>7642650.4989</v>
      </c>
      <c r="D11" s="1764"/>
      <c r="H11" s="68" t="str">
        <f t="shared" si="0"/>
        <v>396A4PontaPotência</v>
      </c>
      <c r="I11" s="519">
        <v>2022</v>
      </c>
      <c r="J11" s="520" t="s">
        <v>597</v>
      </c>
      <c r="K11" s="520" t="s">
        <v>829</v>
      </c>
      <c r="L11" s="520" t="s">
        <v>973</v>
      </c>
      <c r="M11" s="520" t="s">
        <v>438</v>
      </c>
      <c r="N11" s="520">
        <v>2381</v>
      </c>
      <c r="O11" s="520" t="s">
        <v>1321</v>
      </c>
      <c r="P11" s="520" t="s">
        <v>830</v>
      </c>
      <c r="Q11" s="521">
        <v>44734</v>
      </c>
      <c r="R11" s="521">
        <v>44732</v>
      </c>
      <c r="S11" s="521" t="s">
        <v>2314</v>
      </c>
      <c r="T11" s="521" t="s">
        <v>2315</v>
      </c>
      <c r="U11" s="520">
        <v>26.9</v>
      </c>
      <c r="V11" s="520">
        <v>167</v>
      </c>
      <c r="W11" s="68">
        <f>VLOOKUP(V11,DescontosTE[[#All],[idsreag supridora]:[codsariSUP]],2,FALSE)</f>
        <v>396</v>
      </c>
      <c r="AA11" s="903">
        <v>0.87480000000000002</v>
      </c>
      <c r="AB11" s="904">
        <v>169.95</v>
      </c>
      <c r="AC11" s="903">
        <v>14739.74</v>
      </c>
      <c r="AD11" s="903">
        <v>5.5481140000000003E-4</v>
      </c>
      <c r="AI11" s="943">
        <v>44440</v>
      </c>
      <c r="AJ11" s="944">
        <v>16067.58</v>
      </c>
      <c r="AL11" s="946" t="s">
        <v>2334</v>
      </c>
      <c r="AM11" s="947">
        <v>0</v>
      </c>
    </row>
    <row r="12" spans="2:43" ht="16.5">
      <c r="B12" s="94" t="s">
        <v>46</v>
      </c>
      <c r="C12" s="120">
        <v>363200.09499999997</v>
      </c>
      <c r="D12" s="1764"/>
      <c r="H12" s="68" t="e">
        <f t="shared" si="0"/>
        <v>#N/A</v>
      </c>
      <c r="I12" s="519"/>
      <c r="J12" s="520"/>
      <c r="K12" s="520"/>
      <c r="L12" s="520"/>
      <c r="M12" s="520"/>
      <c r="N12" s="520"/>
      <c r="O12" s="520"/>
      <c r="P12" s="520"/>
      <c r="Q12" s="521"/>
      <c r="R12" s="521"/>
      <c r="S12" s="521"/>
      <c r="T12" s="521"/>
      <c r="U12" s="520"/>
      <c r="V12" s="520"/>
      <c r="W12" s="68" t="e">
        <f>VLOOKUP(V12,DescontosTE[[#All],[idsreag supridora]:[codsariSUP]],2,FALSE)</f>
        <v>#N/A</v>
      </c>
      <c r="AI12" s="943">
        <v>44470</v>
      </c>
      <c r="AJ12" s="944">
        <v>16049.58</v>
      </c>
      <c r="AL12" s="946" t="s">
        <v>2335</v>
      </c>
      <c r="AM12" s="947">
        <v>0</v>
      </c>
    </row>
    <row r="13" spans="2:43" ht="16.5">
      <c r="B13" s="94" t="s">
        <v>47</v>
      </c>
      <c r="C13" s="120">
        <v>1233168.8379599999</v>
      </c>
      <c r="D13" s="1764"/>
      <c r="H13" s="68" t="e">
        <f t="shared" si="0"/>
        <v>#N/A</v>
      </c>
      <c r="I13" s="519"/>
      <c r="J13" s="520"/>
      <c r="K13" s="520"/>
      <c r="L13" s="520"/>
      <c r="M13" s="520"/>
      <c r="N13" s="520"/>
      <c r="O13" s="520"/>
      <c r="P13" s="520"/>
      <c r="Q13" s="521"/>
      <c r="R13" s="521"/>
      <c r="S13" s="521"/>
      <c r="T13" s="521"/>
      <c r="U13" s="520"/>
      <c r="V13" s="520"/>
      <c r="W13" s="68" t="e">
        <f>VLOOKUP(V13,DescontosTE[[#All],[idsreag supridora]:[codsariSUP]],2,FALSE)</f>
        <v>#N/A</v>
      </c>
      <c r="AI13" s="943">
        <v>44501</v>
      </c>
      <c r="AJ13" s="944">
        <v>16092.68</v>
      </c>
      <c r="AL13" s="946" t="s">
        <v>2336</v>
      </c>
      <c r="AM13" s="947">
        <v>0</v>
      </c>
    </row>
    <row r="14" spans="2:43" ht="16.5">
      <c r="B14" s="94" t="s">
        <v>48</v>
      </c>
      <c r="C14" s="120">
        <v>0</v>
      </c>
      <c r="D14" s="1764"/>
      <c r="H14" s="68" t="e">
        <f t="shared" si="0"/>
        <v>#N/A</v>
      </c>
      <c r="I14" s="519"/>
      <c r="J14" s="520"/>
      <c r="K14" s="520"/>
      <c r="L14" s="520"/>
      <c r="M14" s="520"/>
      <c r="N14" s="520"/>
      <c r="O14" s="520"/>
      <c r="P14" s="520"/>
      <c r="Q14" s="521"/>
      <c r="R14" s="521"/>
      <c r="S14" s="521"/>
      <c r="T14" s="521"/>
      <c r="U14" s="520"/>
      <c r="V14" s="520"/>
      <c r="W14" s="68" t="e">
        <f>VLOOKUP(V14,DescontosTE[[#All],[idsreag supridora]:[codsariSUP]],2,FALSE)</f>
        <v>#N/A</v>
      </c>
      <c r="AA14" s="832"/>
      <c r="AB14" s="832"/>
      <c r="AC14" s="832"/>
      <c r="AI14" s="943">
        <v>44531</v>
      </c>
      <c r="AJ14" s="944">
        <v>20562.09</v>
      </c>
      <c r="AL14" s="946" t="s">
        <v>2337</v>
      </c>
      <c r="AM14" s="947">
        <v>0</v>
      </c>
    </row>
    <row r="15" spans="2:43" ht="16.5">
      <c r="B15" s="1006" t="s">
        <v>49</v>
      </c>
      <c r="C15" s="1007">
        <v>0</v>
      </c>
      <c r="D15" s="1764"/>
      <c r="F15" s="93"/>
      <c r="H15" s="68" t="e">
        <f t="shared" si="0"/>
        <v>#N/A</v>
      </c>
      <c r="I15" s="519"/>
      <c r="J15" s="520"/>
      <c r="K15" s="520"/>
      <c r="L15" s="520"/>
      <c r="M15" s="520"/>
      <c r="N15" s="520"/>
      <c r="O15" s="520"/>
      <c r="P15" s="520"/>
      <c r="Q15" s="521"/>
      <c r="R15" s="521"/>
      <c r="S15" s="521"/>
      <c r="T15" s="521"/>
      <c r="U15" s="520"/>
      <c r="V15" s="520"/>
      <c r="W15" s="68" t="e">
        <f>VLOOKUP(V15,DescontosTE[[#All],[idsreag supridora]:[codsariSUP]],2,FALSE)</f>
        <v>#N/A</v>
      </c>
      <c r="AA15" s="949" t="s">
        <v>122</v>
      </c>
      <c r="AB15" s="949" t="s">
        <v>978</v>
      </c>
      <c r="AC15" s="832"/>
      <c r="AI15" s="943">
        <v>44562</v>
      </c>
      <c r="AJ15" s="944">
        <v>36246.870000000003</v>
      </c>
      <c r="AL15" s="946"/>
      <c r="AM15" s="947"/>
    </row>
    <row r="16" spans="2:43" ht="16.5">
      <c r="D16" s="1764"/>
      <c r="F16" s="93"/>
      <c r="H16" s="68" t="e">
        <f t="shared" si="0"/>
        <v>#N/A</v>
      </c>
      <c r="I16" s="519"/>
      <c r="J16" s="520"/>
      <c r="K16" s="520"/>
      <c r="L16" s="520"/>
      <c r="M16" s="520"/>
      <c r="N16" s="520"/>
      <c r="O16" s="520"/>
      <c r="P16" s="520"/>
      <c r="Q16" s="521"/>
      <c r="R16" s="521"/>
      <c r="S16" s="521"/>
      <c r="T16" s="521"/>
      <c r="U16" s="520"/>
      <c r="V16" s="520"/>
      <c r="W16" s="68" t="e">
        <f>VLOOKUP(V16,DescontosTE[[#All],[idsreag supridora]:[codsariSUP]],2,FALSE)</f>
        <v>#N/A</v>
      </c>
      <c r="AA16" s="903">
        <v>2022</v>
      </c>
      <c r="AB16" s="904">
        <v>2340.6765462476283</v>
      </c>
      <c r="AC16" s="902"/>
      <c r="AI16" s="943">
        <v>44593</v>
      </c>
      <c r="AJ16" s="944">
        <v>42946.76</v>
      </c>
      <c r="AL16" s="946"/>
      <c r="AM16" s="947"/>
    </row>
    <row r="17" spans="2:42" ht="16.5">
      <c r="B17" s="999" t="s">
        <v>50</v>
      </c>
      <c r="C17" s="1008"/>
      <c r="D17" s="1764"/>
      <c r="F17" s="93"/>
      <c r="H17" s="68" t="e">
        <f t="shared" si="0"/>
        <v>#N/A</v>
      </c>
      <c r="I17" s="519"/>
      <c r="J17" s="520"/>
      <c r="K17" s="520"/>
      <c r="L17" s="520"/>
      <c r="M17" s="520"/>
      <c r="N17" s="520"/>
      <c r="O17" s="520"/>
      <c r="P17" s="520"/>
      <c r="Q17" s="521"/>
      <c r="R17" s="521"/>
      <c r="S17" s="521"/>
      <c r="T17" s="521"/>
      <c r="U17" s="520"/>
      <c r="V17" s="520"/>
      <c r="W17" s="68" t="e">
        <f>VLOOKUP(V17,DescontosTE[[#All],[idsreag supridora]:[codsariSUP]],2,FALSE)</f>
        <v>#N/A</v>
      </c>
      <c r="AI17" s="943">
        <v>44621</v>
      </c>
      <c r="AJ17" s="944">
        <v>39560.519999999997</v>
      </c>
      <c r="AL17" s="909"/>
      <c r="AM17" s="904"/>
    </row>
    <row r="18" spans="2:42" ht="16.5">
      <c r="B18" s="94" t="s">
        <v>51</v>
      </c>
      <c r="C18" s="120">
        <v>1372109.9280000001</v>
      </c>
      <c r="D18" s="1764"/>
      <c r="F18" s="93"/>
      <c r="H18" s="68" t="e">
        <f t="shared" si="0"/>
        <v>#N/A</v>
      </c>
      <c r="I18" s="519"/>
      <c r="J18" s="520"/>
      <c r="K18" s="520"/>
      <c r="L18" s="520"/>
      <c r="M18" s="520"/>
      <c r="N18" s="520"/>
      <c r="O18" s="520"/>
      <c r="P18" s="520"/>
      <c r="Q18" s="521"/>
      <c r="R18" s="521"/>
      <c r="S18" s="521"/>
      <c r="T18" s="521"/>
      <c r="U18" s="520"/>
      <c r="V18" s="520"/>
      <c r="W18" s="68" t="e">
        <f>VLOOKUP(V18,DescontosTE[[#All],[idsreag supridora]:[codsariSUP]],2,FALSE)</f>
        <v>#N/A</v>
      </c>
      <c r="AI18" s="943">
        <v>44652</v>
      </c>
      <c r="AJ18" s="944">
        <v>30743.279999999999</v>
      </c>
      <c r="AL18" s="909"/>
      <c r="AM18" s="904"/>
    </row>
    <row r="19" spans="2:42" ht="16.5">
      <c r="B19" s="94" t="s">
        <v>52</v>
      </c>
      <c r="C19" s="120">
        <v>905337.38399999996</v>
      </c>
      <c r="D19" s="1764"/>
      <c r="F19" s="93"/>
      <c r="H19" s="68" t="e">
        <f t="shared" si="0"/>
        <v>#N/A</v>
      </c>
      <c r="I19" s="519"/>
      <c r="J19" s="520"/>
      <c r="K19" s="520"/>
      <c r="L19" s="520"/>
      <c r="M19" s="520"/>
      <c r="N19" s="520"/>
      <c r="O19" s="520"/>
      <c r="P19" s="520"/>
      <c r="Q19" s="521"/>
      <c r="R19" s="521"/>
      <c r="S19" s="521"/>
      <c r="T19" s="521"/>
      <c r="U19" s="520"/>
      <c r="V19" s="520"/>
      <c r="W19" s="68" t="e">
        <f>VLOOKUP(V19,DescontosTE[[#All],[idsreag supridora]:[codsariSUP]],2,FALSE)</f>
        <v>#N/A</v>
      </c>
      <c r="AI19" s="943">
        <v>44682</v>
      </c>
      <c r="AJ19" s="944">
        <v>22422.35</v>
      </c>
    </row>
    <row r="20" spans="2:42" ht="16.5">
      <c r="B20" s="94" t="s">
        <v>53</v>
      </c>
      <c r="C20" s="120"/>
      <c r="D20" s="1764"/>
      <c r="F20" s="93"/>
      <c r="H20" s="68" t="e">
        <f t="shared" si="0"/>
        <v>#N/A</v>
      </c>
      <c r="I20" s="519"/>
      <c r="J20" s="520"/>
      <c r="K20" s="520"/>
      <c r="L20" s="520"/>
      <c r="M20" s="520"/>
      <c r="N20" s="520"/>
      <c r="O20" s="520"/>
      <c r="P20" s="520"/>
      <c r="Q20" s="521"/>
      <c r="R20" s="521"/>
      <c r="S20" s="521"/>
      <c r="T20" s="521"/>
      <c r="U20" s="520"/>
      <c r="V20" s="520"/>
      <c r="W20" s="68" t="e">
        <f>VLOOKUP(V20,DescontosTE[[#All],[idsreag supridora]:[codsariSUP]],2,FALSE)</f>
        <v>#N/A</v>
      </c>
      <c r="AA20" s="905" t="s">
        <v>54</v>
      </c>
      <c r="AB20" s="905"/>
      <c r="AC20" s="906"/>
      <c r="AD20" s="906"/>
      <c r="AE20" s="906"/>
      <c r="AF20" s="906"/>
      <c r="AG20" s="907"/>
      <c r="AI20" s="909"/>
      <c r="AJ20" s="904"/>
    </row>
    <row r="21" spans="2:42" ht="16.5">
      <c r="B21" s="94" t="s">
        <v>55</v>
      </c>
      <c r="C21" s="120"/>
      <c r="D21" s="1764"/>
      <c r="F21" s="93"/>
      <c r="H21" s="68" t="e">
        <f t="shared" si="0"/>
        <v>#N/A</v>
      </c>
      <c r="I21" s="519"/>
      <c r="J21" s="520"/>
      <c r="K21" s="520"/>
      <c r="L21" s="520"/>
      <c r="M21" s="520"/>
      <c r="N21" s="520"/>
      <c r="O21" s="520"/>
      <c r="P21" s="520"/>
      <c r="Q21" s="521"/>
      <c r="R21" s="521"/>
      <c r="S21" s="521"/>
      <c r="T21" s="521"/>
      <c r="U21" s="520"/>
      <c r="V21" s="520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64"/>
      <c r="H22" s="68" t="e">
        <f t="shared" si="0"/>
        <v>#N/A</v>
      </c>
      <c r="I22" s="519"/>
      <c r="J22" s="520"/>
      <c r="K22" s="520"/>
      <c r="L22" s="520"/>
      <c r="M22" s="520"/>
      <c r="N22" s="520"/>
      <c r="O22" s="520"/>
      <c r="P22" s="520"/>
      <c r="Q22" s="521"/>
      <c r="R22" s="521"/>
      <c r="S22" s="521"/>
      <c r="T22" s="521"/>
      <c r="U22" s="520"/>
      <c r="V22" s="520"/>
      <c r="W22" s="68" t="e">
        <f>VLOOKUP(V22,DescontosTE[[#All],[idsreag supridora]:[codsariSUP]],2,FALSE)</f>
        <v>#N/A</v>
      </c>
      <c r="AA22" s="903" t="s">
        <v>1229</v>
      </c>
      <c r="AB22" s="904"/>
      <c r="AC22" s="903"/>
      <c r="AD22" s="903"/>
      <c r="AE22" s="904">
        <v>14627.936281768692</v>
      </c>
      <c r="AF22" s="909">
        <v>44713</v>
      </c>
      <c r="AG22" s="903">
        <v>152.32259148708852</v>
      </c>
    </row>
    <row r="23" spans="2:42" ht="16.5">
      <c r="B23" s="94" t="s">
        <v>64</v>
      </c>
      <c r="C23" s="120"/>
      <c r="D23" s="1764"/>
      <c r="F23" s="93"/>
      <c r="H23" s="68" t="e">
        <f t="shared" si="0"/>
        <v>#N/A</v>
      </c>
      <c r="I23" s="519"/>
      <c r="J23" s="520"/>
      <c r="K23" s="520"/>
      <c r="L23" s="520"/>
      <c r="M23" s="520"/>
      <c r="N23" s="520"/>
      <c r="O23" s="520"/>
      <c r="P23" s="520"/>
      <c r="Q23" s="521"/>
      <c r="R23" s="521"/>
      <c r="S23" s="521"/>
      <c r="T23" s="521"/>
      <c r="U23" s="520"/>
      <c r="V23" s="520"/>
      <c r="W23" s="68" t="e">
        <f>VLOOKUP(V23,DescontosTE[[#All],[idsreag supridora]:[codsariSUP]],2,FALSE)</f>
        <v>#N/A</v>
      </c>
      <c r="AA23" s="903" t="s">
        <v>1229</v>
      </c>
      <c r="AB23" s="904"/>
      <c r="AC23" s="903"/>
      <c r="AD23" s="903"/>
      <c r="AE23" s="904">
        <v>18574.720608072483</v>
      </c>
      <c r="AF23" s="903">
        <v>44713</v>
      </c>
      <c r="AG23" s="903">
        <v>139.94336527101675</v>
      </c>
      <c r="AI23" s="902" t="s">
        <v>2209</v>
      </c>
      <c r="AM23" s="902" t="s">
        <v>2213</v>
      </c>
    </row>
    <row r="24" spans="2:42" ht="16.5">
      <c r="B24" s="94" t="s">
        <v>65</v>
      </c>
      <c r="C24" s="120">
        <v>0</v>
      </c>
      <c r="D24" s="1764"/>
      <c r="F24" s="93"/>
      <c r="H24" s="68" t="e">
        <f t="shared" si="0"/>
        <v>#N/A</v>
      </c>
      <c r="I24" s="519"/>
      <c r="J24" s="520"/>
      <c r="K24" s="520"/>
      <c r="L24" s="520"/>
      <c r="M24" s="520"/>
      <c r="N24" s="520"/>
      <c r="O24" s="520"/>
      <c r="P24" s="520"/>
      <c r="Q24" s="521"/>
      <c r="R24" s="521"/>
      <c r="S24" s="521"/>
      <c r="T24" s="521"/>
      <c r="U24" s="520"/>
      <c r="V24" s="520"/>
      <c r="W24" s="68" t="e">
        <f>VLOOKUP(V24,DescontosTE[[#All],[idsreag supridora]:[codsariSUP]],2,FALSE)</f>
        <v>#N/A</v>
      </c>
      <c r="AI24" s="68" t="s">
        <v>2207</v>
      </c>
      <c r="AJ24" s="68" t="s">
        <v>2208</v>
      </c>
      <c r="AK24" s="68" t="s">
        <v>1531</v>
      </c>
      <c r="AM24" s="68" t="s">
        <v>2210</v>
      </c>
      <c r="AN24" s="68" t="s">
        <v>2211</v>
      </c>
      <c r="AO24" s="68" t="s">
        <v>2212</v>
      </c>
      <c r="AP24" s="68" t="s">
        <v>37</v>
      </c>
    </row>
    <row r="25" spans="2:42" ht="16.5">
      <c r="B25" s="94" t="s">
        <v>66</v>
      </c>
      <c r="C25" s="120">
        <v>11861164.6471947</v>
      </c>
      <c r="D25" s="1764"/>
      <c r="H25" s="68" t="e">
        <f t="shared" si="0"/>
        <v>#N/A</v>
      </c>
      <c r="I25" s="519"/>
      <c r="J25" s="520"/>
      <c r="K25" s="520"/>
      <c r="L25" s="520"/>
      <c r="M25" s="520"/>
      <c r="N25" s="520"/>
      <c r="O25" s="520"/>
      <c r="P25" s="520"/>
      <c r="Q25" s="521"/>
      <c r="R25" s="521"/>
      <c r="S25" s="521"/>
      <c r="T25" s="521"/>
      <c r="U25" s="520"/>
      <c r="V25" s="520"/>
      <c r="W25" s="68" t="e">
        <f>VLOOKUP(V25,DescontosTE[[#All],[idsreag supridora]:[codsariSUP]],2,FALSE)</f>
        <v>#N/A</v>
      </c>
      <c r="AD25" s="902"/>
      <c r="AE25" s="964"/>
      <c r="AF25" s="902"/>
      <c r="AG25" s="902"/>
      <c r="AI25" s="262" t="s">
        <v>2227</v>
      </c>
      <c r="AJ25" s="262" t="s">
        <v>41</v>
      </c>
      <c r="AK25" s="69">
        <v>-133227.622281452</v>
      </c>
      <c r="AM25" s="1581"/>
      <c r="AN25" s="1581"/>
      <c r="AO25" s="1581"/>
      <c r="AP25" s="1580"/>
    </row>
    <row r="26" spans="2:42" ht="16.5">
      <c r="B26" s="999" t="s">
        <v>67</v>
      </c>
      <c r="C26" s="1009">
        <v>46430708.479999997</v>
      </c>
      <c r="D26" s="1764"/>
      <c r="H26" s="68" t="e">
        <f t="shared" si="0"/>
        <v>#N/A</v>
      </c>
      <c r="I26" s="519"/>
      <c r="J26" s="520"/>
      <c r="K26" s="520"/>
      <c r="L26" s="520"/>
      <c r="M26" s="520"/>
      <c r="N26" s="520"/>
      <c r="O26" s="520"/>
      <c r="P26" s="520"/>
      <c r="Q26" s="521"/>
      <c r="R26" s="521"/>
      <c r="S26" s="521"/>
      <c r="T26" s="521"/>
      <c r="U26" s="520"/>
      <c r="V26" s="520"/>
      <c r="W26" s="68" t="e">
        <f>VLOOKUP(V26,DescontosTE[[#All],[idsreag supridora]:[codsariSUP]],2,FALSE)</f>
        <v>#N/A</v>
      </c>
      <c r="AA26" s="949" t="s">
        <v>2214</v>
      </c>
      <c r="AB26" s="949" t="s">
        <v>37</v>
      </c>
      <c r="AD26" s="902"/>
      <c r="AE26" s="964"/>
      <c r="AF26" s="902"/>
      <c r="AG26" s="902"/>
      <c r="AI26" s="262" t="s">
        <v>2227</v>
      </c>
      <c r="AJ26" s="262" t="s">
        <v>47</v>
      </c>
      <c r="AK26" s="69">
        <v>-18073.2880362463</v>
      </c>
      <c r="AM26" s="1581"/>
      <c r="AN26" s="1581"/>
      <c r="AO26" s="1581"/>
      <c r="AP26" s="1580"/>
    </row>
    <row r="27" spans="2:42" ht="16.5">
      <c r="C27" s="69"/>
      <c r="D27" s="1764"/>
      <c r="H27" s="68" t="e">
        <f t="shared" si="0"/>
        <v>#N/A</v>
      </c>
      <c r="I27" s="519"/>
      <c r="J27" s="520"/>
      <c r="K27" s="520"/>
      <c r="L27" s="520"/>
      <c r="M27" s="520"/>
      <c r="N27" s="520"/>
      <c r="O27" s="520"/>
      <c r="P27" s="520"/>
      <c r="Q27" s="521"/>
      <c r="R27" s="521"/>
      <c r="S27" s="521"/>
      <c r="T27" s="521"/>
      <c r="U27" s="520"/>
      <c r="V27" s="520"/>
      <c r="W27" s="68" t="e">
        <f>VLOOKUP(V27,DescontosTE[[#All],[idsreag supridora]:[codsariSUP]],2,FALSE)</f>
        <v>#N/A</v>
      </c>
      <c r="AA27" s="903" t="s">
        <v>2216</v>
      </c>
      <c r="AB27" s="904">
        <v>5546.3812799999996</v>
      </c>
      <c r="AI27" s="262" t="s">
        <v>2227</v>
      </c>
      <c r="AJ27" s="262" t="s">
        <v>40</v>
      </c>
      <c r="AK27" s="69">
        <v>-5077.8526034360202</v>
      </c>
      <c r="AM27" s="1581"/>
      <c r="AN27" s="1581"/>
      <c r="AO27" s="1581"/>
      <c r="AP27" s="1580"/>
    </row>
    <row r="28" spans="2:42" ht="16.5">
      <c r="B28" s="998" t="s">
        <v>68</v>
      </c>
      <c r="C28" s="1010"/>
      <c r="D28" s="1764"/>
      <c r="H28" s="68" t="e">
        <f t="shared" si="0"/>
        <v>#N/A</v>
      </c>
      <c r="I28" s="519"/>
      <c r="J28" s="520"/>
      <c r="K28" s="520"/>
      <c r="L28" s="520"/>
      <c r="M28" s="520"/>
      <c r="N28" s="520"/>
      <c r="O28" s="520"/>
      <c r="P28" s="520"/>
      <c r="Q28" s="521"/>
      <c r="R28" s="521"/>
      <c r="S28" s="521"/>
      <c r="T28" s="521"/>
      <c r="U28" s="520"/>
      <c r="V28" s="520"/>
      <c r="W28" s="68" t="e">
        <f>VLOOKUP(V28,DescontosTE[[#All],[idsreag supridora]:[codsariSUP]],2,FALSE)</f>
        <v>#N/A</v>
      </c>
      <c r="AA28" s="903" t="s">
        <v>2217</v>
      </c>
      <c r="AB28" s="904">
        <v>0</v>
      </c>
      <c r="AI28" s="262" t="s">
        <v>2228</v>
      </c>
      <c r="AJ28" s="262" t="s">
        <v>2229</v>
      </c>
      <c r="AK28" s="69">
        <v>3425163.6007491439</v>
      </c>
      <c r="AM28" s="1581"/>
      <c r="AN28" s="1581"/>
      <c r="AO28" s="1581"/>
      <c r="AP28" s="1580"/>
    </row>
    <row r="29" spans="2:42" ht="18" customHeight="1">
      <c r="D29" s="1764"/>
      <c r="H29" s="68" t="e">
        <f t="shared" si="0"/>
        <v>#N/A</v>
      </c>
      <c r="I29" s="519"/>
      <c r="J29" s="520"/>
      <c r="K29" s="520"/>
      <c r="L29" s="520"/>
      <c r="M29" s="520"/>
      <c r="N29" s="520"/>
      <c r="O29" s="520"/>
      <c r="P29" s="520"/>
      <c r="Q29" s="521"/>
      <c r="R29" s="521"/>
      <c r="S29" s="521"/>
      <c r="T29" s="521"/>
      <c r="U29" s="520"/>
      <c r="V29" s="520"/>
      <c r="W29" s="68" t="e">
        <f>VLOOKUP(V29,DescontosTE[[#All],[idsreag supridora]:[codsariSUP]],2,FALSE)</f>
        <v>#N/A</v>
      </c>
      <c r="AA29" s="903"/>
      <c r="AB29" s="904"/>
      <c r="AI29" s="262" t="s">
        <v>2230</v>
      </c>
      <c r="AJ29" s="262" t="s">
        <v>2231</v>
      </c>
      <c r="AK29" s="69">
        <v>388837.89121548104</v>
      </c>
      <c r="AM29" s="1581"/>
      <c r="AN29" s="1581"/>
      <c r="AO29" s="1581"/>
      <c r="AP29" s="1580"/>
    </row>
    <row r="30" spans="2:42" ht="16.5">
      <c r="B30" s="1011"/>
      <c r="C30" s="1012"/>
      <c r="D30" s="1764"/>
      <c r="H30" s="68" t="e">
        <f t="shared" si="0"/>
        <v>#N/A</v>
      </c>
      <c r="I30" s="519"/>
      <c r="J30" s="520"/>
      <c r="K30" s="520"/>
      <c r="L30" s="520"/>
      <c r="M30" s="520"/>
      <c r="N30" s="520"/>
      <c r="O30" s="520"/>
      <c r="P30" s="520"/>
      <c r="Q30" s="521"/>
      <c r="R30" s="521"/>
      <c r="S30" s="521"/>
      <c r="T30" s="521"/>
      <c r="U30" s="520"/>
      <c r="V30" s="520"/>
      <c r="W30" s="68" t="e">
        <f>VLOOKUP(V30,DescontosTE[[#All],[idsreag supridora]:[codsariSUP]],2,FALSE)</f>
        <v>#N/A</v>
      </c>
      <c r="AA30" s="903"/>
      <c r="AB30" s="904"/>
      <c r="AI30" s="262" t="s">
        <v>2230</v>
      </c>
      <c r="AJ30" s="262" t="s">
        <v>2312</v>
      </c>
      <c r="AK30" s="69">
        <v>109303.220658719</v>
      </c>
      <c r="AM30" s="1581"/>
      <c r="AN30" s="1581"/>
      <c r="AO30" s="1581"/>
      <c r="AP30" s="1580"/>
    </row>
    <row r="31" spans="2:42">
      <c r="B31" s="684" t="s">
        <v>69</v>
      </c>
      <c r="C31" s="685">
        <v>0.12089999999999999</v>
      </c>
      <c r="D31" s="1765"/>
      <c r="AI31" s="262" t="s">
        <v>2230</v>
      </c>
      <c r="AJ31" s="262" t="s">
        <v>2313</v>
      </c>
      <c r="AK31" s="69">
        <v>165657.61767792399</v>
      </c>
      <c r="AM31" s="1581"/>
      <c r="AN31" s="1581"/>
      <c r="AO31" s="1581"/>
      <c r="AP31" s="1580"/>
    </row>
    <row r="32" spans="2:42">
      <c r="B32" s="1013" t="s">
        <v>70</v>
      </c>
      <c r="C32" s="1014">
        <v>0.76946233409201359</v>
      </c>
      <c r="D32" s="90" t="s">
        <v>71</v>
      </c>
      <c r="AI32" s="262" t="s">
        <v>109</v>
      </c>
      <c r="AJ32" s="262"/>
      <c r="AK32" s="69">
        <v>-26047149.1836203</v>
      </c>
    </row>
    <row r="33" spans="1:37">
      <c r="D33" s="90"/>
      <c r="AI33" s="262" t="s">
        <v>2232</v>
      </c>
      <c r="AJ33" s="262" t="s">
        <v>1322</v>
      </c>
      <c r="AK33" s="69">
        <v>3021499.615706353</v>
      </c>
    </row>
    <row r="34" spans="1:37">
      <c r="B34" s="998"/>
      <c r="C34" s="1010"/>
      <c r="AI34" s="262"/>
      <c r="AJ34" s="262"/>
      <c r="AK34" s="69"/>
    </row>
    <row r="35" spans="1:37">
      <c r="B35" s="1011" t="s">
        <v>41</v>
      </c>
      <c r="C35" s="1015">
        <v>7167018.2937000003</v>
      </c>
      <c r="AI35" s="262"/>
      <c r="AJ35" s="262"/>
      <c r="AK35" s="69"/>
    </row>
    <row r="36" spans="1:37">
      <c r="B36" s="684" t="s">
        <v>47</v>
      </c>
      <c r="C36" s="88">
        <v>963037.47362000006</v>
      </c>
      <c r="AI36" s="262"/>
      <c r="AJ36" s="262"/>
      <c r="AK36" s="69"/>
    </row>
    <row r="37" spans="1:37">
      <c r="B37" s="1013" t="s">
        <v>40</v>
      </c>
      <c r="C37" s="1016">
        <v>227122.28934172067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13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17">
        <f>DATE(YEAR(B41),MONTH(B41),1)</f>
        <v>44409</v>
      </c>
      <c r="B41" s="1003">
        <v>44413</v>
      </c>
      <c r="C41" s="545">
        <v>0</v>
      </c>
      <c r="D41" s="9" t="b">
        <f ca="1">BD!E41&gt;=CAPA!$L$73</f>
        <v>0</v>
      </c>
      <c r="E41" s="235">
        <f>Indexador!L34</f>
        <v>0</v>
      </c>
      <c r="F41" s="492">
        <f>CAPA!B63</f>
        <v>44287</v>
      </c>
      <c r="AI41" s="262"/>
      <c r="AJ41" s="262"/>
      <c r="AK41" s="69"/>
    </row>
    <row r="42" spans="1:37" ht="16.5">
      <c r="A42" s="1017">
        <f t="shared" ref="A42:A57" si="1">DATE(YEAR(B42),MONTH(B42),1)</f>
        <v>44440</v>
      </c>
      <c r="B42" s="521">
        <v>44447</v>
      </c>
      <c r="C42" s="545">
        <v>0</v>
      </c>
      <c r="D42" s="9" t="b">
        <f ca="1">BD!E42&gt;=CAPA!$L$73</f>
        <v>0</v>
      </c>
      <c r="E42" s="235">
        <f>Indexador!L35</f>
        <v>0</v>
      </c>
      <c r="F42" s="492">
        <f>CAPA!B64</f>
        <v>44317</v>
      </c>
      <c r="I42" s="819" t="s">
        <v>20</v>
      </c>
      <c r="J42" s="819" t="s">
        <v>21</v>
      </c>
      <c r="K42" s="819"/>
      <c r="L42" s="819" t="s">
        <v>22</v>
      </c>
      <c r="M42" s="819" t="s">
        <v>23</v>
      </c>
      <c r="N42" s="819" t="s">
        <v>24</v>
      </c>
      <c r="O42" s="819" t="s">
        <v>25</v>
      </c>
      <c r="P42" s="819" t="s">
        <v>26</v>
      </c>
      <c r="Q42" s="819" t="s">
        <v>27</v>
      </c>
      <c r="R42" s="819" t="s">
        <v>28</v>
      </c>
      <c r="S42" s="820" t="s">
        <v>29</v>
      </c>
      <c r="T42" s="819" t="s">
        <v>30</v>
      </c>
      <c r="AI42" s="262"/>
      <c r="AJ42" s="262"/>
      <c r="AK42" s="69"/>
    </row>
    <row r="43" spans="1:37" ht="16.5">
      <c r="A43" s="1017">
        <f t="shared" si="1"/>
        <v>44470</v>
      </c>
      <c r="B43" s="521">
        <v>44476</v>
      </c>
      <c r="C43" s="545">
        <v>0</v>
      </c>
      <c r="D43" s="9" t="b">
        <f ca="1">BD!E43&gt;=CAPA!$L$73</f>
        <v>0</v>
      </c>
      <c r="E43" s="235">
        <f>Indexador!L36</f>
        <v>0</v>
      </c>
      <c r="F43" s="492">
        <f>CAPA!B65</f>
        <v>44348</v>
      </c>
      <c r="H43" s="68" t="str">
        <f>CONCATENATE(U43,J43)</f>
        <v>396A3</v>
      </c>
      <c r="I43" s="519">
        <v>2022</v>
      </c>
      <c r="J43" s="520" t="s">
        <v>599</v>
      </c>
      <c r="K43" s="520" t="s">
        <v>2316</v>
      </c>
      <c r="L43" s="520" t="s">
        <v>1322</v>
      </c>
      <c r="M43" s="520" t="s">
        <v>438</v>
      </c>
      <c r="N43" s="520">
        <v>2381</v>
      </c>
      <c r="O43" s="521">
        <v>44734</v>
      </c>
      <c r="P43" s="521">
        <v>44732</v>
      </c>
      <c r="Q43" s="521" t="s">
        <v>2314</v>
      </c>
      <c r="R43" s="521" t="s">
        <v>2315</v>
      </c>
      <c r="S43" s="520">
        <v>273.92</v>
      </c>
      <c r="T43" s="520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17">
        <f t="shared" si="1"/>
        <v>44501</v>
      </c>
      <c r="B44" s="521">
        <v>44509</v>
      </c>
      <c r="C44" s="545">
        <v>0</v>
      </c>
      <c r="D44" s="9" t="b">
        <f ca="1">BD!E44&gt;=CAPA!$L$73</f>
        <v>0</v>
      </c>
      <c r="E44" s="235">
        <f>Indexador!L37</f>
        <v>0</v>
      </c>
      <c r="F44" s="492">
        <f>CAPA!B66</f>
        <v>44378</v>
      </c>
      <c r="H44" s="68" t="str">
        <f t="shared" ref="H44:H59" si="2">CONCATENATE(U44,J44)</f>
        <v>396A4</v>
      </c>
      <c r="I44" s="519">
        <v>2022</v>
      </c>
      <c r="J44" s="520" t="s">
        <v>597</v>
      </c>
      <c r="K44" s="520" t="s">
        <v>2316</v>
      </c>
      <c r="L44" s="520" t="s">
        <v>1322</v>
      </c>
      <c r="M44" s="520" t="s">
        <v>438</v>
      </c>
      <c r="N44" s="520">
        <v>2381</v>
      </c>
      <c r="O44" s="521">
        <v>44734</v>
      </c>
      <c r="P44" s="521">
        <v>44732</v>
      </c>
      <c r="Q44" s="521" t="s">
        <v>2314</v>
      </c>
      <c r="R44" s="521" t="s">
        <v>2315</v>
      </c>
      <c r="S44" s="520">
        <v>273.92</v>
      </c>
      <c r="T44" s="520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17">
        <f t="shared" si="1"/>
        <v>44531</v>
      </c>
      <c r="B45" s="521">
        <v>44538</v>
      </c>
      <c r="C45" s="545">
        <v>0</v>
      </c>
      <c r="D45" s="9" t="b">
        <f ca="1">BD!E45&gt;=CAPA!$L$73</f>
        <v>0</v>
      </c>
      <c r="E45" s="235">
        <f>Indexador!L38</f>
        <v>0</v>
      </c>
      <c r="F45" s="492">
        <f>CAPA!B67</f>
        <v>44409</v>
      </c>
      <c r="H45" s="68" t="e">
        <f t="shared" si="2"/>
        <v>#N/A</v>
      </c>
      <c r="I45" s="519"/>
      <c r="J45" s="520"/>
      <c r="K45" s="520"/>
      <c r="L45" s="520"/>
      <c r="M45" s="520"/>
      <c r="N45" s="520"/>
      <c r="O45" s="521"/>
      <c r="P45" s="521"/>
      <c r="Q45" s="521"/>
      <c r="R45" s="521"/>
      <c r="S45" s="520"/>
      <c r="T45" s="520"/>
      <c r="U45" s="68" t="e">
        <f>VLOOKUP(T45,DescontosTE[[#All],[idsreag supridora]:[codsariSUP]],2,FALSE)</f>
        <v>#N/A</v>
      </c>
      <c r="AI45" s="262"/>
      <c r="AJ45" s="262"/>
      <c r="AK45" s="69"/>
    </row>
    <row r="46" spans="1:37" ht="16.5">
      <c r="A46" s="1017">
        <f t="shared" si="1"/>
        <v>44562</v>
      </c>
      <c r="B46" s="521">
        <v>44566</v>
      </c>
      <c r="C46" s="545">
        <v>0</v>
      </c>
      <c r="D46" s="9" t="b">
        <f ca="1">BD!E46&gt;=CAPA!$L$73</f>
        <v>0</v>
      </c>
      <c r="E46" s="235">
        <f>Indexador!L39</f>
        <v>0</v>
      </c>
      <c r="F46" s="492">
        <f>CAPA!B68</f>
        <v>44440</v>
      </c>
      <c r="H46" s="68" t="e">
        <f t="shared" si="2"/>
        <v>#N/A</v>
      </c>
      <c r="I46" s="519"/>
      <c r="J46" s="520"/>
      <c r="K46" s="520"/>
      <c r="L46" s="520"/>
      <c r="M46" s="520"/>
      <c r="N46" s="520"/>
      <c r="O46" s="521"/>
      <c r="P46" s="521"/>
      <c r="Q46" s="521"/>
      <c r="R46" s="521"/>
      <c r="S46" s="520"/>
      <c r="T46" s="520"/>
      <c r="U46" s="68" t="e">
        <f>VLOOKUP(T46,DescontosTE[[#All],[idsreag supridora]:[codsariSUP]],2,FALSE)</f>
        <v>#N/A</v>
      </c>
    </row>
    <row r="47" spans="1:37" ht="16.5">
      <c r="A47" s="1017">
        <f t="shared" si="1"/>
        <v>44593</v>
      </c>
      <c r="B47" s="521">
        <v>44599</v>
      </c>
      <c r="C47" s="545">
        <v>0</v>
      </c>
      <c r="D47" s="9" t="b">
        <f ca="1">BD!E47&gt;=CAPA!$L$73</f>
        <v>0</v>
      </c>
      <c r="E47" s="235">
        <f>Indexador!L40</f>
        <v>0</v>
      </c>
      <c r="F47" s="492">
        <f>CAPA!B69</f>
        <v>44470</v>
      </c>
      <c r="H47" s="68" t="e">
        <f t="shared" si="2"/>
        <v>#N/A</v>
      </c>
      <c r="I47" s="519"/>
      <c r="J47" s="520"/>
      <c r="K47" s="520"/>
      <c r="L47" s="520"/>
      <c r="M47" s="520"/>
      <c r="N47" s="520"/>
      <c r="O47" s="521"/>
      <c r="P47" s="521"/>
      <c r="Q47" s="521"/>
      <c r="R47" s="521"/>
      <c r="S47" s="520"/>
      <c r="T47" s="520"/>
      <c r="U47" s="68" t="e">
        <f>VLOOKUP(T47,DescontosTE[[#All],[idsreag supridora]:[codsariSUP]],2,FALSE)</f>
        <v>#N/A</v>
      </c>
    </row>
    <row r="48" spans="1:37" ht="16.5">
      <c r="A48" s="1017">
        <f t="shared" si="1"/>
        <v>44621</v>
      </c>
      <c r="B48" s="521">
        <v>44629</v>
      </c>
      <c r="C48" s="545">
        <v>0</v>
      </c>
      <c r="D48" s="9" t="b">
        <f ca="1">BD!E48&gt;=CAPA!$L$73</f>
        <v>0</v>
      </c>
      <c r="E48" s="235">
        <f>Indexador!L41</f>
        <v>0</v>
      </c>
      <c r="F48" s="492">
        <f>CAPA!B70</f>
        <v>44501</v>
      </c>
      <c r="H48" s="68" t="e">
        <f t="shared" si="2"/>
        <v>#N/A</v>
      </c>
      <c r="I48" s="519"/>
      <c r="J48" s="520"/>
      <c r="K48" s="520"/>
      <c r="L48" s="520"/>
      <c r="M48" s="520"/>
      <c r="N48" s="520"/>
      <c r="O48" s="521"/>
      <c r="P48" s="521"/>
      <c r="Q48" s="521"/>
      <c r="R48" s="521"/>
      <c r="S48" s="520"/>
      <c r="T48" s="520"/>
      <c r="U48" s="68" t="e">
        <f>VLOOKUP(T48,DescontosTE[[#All],[idsreag supridora]:[codsariSUP]],2,FALSE)</f>
        <v>#N/A</v>
      </c>
    </row>
    <row r="49" spans="1:21" ht="16.5">
      <c r="A49" s="1017">
        <f t="shared" si="1"/>
        <v>44652</v>
      </c>
      <c r="B49" s="521">
        <v>44657</v>
      </c>
      <c r="C49" s="545">
        <v>0</v>
      </c>
      <c r="D49" s="9" t="b">
        <f ca="1">BD!E49&gt;=CAPA!$L$73</f>
        <v>0</v>
      </c>
      <c r="E49" s="235">
        <f>Indexador!L42</f>
        <v>0</v>
      </c>
      <c r="F49" s="492">
        <f>CAPA!B71</f>
        <v>44531</v>
      </c>
      <c r="H49" s="68" t="e">
        <f t="shared" si="2"/>
        <v>#N/A</v>
      </c>
      <c r="I49" s="519"/>
      <c r="J49" s="520"/>
      <c r="K49" s="520"/>
      <c r="L49" s="520"/>
      <c r="M49" s="520"/>
      <c r="N49" s="520"/>
      <c r="O49" s="520"/>
      <c r="P49" s="520"/>
      <c r="Q49" s="521"/>
      <c r="R49" s="521"/>
      <c r="S49" s="521"/>
      <c r="T49" s="520"/>
      <c r="U49" s="68" t="e">
        <f>VLOOKUP(T49,DescontosTE[[#All],[idsreag supridora]:[codsariSUP]],2,FALSE)</f>
        <v>#N/A</v>
      </c>
    </row>
    <row r="50" spans="1:21" ht="16.5">
      <c r="A50" s="1017">
        <f t="shared" si="1"/>
        <v>44682</v>
      </c>
      <c r="B50" s="521">
        <v>44691</v>
      </c>
      <c r="C50" s="545">
        <v>0</v>
      </c>
      <c r="D50" s="9" t="b">
        <f ca="1">BD!E50&gt;=CAPA!$L$73</f>
        <v>0</v>
      </c>
      <c r="E50" s="235">
        <f>Indexador!L43</f>
        <v>0</v>
      </c>
      <c r="F50" s="492">
        <f>CAPA!B72</f>
        <v>44562</v>
      </c>
      <c r="H50" s="68" t="e">
        <f t="shared" si="2"/>
        <v>#N/A</v>
      </c>
      <c r="I50" s="519"/>
      <c r="J50" s="520"/>
      <c r="K50" s="520"/>
      <c r="L50" s="520"/>
      <c r="M50" s="520"/>
      <c r="N50" s="520"/>
      <c r="O50" s="520"/>
      <c r="P50" s="520"/>
      <c r="Q50" s="521"/>
      <c r="R50" s="521"/>
      <c r="S50" s="521"/>
      <c r="T50" s="520"/>
      <c r="U50" s="68" t="e">
        <f>VLOOKUP(T50,DescontosTE[[#All],[idsreag supridora]:[codsariSUP]],2,FALSE)</f>
        <v>#N/A</v>
      </c>
    </row>
    <row r="51" spans="1:21" ht="16.5">
      <c r="A51" s="1017">
        <f t="shared" si="1"/>
        <v>44713</v>
      </c>
      <c r="B51" s="521">
        <v>44718</v>
      </c>
      <c r="C51" s="545">
        <v>640347.94900000002</v>
      </c>
      <c r="D51" s="9" t="b">
        <f ca="1">BD!E51&gt;=CAPA!$L$73</f>
        <v>0</v>
      </c>
      <c r="E51" s="235">
        <f>Indexador!L44</f>
        <v>0</v>
      </c>
      <c r="F51" s="492">
        <f>CAPA!B73</f>
        <v>44593</v>
      </c>
      <c r="H51" s="68" t="e">
        <f t="shared" si="2"/>
        <v>#N/A</v>
      </c>
      <c r="I51" s="519"/>
      <c r="J51" s="520"/>
      <c r="K51" s="520"/>
      <c r="L51" s="520"/>
      <c r="M51" s="520"/>
      <c r="N51" s="520"/>
      <c r="O51" s="520"/>
      <c r="P51" s="520"/>
      <c r="Q51" s="521"/>
      <c r="R51" s="521"/>
      <c r="S51" s="521"/>
      <c r="T51" s="520"/>
      <c r="U51" s="68" t="e">
        <f>VLOOKUP(T51,DescontosTE[[#All],[idsreag supridora]:[codsariSUP]],2,FALSE)</f>
        <v>#N/A</v>
      </c>
    </row>
    <row r="52" spans="1:21" ht="16.5">
      <c r="A52" s="1017">
        <f t="shared" si="1"/>
        <v>44743</v>
      </c>
      <c r="B52" s="521">
        <v>44749</v>
      </c>
      <c r="C52" s="545">
        <v>10413.555</v>
      </c>
      <c r="D52" s="9" t="b">
        <f ca="1">BD!E52&gt;=CAPA!$L$73</f>
        <v>0</v>
      </c>
      <c r="E52" s="235">
        <f>Indexador!L45</f>
        <v>0</v>
      </c>
      <c r="F52" s="492">
        <f>CAPA!B74</f>
        <v>44621</v>
      </c>
      <c r="H52" s="68" t="e">
        <f t="shared" si="2"/>
        <v>#N/A</v>
      </c>
      <c r="I52" s="519"/>
      <c r="J52" s="520"/>
      <c r="K52" s="520"/>
      <c r="L52" s="520"/>
      <c r="M52" s="520"/>
      <c r="N52" s="520"/>
      <c r="O52" s="520"/>
      <c r="P52" s="520"/>
      <c r="Q52" s="521"/>
      <c r="R52" s="521"/>
      <c r="S52" s="521"/>
      <c r="T52" s="520"/>
      <c r="U52" s="68" t="e">
        <f>VLOOKUP(T52,DescontosTE[[#All],[idsreag supridora]:[codsariSUP]],2,FALSE)</f>
        <v>#N/A</v>
      </c>
    </row>
    <row r="53" spans="1:21" ht="16.5">
      <c r="A53" s="1017">
        <f t="shared" si="1"/>
        <v>1</v>
      </c>
      <c r="B53" s="521"/>
      <c r="C53" s="545"/>
      <c r="D53" s="9" t="b">
        <f ca="1">BD!E53&gt;=CAPA!$L$73</f>
        <v>0</v>
      </c>
      <c r="E53" s="235">
        <f>Indexador!L46</f>
        <v>0</v>
      </c>
      <c r="F53" s="492">
        <f>CAPA!B75</f>
        <v>44652</v>
      </c>
      <c r="H53" s="68" t="e">
        <f t="shared" si="2"/>
        <v>#N/A</v>
      </c>
      <c r="I53" s="519"/>
      <c r="J53" s="520"/>
      <c r="K53" s="520"/>
      <c r="L53" s="520"/>
      <c r="M53" s="520"/>
      <c r="N53" s="520"/>
      <c r="O53" s="520"/>
      <c r="P53" s="520"/>
      <c r="Q53" s="521"/>
      <c r="R53" s="521"/>
      <c r="S53" s="521"/>
      <c r="T53" s="520"/>
      <c r="U53" s="68" t="e">
        <f>VLOOKUP(T53,DescontosTE[[#All],[idsreag supridora]:[codsariSUP]],2,FALSE)</f>
        <v>#N/A</v>
      </c>
    </row>
    <row r="54" spans="1:21" ht="16.5">
      <c r="A54" s="1017">
        <f t="shared" si="1"/>
        <v>1</v>
      </c>
      <c r="B54" s="521"/>
      <c r="C54" s="545"/>
      <c r="D54" s="9" t="b">
        <f ca="1">BD!E54&gt;=CAPA!$L$73</f>
        <v>0</v>
      </c>
      <c r="E54" s="235">
        <f>Indexador!L47</f>
        <v>0</v>
      </c>
      <c r="F54" s="492">
        <f>CAPA!B76</f>
        <v>44682</v>
      </c>
      <c r="H54" s="68" t="e">
        <f t="shared" si="2"/>
        <v>#N/A</v>
      </c>
      <c r="I54" s="519"/>
      <c r="J54" s="520"/>
      <c r="K54" s="520"/>
      <c r="L54" s="520"/>
      <c r="M54" s="520"/>
      <c r="N54" s="520"/>
      <c r="O54" s="520"/>
      <c r="P54" s="520"/>
      <c r="Q54" s="521"/>
      <c r="R54" s="521"/>
      <c r="S54" s="521"/>
      <c r="T54" s="520"/>
      <c r="U54" s="68" t="e">
        <f>VLOOKUP(T54,DescontosTE[[#All],[idsreag supridora]:[codsariSUP]],2,FALSE)</f>
        <v>#N/A</v>
      </c>
    </row>
    <row r="55" spans="1:21" ht="16.5">
      <c r="A55" s="1017">
        <f t="shared" si="1"/>
        <v>1</v>
      </c>
      <c r="B55" s="521"/>
      <c r="C55" s="545"/>
      <c r="D55" s="9" t="b">
        <f ca="1">BD!E55&gt;=CAPA!$L$73</f>
        <v>0</v>
      </c>
      <c r="E55" s="235">
        <f>Indexador!L48</f>
        <v>0</v>
      </c>
      <c r="F55" s="492">
        <f>CAPA!B77</f>
        <v>44713</v>
      </c>
      <c r="H55" s="68" t="e">
        <f t="shared" si="2"/>
        <v>#N/A</v>
      </c>
      <c r="I55" s="519"/>
      <c r="J55" s="520"/>
      <c r="K55" s="520"/>
      <c r="L55" s="520"/>
      <c r="M55" s="520"/>
      <c r="N55" s="520"/>
      <c r="O55" s="520"/>
      <c r="P55" s="520"/>
      <c r="Q55" s="521"/>
      <c r="R55" s="521"/>
      <c r="S55" s="521"/>
      <c r="T55" s="520"/>
      <c r="U55" s="68" t="e">
        <f>VLOOKUP(T55,DescontosTE[[#All],[idsreag supridora]:[codsariSUP]],2,FALSE)</f>
        <v>#N/A</v>
      </c>
    </row>
    <row r="56" spans="1:21" ht="16.5">
      <c r="A56" s="1017">
        <f t="shared" si="1"/>
        <v>1</v>
      </c>
      <c r="B56" s="521"/>
      <c r="C56" s="545"/>
      <c r="D56" s="9"/>
      <c r="E56" s="235"/>
      <c r="F56" s="492"/>
      <c r="H56" s="68" t="e">
        <f t="shared" si="2"/>
        <v>#N/A</v>
      </c>
      <c r="I56" s="519"/>
      <c r="J56" s="520"/>
      <c r="K56" s="520"/>
      <c r="L56" s="520"/>
      <c r="M56" s="520"/>
      <c r="N56" s="520"/>
      <c r="O56" s="520"/>
      <c r="P56" s="520"/>
      <c r="Q56" s="521"/>
      <c r="R56" s="521"/>
      <c r="S56" s="521"/>
      <c r="T56" s="520"/>
      <c r="U56" s="68" t="e">
        <f>VLOOKUP(T56,DescontosTE[[#All],[idsreag supridora]:[codsariSUP]],2,FALSE)</f>
        <v>#N/A</v>
      </c>
    </row>
    <row r="57" spans="1:21" ht="16.5">
      <c r="A57" s="1017">
        <f t="shared" si="1"/>
        <v>1</v>
      </c>
      <c r="B57" s="1018"/>
      <c r="C57" s="858"/>
      <c r="D57" s="17"/>
      <c r="H57" s="68" t="e">
        <f t="shared" si="2"/>
        <v>#N/A</v>
      </c>
      <c r="I57" s="519"/>
      <c r="J57" s="520"/>
      <c r="K57" s="520"/>
      <c r="L57" s="520"/>
      <c r="M57" s="520"/>
      <c r="N57" s="520"/>
      <c r="O57" s="520"/>
      <c r="P57" s="520"/>
      <c r="Q57" s="521"/>
      <c r="R57" s="521"/>
      <c r="S57" s="521"/>
      <c r="T57" s="520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9"/>
      <c r="J58" s="520"/>
      <c r="K58" s="520"/>
      <c r="L58" s="520"/>
      <c r="M58" s="520"/>
      <c r="N58" s="520"/>
      <c r="O58" s="520"/>
      <c r="P58" s="520"/>
      <c r="Q58" s="521"/>
      <c r="R58" s="521"/>
      <c r="S58" s="521"/>
      <c r="T58" s="520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19"/>
      <c r="J59" s="1020"/>
      <c r="K59" s="1020"/>
      <c r="L59" s="1020"/>
      <c r="M59" s="1020"/>
      <c r="N59" s="1020"/>
      <c r="O59" s="1020"/>
      <c r="P59" s="1020"/>
      <c r="Q59" s="1018"/>
      <c r="R59" s="1018"/>
      <c r="S59" s="1018"/>
      <c r="T59" s="1020"/>
      <c r="U59" s="68" t="e">
        <f>VLOOKUP(T59,DescontosTE[[#All],[idsreag supridora]:[codsariSUP]],2,FALSE)</f>
        <v>#N/A</v>
      </c>
    </row>
    <row r="60" spans="1:21">
      <c r="B60" s="1013" t="s">
        <v>75</v>
      </c>
      <c r="C60" s="72"/>
    </row>
    <row r="61" spans="1:21" ht="16.5">
      <c r="B61" s="1021" t="s">
        <v>774</v>
      </c>
      <c r="C61" s="859">
        <v>18115.7</v>
      </c>
      <c r="D61" s="68">
        <v>0</v>
      </c>
    </row>
    <row r="62" spans="1:21" ht="16.5">
      <c r="B62" s="721" t="s">
        <v>776</v>
      </c>
      <c r="C62" s="545">
        <v>0</v>
      </c>
      <c r="D62" s="69">
        <v>0</v>
      </c>
    </row>
    <row r="63" spans="1:21" ht="16.5">
      <c r="B63" s="721" t="s">
        <v>778</v>
      </c>
      <c r="C63" s="545">
        <v>0</v>
      </c>
      <c r="D63" s="69">
        <v>0</v>
      </c>
    </row>
    <row r="64" spans="1:21" ht="16.5">
      <c r="B64" s="721" t="s">
        <v>779</v>
      </c>
      <c r="C64" s="545">
        <v>3040.69</v>
      </c>
      <c r="D64" s="69">
        <v>0</v>
      </c>
    </row>
    <row r="65" spans="2:4" ht="16.5">
      <c r="B65" s="721" t="s">
        <v>782</v>
      </c>
      <c r="C65" s="545">
        <v>375951.26</v>
      </c>
      <c r="D65" s="69">
        <v>0</v>
      </c>
    </row>
    <row r="66" spans="2:4" ht="16.5">
      <c r="B66" s="1022" t="s">
        <v>784</v>
      </c>
      <c r="C66" s="858">
        <v>329956.06</v>
      </c>
      <c r="D66" s="69">
        <v>0</v>
      </c>
    </row>
    <row r="70" spans="2:4">
      <c r="B70" s="949" t="s">
        <v>72</v>
      </c>
      <c r="C70" s="949" t="s">
        <v>37</v>
      </c>
      <c r="D70" s="949" t="s">
        <v>73</v>
      </c>
    </row>
    <row r="71" spans="2:4">
      <c r="B71" s="903" t="s">
        <v>49</v>
      </c>
      <c r="C71" s="1579"/>
      <c r="D71" s="904"/>
    </row>
    <row r="72" spans="2:4">
      <c r="B72" s="903" t="s">
        <v>845</v>
      </c>
      <c r="C72" s="1579">
        <v>4828360.833005284</v>
      </c>
      <c r="D72" s="904" t="s">
        <v>2201</v>
      </c>
    </row>
    <row r="73" spans="2:4">
      <c r="B73" s="903" t="s">
        <v>2178</v>
      </c>
      <c r="C73" s="1579">
        <v>4744058.7493197145</v>
      </c>
      <c r="D73" s="904" t="s">
        <v>2201</v>
      </c>
    </row>
    <row r="74" spans="2:4">
      <c r="B74" s="903" t="s">
        <v>2218</v>
      </c>
      <c r="C74" s="1579">
        <v>-1979999.9999999998</v>
      </c>
      <c r="D74" s="904" t="s">
        <v>2219</v>
      </c>
    </row>
    <row r="75" spans="2:4">
      <c r="B75" s="903" t="s">
        <v>2220</v>
      </c>
      <c r="C75" s="1579"/>
      <c r="D75" s="904"/>
    </row>
    <row r="76" spans="2:4">
      <c r="B76" s="903" t="s">
        <v>2221</v>
      </c>
      <c r="C76" s="1579"/>
      <c r="D76" s="904"/>
    </row>
    <row r="77" spans="2:4">
      <c r="B77" s="903" t="s">
        <v>2222</v>
      </c>
      <c r="C77" s="1579"/>
      <c r="D77" s="904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D11" sqref="D11"/>
    </sheetView>
  </sheetViews>
  <sheetFormatPr defaultRowHeight="15.75"/>
  <cols>
    <col min="2" max="2" width="25.85546875" bestFit="1" customWidth="1"/>
    <col min="4" max="4" width="12.28515625" bestFit="1" customWidth="1"/>
    <col min="5" max="5" width="19.140625" bestFit="1" customWidth="1"/>
    <col min="6" max="7" width="14.7109375" bestFit="1" customWidth="1"/>
    <col min="8" max="8" width="13.7109375" bestFit="1" customWidth="1"/>
  </cols>
  <sheetData>
    <row r="2" spans="2:20">
      <c r="B2" s="379" t="s">
        <v>76</v>
      </c>
      <c r="C2" s="379" t="s">
        <v>77</v>
      </c>
      <c r="D2" s="379" t="s">
        <v>78</v>
      </c>
      <c r="E2" s="379" t="s">
        <v>79</v>
      </c>
      <c r="F2" s="379" t="s">
        <v>80</v>
      </c>
      <c r="G2" s="379" t="s">
        <v>81</v>
      </c>
      <c r="H2" s="379" t="s">
        <v>82</v>
      </c>
      <c r="I2" s="379" t="s">
        <v>83</v>
      </c>
      <c r="J2" s="379" t="s">
        <v>84</v>
      </c>
      <c r="K2" s="379" t="s">
        <v>85</v>
      </c>
      <c r="L2" s="379" t="s">
        <v>86</v>
      </c>
      <c r="M2" s="379" t="s">
        <v>87</v>
      </c>
      <c r="N2" s="379" t="s">
        <v>88</v>
      </c>
      <c r="O2" s="379" t="s">
        <v>89</v>
      </c>
      <c r="P2" s="379" t="s">
        <v>90</v>
      </c>
      <c r="Q2" s="379" t="s">
        <v>91</v>
      </c>
      <c r="R2" s="379" t="s">
        <v>92</v>
      </c>
      <c r="S2" s="379" t="s">
        <v>93</v>
      </c>
      <c r="T2" s="379" t="s">
        <v>94</v>
      </c>
    </row>
    <row r="3" spans="2:20">
      <c r="B3" s="380" t="s">
        <v>2325</v>
      </c>
      <c r="C3" s="380" t="s">
        <v>2326</v>
      </c>
      <c r="D3" s="380" t="s">
        <v>973</v>
      </c>
      <c r="E3" s="380"/>
      <c r="F3" s="380">
        <v>6347</v>
      </c>
      <c r="G3" s="380"/>
      <c r="H3" s="380">
        <v>9749</v>
      </c>
      <c r="I3" s="380">
        <v>0</v>
      </c>
      <c r="J3" s="380">
        <v>0</v>
      </c>
      <c r="K3" s="380">
        <v>0</v>
      </c>
      <c r="L3" s="380">
        <v>0</v>
      </c>
      <c r="M3" s="380">
        <v>0</v>
      </c>
      <c r="N3" s="380">
        <v>3</v>
      </c>
      <c r="O3" s="380">
        <v>3</v>
      </c>
      <c r="P3" s="380">
        <v>3</v>
      </c>
      <c r="Q3" s="380">
        <v>3</v>
      </c>
      <c r="R3" s="380">
        <v>3</v>
      </c>
      <c r="S3" s="380">
        <v>3</v>
      </c>
      <c r="T3" s="380">
        <v>3</v>
      </c>
    </row>
    <row r="4" spans="2:20">
      <c r="B4" s="380" t="s">
        <v>2327</v>
      </c>
      <c r="C4" s="380" t="s">
        <v>2328</v>
      </c>
      <c r="D4" s="380" t="s">
        <v>973</v>
      </c>
      <c r="E4" s="1632"/>
      <c r="F4" s="380">
        <v>6233</v>
      </c>
      <c r="G4" s="380"/>
      <c r="H4" s="380">
        <v>2717</v>
      </c>
      <c r="I4" s="380">
        <v>9.6959999999999997</v>
      </c>
      <c r="J4" s="380">
        <v>9.6959999999999997</v>
      </c>
      <c r="K4" s="380">
        <v>9.6959999999999997</v>
      </c>
      <c r="L4" s="380">
        <v>9.6959999999999997</v>
      </c>
      <c r="M4" s="380">
        <v>9.6959999999999997</v>
      </c>
      <c r="N4" s="380">
        <v>9.6959999999999997</v>
      </c>
      <c r="O4" s="380">
        <v>9.6959999999999997</v>
      </c>
      <c r="P4" s="380">
        <v>9.6959999999999997</v>
      </c>
      <c r="Q4" s="380">
        <v>9.6959999999999997</v>
      </c>
      <c r="R4" s="380">
        <v>9.6959999999999997</v>
      </c>
      <c r="S4" s="380">
        <v>9.6959999999999997</v>
      </c>
      <c r="T4" s="380">
        <v>9.6959999999999997</v>
      </c>
    </row>
    <row r="5" spans="2:20">
      <c r="B5" s="380" t="s">
        <v>2325</v>
      </c>
      <c r="C5" s="380" t="s">
        <v>2326</v>
      </c>
      <c r="D5" s="380" t="s">
        <v>1320</v>
      </c>
      <c r="E5" s="380"/>
      <c r="F5" s="380">
        <v>6811</v>
      </c>
      <c r="G5" s="380"/>
      <c r="H5" s="380">
        <v>9749</v>
      </c>
      <c r="I5" s="380">
        <v>0</v>
      </c>
      <c r="J5" s="380">
        <v>0</v>
      </c>
      <c r="K5" s="380">
        <v>0</v>
      </c>
      <c r="L5" s="380">
        <v>0</v>
      </c>
      <c r="M5" s="380">
        <v>0</v>
      </c>
      <c r="N5" s="380">
        <v>5</v>
      </c>
      <c r="O5" s="380">
        <v>6.25</v>
      </c>
      <c r="P5" s="380">
        <v>6.25</v>
      </c>
      <c r="Q5" s="380">
        <v>6.25</v>
      </c>
      <c r="R5" s="380">
        <v>6.25</v>
      </c>
      <c r="S5" s="380">
        <v>6.25</v>
      </c>
      <c r="T5" s="380">
        <v>6.25</v>
      </c>
    </row>
    <row r="6" spans="2:20">
      <c r="B6" s="380" t="s">
        <v>2327</v>
      </c>
      <c r="C6" s="380" t="s">
        <v>2328</v>
      </c>
      <c r="D6" s="380" t="s">
        <v>1320</v>
      </c>
      <c r="E6" s="1632"/>
      <c r="F6" s="380">
        <v>6729</v>
      </c>
      <c r="G6" s="380"/>
      <c r="H6" s="380">
        <v>2717</v>
      </c>
      <c r="I6" s="380">
        <v>13.3</v>
      </c>
      <c r="J6" s="380">
        <v>13.3</v>
      </c>
      <c r="K6" s="380">
        <v>13.3</v>
      </c>
      <c r="L6" s="380">
        <v>13.3</v>
      </c>
      <c r="M6" s="380">
        <v>13.3</v>
      </c>
      <c r="N6" s="380">
        <v>13.3</v>
      </c>
      <c r="O6" s="380">
        <v>13.8</v>
      </c>
      <c r="P6" s="380">
        <v>13.8</v>
      </c>
      <c r="Q6" s="380">
        <v>13.8</v>
      </c>
      <c r="R6" s="380">
        <v>13.8</v>
      </c>
      <c r="S6" s="380">
        <v>13.8</v>
      </c>
      <c r="T6" s="380">
        <v>13.8</v>
      </c>
    </row>
    <row r="7" spans="2:20">
      <c r="B7" s="380"/>
      <c r="C7" s="380"/>
      <c r="D7" s="380"/>
      <c r="E7" s="380"/>
      <c r="F7" s="380"/>
      <c r="G7" s="380"/>
      <c r="H7" s="380"/>
      <c r="I7" s="380"/>
      <c r="J7" s="380"/>
      <c r="K7" s="380"/>
      <c r="L7" s="380"/>
      <c r="M7" s="380"/>
      <c r="N7" s="380"/>
      <c r="O7" s="380"/>
      <c r="P7" s="380"/>
      <c r="Q7" s="380"/>
      <c r="R7" s="380"/>
      <c r="S7" s="380"/>
      <c r="T7" s="380"/>
    </row>
    <row r="8" spans="2:20"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0"/>
      <c r="M8" s="380"/>
      <c r="N8" s="380"/>
      <c r="O8" s="380"/>
      <c r="P8" s="380"/>
      <c r="Q8" s="380"/>
      <c r="R8" s="380"/>
      <c r="S8" s="380"/>
      <c r="T8" s="380"/>
    </row>
    <row r="9" spans="2:20">
      <c r="B9" s="380"/>
      <c r="C9" s="380"/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/>
      <c r="P9" s="380"/>
      <c r="Q9" s="380"/>
      <c r="R9" s="380"/>
      <c r="S9" s="380"/>
      <c r="T9" s="380"/>
    </row>
    <row r="10" spans="2:20">
      <c r="B10" s="380"/>
      <c r="C10" s="380"/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/>
      <c r="P10" s="380"/>
      <c r="Q10" s="380"/>
      <c r="R10" s="380"/>
      <c r="S10" s="380"/>
      <c r="T10" s="380"/>
    </row>
    <row r="11" spans="2:20">
      <c r="B11" s="380"/>
      <c r="C11" s="380"/>
      <c r="D11" s="380"/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/>
      <c r="Q11" s="380"/>
      <c r="R11" s="380"/>
      <c r="S11" s="380"/>
      <c r="T11" s="380"/>
    </row>
    <row r="12" spans="2:20">
      <c r="B12" s="380"/>
      <c r="C12" s="380"/>
      <c r="D12" s="380"/>
      <c r="E12" s="380"/>
      <c r="F12" s="380"/>
      <c r="G12" s="380"/>
      <c r="H12" s="380"/>
      <c r="I12" s="380"/>
      <c r="J12" s="380"/>
      <c r="K12" s="380"/>
      <c r="L12" s="380"/>
      <c r="M12" s="380"/>
      <c r="N12" s="380"/>
      <c r="O12" s="380"/>
      <c r="P12" s="380"/>
      <c r="Q12" s="380"/>
      <c r="R12" s="380"/>
      <c r="S12" s="380"/>
      <c r="T12" s="380"/>
    </row>
    <row r="13" spans="2:20"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/>
      <c r="Q13" s="380"/>
      <c r="R13" s="380"/>
      <c r="S13" s="380"/>
      <c r="T13" s="380"/>
    </row>
    <row r="14" spans="2:20">
      <c r="B14" s="380"/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/>
      <c r="P14" s="380"/>
      <c r="Q14" s="380"/>
      <c r="R14" s="380"/>
      <c r="S14" s="380"/>
      <c r="T14" s="380"/>
    </row>
    <row r="15" spans="2:20">
      <c r="B15" s="380"/>
      <c r="C15" s="380"/>
      <c r="D15" s="380"/>
      <c r="E15" s="380"/>
      <c r="F15" s="380"/>
      <c r="G15" s="380"/>
      <c r="H15" s="380"/>
      <c r="I15" s="380"/>
      <c r="J15" s="380"/>
      <c r="K15" s="380"/>
      <c r="L15" s="380"/>
      <c r="M15" s="380"/>
      <c r="N15" s="380"/>
      <c r="O15" s="380"/>
      <c r="P15" s="380"/>
      <c r="Q15" s="380"/>
      <c r="R15" s="380"/>
      <c r="S15" s="380"/>
      <c r="T15" s="380"/>
    </row>
    <row r="16" spans="2:20">
      <c r="B16" s="380"/>
      <c r="C16" s="380"/>
      <c r="D16" s="380"/>
      <c r="E16" s="380"/>
      <c r="F16" s="380"/>
      <c r="G16" s="380"/>
      <c r="H16" s="380"/>
      <c r="I16" s="380"/>
      <c r="J16" s="380"/>
      <c r="K16" s="380"/>
      <c r="L16" s="380"/>
      <c r="M16" s="380"/>
      <c r="N16" s="380"/>
      <c r="O16" s="380"/>
      <c r="P16" s="380"/>
      <c r="Q16" s="380"/>
      <c r="R16" s="380"/>
      <c r="S16" s="380"/>
      <c r="T16" s="380"/>
    </row>
    <row r="17" spans="2:20">
      <c r="B17" s="380"/>
      <c r="C17" s="380"/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/>
      <c r="P17" s="380"/>
      <c r="Q17" s="380"/>
      <c r="R17" s="380"/>
      <c r="S17" s="380"/>
      <c r="T17" s="380"/>
    </row>
    <row r="18" spans="2:20">
      <c r="B18" s="380"/>
      <c r="C18" s="380"/>
      <c r="D18" s="380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</row>
    <row r="19" spans="2:20">
      <c r="B19" s="380"/>
      <c r="C19" s="380"/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/>
      <c r="P19" s="380"/>
      <c r="Q19" s="380"/>
      <c r="R19" s="380"/>
      <c r="S19" s="380"/>
      <c r="T19" s="380"/>
    </row>
    <row r="20" spans="2:20">
      <c r="B20" s="380"/>
      <c r="C20" s="380"/>
      <c r="D20" s="380"/>
      <c r="E20" s="380"/>
      <c r="F20" s="380"/>
      <c r="G20" s="380"/>
      <c r="H20" s="380"/>
      <c r="I20" s="380"/>
      <c r="J20" s="380"/>
      <c r="K20" s="380"/>
      <c r="L20" s="380"/>
      <c r="M20" s="380"/>
      <c r="N20" s="380"/>
      <c r="O20" s="380"/>
      <c r="P20" s="380"/>
      <c r="Q20" s="380"/>
      <c r="R20" s="380"/>
      <c r="S20" s="380"/>
      <c r="T20" s="380"/>
    </row>
    <row r="21" spans="2:20">
      <c r="B21" s="380"/>
      <c r="C21" s="380"/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/>
      <c r="Q21" s="380"/>
      <c r="R21" s="380"/>
      <c r="S21" s="380"/>
      <c r="T21" s="380"/>
    </row>
    <row r="22" spans="2:20">
      <c r="B22" s="380"/>
      <c r="C22" s="380"/>
      <c r="D22" s="380"/>
      <c r="E22" s="380"/>
      <c r="F22" s="380"/>
      <c r="G22" s="380"/>
      <c r="H22" s="380"/>
      <c r="I22" s="380"/>
      <c r="J22" s="380"/>
      <c r="K22" s="380"/>
      <c r="L22" s="380"/>
      <c r="M22" s="380"/>
      <c r="N22" s="380"/>
      <c r="O22" s="380"/>
      <c r="P22" s="380"/>
      <c r="Q22" s="380"/>
      <c r="R22" s="380"/>
      <c r="S22" s="380"/>
      <c r="T22" s="380"/>
    </row>
    <row r="23" spans="2:20">
      <c r="B23" s="380"/>
      <c r="C23" s="380"/>
      <c r="D23" s="380"/>
      <c r="E23" s="380"/>
      <c r="F23" s="380"/>
      <c r="G23" s="380"/>
      <c r="H23" s="380"/>
      <c r="I23" s="380"/>
      <c r="J23" s="380"/>
      <c r="K23" s="380"/>
      <c r="L23" s="380"/>
      <c r="M23" s="380"/>
      <c r="N23" s="380"/>
      <c r="O23" s="380"/>
      <c r="P23" s="380"/>
      <c r="Q23" s="380"/>
      <c r="R23" s="380"/>
      <c r="S23" s="380"/>
      <c r="T23" s="380"/>
    </row>
    <row r="24" spans="2:20">
      <c r="B24" s="380"/>
      <c r="C24" s="380"/>
      <c r="D24" s="380"/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/>
      <c r="Q24" s="380"/>
      <c r="R24" s="380"/>
      <c r="S24" s="380"/>
      <c r="T24" s="380"/>
    </row>
    <row r="25" spans="2:20">
      <c r="B25" s="380"/>
      <c r="C25" s="380"/>
      <c r="D25" s="380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0"/>
      <c r="P25" s="380"/>
      <c r="Q25" s="380"/>
      <c r="R25" s="380"/>
      <c r="S25" s="380"/>
      <c r="T25" s="380"/>
    </row>
    <row r="26" spans="2:20">
      <c r="B26" s="380"/>
      <c r="C26" s="380"/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/>
      <c r="P26" s="380"/>
      <c r="Q26" s="380"/>
      <c r="R26" s="380"/>
      <c r="S26" s="380"/>
      <c r="T26" s="380"/>
    </row>
    <row r="27" spans="2:20">
      <c r="B27" s="380"/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0"/>
      <c r="N27" s="380"/>
      <c r="O27" s="380"/>
      <c r="P27" s="380"/>
      <c r="Q27" s="380"/>
      <c r="R27" s="380"/>
      <c r="S27" s="380"/>
      <c r="T27" s="380"/>
    </row>
    <row r="28" spans="2:20">
      <c r="B28" s="380"/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N28" s="380"/>
      <c r="O28" s="380"/>
      <c r="P28" s="380"/>
      <c r="Q28" s="380"/>
      <c r="R28" s="380"/>
      <c r="S28" s="380"/>
      <c r="T28" s="380"/>
    </row>
    <row r="29" spans="2:20">
      <c r="B29" s="380"/>
      <c r="C29" s="380"/>
      <c r="D29" s="380"/>
      <c r="E29" s="380"/>
      <c r="F29" s="380"/>
      <c r="G29" s="380"/>
      <c r="H29" s="380"/>
      <c r="I29" s="380"/>
      <c r="J29" s="380"/>
      <c r="K29" s="380"/>
      <c r="L29" s="380"/>
      <c r="M29" s="380"/>
      <c r="N29" s="380"/>
      <c r="O29" s="380"/>
      <c r="P29" s="380"/>
      <c r="Q29" s="380"/>
      <c r="R29" s="380"/>
      <c r="S29" s="380"/>
      <c r="T29" s="380"/>
    </row>
    <row r="30" spans="2:20">
      <c r="B30" s="380"/>
      <c r="C30" s="380"/>
      <c r="D30" s="380"/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/>
      <c r="Q30" s="380"/>
      <c r="R30" s="380"/>
      <c r="S30" s="380"/>
      <c r="T30" s="380"/>
    </row>
    <row r="31" spans="2:20">
      <c r="B31" s="380"/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/>
      <c r="Q31" s="380"/>
      <c r="R31" s="380"/>
      <c r="S31" s="380"/>
      <c r="T31" s="380"/>
    </row>
    <row r="32" spans="2:20">
      <c r="B32" s="380"/>
      <c r="C32" s="380"/>
      <c r="D32" s="380"/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/>
      <c r="Q32" s="380"/>
      <c r="R32" s="380"/>
      <c r="S32" s="380"/>
      <c r="T32" s="380"/>
    </row>
    <row r="33" spans="2:20">
      <c r="B33" s="380"/>
      <c r="C33" s="380"/>
      <c r="D33" s="380"/>
      <c r="E33" s="380"/>
      <c r="F33" s="380"/>
      <c r="G33" s="380"/>
      <c r="H33" s="380"/>
      <c r="I33" s="380"/>
      <c r="J33" s="380"/>
      <c r="K33" s="380"/>
      <c r="L33" s="380"/>
      <c r="M33" s="380"/>
      <c r="N33" s="380"/>
      <c r="O33" s="380"/>
      <c r="P33" s="380"/>
      <c r="Q33" s="380"/>
      <c r="R33" s="380"/>
      <c r="S33" s="380"/>
      <c r="T33" s="380"/>
    </row>
    <row r="34" spans="2:20">
      <c r="B34" s="380"/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/>
      <c r="P34" s="380"/>
      <c r="Q34" s="380"/>
      <c r="R34" s="380"/>
      <c r="S34" s="380"/>
      <c r="T34" s="380"/>
    </row>
    <row r="35" spans="2:20">
      <c r="B35" s="380"/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0"/>
      <c r="N35" s="380"/>
      <c r="O35" s="380"/>
      <c r="P35" s="380"/>
      <c r="Q35" s="380"/>
      <c r="R35" s="380"/>
      <c r="S35" s="380"/>
      <c r="T35" s="380"/>
    </row>
    <row r="36" spans="2:20">
      <c r="B36" s="380"/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0"/>
      <c r="N36" s="380"/>
      <c r="O36" s="380"/>
      <c r="P36" s="380"/>
      <c r="Q36" s="380"/>
      <c r="R36" s="380"/>
      <c r="S36" s="380"/>
      <c r="T36" s="380"/>
    </row>
    <row r="37" spans="2:20">
      <c r="B37" s="380"/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0"/>
      <c r="P37" s="380"/>
      <c r="Q37" s="380"/>
      <c r="R37" s="380"/>
      <c r="S37" s="380"/>
      <c r="T37" s="380"/>
    </row>
    <row r="38" spans="2:20">
      <c r="B38" s="380"/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N38" s="380"/>
      <c r="O38" s="380"/>
      <c r="P38" s="380"/>
      <c r="Q38" s="380"/>
      <c r="R38" s="380"/>
      <c r="S38" s="380"/>
      <c r="T38" s="380"/>
    </row>
    <row r="39" spans="2:20">
      <c r="B39" s="380"/>
      <c r="C39" s="380"/>
      <c r="D39" s="380"/>
      <c r="E39" s="380"/>
      <c r="F39" s="380"/>
      <c r="G39" s="380"/>
      <c r="H39" s="380"/>
      <c r="I39" s="380"/>
      <c r="J39" s="380"/>
      <c r="K39" s="380"/>
      <c r="L39" s="380"/>
      <c r="M39" s="380"/>
      <c r="N39" s="380"/>
      <c r="O39" s="380"/>
      <c r="P39" s="380"/>
      <c r="Q39" s="380"/>
      <c r="R39" s="380"/>
      <c r="S39" s="380"/>
      <c r="T39" s="380"/>
    </row>
    <row r="40" spans="2:20">
      <c r="B40" s="380"/>
      <c r="C40" s="380"/>
      <c r="D40" s="380"/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/>
      <c r="Q40" s="380"/>
      <c r="R40" s="380"/>
      <c r="S40" s="380"/>
      <c r="T40" s="380"/>
    </row>
    <row r="41" spans="2:20">
      <c r="B41" s="380"/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0"/>
      <c r="P41" s="380"/>
      <c r="Q41" s="380"/>
      <c r="R41" s="380"/>
      <c r="S41" s="380"/>
      <c r="T41" s="380"/>
    </row>
    <row r="42" spans="2:20">
      <c r="B42" s="380"/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/>
      <c r="R42" s="380"/>
      <c r="S42" s="380"/>
      <c r="T42" s="380"/>
    </row>
    <row r="43" spans="2:20">
      <c r="B43" s="380"/>
      <c r="C43" s="380"/>
      <c r="D43" s="380"/>
      <c r="E43" s="380"/>
      <c r="F43" s="380"/>
      <c r="G43" s="380"/>
      <c r="H43" s="380"/>
      <c r="I43" s="380"/>
      <c r="J43" s="380"/>
      <c r="K43" s="380"/>
      <c r="L43" s="380"/>
      <c r="M43" s="380"/>
      <c r="N43" s="380"/>
      <c r="O43" s="380"/>
      <c r="P43" s="380"/>
      <c r="Q43" s="380"/>
      <c r="R43" s="380"/>
      <c r="S43" s="380"/>
      <c r="T43" s="380"/>
    </row>
    <row r="44" spans="2:20">
      <c r="B44" s="380"/>
      <c r="C44" s="380"/>
      <c r="D44" s="380"/>
      <c r="E44" s="380"/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/>
      <c r="S44" s="380"/>
      <c r="T44" s="380"/>
    </row>
    <row r="45" spans="2:20">
      <c r="B45" s="380"/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0"/>
      <c r="N45" s="380"/>
      <c r="O45" s="380"/>
      <c r="P45" s="380"/>
      <c r="Q45" s="380"/>
      <c r="R45" s="380"/>
      <c r="S45" s="380"/>
      <c r="T45" s="380"/>
    </row>
    <row r="46" spans="2:20">
      <c r="B46" s="380"/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0"/>
      <c r="N46" s="380"/>
      <c r="O46" s="380"/>
      <c r="P46" s="380"/>
      <c r="Q46" s="380"/>
      <c r="R46" s="380"/>
      <c r="S46" s="380"/>
      <c r="T46" s="380"/>
    </row>
    <row r="47" spans="2:20">
      <c r="B47" s="380"/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/>
      <c r="Q47" s="380"/>
      <c r="R47" s="380"/>
      <c r="S47" s="380"/>
      <c r="T47" s="380"/>
    </row>
    <row r="48" spans="2:20">
      <c r="B48" s="380"/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N48" s="380"/>
      <c r="O48" s="380"/>
      <c r="P48" s="380"/>
      <c r="Q48" s="380"/>
      <c r="R48" s="380"/>
      <c r="S48" s="380"/>
      <c r="T48" s="380"/>
    </row>
    <row r="49" spans="2:20">
      <c r="B49" s="380"/>
      <c r="C49" s="380"/>
      <c r="D49" s="380"/>
      <c r="E49" s="380"/>
      <c r="F49" s="380"/>
      <c r="G49" s="380"/>
      <c r="H49" s="380"/>
      <c r="I49" s="380"/>
      <c r="J49" s="380"/>
      <c r="K49" s="380"/>
      <c r="L49" s="380"/>
      <c r="M49" s="380"/>
      <c r="N49" s="380"/>
      <c r="O49" s="380"/>
      <c r="P49" s="380"/>
      <c r="Q49" s="380"/>
      <c r="R49" s="380"/>
      <c r="S49" s="380"/>
      <c r="T49" s="380"/>
    </row>
    <row r="50" spans="2:20">
      <c r="B50" s="380"/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0"/>
      <c r="N50" s="380"/>
      <c r="O50" s="380"/>
      <c r="P50" s="380"/>
      <c r="Q50" s="380"/>
      <c r="R50" s="380"/>
      <c r="S50" s="380"/>
      <c r="T50" s="380"/>
    </row>
    <row r="51" spans="2:20">
      <c r="B51" s="380"/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0"/>
      <c r="N51" s="380"/>
      <c r="O51" s="380"/>
      <c r="P51" s="380"/>
      <c r="Q51" s="380"/>
      <c r="R51" s="380"/>
      <c r="S51" s="380"/>
      <c r="T51" s="380"/>
    </row>
    <row r="52" spans="2:20">
      <c r="B52" s="380"/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0"/>
      <c r="N52" s="380"/>
      <c r="O52" s="380"/>
      <c r="P52" s="380"/>
      <c r="Q52" s="380"/>
      <c r="R52" s="380"/>
      <c r="S52" s="380"/>
      <c r="T52" s="380"/>
    </row>
    <row r="53" spans="2:20">
      <c r="B53" s="380"/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/>
      <c r="Q53" s="380"/>
      <c r="R53" s="380"/>
      <c r="S53" s="380"/>
      <c r="T53" s="380"/>
    </row>
    <row r="54" spans="2:20">
      <c r="B54" s="380"/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0"/>
      <c r="N54" s="380"/>
      <c r="O54" s="380"/>
      <c r="P54" s="380"/>
      <c r="Q54" s="380"/>
      <c r="R54" s="380"/>
      <c r="S54" s="380"/>
      <c r="T54" s="380"/>
    </row>
    <row r="55" spans="2:20">
      <c r="B55" s="380"/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/>
      <c r="Q55" s="380"/>
      <c r="R55" s="380"/>
      <c r="S55" s="380"/>
      <c r="T55" s="380"/>
    </row>
    <row r="56" spans="2:20">
      <c r="B56" s="380"/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0"/>
      <c r="N56" s="380"/>
      <c r="O56" s="380"/>
      <c r="P56" s="380"/>
      <c r="Q56" s="380"/>
      <c r="R56" s="380"/>
      <c r="S56" s="380"/>
      <c r="T56" s="380"/>
    </row>
    <row r="57" spans="2:20">
      <c r="B57" s="380"/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380"/>
      <c r="S57" s="380"/>
      <c r="T57" s="380"/>
    </row>
    <row r="58" spans="2:20">
      <c r="B58" s="380"/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0"/>
      <c r="N58" s="380"/>
      <c r="O58" s="380"/>
      <c r="P58" s="380"/>
      <c r="Q58" s="380"/>
      <c r="R58" s="380"/>
      <c r="S58" s="380"/>
      <c r="T58" s="380"/>
    </row>
    <row r="59" spans="2:20">
      <c r="B59" s="380"/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N59" s="380"/>
      <c r="O59" s="380"/>
      <c r="P59" s="380"/>
      <c r="Q59" s="380"/>
      <c r="R59" s="380"/>
      <c r="S59" s="380"/>
      <c r="T59" s="380"/>
    </row>
    <row r="60" spans="2:20">
      <c r="B60" s="380"/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/>
      <c r="Q60" s="380"/>
      <c r="R60" s="380"/>
      <c r="S60" s="380"/>
      <c r="T60" s="380"/>
    </row>
    <row r="61" spans="2:20">
      <c r="B61" s="380"/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0"/>
      <c r="N61" s="380"/>
      <c r="O61" s="380"/>
      <c r="P61" s="380"/>
      <c r="Q61" s="380"/>
      <c r="R61" s="380"/>
      <c r="S61" s="380"/>
      <c r="T61" s="380"/>
    </row>
    <row r="62" spans="2:20">
      <c r="B62" s="380"/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0"/>
      <c r="O62" s="380"/>
      <c r="P62" s="380"/>
      <c r="Q62" s="380"/>
      <c r="R62" s="380"/>
      <c r="S62" s="380"/>
      <c r="T62" s="380"/>
    </row>
    <row r="63" spans="2:20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380"/>
      <c r="Q63" s="380"/>
      <c r="R63" s="380"/>
      <c r="S63" s="380"/>
      <c r="T63" s="380"/>
    </row>
    <row r="64" spans="2:20">
      <c r="B64" s="380"/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0"/>
      <c r="N64" s="380"/>
      <c r="O64" s="380"/>
      <c r="P64" s="380"/>
      <c r="Q64" s="380"/>
      <c r="R64" s="380"/>
      <c r="S64" s="380"/>
      <c r="T64" s="380"/>
    </row>
    <row r="65" spans="2:20">
      <c r="B65" s="380"/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0"/>
      <c r="N65" s="380"/>
      <c r="O65" s="380"/>
      <c r="P65" s="380"/>
      <c r="Q65" s="380"/>
      <c r="R65" s="380"/>
      <c r="S65" s="380"/>
      <c r="T65" s="380"/>
    </row>
    <row r="66" spans="2:20">
      <c r="B66" s="380"/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0"/>
      <c r="N66" s="380"/>
      <c r="O66" s="380"/>
      <c r="P66" s="380"/>
      <c r="Q66" s="380"/>
      <c r="R66" s="380"/>
      <c r="S66" s="380"/>
      <c r="T66" s="380"/>
    </row>
    <row r="67" spans="2:20">
      <c r="B67" s="380"/>
      <c r="C67" s="380"/>
      <c r="D67" s="380"/>
      <c r="E67" s="380"/>
      <c r="F67" s="380"/>
      <c r="G67" s="380"/>
      <c r="H67" s="380"/>
      <c r="I67" s="380"/>
      <c r="J67" s="380"/>
      <c r="K67" s="380"/>
      <c r="L67" s="380"/>
      <c r="M67" s="380"/>
      <c r="N67" s="380"/>
      <c r="O67" s="380"/>
      <c r="P67" s="380"/>
      <c r="Q67" s="380"/>
      <c r="R67" s="380"/>
      <c r="S67" s="380"/>
      <c r="T67" s="380"/>
    </row>
    <row r="68" spans="2:20">
      <c r="B68" s="380"/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N68" s="380"/>
      <c r="O68" s="380"/>
      <c r="P68" s="380"/>
      <c r="Q68" s="380"/>
      <c r="R68" s="380"/>
      <c r="S68" s="380"/>
      <c r="T68" s="380"/>
    </row>
    <row r="69" spans="2:20">
      <c r="B69" s="380"/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0"/>
      <c r="N69" s="380"/>
      <c r="O69" s="380"/>
      <c r="P69" s="380"/>
      <c r="Q69" s="380"/>
      <c r="R69" s="380"/>
      <c r="S69" s="380"/>
      <c r="T69" s="380"/>
    </row>
    <row r="70" spans="2:20">
      <c r="B70" s="380"/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0"/>
      <c r="N70" s="380"/>
      <c r="O70" s="380"/>
      <c r="P70" s="380"/>
      <c r="Q70" s="380"/>
      <c r="R70" s="380"/>
      <c r="S70" s="380"/>
      <c r="T70" s="380"/>
    </row>
    <row r="71" spans="2:20">
      <c r="B71" s="380"/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0"/>
      <c r="N71" s="380"/>
      <c r="O71" s="380"/>
      <c r="P71" s="380"/>
      <c r="Q71" s="380"/>
      <c r="R71" s="380"/>
      <c r="S71" s="380"/>
      <c r="T71" s="380"/>
    </row>
    <row r="72" spans="2:20">
      <c r="B72" s="380"/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0"/>
      <c r="N72" s="380"/>
      <c r="O72" s="380"/>
      <c r="P72" s="380"/>
      <c r="Q72" s="380"/>
      <c r="R72" s="380"/>
      <c r="S72" s="380"/>
      <c r="T72" s="380"/>
    </row>
    <row r="73" spans="2:20">
      <c r="B73" s="380"/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0"/>
      <c r="N73" s="380"/>
      <c r="O73" s="380"/>
      <c r="P73" s="380"/>
      <c r="Q73" s="380"/>
      <c r="R73" s="380"/>
      <c r="S73" s="380"/>
      <c r="T73" s="380"/>
    </row>
    <row r="74" spans="2:20">
      <c r="B74" s="380"/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380"/>
      <c r="S74" s="380"/>
      <c r="T74" s="380"/>
    </row>
    <row r="75" spans="2:20">
      <c r="B75" s="380"/>
      <c r="C75" s="380"/>
      <c r="D75" s="380"/>
      <c r="E75" s="380"/>
      <c r="F75" s="380"/>
      <c r="G75" s="380"/>
      <c r="H75" s="380"/>
      <c r="I75" s="380"/>
      <c r="J75" s="380"/>
      <c r="K75" s="380"/>
      <c r="L75" s="380"/>
      <c r="M75" s="380"/>
      <c r="N75" s="380"/>
      <c r="O75" s="380"/>
      <c r="P75" s="380"/>
      <c r="Q75" s="380"/>
      <c r="R75" s="380"/>
      <c r="S75" s="380"/>
      <c r="T75" s="380"/>
    </row>
    <row r="76" spans="2:20">
      <c r="B76" s="380"/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0"/>
      <c r="O76" s="380"/>
      <c r="P76" s="380"/>
      <c r="Q76" s="380"/>
      <c r="R76" s="380"/>
      <c r="S76" s="380"/>
      <c r="T76" s="380"/>
    </row>
    <row r="77" spans="2:20">
      <c r="B77" s="380"/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0"/>
      <c r="O77" s="380"/>
      <c r="P77" s="380"/>
      <c r="Q77" s="380"/>
      <c r="R77" s="380"/>
      <c r="S77" s="380"/>
      <c r="T77" s="380"/>
    </row>
    <row r="78" spans="2:20">
      <c r="B78" s="380"/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0"/>
      <c r="O78" s="380"/>
      <c r="P78" s="380"/>
      <c r="Q78" s="380"/>
      <c r="R78" s="380"/>
      <c r="S78" s="380"/>
      <c r="T78" s="380"/>
    </row>
    <row r="79" spans="2:20">
      <c r="B79" s="380"/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0"/>
      <c r="N79" s="380"/>
      <c r="O79" s="380"/>
      <c r="P79" s="380"/>
      <c r="Q79" s="380"/>
      <c r="R79" s="380"/>
      <c r="S79" s="380"/>
      <c r="T79" s="380"/>
    </row>
    <row r="80" spans="2:20">
      <c r="B80" s="380"/>
      <c r="C80" s="380"/>
      <c r="D80" s="380"/>
      <c r="E80" s="380"/>
      <c r="F80" s="380"/>
      <c r="G80" s="380"/>
      <c r="H80" s="380"/>
      <c r="I80" s="380"/>
      <c r="J80" s="380"/>
      <c r="K80" s="380"/>
      <c r="L80" s="380"/>
      <c r="M80" s="380"/>
      <c r="N80" s="380"/>
      <c r="O80" s="380"/>
      <c r="P80" s="380"/>
      <c r="Q80" s="380"/>
      <c r="R80" s="380"/>
      <c r="S80" s="380"/>
      <c r="T80" s="380"/>
    </row>
    <row r="81" spans="2:20">
      <c r="B81" s="380"/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0"/>
      <c r="N81" s="380"/>
      <c r="O81" s="380"/>
      <c r="P81" s="380"/>
      <c r="Q81" s="380"/>
      <c r="R81" s="380"/>
      <c r="S81" s="380"/>
      <c r="T81" s="380"/>
    </row>
    <row r="82" spans="2:20">
      <c r="B82" s="380"/>
      <c r="C82" s="380"/>
      <c r="D82" s="380"/>
      <c r="E82" s="380"/>
      <c r="F82" s="380"/>
      <c r="G82" s="380"/>
      <c r="H82" s="380"/>
      <c r="I82" s="380"/>
      <c r="J82" s="380"/>
      <c r="K82" s="380"/>
      <c r="L82" s="380"/>
      <c r="M82" s="380"/>
      <c r="N82" s="380"/>
      <c r="O82" s="380"/>
      <c r="P82" s="380"/>
      <c r="Q82" s="380"/>
      <c r="R82" s="380"/>
      <c r="S82" s="380"/>
      <c r="T82" s="380"/>
    </row>
    <row r="83" spans="2:20">
      <c r="B83" s="380"/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0"/>
      <c r="N83" s="380"/>
      <c r="O83" s="380"/>
      <c r="P83" s="380"/>
      <c r="Q83" s="380"/>
      <c r="R83" s="380"/>
      <c r="S83" s="380"/>
      <c r="T83" s="380"/>
    </row>
    <row r="84" spans="2:20">
      <c r="B84" s="380"/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0"/>
      <c r="N84" s="380"/>
      <c r="O84" s="380"/>
      <c r="P84" s="380"/>
      <c r="Q84" s="380"/>
      <c r="R84" s="380"/>
      <c r="S84" s="380"/>
      <c r="T84" s="380"/>
    </row>
    <row r="85" spans="2:20">
      <c r="B85" s="380"/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0"/>
      <c r="N85" s="380"/>
      <c r="O85" s="380"/>
      <c r="P85" s="380"/>
      <c r="Q85" s="380"/>
      <c r="R85" s="380"/>
      <c r="S85" s="380"/>
      <c r="T85" s="380"/>
    </row>
    <row r="86" spans="2:20">
      <c r="B86" s="380"/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0"/>
      <c r="N86" s="380"/>
      <c r="O86" s="380"/>
      <c r="P86" s="380"/>
      <c r="Q86" s="380"/>
      <c r="R86" s="380"/>
      <c r="S86" s="380"/>
      <c r="T86" s="380"/>
    </row>
    <row r="87" spans="2:20">
      <c r="B87" s="380"/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0"/>
      <c r="N87" s="380"/>
      <c r="O87" s="380"/>
      <c r="P87" s="380"/>
      <c r="Q87" s="380"/>
      <c r="R87" s="380"/>
      <c r="S87" s="380"/>
      <c r="T87" s="380"/>
    </row>
    <row r="88" spans="2:20">
      <c r="B88" s="380"/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</row>
    <row r="89" spans="2:20">
      <c r="B89" s="380"/>
      <c r="C89" s="380"/>
      <c r="D89" s="380"/>
      <c r="E89" s="380"/>
      <c r="F89" s="380"/>
      <c r="G89" s="380"/>
      <c r="H89" s="380"/>
      <c r="I89" s="380"/>
      <c r="J89" s="380"/>
      <c r="K89" s="380"/>
      <c r="L89" s="380"/>
      <c r="M89" s="380"/>
      <c r="N89" s="380"/>
      <c r="O89" s="380"/>
      <c r="P89" s="380"/>
      <c r="Q89" s="380"/>
      <c r="R89" s="380"/>
      <c r="S89" s="380"/>
      <c r="T89" s="380"/>
    </row>
    <row r="90" spans="2:20">
      <c r="B90" s="380"/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0"/>
      <c r="N90" s="380"/>
      <c r="O90" s="380"/>
      <c r="P90" s="380"/>
      <c r="Q90" s="380"/>
      <c r="R90" s="380"/>
      <c r="S90" s="380"/>
      <c r="T90" s="380"/>
    </row>
    <row r="91" spans="2:20">
      <c r="B91" s="380"/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0"/>
      <c r="N91" s="380"/>
      <c r="O91" s="380"/>
      <c r="P91" s="380"/>
      <c r="Q91" s="380"/>
      <c r="R91" s="380"/>
      <c r="S91" s="380"/>
      <c r="T91" s="380"/>
    </row>
    <row r="92" spans="2:20">
      <c r="B92" s="380"/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0"/>
      <c r="N92" s="380"/>
      <c r="O92" s="380"/>
      <c r="P92" s="380"/>
      <c r="Q92" s="380"/>
      <c r="R92" s="380"/>
      <c r="S92" s="380"/>
      <c r="T92" s="380"/>
    </row>
    <row r="93" spans="2:20">
      <c r="B93" s="380"/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0"/>
      <c r="N93" s="380"/>
      <c r="O93" s="380"/>
      <c r="P93" s="380"/>
      <c r="Q93" s="380"/>
      <c r="R93" s="380"/>
      <c r="S93" s="380"/>
      <c r="T93" s="380"/>
    </row>
    <row r="94" spans="2:20">
      <c r="B94" s="380"/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0"/>
      <c r="N94" s="380"/>
      <c r="O94" s="380"/>
      <c r="P94" s="380"/>
      <c r="Q94" s="380"/>
      <c r="R94" s="380"/>
      <c r="S94" s="380"/>
      <c r="T94" s="380"/>
    </row>
    <row r="95" spans="2:20">
      <c r="B95" s="380"/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0"/>
      <c r="N95" s="380"/>
      <c r="O95" s="380"/>
      <c r="P95" s="380"/>
      <c r="Q95" s="380"/>
      <c r="R95" s="380"/>
      <c r="S95" s="380"/>
      <c r="T95" s="380"/>
    </row>
    <row r="96" spans="2:20">
      <c r="B96" s="380"/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0"/>
      <c r="N96" s="380"/>
      <c r="O96" s="380"/>
      <c r="P96" s="380"/>
      <c r="Q96" s="380"/>
      <c r="R96" s="380"/>
      <c r="S96" s="380"/>
      <c r="T96" s="380"/>
    </row>
    <row r="97" spans="2:20">
      <c r="B97" s="380"/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0"/>
      <c r="N97" s="380"/>
      <c r="O97" s="380"/>
      <c r="P97" s="380"/>
      <c r="Q97" s="380"/>
      <c r="R97" s="380"/>
      <c r="S97" s="380"/>
      <c r="T97" s="380"/>
    </row>
    <row r="98" spans="2:20">
      <c r="B98" s="380"/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0"/>
      <c r="N98" s="380"/>
      <c r="O98" s="380"/>
      <c r="P98" s="380"/>
      <c r="Q98" s="380"/>
      <c r="R98" s="380"/>
      <c r="S98" s="380"/>
      <c r="T98" s="380"/>
    </row>
    <row r="99" spans="2:20">
      <c r="B99" s="380"/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0"/>
      <c r="N99" s="380"/>
      <c r="O99" s="380"/>
      <c r="P99" s="380"/>
      <c r="Q99" s="380"/>
      <c r="R99" s="380"/>
      <c r="S99" s="380"/>
      <c r="T99" s="380"/>
    </row>
    <row r="100" spans="2:20">
      <c r="B100" s="380"/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0"/>
      <c r="N100" s="380"/>
      <c r="O100" s="380"/>
      <c r="P100" s="380"/>
      <c r="Q100" s="380"/>
      <c r="R100" s="380"/>
      <c r="S100" s="380"/>
      <c r="T100" s="380"/>
    </row>
    <row r="101" spans="2:20">
      <c r="B101" s="380"/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0"/>
      <c r="N101" s="380"/>
      <c r="O101" s="380"/>
      <c r="P101" s="380"/>
      <c r="Q101" s="380"/>
      <c r="R101" s="380"/>
      <c r="S101" s="380"/>
      <c r="T101" s="380"/>
    </row>
    <row r="102" spans="2:20">
      <c r="B102" s="380"/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0"/>
      <c r="N102" s="380"/>
      <c r="O102" s="380"/>
      <c r="P102" s="380"/>
      <c r="Q102" s="380"/>
      <c r="R102" s="380"/>
      <c r="S102" s="380"/>
      <c r="T102" s="380"/>
    </row>
    <row r="103" spans="2:20">
      <c r="B103" s="380"/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0"/>
      <c r="N103" s="380"/>
      <c r="O103" s="380"/>
      <c r="P103" s="380"/>
      <c r="Q103" s="380"/>
      <c r="R103" s="380"/>
      <c r="S103" s="380"/>
      <c r="T103" s="380"/>
    </row>
    <row r="104" spans="2:20">
      <c r="B104" s="380"/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0"/>
      <c r="N104" s="380"/>
      <c r="O104" s="380"/>
      <c r="P104" s="380"/>
      <c r="Q104" s="380"/>
      <c r="R104" s="380"/>
      <c r="S104" s="380"/>
      <c r="T104" s="380"/>
    </row>
    <row r="105" spans="2:20">
      <c r="B105" s="380"/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0"/>
      <c r="N105" s="380"/>
      <c r="O105" s="380"/>
      <c r="P105" s="380"/>
      <c r="Q105" s="380"/>
      <c r="R105" s="380"/>
      <c r="S105" s="380"/>
      <c r="T105" s="380"/>
    </row>
    <row r="106" spans="2:20">
      <c r="B106" s="380"/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0"/>
      <c r="N106" s="380"/>
      <c r="O106" s="380"/>
      <c r="P106" s="380"/>
      <c r="Q106" s="380"/>
      <c r="R106" s="380"/>
      <c r="S106" s="380"/>
      <c r="T106" s="380"/>
    </row>
    <row r="107" spans="2:20">
      <c r="B107" s="380"/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/>
      <c r="R107" s="380"/>
      <c r="S107" s="380"/>
      <c r="T107" s="380"/>
    </row>
    <row r="108" spans="2:20"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</row>
    <row r="109" spans="2:20"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</row>
    <row r="110" spans="2:20">
      <c r="B110" s="380"/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0"/>
      <c r="N110" s="380"/>
      <c r="O110" s="380"/>
      <c r="P110" s="380"/>
      <c r="Q110" s="380"/>
      <c r="R110" s="380"/>
      <c r="S110" s="380"/>
      <c r="T110" s="380"/>
    </row>
    <row r="111" spans="2:20">
      <c r="B111" s="380"/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0"/>
      <c r="N111" s="380"/>
      <c r="O111" s="380"/>
      <c r="P111" s="380"/>
      <c r="Q111" s="380"/>
      <c r="R111" s="380"/>
      <c r="S111" s="380"/>
      <c r="T111" s="380"/>
    </row>
    <row r="112" spans="2:20">
      <c r="B112" s="380"/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0"/>
      <c r="N112" s="380"/>
      <c r="O112" s="380"/>
      <c r="P112" s="380"/>
      <c r="Q112" s="380"/>
      <c r="R112" s="380"/>
      <c r="S112" s="380"/>
      <c r="T112" s="380"/>
    </row>
    <row r="113" spans="2:20">
      <c r="B113" s="380"/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0"/>
      <c r="N113" s="380"/>
      <c r="O113" s="380"/>
      <c r="P113" s="380"/>
      <c r="Q113" s="380"/>
      <c r="R113" s="380"/>
      <c r="S113" s="380"/>
      <c r="T113" s="380"/>
    </row>
    <row r="114" spans="2:20">
      <c r="B114" s="380"/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0"/>
      <c r="N114" s="380"/>
      <c r="O114" s="380"/>
      <c r="P114" s="380"/>
      <c r="Q114" s="380"/>
      <c r="R114" s="380"/>
      <c r="S114" s="380"/>
      <c r="T114" s="380"/>
    </row>
    <row r="115" spans="2:20">
      <c r="B115" s="380"/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0"/>
      <c r="N115" s="380"/>
      <c r="O115" s="380"/>
      <c r="P115" s="380"/>
      <c r="Q115" s="380"/>
      <c r="R115" s="380"/>
      <c r="S115" s="380"/>
      <c r="T115" s="380"/>
    </row>
    <row r="116" spans="2:20">
      <c r="B116" s="380"/>
      <c r="C116" s="380"/>
      <c r="D116" s="380"/>
      <c r="E116" s="380"/>
      <c r="F116" s="380"/>
      <c r="G116" s="380"/>
      <c r="H116" s="380"/>
      <c r="I116" s="380"/>
      <c r="J116" s="380"/>
      <c r="K116" s="380"/>
      <c r="L116" s="380"/>
      <c r="M116" s="380"/>
      <c r="N116" s="380"/>
      <c r="O116" s="380"/>
      <c r="P116" s="380"/>
      <c r="Q116" s="380"/>
      <c r="R116" s="380"/>
      <c r="S116" s="380"/>
      <c r="T116" s="380"/>
    </row>
    <row r="117" spans="2:20">
      <c r="B117" s="380"/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0"/>
      <c r="N117" s="380"/>
      <c r="O117" s="380"/>
      <c r="P117" s="380"/>
      <c r="Q117" s="380"/>
      <c r="R117" s="380"/>
      <c r="S117" s="380"/>
      <c r="T117" s="380"/>
    </row>
    <row r="118" spans="2:20">
      <c r="B118" s="380"/>
      <c r="C118" s="380"/>
      <c r="D118" s="380"/>
      <c r="E118" s="380"/>
      <c r="F118" s="380"/>
      <c r="G118" s="380"/>
      <c r="H118" s="380"/>
      <c r="I118" s="380"/>
      <c r="J118" s="380"/>
      <c r="K118" s="380"/>
      <c r="L118" s="380"/>
      <c r="M118" s="380"/>
      <c r="N118" s="380"/>
      <c r="O118" s="380"/>
      <c r="P118" s="380"/>
      <c r="Q118" s="380"/>
      <c r="R118" s="380"/>
      <c r="S118" s="380"/>
      <c r="T118" s="380"/>
    </row>
    <row r="119" spans="2:20">
      <c r="B119" s="380"/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0"/>
      <c r="N119" s="380"/>
      <c r="O119" s="380"/>
      <c r="P119" s="380"/>
      <c r="Q119" s="380"/>
      <c r="R119" s="380"/>
      <c r="S119" s="380"/>
      <c r="T119" s="380"/>
    </row>
    <row r="120" spans="2:20">
      <c r="B120" s="380"/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0"/>
      <c r="N120" s="380"/>
      <c r="O120" s="380"/>
      <c r="P120" s="380"/>
      <c r="Q120" s="380"/>
      <c r="R120" s="380"/>
      <c r="S120" s="380"/>
      <c r="T120" s="380"/>
    </row>
    <row r="121" spans="2:20">
      <c r="B121" s="380"/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0"/>
      <c r="N121" s="380"/>
      <c r="O121" s="380"/>
      <c r="P121" s="380"/>
      <c r="Q121" s="380"/>
      <c r="R121" s="380"/>
      <c r="S121" s="380"/>
      <c r="T121" s="380"/>
    </row>
    <row r="122" spans="2:20">
      <c r="B122" s="380"/>
      <c r="C122" s="380"/>
      <c r="D122" s="380"/>
      <c r="E122" s="380"/>
      <c r="F122" s="380"/>
      <c r="G122" s="380"/>
      <c r="H122" s="380"/>
      <c r="I122" s="380"/>
      <c r="J122" s="380"/>
      <c r="K122" s="380"/>
      <c r="L122" s="380"/>
      <c r="M122" s="380"/>
      <c r="N122" s="380"/>
      <c r="O122" s="380"/>
      <c r="P122" s="380"/>
      <c r="Q122" s="380"/>
      <c r="R122" s="380"/>
      <c r="S122" s="380"/>
      <c r="T122" s="380"/>
    </row>
    <row r="123" spans="2:20">
      <c r="B123" s="380"/>
      <c r="C123" s="380"/>
      <c r="D123" s="380"/>
      <c r="E123" s="380"/>
      <c r="F123" s="380"/>
      <c r="G123" s="380"/>
      <c r="H123" s="380"/>
      <c r="I123" s="380"/>
      <c r="J123" s="380"/>
      <c r="K123" s="380"/>
      <c r="L123" s="380"/>
      <c r="M123" s="380"/>
      <c r="N123" s="380"/>
      <c r="O123" s="380"/>
      <c r="P123" s="380"/>
      <c r="Q123" s="380"/>
      <c r="R123" s="380"/>
      <c r="S123" s="380"/>
      <c r="T123" s="380"/>
    </row>
    <row r="124" spans="2:20">
      <c r="B124" s="380"/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0"/>
      <c r="N124" s="380"/>
      <c r="O124" s="380"/>
      <c r="P124" s="380"/>
      <c r="Q124" s="380"/>
      <c r="R124" s="380"/>
      <c r="S124" s="380"/>
      <c r="T124" s="380"/>
    </row>
    <row r="125" spans="2:20">
      <c r="B125" s="380"/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0"/>
      <c r="N125" s="380"/>
      <c r="O125" s="380"/>
      <c r="P125" s="380"/>
      <c r="Q125" s="380"/>
      <c r="R125" s="380"/>
      <c r="S125" s="380"/>
      <c r="T125" s="380"/>
    </row>
    <row r="126" spans="2:20">
      <c r="B126" s="380"/>
      <c r="C126" s="380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</row>
    <row r="127" spans="2:20">
      <c r="B127" s="380"/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0"/>
      <c r="N127" s="380"/>
      <c r="O127" s="380"/>
      <c r="P127" s="380"/>
      <c r="Q127" s="380"/>
      <c r="R127" s="380"/>
      <c r="S127" s="380"/>
      <c r="T127" s="380"/>
    </row>
    <row r="128" spans="2:20">
      <c r="B128" s="380"/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0"/>
      <c r="N128" s="380"/>
      <c r="O128" s="380"/>
      <c r="P128" s="380"/>
      <c r="Q128" s="380"/>
      <c r="R128" s="380"/>
      <c r="S128" s="380"/>
      <c r="T128" s="380"/>
    </row>
    <row r="129" spans="2:20">
      <c r="B129" s="380"/>
      <c r="C129" s="380"/>
      <c r="D129" s="380"/>
      <c r="E129" s="380"/>
      <c r="F129" s="380"/>
      <c r="G129" s="380"/>
      <c r="H129" s="380"/>
      <c r="I129" s="380"/>
      <c r="J129" s="380"/>
      <c r="K129" s="380"/>
      <c r="L129" s="380"/>
      <c r="M129" s="380"/>
      <c r="N129" s="380"/>
      <c r="O129" s="380"/>
      <c r="P129" s="380"/>
      <c r="Q129" s="380"/>
      <c r="R129" s="380"/>
      <c r="S129" s="380"/>
      <c r="T129" s="380"/>
    </row>
    <row r="130" spans="2:20">
      <c r="B130" s="380"/>
      <c r="C130" s="380"/>
      <c r="D130" s="380"/>
      <c r="E130" s="380"/>
      <c r="F130" s="380"/>
      <c r="G130" s="380"/>
      <c r="H130" s="380"/>
      <c r="I130" s="380"/>
      <c r="J130" s="380"/>
      <c r="K130" s="380"/>
      <c r="L130" s="380"/>
      <c r="M130" s="380"/>
      <c r="N130" s="380"/>
      <c r="O130" s="380"/>
      <c r="P130" s="380"/>
      <c r="Q130" s="380"/>
      <c r="R130" s="380"/>
      <c r="S130" s="380"/>
      <c r="T130" s="380"/>
    </row>
    <row r="131" spans="2:20">
      <c r="B131" s="380"/>
      <c r="C131" s="380"/>
      <c r="D131" s="380"/>
      <c r="E131" s="380"/>
      <c r="F131" s="380"/>
      <c r="G131" s="380"/>
      <c r="H131" s="380"/>
      <c r="I131" s="380"/>
      <c r="J131" s="380"/>
      <c r="K131" s="380"/>
      <c r="L131" s="380"/>
      <c r="M131" s="380"/>
      <c r="N131" s="380"/>
      <c r="O131" s="380"/>
      <c r="P131" s="380"/>
      <c r="Q131" s="380"/>
      <c r="R131" s="380"/>
      <c r="S131" s="380"/>
      <c r="T131" s="380"/>
    </row>
    <row r="132" spans="2:20">
      <c r="B132" s="380"/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0"/>
      <c r="N132" s="380"/>
      <c r="O132" s="380"/>
      <c r="P132" s="380"/>
      <c r="Q132" s="380"/>
      <c r="R132" s="380"/>
      <c r="S132" s="380"/>
      <c r="T132" s="380"/>
    </row>
    <row r="133" spans="2:20">
      <c r="B133" s="380"/>
      <c r="C133" s="380"/>
      <c r="D133" s="380"/>
      <c r="E133" s="380"/>
      <c r="F133" s="380"/>
      <c r="G133" s="380"/>
      <c r="H133" s="380"/>
      <c r="I133" s="380"/>
      <c r="J133" s="380"/>
      <c r="K133" s="380"/>
      <c r="L133" s="380"/>
      <c r="M133" s="380"/>
      <c r="N133" s="380"/>
      <c r="O133" s="380"/>
      <c r="P133" s="380"/>
      <c r="Q133" s="380"/>
      <c r="R133" s="380"/>
      <c r="S133" s="380"/>
      <c r="T133" s="380"/>
    </row>
    <row r="134" spans="2:20">
      <c r="B134" s="380"/>
      <c r="C134" s="380"/>
      <c r="D134" s="380"/>
      <c r="E134" s="380"/>
      <c r="F134" s="380"/>
      <c r="G134" s="380"/>
      <c r="H134" s="380"/>
      <c r="I134" s="380"/>
      <c r="J134" s="380"/>
      <c r="K134" s="380"/>
      <c r="L134" s="380"/>
      <c r="M134" s="380"/>
      <c r="N134" s="380"/>
      <c r="O134" s="380"/>
      <c r="P134" s="380"/>
      <c r="Q134" s="380"/>
      <c r="R134" s="380"/>
      <c r="S134" s="380"/>
      <c r="T134" s="380"/>
    </row>
    <row r="135" spans="2:20">
      <c r="B135" s="380"/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0"/>
      <c r="N135" s="380"/>
      <c r="O135" s="380"/>
      <c r="P135" s="380"/>
      <c r="Q135" s="380"/>
      <c r="R135" s="380"/>
      <c r="S135" s="380"/>
      <c r="T135" s="380"/>
    </row>
    <row r="136" spans="2:20">
      <c r="B136" s="380"/>
      <c r="C136" s="380"/>
      <c r="D136" s="380"/>
      <c r="E136" s="380"/>
      <c r="F136" s="380"/>
      <c r="G136" s="380"/>
      <c r="H136" s="380"/>
      <c r="I136" s="380"/>
      <c r="J136" s="380"/>
      <c r="K136" s="380"/>
      <c r="L136" s="380"/>
      <c r="M136" s="380"/>
      <c r="N136" s="380"/>
      <c r="O136" s="380"/>
      <c r="P136" s="380"/>
      <c r="Q136" s="380"/>
      <c r="R136" s="380"/>
      <c r="S136" s="380"/>
      <c r="T136" s="380"/>
    </row>
    <row r="137" spans="2:20">
      <c r="B137" s="380"/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0"/>
      <c r="N137" s="380"/>
      <c r="O137" s="380"/>
      <c r="P137" s="380"/>
      <c r="Q137" s="380"/>
      <c r="R137" s="380"/>
      <c r="S137" s="380"/>
      <c r="T137" s="380"/>
    </row>
    <row r="138" spans="2:20">
      <c r="B138" s="380"/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0"/>
      <c r="N138" s="380"/>
      <c r="O138" s="380"/>
      <c r="P138" s="380"/>
      <c r="Q138" s="380"/>
      <c r="R138" s="380"/>
      <c r="S138" s="380"/>
      <c r="T138" s="380"/>
    </row>
    <row r="139" spans="2:20">
      <c r="B139" s="380"/>
      <c r="C139" s="380"/>
      <c r="D139" s="380"/>
      <c r="E139" s="380"/>
      <c r="F139" s="380"/>
      <c r="G139" s="380"/>
      <c r="H139" s="380"/>
      <c r="I139" s="380"/>
      <c r="J139" s="380"/>
      <c r="K139" s="380"/>
      <c r="L139" s="380"/>
      <c r="M139" s="380"/>
      <c r="N139" s="380"/>
      <c r="O139" s="380"/>
      <c r="P139" s="380"/>
      <c r="Q139" s="380"/>
      <c r="R139" s="380"/>
      <c r="S139" s="380"/>
      <c r="T139" s="380"/>
    </row>
    <row r="140" spans="2:20">
      <c r="B140" s="380"/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0"/>
      <c r="N140" s="380"/>
      <c r="O140" s="380"/>
      <c r="P140" s="380"/>
      <c r="Q140" s="380"/>
      <c r="R140" s="380"/>
      <c r="S140" s="380"/>
      <c r="T140" s="380"/>
    </row>
    <row r="141" spans="2:20">
      <c r="B141" s="380"/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0"/>
      <c r="N141" s="380"/>
      <c r="O141" s="380"/>
      <c r="P141" s="380"/>
      <c r="Q141" s="380"/>
      <c r="R141" s="380"/>
      <c r="S141" s="380"/>
      <c r="T141" s="380"/>
    </row>
    <row r="142" spans="2:20">
      <c r="B142" s="380"/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0"/>
      <c r="N142" s="380"/>
      <c r="O142" s="380"/>
      <c r="P142" s="380"/>
      <c r="Q142" s="380"/>
      <c r="R142" s="380"/>
      <c r="S142" s="380"/>
      <c r="T142" s="380"/>
    </row>
    <row r="143" spans="2:20">
      <c r="B143" s="380"/>
      <c r="C143" s="380"/>
      <c r="D143" s="380"/>
      <c r="E143" s="380"/>
      <c r="F143" s="380"/>
      <c r="G143" s="380"/>
      <c r="H143" s="380"/>
      <c r="I143" s="380"/>
      <c r="J143" s="380"/>
      <c r="K143" s="380"/>
      <c r="L143" s="380"/>
      <c r="M143" s="380"/>
      <c r="N143" s="380"/>
      <c r="O143" s="380"/>
      <c r="P143" s="380"/>
      <c r="Q143" s="380"/>
      <c r="R143" s="380"/>
      <c r="S143" s="380"/>
      <c r="T143" s="380"/>
    </row>
    <row r="144" spans="2:20">
      <c r="B144" s="380"/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0"/>
      <c r="N144" s="380"/>
      <c r="O144" s="380"/>
      <c r="P144" s="380"/>
      <c r="Q144" s="380"/>
      <c r="R144" s="380"/>
      <c r="S144" s="380"/>
      <c r="T144" s="380"/>
    </row>
    <row r="145" spans="2:20">
      <c r="B145" s="380"/>
      <c r="C145" s="380"/>
      <c r="D145" s="380"/>
      <c r="E145" s="380"/>
      <c r="F145" s="380"/>
      <c r="G145" s="380"/>
      <c r="H145" s="380"/>
      <c r="I145" s="380"/>
      <c r="J145" s="380"/>
      <c r="K145" s="380"/>
      <c r="L145" s="380"/>
      <c r="M145" s="380"/>
      <c r="N145" s="380"/>
      <c r="O145" s="380"/>
      <c r="P145" s="380"/>
      <c r="Q145" s="380"/>
      <c r="R145" s="380"/>
      <c r="S145" s="380"/>
      <c r="T145" s="380"/>
    </row>
    <row r="146" spans="2:20">
      <c r="B146" s="380"/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0"/>
      <c r="N146" s="380"/>
      <c r="O146" s="380"/>
      <c r="P146" s="380"/>
      <c r="Q146" s="380"/>
      <c r="R146" s="380"/>
      <c r="S146" s="380"/>
      <c r="T146" s="380"/>
    </row>
    <row r="147" spans="2:20">
      <c r="B147" s="380"/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0"/>
      <c r="N147" s="380"/>
      <c r="O147" s="380"/>
      <c r="P147" s="380"/>
      <c r="Q147" s="380"/>
      <c r="R147" s="380"/>
      <c r="S147" s="380"/>
      <c r="T147" s="380"/>
    </row>
    <row r="148" spans="2:20">
      <c r="B148" s="380"/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0"/>
      <c r="N148" s="380"/>
      <c r="O148" s="380"/>
      <c r="P148" s="380"/>
      <c r="Q148" s="380"/>
      <c r="R148" s="380"/>
      <c r="S148" s="380"/>
      <c r="T148" s="380"/>
    </row>
    <row r="149" spans="2:20">
      <c r="B149" s="380"/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0"/>
      <c r="N149" s="380"/>
      <c r="O149" s="380"/>
      <c r="P149" s="380"/>
      <c r="Q149" s="380"/>
      <c r="R149" s="380"/>
      <c r="S149" s="380"/>
      <c r="T149" s="380"/>
    </row>
    <row r="150" spans="2:20">
      <c r="B150" s="380"/>
      <c r="C150" s="380"/>
      <c r="D150" s="380"/>
      <c r="E150" s="380"/>
      <c r="F150" s="380"/>
      <c r="G150" s="380"/>
      <c r="H150" s="380"/>
      <c r="I150" s="380"/>
      <c r="J150" s="380"/>
      <c r="K150" s="380"/>
      <c r="L150" s="380"/>
      <c r="M150" s="380"/>
      <c r="N150" s="380"/>
      <c r="O150" s="380"/>
      <c r="P150" s="380"/>
      <c r="Q150" s="380"/>
      <c r="R150" s="380"/>
      <c r="S150" s="380"/>
      <c r="T150" s="380"/>
    </row>
    <row r="151" spans="2:20">
      <c r="B151" s="380"/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0"/>
      <c r="N151" s="380"/>
      <c r="O151" s="380"/>
      <c r="P151" s="380"/>
      <c r="Q151" s="380"/>
      <c r="R151" s="380"/>
      <c r="S151" s="380"/>
      <c r="T151" s="380"/>
    </row>
    <row r="152" spans="2:20">
      <c r="B152" s="380"/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</row>
    <row r="153" spans="2:20">
      <c r="B153" s="380"/>
      <c r="C153" s="380"/>
      <c r="D153" s="380"/>
      <c r="E153" s="380"/>
      <c r="F153" s="380"/>
      <c r="G153" s="380"/>
      <c r="H153" s="380"/>
      <c r="I153" s="380"/>
      <c r="J153" s="380"/>
      <c r="K153" s="380"/>
      <c r="L153" s="380"/>
      <c r="M153" s="380"/>
      <c r="N153" s="380"/>
      <c r="O153" s="380"/>
      <c r="P153" s="380"/>
      <c r="Q153" s="380"/>
      <c r="R153" s="380"/>
      <c r="S153" s="380"/>
      <c r="T153" s="380"/>
    </row>
    <row r="154" spans="2:20">
      <c r="B154" s="380"/>
      <c r="C154" s="380"/>
      <c r="D154" s="380"/>
      <c r="E154" s="380"/>
      <c r="F154" s="380"/>
      <c r="G154" s="380"/>
      <c r="H154" s="380"/>
      <c r="I154" s="380"/>
      <c r="J154" s="380"/>
      <c r="K154" s="380"/>
      <c r="L154" s="380"/>
      <c r="M154" s="380"/>
      <c r="N154" s="380"/>
      <c r="O154" s="380"/>
      <c r="P154" s="380"/>
      <c r="Q154" s="380"/>
      <c r="R154" s="380"/>
      <c r="S154" s="380"/>
      <c r="T154" s="380"/>
    </row>
    <row r="155" spans="2:20">
      <c r="B155" s="380"/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0"/>
      <c r="N155" s="380"/>
      <c r="O155" s="380"/>
      <c r="P155" s="380"/>
      <c r="Q155" s="380"/>
      <c r="R155" s="380"/>
      <c r="S155" s="380"/>
      <c r="T155" s="380"/>
    </row>
    <row r="156" spans="2:20">
      <c r="B156" s="380"/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0"/>
      <c r="N156" s="380"/>
      <c r="O156" s="380"/>
      <c r="P156" s="380"/>
      <c r="Q156" s="380"/>
      <c r="R156" s="380"/>
      <c r="S156" s="380"/>
      <c r="T156" s="380"/>
    </row>
    <row r="157" spans="2:20">
      <c r="B157" s="380"/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0"/>
      <c r="N157" s="380"/>
      <c r="O157" s="380"/>
      <c r="P157" s="380"/>
      <c r="Q157" s="380"/>
      <c r="R157" s="380"/>
      <c r="S157" s="380"/>
      <c r="T157" s="380"/>
    </row>
    <row r="158" spans="2:20">
      <c r="B158" s="380"/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0"/>
      <c r="N158" s="380"/>
      <c r="O158" s="380"/>
      <c r="P158" s="380"/>
      <c r="Q158" s="380"/>
      <c r="R158" s="380"/>
      <c r="S158" s="380"/>
      <c r="T158" s="380"/>
    </row>
    <row r="159" spans="2:20">
      <c r="B159" s="380"/>
      <c r="C159" s="380"/>
      <c r="D159" s="380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380"/>
      <c r="Q159" s="380"/>
      <c r="R159" s="380"/>
      <c r="S159" s="380"/>
      <c r="T159" s="380"/>
    </row>
    <row r="160" spans="2:20">
      <c r="B160" s="380"/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0"/>
      <c r="N160" s="380"/>
      <c r="O160" s="380"/>
      <c r="P160" s="380"/>
      <c r="Q160" s="380"/>
      <c r="R160" s="380"/>
      <c r="S160" s="380"/>
      <c r="T160" s="380"/>
    </row>
    <row r="161" spans="2:20">
      <c r="B161" s="380"/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0"/>
      <c r="N161" s="380"/>
      <c r="O161" s="380"/>
      <c r="P161" s="380"/>
      <c r="Q161" s="380"/>
      <c r="R161" s="380"/>
      <c r="S161" s="380"/>
      <c r="T161" s="380"/>
    </row>
    <row r="162" spans="2:20">
      <c r="B162" s="380"/>
      <c r="C162" s="380"/>
      <c r="D162" s="380"/>
      <c r="E162" s="380"/>
      <c r="F162" s="380"/>
      <c r="G162" s="380"/>
      <c r="H162" s="380"/>
      <c r="I162" s="380"/>
      <c r="J162" s="380"/>
      <c r="K162" s="380"/>
      <c r="L162" s="380"/>
      <c r="M162" s="380"/>
      <c r="N162" s="380"/>
      <c r="O162" s="380"/>
      <c r="P162" s="380"/>
      <c r="Q162" s="380"/>
      <c r="R162" s="380"/>
      <c r="S162" s="380"/>
      <c r="T162" s="380"/>
    </row>
    <row r="163" spans="2:20">
      <c r="B163" s="380"/>
      <c r="C163" s="380"/>
      <c r="D163" s="380"/>
      <c r="E163" s="380"/>
      <c r="F163" s="380"/>
      <c r="G163" s="380"/>
      <c r="H163" s="380"/>
      <c r="I163" s="380"/>
      <c r="J163" s="380"/>
      <c r="K163" s="380"/>
      <c r="L163" s="380"/>
      <c r="M163" s="380"/>
      <c r="N163" s="380"/>
      <c r="O163" s="380"/>
      <c r="P163" s="380"/>
      <c r="Q163" s="380"/>
      <c r="R163" s="380"/>
      <c r="S163" s="380"/>
      <c r="T163" s="380"/>
    </row>
    <row r="164" spans="2:20">
      <c r="B164" s="380"/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0"/>
      <c r="N164" s="380"/>
      <c r="O164" s="380"/>
      <c r="P164" s="380"/>
      <c r="Q164" s="380"/>
      <c r="R164" s="380"/>
      <c r="S164" s="380"/>
      <c r="T164" s="380"/>
    </row>
    <row r="165" spans="2:20">
      <c r="B165" s="380"/>
      <c r="C165" s="380"/>
      <c r="D165" s="380"/>
      <c r="E165" s="380"/>
      <c r="F165" s="380"/>
      <c r="G165" s="380"/>
      <c r="H165" s="380"/>
      <c r="I165" s="380"/>
      <c r="J165" s="380"/>
      <c r="K165" s="380"/>
      <c r="L165" s="380"/>
      <c r="M165" s="380"/>
      <c r="N165" s="380"/>
      <c r="O165" s="380"/>
      <c r="P165" s="380"/>
      <c r="Q165" s="380"/>
      <c r="R165" s="380"/>
      <c r="S165" s="380"/>
      <c r="T165" s="380"/>
    </row>
    <row r="166" spans="2:20">
      <c r="B166" s="380"/>
      <c r="C166" s="380"/>
      <c r="D166" s="380"/>
      <c r="E166" s="380"/>
      <c r="F166" s="380"/>
      <c r="G166" s="380"/>
      <c r="H166" s="380"/>
      <c r="I166" s="380"/>
      <c r="J166" s="380"/>
      <c r="K166" s="380"/>
      <c r="L166" s="380"/>
      <c r="M166" s="380"/>
      <c r="N166" s="380"/>
      <c r="O166" s="380"/>
      <c r="P166" s="380"/>
      <c r="Q166" s="380"/>
      <c r="R166" s="380"/>
      <c r="S166" s="380"/>
      <c r="T166" s="380"/>
    </row>
    <row r="167" spans="2:20">
      <c r="B167" s="380"/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0"/>
      <c r="N167" s="380"/>
      <c r="O167" s="380"/>
      <c r="P167" s="380"/>
      <c r="Q167" s="380"/>
      <c r="R167" s="380"/>
      <c r="S167" s="380"/>
      <c r="T167" s="380"/>
    </row>
    <row r="168" spans="2:20">
      <c r="B168" s="380"/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0"/>
      <c r="N168" s="380"/>
      <c r="O168" s="380"/>
      <c r="P168" s="380"/>
      <c r="Q168" s="380"/>
      <c r="R168" s="380"/>
      <c r="S168" s="380"/>
      <c r="T168" s="380"/>
    </row>
    <row r="169" spans="2:20">
      <c r="B169" s="380"/>
      <c r="C169" s="380"/>
      <c r="D169" s="380"/>
      <c r="E169" s="380"/>
      <c r="F169" s="380"/>
      <c r="G169" s="380"/>
      <c r="H169" s="380"/>
      <c r="I169" s="380"/>
      <c r="J169" s="380"/>
      <c r="K169" s="380"/>
      <c r="L169" s="380"/>
      <c r="M169" s="380"/>
      <c r="N169" s="380"/>
      <c r="O169" s="380"/>
      <c r="P169" s="380"/>
      <c r="Q169" s="380"/>
      <c r="R169" s="380"/>
      <c r="S169" s="380"/>
      <c r="T169" s="380"/>
    </row>
    <row r="170" spans="2:20">
      <c r="B170" s="380"/>
      <c r="C170" s="380"/>
      <c r="D170" s="380"/>
      <c r="E170" s="380"/>
      <c r="F170" s="380"/>
      <c r="G170" s="380"/>
      <c r="H170" s="380"/>
      <c r="I170" s="380"/>
      <c r="J170" s="380"/>
      <c r="K170" s="380"/>
      <c r="L170" s="380"/>
      <c r="M170" s="380"/>
      <c r="N170" s="380"/>
      <c r="O170" s="380"/>
      <c r="P170" s="380"/>
      <c r="Q170" s="380"/>
      <c r="R170" s="380"/>
      <c r="S170" s="380"/>
      <c r="T170" s="380"/>
    </row>
    <row r="171" spans="2:20">
      <c r="B171" s="380"/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0"/>
      <c r="N171" s="380"/>
      <c r="O171" s="380"/>
      <c r="P171" s="380"/>
      <c r="Q171" s="380"/>
      <c r="R171" s="380"/>
      <c r="S171" s="380"/>
      <c r="T171" s="380"/>
    </row>
    <row r="172" spans="2:20">
      <c r="B172" s="380"/>
      <c r="C172" s="380"/>
      <c r="D172" s="380"/>
      <c r="E172" s="380"/>
      <c r="F172" s="380"/>
      <c r="G172" s="380"/>
      <c r="H172" s="380"/>
      <c r="I172" s="380"/>
      <c r="J172" s="380"/>
      <c r="K172" s="380"/>
      <c r="L172" s="380"/>
      <c r="M172" s="380"/>
      <c r="N172" s="380"/>
      <c r="O172" s="380"/>
      <c r="P172" s="380"/>
      <c r="Q172" s="380"/>
      <c r="R172" s="380"/>
      <c r="S172" s="380"/>
      <c r="T172" s="380"/>
    </row>
    <row r="173" spans="2:20">
      <c r="B173" s="380"/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0"/>
      <c r="N173" s="380"/>
      <c r="O173" s="380"/>
      <c r="P173" s="380"/>
      <c r="Q173" s="380"/>
      <c r="R173" s="380"/>
      <c r="S173" s="380"/>
      <c r="T173" s="380"/>
    </row>
    <row r="174" spans="2:20">
      <c r="B174" s="380"/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0"/>
      <c r="N174" s="380"/>
      <c r="O174" s="380"/>
      <c r="P174" s="380"/>
      <c r="Q174" s="380"/>
      <c r="R174" s="380"/>
      <c r="S174" s="380"/>
      <c r="T174" s="380"/>
    </row>
    <row r="175" spans="2:20">
      <c r="B175" s="380"/>
      <c r="C175" s="380"/>
      <c r="D175" s="380"/>
      <c r="E175" s="380"/>
      <c r="F175" s="380"/>
      <c r="G175" s="380"/>
      <c r="H175" s="380"/>
      <c r="I175" s="380"/>
      <c r="J175" s="380"/>
      <c r="K175" s="380"/>
      <c r="L175" s="380"/>
      <c r="M175" s="380"/>
      <c r="N175" s="380"/>
      <c r="O175" s="380"/>
      <c r="P175" s="380"/>
      <c r="Q175" s="380"/>
      <c r="R175" s="380"/>
      <c r="S175" s="380"/>
      <c r="T175" s="380"/>
    </row>
    <row r="176" spans="2:20">
      <c r="B176" s="380"/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0"/>
      <c r="N176" s="380"/>
      <c r="O176" s="380"/>
      <c r="P176" s="380"/>
      <c r="Q176" s="380"/>
      <c r="R176" s="380"/>
      <c r="S176" s="380"/>
      <c r="T176" s="380"/>
    </row>
    <row r="177" spans="2:20">
      <c r="B177" s="380"/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0"/>
      <c r="N177" s="380"/>
      <c r="O177" s="380"/>
      <c r="P177" s="380"/>
      <c r="Q177" s="380"/>
      <c r="R177" s="380"/>
      <c r="S177" s="380"/>
      <c r="T177" s="380"/>
    </row>
    <row r="178" spans="2:20">
      <c r="B178" s="380"/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0"/>
      <c r="N178" s="380"/>
      <c r="O178" s="380"/>
      <c r="P178" s="380"/>
      <c r="Q178" s="380"/>
      <c r="R178" s="380"/>
      <c r="S178" s="380"/>
      <c r="T178" s="380"/>
    </row>
    <row r="179" spans="2:20">
      <c r="B179" s="380"/>
      <c r="C179" s="380"/>
      <c r="D179" s="380"/>
      <c r="E179" s="380"/>
      <c r="F179" s="380"/>
      <c r="G179" s="380"/>
      <c r="H179" s="380"/>
      <c r="I179" s="380"/>
      <c r="J179" s="380"/>
      <c r="K179" s="380"/>
      <c r="L179" s="380"/>
      <c r="M179" s="380"/>
      <c r="N179" s="380"/>
      <c r="O179" s="380"/>
      <c r="P179" s="380"/>
      <c r="Q179" s="380"/>
      <c r="R179" s="380"/>
      <c r="S179" s="380"/>
      <c r="T179" s="380"/>
    </row>
    <row r="180" spans="2:20">
      <c r="B180" s="380"/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0"/>
      <c r="N180" s="380"/>
      <c r="O180" s="380"/>
      <c r="P180" s="380"/>
      <c r="Q180" s="380"/>
      <c r="R180" s="380"/>
      <c r="S180" s="380"/>
      <c r="T180" s="380"/>
    </row>
    <row r="181" spans="2:20">
      <c r="B181" s="380"/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0"/>
      <c r="N181" s="380"/>
      <c r="O181" s="380"/>
      <c r="P181" s="380"/>
      <c r="Q181" s="380"/>
      <c r="R181" s="380"/>
      <c r="S181" s="380"/>
      <c r="T181" s="380"/>
    </row>
    <row r="182" spans="2:20">
      <c r="B182" s="380"/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0"/>
      <c r="N182" s="380"/>
      <c r="O182" s="380"/>
      <c r="P182" s="380"/>
      <c r="Q182" s="380"/>
      <c r="R182" s="380"/>
      <c r="S182" s="380"/>
      <c r="T182" s="380"/>
    </row>
    <row r="183" spans="2:20">
      <c r="B183" s="380"/>
      <c r="C183" s="380"/>
      <c r="D183" s="380"/>
      <c r="E183" s="380"/>
      <c r="F183" s="380"/>
      <c r="G183" s="380"/>
      <c r="H183" s="380"/>
      <c r="I183" s="380"/>
      <c r="J183" s="380"/>
      <c r="K183" s="380"/>
      <c r="L183" s="380"/>
      <c r="M183" s="380"/>
      <c r="N183" s="380"/>
      <c r="O183" s="380"/>
      <c r="P183" s="380"/>
      <c r="Q183" s="380"/>
      <c r="R183" s="380"/>
      <c r="S183" s="380"/>
      <c r="T183" s="380"/>
    </row>
    <row r="184" spans="2:20">
      <c r="B184" s="380"/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0"/>
      <c r="N184" s="380"/>
      <c r="O184" s="380"/>
      <c r="P184" s="380"/>
      <c r="Q184" s="380"/>
      <c r="R184" s="380"/>
      <c r="S184" s="380"/>
      <c r="T184" s="380"/>
    </row>
    <row r="185" spans="2:20">
      <c r="B185" s="380"/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0"/>
      <c r="N185" s="380"/>
      <c r="O185" s="380"/>
      <c r="P185" s="380"/>
      <c r="Q185" s="380"/>
      <c r="R185" s="380"/>
      <c r="S185" s="380"/>
      <c r="T185" s="380"/>
    </row>
    <row r="186" spans="2:20">
      <c r="B186" s="380"/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0"/>
      <c r="N186" s="380"/>
      <c r="O186" s="380"/>
      <c r="P186" s="380"/>
      <c r="Q186" s="380"/>
      <c r="R186" s="380"/>
      <c r="S186" s="380"/>
      <c r="T186" s="380"/>
    </row>
    <row r="187" spans="2:20">
      <c r="B187" s="380"/>
      <c r="C187" s="380"/>
      <c r="D187" s="380"/>
      <c r="E187" s="380"/>
      <c r="F187" s="380"/>
      <c r="G187" s="380"/>
      <c r="H187" s="380"/>
      <c r="I187" s="380"/>
      <c r="J187" s="380"/>
      <c r="K187" s="380"/>
      <c r="L187" s="380"/>
      <c r="M187" s="380"/>
      <c r="N187" s="380"/>
      <c r="O187" s="380"/>
      <c r="P187" s="380"/>
      <c r="Q187" s="380"/>
      <c r="R187" s="380"/>
      <c r="S187" s="380"/>
      <c r="T187" s="380"/>
    </row>
    <row r="188" spans="2:20">
      <c r="B188" s="380"/>
      <c r="C188" s="380"/>
      <c r="D188" s="380"/>
      <c r="E188" s="380"/>
      <c r="F188" s="380"/>
      <c r="G188" s="380"/>
      <c r="H188" s="380"/>
      <c r="I188" s="380"/>
      <c r="J188" s="380"/>
      <c r="K188" s="380"/>
      <c r="L188" s="380"/>
      <c r="M188" s="380"/>
      <c r="N188" s="380"/>
      <c r="O188" s="380"/>
      <c r="P188" s="380"/>
      <c r="Q188" s="380"/>
      <c r="R188" s="380"/>
      <c r="S188" s="380"/>
      <c r="T188" s="380"/>
    </row>
    <row r="189" spans="2:20">
      <c r="B189" s="380"/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0"/>
      <c r="N189" s="380"/>
      <c r="O189" s="380"/>
      <c r="P189" s="380"/>
      <c r="Q189" s="380"/>
      <c r="R189" s="380"/>
      <c r="S189" s="380"/>
      <c r="T189" s="380"/>
    </row>
    <row r="190" spans="2:20">
      <c r="B190" s="380"/>
      <c r="C190" s="380"/>
      <c r="D190" s="380"/>
      <c r="E190" s="380"/>
      <c r="F190" s="380"/>
      <c r="G190" s="380"/>
      <c r="H190" s="380"/>
      <c r="I190" s="380"/>
      <c r="J190" s="380"/>
      <c r="K190" s="380"/>
      <c r="L190" s="380"/>
      <c r="M190" s="380"/>
      <c r="N190" s="380"/>
      <c r="O190" s="380"/>
      <c r="P190" s="380"/>
      <c r="Q190" s="380"/>
      <c r="R190" s="380"/>
      <c r="S190" s="380"/>
      <c r="T190" s="380"/>
    </row>
    <row r="191" spans="2:20">
      <c r="B191" s="380"/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0"/>
      <c r="N191" s="380"/>
      <c r="O191" s="380"/>
      <c r="P191" s="380"/>
      <c r="Q191" s="380"/>
      <c r="R191" s="380"/>
      <c r="S191" s="380"/>
      <c r="T191" s="380"/>
    </row>
    <row r="192" spans="2:20">
      <c r="B192" s="380"/>
      <c r="C192" s="380"/>
      <c r="D192" s="380"/>
      <c r="E192" s="380"/>
      <c r="F192" s="380"/>
      <c r="G192" s="380"/>
      <c r="H192" s="380"/>
      <c r="I192" s="380"/>
      <c r="J192" s="380"/>
      <c r="K192" s="380"/>
      <c r="L192" s="380"/>
      <c r="M192" s="380"/>
      <c r="N192" s="380"/>
      <c r="O192" s="380"/>
      <c r="P192" s="380"/>
      <c r="Q192" s="380"/>
      <c r="R192" s="380"/>
      <c r="S192" s="380"/>
      <c r="T192" s="380"/>
    </row>
    <row r="193" spans="2:20">
      <c r="B193" s="380"/>
      <c r="C193" s="380"/>
      <c r="D193" s="380"/>
      <c r="E193" s="380"/>
      <c r="F193" s="380"/>
      <c r="G193" s="380"/>
      <c r="H193" s="380"/>
      <c r="I193" s="380"/>
      <c r="J193" s="380"/>
      <c r="K193" s="380"/>
      <c r="L193" s="380"/>
      <c r="M193" s="380"/>
      <c r="N193" s="380"/>
      <c r="O193" s="380"/>
      <c r="P193" s="380"/>
      <c r="Q193" s="380"/>
      <c r="R193" s="380"/>
      <c r="S193" s="380"/>
      <c r="T193" s="380"/>
    </row>
    <row r="194" spans="2:20">
      <c r="B194" s="380"/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0"/>
      <c r="N194" s="380"/>
      <c r="O194" s="380"/>
      <c r="P194" s="380"/>
      <c r="Q194" s="380"/>
      <c r="R194" s="380"/>
      <c r="S194" s="380"/>
      <c r="T194" s="380"/>
    </row>
    <row r="195" spans="2:20">
      <c r="B195" s="380"/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0"/>
      <c r="N195" s="380"/>
      <c r="O195" s="380"/>
      <c r="P195" s="380"/>
      <c r="Q195" s="380"/>
      <c r="R195" s="380"/>
      <c r="S195" s="380"/>
      <c r="T195" s="380"/>
    </row>
    <row r="196" spans="2:20">
      <c r="B196" s="380"/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0"/>
      <c r="N196" s="380"/>
      <c r="O196" s="380"/>
      <c r="P196" s="380"/>
      <c r="Q196" s="380"/>
      <c r="R196" s="380"/>
      <c r="S196" s="380"/>
      <c r="T196" s="380"/>
    </row>
    <row r="197" spans="2:20">
      <c r="B197" s="380"/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0"/>
      <c r="N197" s="380"/>
      <c r="O197" s="380"/>
      <c r="P197" s="380"/>
      <c r="Q197" s="380"/>
      <c r="R197" s="380"/>
      <c r="S197" s="380"/>
      <c r="T197" s="380"/>
    </row>
    <row r="198" spans="2:20">
      <c r="B198" s="380"/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0"/>
      <c r="N198" s="380"/>
      <c r="O198" s="380"/>
      <c r="P198" s="380"/>
      <c r="Q198" s="380"/>
      <c r="R198" s="380"/>
      <c r="S198" s="380"/>
      <c r="T198" s="380"/>
    </row>
    <row r="199" spans="2:20">
      <c r="B199" s="380"/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0"/>
      <c r="N199" s="380"/>
      <c r="O199" s="380"/>
      <c r="P199" s="380"/>
      <c r="Q199" s="380"/>
      <c r="R199" s="380"/>
      <c r="S199" s="380"/>
      <c r="T199" s="380"/>
    </row>
    <row r="200" spans="2:20">
      <c r="B200" s="380"/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0"/>
      <c r="T200" s="380"/>
    </row>
    <row r="201" spans="2:20">
      <c r="B201" s="380"/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0"/>
      <c r="T201" s="380"/>
    </row>
    <row r="202" spans="2:20">
      <c r="B202" s="380"/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0"/>
      <c r="T202" s="380"/>
    </row>
    <row r="203" spans="2:20">
      <c r="B203" s="380"/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0"/>
      <c r="N203" s="380"/>
      <c r="O203" s="380"/>
      <c r="P203" s="380"/>
      <c r="Q203" s="380"/>
      <c r="R203" s="380"/>
      <c r="S203" s="380"/>
      <c r="T203" s="380"/>
    </row>
    <row r="204" spans="2:20">
      <c r="B204" s="380"/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0"/>
      <c r="N204" s="380"/>
      <c r="O204" s="380"/>
      <c r="P204" s="380"/>
      <c r="Q204" s="380"/>
      <c r="R204" s="380"/>
      <c r="S204" s="380"/>
      <c r="T204" s="380"/>
    </row>
    <row r="205" spans="2:20">
      <c r="B205" s="380"/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0"/>
      <c r="N205" s="380"/>
      <c r="O205" s="380"/>
      <c r="P205" s="380"/>
      <c r="Q205" s="380"/>
      <c r="R205" s="380"/>
      <c r="S205" s="380"/>
      <c r="T205" s="380"/>
    </row>
    <row r="206" spans="2:20">
      <c r="B206" s="380"/>
      <c r="C206" s="380"/>
      <c r="D206" s="380"/>
      <c r="E206" s="380"/>
      <c r="F206" s="380"/>
      <c r="G206" s="380"/>
      <c r="H206" s="380"/>
      <c r="I206" s="380"/>
      <c r="J206" s="380"/>
      <c r="K206" s="380"/>
      <c r="L206" s="380"/>
      <c r="M206" s="380"/>
      <c r="N206" s="380"/>
      <c r="O206" s="380"/>
      <c r="P206" s="380"/>
      <c r="Q206" s="380"/>
      <c r="R206" s="380"/>
      <c r="S206" s="380"/>
      <c r="T206" s="380"/>
    </row>
    <row r="207" spans="2:20">
      <c r="B207" s="380"/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0"/>
      <c r="T207" s="380"/>
    </row>
    <row r="208" spans="2:20">
      <c r="B208" s="380"/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0"/>
      <c r="T208" s="380"/>
    </row>
    <row r="209" spans="2:20">
      <c r="B209" s="380"/>
      <c r="C209" s="380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0"/>
      <c r="T209" s="380"/>
    </row>
    <row r="210" spans="2:20">
      <c r="B210" s="380"/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0"/>
      <c r="N210" s="380"/>
      <c r="O210" s="380"/>
      <c r="P210" s="380"/>
      <c r="Q210" s="380"/>
      <c r="R210" s="380"/>
      <c r="S210" s="380"/>
      <c r="T210" s="380"/>
    </row>
    <row r="211" spans="2:20">
      <c r="B211" s="380"/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0"/>
      <c r="N211" s="380"/>
      <c r="O211" s="380"/>
      <c r="P211" s="380"/>
      <c r="Q211" s="380"/>
      <c r="R211" s="380"/>
      <c r="S211" s="380"/>
      <c r="T211" s="380"/>
    </row>
    <row r="212" spans="2:20">
      <c r="B212" s="380"/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0"/>
      <c r="N212" s="380"/>
      <c r="O212" s="380"/>
      <c r="P212" s="380"/>
      <c r="Q212" s="380"/>
      <c r="R212" s="380"/>
      <c r="S212" s="380"/>
      <c r="T212" s="380"/>
    </row>
    <row r="213" spans="2:20">
      <c r="B213" s="380"/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0"/>
      <c r="N213" s="380"/>
      <c r="O213" s="380"/>
      <c r="P213" s="380"/>
      <c r="Q213" s="380"/>
      <c r="R213" s="380"/>
      <c r="S213" s="380"/>
      <c r="T213" s="380"/>
    </row>
    <row r="214" spans="2:20">
      <c r="B214" s="380"/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0"/>
      <c r="T214" s="380"/>
    </row>
    <row r="215" spans="2:20">
      <c r="B215" s="380"/>
      <c r="C215" s="380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0"/>
      <c r="T215" s="380"/>
    </row>
    <row r="216" spans="2:20">
      <c r="B216" s="380"/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0"/>
      <c r="T216" s="380"/>
    </row>
    <row r="217" spans="2:20">
      <c r="B217" s="380"/>
      <c r="C217" s="380"/>
      <c r="D217" s="380"/>
      <c r="E217" s="380"/>
      <c r="F217" s="380"/>
      <c r="G217" s="380"/>
      <c r="H217" s="380"/>
      <c r="I217" s="380"/>
      <c r="J217" s="380"/>
      <c r="K217" s="380"/>
      <c r="L217" s="380"/>
      <c r="M217" s="380"/>
      <c r="N217" s="380"/>
      <c r="O217" s="380"/>
      <c r="P217" s="380"/>
      <c r="Q217" s="380"/>
      <c r="R217" s="380"/>
      <c r="S217" s="380"/>
      <c r="T217" s="380"/>
    </row>
    <row r="218" spans="2:20">
      <c r="B218" s="380"/>
      <c r="C218" s="380"/>
      <c r="D218" s="380"/>
      <c r="E218" s="380"/>
      <c r="F218" s="380"/>
      <c r="G218" s="380"/>
      <c r="H218" s="380"/>
      <c r="I218" s="380"/>
      <c r="J218" s="380"/>
      <c r="K218" s="380"/>
      <c r="L218" s="380"/>
      <c r="M218" s="380"/>
      <c r="N218" s="380"/>
      <c r="O218" s="380"/>
      <c r="P218" s="380"/>
      <c r="Q218" s="380"/>
      <c r="R218" s="380"/>
      <c r="S218" s="380"/>
      <c r="T218" s="380"/>
    </row>
    <row r="219" spans="2:20">
      <c r="B219" s="380"/>
      <c r="C219" s="380"/>
      <c r="D219" s="380"/>
      <c r="E219" s="380"/>
      <c r="F219" s="380"/>
      <c r="G219" s="380"/>
      <c r="H219" s="380"/>
      <c r="I219" s="380"/>
      <c r="J219" s="380"/>
      <c r="K219" s="380"/>
      <c r="L219" s="380"/>
      <c r="M219" s="380"/>
      <c r="N219" s="380"/>
      <c r="O219" s="380"/>
      <c r="P219" s="380"/>
      <c r="Q219" s="380"/>
      <c r="R219" s="380"/>
      <c r="S219" s="380"/>
      <c r="T219" s="380"/>
    </row>
    <row r="220" spans="2:20">
      <c r="B220" s="380"/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0"/>
      <c r="N220" s="380"/>
      <c r="O220" s="380"/>
      <c r="P220" s="380"/>
      <c r="Q220" s="380"/>
      <c r="R220" s="380"/>
      <c r="S220" s="380"/>
      <c r="T220" s="380"/>
    </row>
    <row r="221" spans="2:20">
      <c r="B221" s="380"/>
      <c r="C221" s="380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0"/>
      <c r="T221" s="380"/>
    </row>
    <row r="222" spans="2:20">
      <c r="B222" s="380"/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0"/>
      <c r="T222" s="380"/>
    </row>
    <row r="223" spans="2:20">
      <c r="B223" s="380"/>
      <c r="C223" s="380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0"/>
      <c r="T223" s="380"/>
    </row>
    <row r="224" spans="2:20">
      <c r="B224" s="380"/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0"/>
      <c r="N224" s="380"/>
      <c r="O224" s="380"/>
      <c r="P224" s="380"/>
      <c r="Q224" s="380"/>
      <c r="R224" s="380"/>
      <c r="S224" s="380"/>
      <c r="T224" s="380"/>
    </row>
    <row r="225" spans="2:20">
      <c r="B225" s="380"/>
      <c r="C225" s="380"/>
      <c r="D225" s="380"/>
      <c r="E225" s="380"/>
      <c r="F225" s="380"/>
      <c r="G225" s="380"/>
      <c r="H225" s="380"/>
      <c r="I225" s="380"/>
      <c r="J225" s="380"/>
      <c r="K225" s="380"/>
      <c r="L225" s="380"/>
      <c r="M225" s="380"/>
      <c r="N225" s="380"/>
      <c r="O225" s="380"/>
      <c r="P225" s="380"/>
      <c r="Q225" s="380"/>
      <c r="R225" s="380"/>
      <c r="S225" s="380"/>
      <c r="T225" s="380"/>
    </row>
    <row r="226" spans="2:20">
      <c r="B226" s="380"/>
      <c r="C226" s="380"/>
      <c r="D226" s="380"/>
      <c r="E226" s="380"/>
      <c r="F226" s="380"/>
      <c r="G226" s="380"/>
      <c r="H226" s="380"/>
      <c r="I226" s="380"/>
      <c r="J226" s="380"/>
      <c r="K226" s="380"/>
      <c r="L226" s="380"/>
      <c r="M226" s="380"/>
      <c r="N226" s="380"/>
      <c r="O226" s="380"/>
      <c r="P226" s="380"/>
      <c r="Q226" s="380"/>
      <c r="R226" s="380"/>
      <c r="S226" s="380"/>
      <c r="T226" s="380"/>
    </row>
    <row r="227" spans="2:20">
      <c r="B227" s="380"/>
      <c r="C227" s="380"/>
      <c r="D227" s="380"/>
      <c r="E227" s="380"/>
      <c r="F227" s="380"/>
      <c r="G227" s="380"/>
      <c r="H227" s="380"/>
      <c r="I227" s="380"/>
      <c r="J227" s="380"/>
      <c r="K227" s="380"/>
      <c r="L227" s="380"/>
      <c r="M227" s="380"/>
      <c r="N227" s="380"/>
      <c r="O227" s="380"/>
      <c r="P227" s="380"/>
      <c r="Q227" s="380"/>
      <c r="R227" s="380"/>
      <c r="S227" s="380"/>
      <c r="T227" s="380"/>
    </row>
    <row r="228" spans="2:20">
      <c r="B228" s="380"/>
      <c r="C228" s="380"/>
      <c r="D228" s="380"/>
      <c r="E228" s="380"/>
      <c r="F228" s="380"/>
      <c r="G228" s="380"/>
      <c r="H228" s="380"/>
      <c r="I228" s="380"/>
      <c r="J228" s="380"/>
      <c r="K228" s="380"/>
      <c r="L228" s="380"/>
      <c r="M228" s="380"/>
      <c r="N228" s="380"/>
      <c r="O228" s="380"/>
      <c r="P228" s="380"/>
      <c r="Q228" s="380"/>
      <c r="R228" s="380"/>
      <c r="S228" s="380"/>
      <c r="T228" s="380"/>
    </row>
    <row r="229" spans="2:20">
      <c r="B229" s="380"/>
      <c r="C229" s="380"/>
      <c r="D229" s="380"/>
      <c r="E229" s="380"/>
      <c r="F229" s="380"/>
      <c r="G229" s="380"/>
      <c r="H229" s="380"/>
      <c r="I229" s="380"/>
      <c r="J229" s="380"/>
      <c r="K229" s="380"/>
      <c r="L229" s="380"/>
      <c r="M229" s="380"/>
      <c r="N229" s="380"/>
      <c r="O229" s="380"/>
      <c r="P229" s="380"/>
      <c r="Q229" s="380"/>
      <c r="R229" s="380"/>
      <c r="S229" s="380"/>
      <c r="T229" s="380"/>
    </row>
    <row r="230" spans="2:20">
      <c r="B230" s="380"/>
      <c r="C230" s="380"/>
      <c r="D230" s="380"/>
      <c r="E230" s="380"/>
      <c r="F230" s="380"/>
      <c r="G230" s="380"/>
      <c r="H230" s="380"/>
      <c r="I230" s="380"/>
      <c r="J230" s="380"/>
      <c r="K230" s="380"/>
      <c r="L230" s="380"/>
      <c r="M230" s="380"/>
      <c r="N230" s="380"/>
      <c r="O230" s="380"/>
      <c r="P230" s="380"/>
      <c r="Q230" s="380"/>
      <c r="R230" s="380"/>
      <c r="S230" s="380"/>
      <c r="T230" s="380"/>
    </row>
    <row r="231" spans="2:20">
      <c r="B231" s="380"/>
      <c r="C231" s="380"/>
      <c r="D231" s="380"/>
      <c r="E231" s="380"/>
      <c r="F231" s="380"/>
      <c r="G231" s="380"/>
      <c r="H231" s="380"/>
      <c r="I231" s="380"/>
      <c r="J231" s="380"/>
      <c r="K231" s="380"/>
      <c r="L231" s="380"/>
      <c r="M231" s="380"/>
      <c r="N231" s="380"/>
      <c r="O231" s="380"/>
      <c r="P231" s="380"/>
      <c r="Q231" s="380"/>
      <c r="R231" s="380"/>
      <c r="S231" s="380"/>
      <c r="T231" s="380"/>
    </row>
    <row r="232" spans="2:20">
      <c r="B232" s="380"/>
      <c r="C232" s="380"/>
      <c r="D232" s="380"/>
      <c r="E232" s="380"/>
      <c r="F232" s="380"/>
      <c r="G232" s="380"/>
      <c r="H232" s="380"/>
      <c r="I232" s="380"/>
      <c r="J232" s="380"/>
      <c r="K232" s="380"/>
      <c r="L232" s="380"/>
      <c r="M232" s="380"/>
      <c r="N232" s="380"/>
      <c r="O232" s="380"/>
      <c r="P232" s="380"/>
      <c r="Q232" s="380"/>
      <c r="R232" s="380"/>
      <c r="S232" s="380"/>
      <c r="T232" s="380"/>
    </row>
    <row r="233" spans="2:20">
      <c r="B233" s="380"/>
      <c r="C233" s="380"/>
      <c r="D233" s="380"/>
      <c r="E233" s="380"/>
      <c r="F233" s="380"/>
      <c r="G233" s="380"/>
      <c r="H233" s="380"/>
      <c r="I233" s="380"/>
      <c r="J233" s="380"/>
      <c r="K233" s="380"/>
      <c r="L233" s="380"/>
      <c r="M233" s="380"/>
      <c r="N233" s="380"/>
      <c r="O233" s="380"/>
      <c r="P233" s="380"/>
      <c r="Q233" s="380"/>
      <c r="R233" s="380"/>
      <c r="S233" s="380"/>
      <c r="T233" s="380"/>
    </row>
    <row r="234" spans="2:20">
      <c r="B234" s="380"/>
      <c r="C234" s="380"/>
      <c r="D234" s="380"/>
      <c r="E234" s="380"/>
      <c r="F234" s="380"/>
      <c r="G234" s="380"/>
      <c r="H234" s="380"/>
      <c r="I234" s="380"/>
      <c r="J234" s="380"/>
      <c r="K234" s="380"/>
      <c r="L234" s="380"/>
      <c r="M234" s="380"/>
      <c r="N234" s="380"/>
      <c r="O234" s="380"/>
      <c r="P234" s="380"/>
      <c r="Q234" s="380"/>
      <c r="R234" s="380"/>
      <c r="S234" s="380"/>
      <c r="T234" s="380"/>
    </row>
    <row r="235" spans="2:20">
      <c r="B235" s="380"/>
      <c r="C235" s="380"/>
      <c r="D235" s="380"/>
      <c r="E235" s="380"/>
      <c r="F235" s="380"/>
      <c r="G235" s="380"/>
      <c r="H235" s="380"/>
      <c r="I235" s="380"/>
      <c r="J235" s="380"/>
      <c r="K235" s="380"/>
      <c r="L235" s="380"/>
      <c r="M235" s="380"/>
      <c r="N235" s="380"/>
      <c r="O235" s="380"/>
      <c r="P235" s="380"/>
      <c r="Q235" s="380"/>
      <c r="R235" s="380"/>
      <c r="S235" s="380"/>
      <c r="T235" s="380"/>
    </row>
    <row r="236" spans="2:20">
      <c r="B236" s="380"/>
      <c r="C236" s="380"/>
      <c r="D236" s="380"/>
      <c r="E236" s="380"/>
      <c r="F236" s="380"/>
      <c r="G236" s="380"/>
      <c r="H236" s="380"/>
      <c r="I236" s="380"/>
      <c r="J236" s="380"/>
      <c r="K236" s="380"/>
      <c r="L236" s="380"/>
      <c r="M236" s="380"/>
      <c r="N236" s="380"/>
      <c r="O236" s="380"/>
      <c r="P236" s="380"/>
      <c r="Q236" s="380"/>
      <c r="R236" s="380"/>
      <c r="S236" s="380"/>
      <c r="T236" s="380"/>
    </row>
    <row r="237" spans="2:20">
      <c r="B237" s="380"/>
      <c r="C237" s="380"/>
      <c r="D237" s="380"/>
      <c r="E237" s="380"/>
      <c r="F237" s="380"/>
      <c r="G237" s="380"/>
      <c r="H237" s="380"/>
      <c r="I237" s="380"/>
      <c r="J237" s="380"/>
      <c r="K237" s="380"/>
      <c r="L237" s="380"/>
      <c r="M237" s="380"/>
      <c r="N237" s="380"/>
      <c r="O237" s="380"/>
      <c r="P237" s="380"/>
      <c r="Q237" s="380"/>
      <c r="R237" s="380"/>
      <c r="S237" s="380"/>
      <c r="T237" s="380"/>
    </row>
    <row r="238" spans="2:20">
      <c r="B238" s="380"/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0"/>
      <c r="N238" s="380"/>
      <c r="O238" s="380"/>
      <c r="P238" s="380"/>
      <c r="Q238" s="380"/>
      <c r="R238" s="380"/>
      <c r="S238" s="380"/>
      <c r="T238" s="380"/>
    </row>
    <row r="239" spans="2:20">
      <c r="B239" s="380"/>
      <c r="C239" s="380"/>
      <c r="D239" s="380"/>
      <c r="E239" s="380"/>
      <c r="F239" s="380"/>
      <c r="G239" s="380"/>
      <c r="H239" s="380"/>
      <c r="I239" s="380"/>
      <c r="J239" s="380"/>
      <c r="K239" s="380"/>
      <c r="L239" s="380"/>
      <c r="M239" s="380"/>
      <c r="N239" s="380"/>
      <c r="O239" s="380"/>
      <c r="P239" s="380"/>
      <c r="Q239" s="380"/>
      <c r="R239" s="380"/>
      <c r="S239" s="380"/>
      <c r="T239" s="380"/>
    </row>
    <row r="240" spans="2:20">
      <c r="B240" s="380"/>
      <c r="C240" s="380"/>
      <c r="D240" s="380"/>
      <c r="E240" s="380"/>
      <c r="F240" s="380"/>
      <c r="G240" s="380"/>
      <c r="H240" s="380"/>
      <c r="I240" s="380"/>
      <c r="J240" s="380"/>
      <c r="K240" s="380"/>
      <c r="L240" s="380"/>
      <c r="M240" s="380"/>
      <c r="N240" s="380"/>
      <c r="O240" s="380"/>
      <c r="P240" s="380"/>
      <c r="Q240" s="380"/>
      <c r="R240" s="380"/>
      <c r="S240" s="380"/>
      <c r="T240" s="380"/>
    </row>
    <row r="241" spans="2:20">
      <c r="B241" s="380"/>
      <c r="C241" s="380"/>
      <c r="D241" s="380"/>
      <c r="E241" s="380"/>
      <c r="F241" s="380"/>
      <c r="G241" s="380"/>
      <c r="H241" s="380"/>
      <c r="I241" s="380"/>
      <c r="J241" s="380"/>
      <c r="K241" s="380"/>
      <c r="L241" s="380"/>
      <c r="M241" s="380"/>
      <c r="N241" s="380"/>
      <c r="O241" s="380"/>
      <c r="P241" s="380"/>
      <c r="Q241" s="380"/>
      <c r="R241" s="380"/>
      <c r="S241" s="380"/>
      <c r="T241" s="380"/>
    </row>
    <row r="242" spans="2:20">
      <c r="B242" s="380"/>
      <c r="C242" s="380"/>
      <c r="D242" s="380"/>
      <c r="E242" s="380"/>
      <c r="F242" s="380"/>
      <c r="G242" s="380"/>
      <c r="H242" s="380"/>
      <c r="I242" s="380"/>
      <c r="J242" s="380"/>
      <c r="K242" s="380"/>
      <c r="L242" s="380"/>
      <c r="M242" s="380"/>
      <c r="N242" s="380"/>
      <c r="O242" s="380"/>
      <c r="P242" s="380"/>
      <c r="Q242" s="380"/>
      <c r="R242" s="380"/>
      <c r="S242" s="380"/>
      <c r="T242" s="380"/>
    </row>
    <row r="243" spans="2:20">
      <c r="B243" s="380"/>
      <c r="C243" s="380"/>
      <c r="D243" s="380"/>
      <c r="E243" s="380"/>
      <c r="F243" s="380"/>
      <c r="G243" s="380"/>
      <c r="H243" s="380"/>
      <c r="I243" s="380"/>
      <c r="J243" s="380"/>
      <c r="K243" s="380"/>
      <c r="L243" s="380"/>
      <c r="M243" s="380"/>
      <c r="N243" s="380"/>
      <c r="O243" s="380"/>
      <c r="P243" s="380"/>
      <c r="Q243" s="380"/>
      <c r="R243" s="380"/>
      <c r="S243" s="380"/>
      <c r="T243" s="380"/>
    </row>
    <row r="244" spans="2:20">
      <c r="B244" s="380"/>
      <c r="C244" s="380"/>
      <c r="D244" s="380"/>
      <c r="E244" s="380"/>
      <c r="F244" s="380"/>
      <c r="G244" s="380"/>
      <c r="H244" s="380"/>
      <c r="I244" s="380"/>
      <c r="J244" s="380"/>
      <c r="K244" s="380"/>
      <c r="L244" s="380"/>
      <c r="M244" s="380"/>
      <c r="N244" s="380"/>
      <c r="O244" s="380"/>
      <c r="P244" s="380"/>
      <c r="Q244" s="380"/>
      <c r="R244" s="380"/>
      <c r="S244" s="380"/>
      <c r="T244" s="380"/>
    </row>
    <row r="245" spans="2:20">
      <c r="B245" s="380"/>
      <c r="C245" s="380"/>
      <c r="D245" s="380"/>
      <c r="E245" s="380"/>
      <c r="F245" s="380"/>
      <c r="G245" s="380"/>
      <c r="H245" s="380"/>
      <c r="I245" s="380"/>
      <c r="J245" s="380"/>
      <c r="K245" s="380"/>
      <c r="L245" s="380"/>
      <c r="M245" s="380"/>
      <c r="N245" s="380"/>
      <c r="O245" s="380"/>
      <c r="P245" s="380"/>
      <c r="Q245" s="380"/>
      <c r="R245" s="380"/>
      <c r="S245" s="380"/>
      <c r="T245" s="380"/>
    </row>
    <row r="246" spans="2:20">
      <c r="B246" s="380"/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0"/>
      <c r="N246" s="380"/>
      <c r="O246" s="380"/>
      <c r="P246" s="380"/>
      <c r="Q246" s="380"/>
      <c r="R246" s="380"/>
      <c r="S246" s="380"/>
      <c r="T246" s="380"/>
    </row>
    <row r="247" spans="2:20">
      <c r="B247" s="380"/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0"/>
      <c r="N247" s="380"/>
      <c r="O247" s="380"/>
      <c r="P247" s="380"/>
      <c r="Q247" s="380"/>
      <c r="R247" s="380"/>
      <c r="S247" s="380"/>
      <c r="T247" s="380"/>
    </row>
    <row r="248" spans="2:20">
      <c r="B248" s="380"/>
      <c r="C248" s="380"/>
      <c r="D248" s="380"/>
      <c r="E248" s="380"/>
      <c r="F248" s="380"/>
      <c r="G248" s="380"/>
      <c r="H248" s="380"/>
      <c r="I248" s="380"/>
      <c r="J248" s="380"/>
      <c r="K248" s="380"/>
      <c r="L248" s="380"/>
      <c r="M248" s="380"/>
      <c r="N248" s="380"/>
      <c r="O248" s="380"/>
      <c r="P248" s="380"/>
      <c r="Q248" s="380"/>
      <c r="R248" s="380"/>
      <c r="S248" s="380"/>
      <c r="T248" s="380"/>
    </row>
    <row r="249" spans="2:20">
      <c r="B249" s="380"/>
      <c r="C249" s="380"/>
      <c r="D249" s="380"/>
      <c r="E249" s="380"/>
      <c r="F249" s="380"/>
      <c r="G249" s="380"/>
      <c r="H249" s="380"/>
      <c r="I249" s="380"/>
      <c r="J249" s="380"/>
      <c r="K249" s="380"/>
      <c r="L249" s="380"/>
      <c r="M249" s="380"/>
      <c r="N249" s="380"/>
      <c r="O249" s="380"/>
      <c r="P249" s="380"/>
      <c r="Q249" s="380"/>
      <c r="R249" s="380"/>
      <c r="S249" s="380"/>
      <c r="T249" s="380"/>
    </row>
    <row r="250" spans="2:20">
      <c r="B250" s="380"/>
      <c r="C250" s="380"/>
      <c r="D250" s="380"/>
      <c r="E250" s="380"/>
      <c r="F250" s="380"/>
      <c r="G250" s="380"/>
      <c r="H250" s="380"/>
      <c r="I250" s="380"/>
      <c r="J250" s="380"/>
      <c r="K250" s="380"/>
      <c r="L250" s="380"/>
      <c r="M250" s="380"/>
      <c r="N250" s="380"/>
      <c r="O250" s="380"/>
      <c r="P250" s="380"/>
      <c r="Q250" s="380"/>
      <c r="R250" s="380"/>
      <c r="S250" s="380"/>
      <c r="T250" s="380"/>
    </row>
    <row r="251" spans="2:20">
      <c r="B251" s="380"/>
      <c r="C251" s="380"/>
      <c r="D251" s="380"/>
      <c r="E251" s="380"/>
      <c r="F251" s="380"/>
      <c r="G251" s="380"/>
      <c r="H251" s="380"/>
      <c r="I251" s="380"/>
      <c r="J251" s="380"/>
      <c r="K251" s="380"/>
      <c r="L251" s="380"/>
      <c r="M251" s="380"/>
      <c r="N251" s="380"/>
      <c r="O251" s="380"/>
      <c r="P251" s="380"/>
      <c r="Q251" s="380"/>
      <c r="R251" s="380"/>
      <c r="S251" s="380"/>
      <c r="T251" s="380"/>
    </row>
    <row r="252" spans="2:20">
      <c r="B252" s="380"/>
      <c r="C252" s="380"/>
      <c r="D252" s="380"/>
      <c r="E252" s="380"/>
      <c r="F252" s="380"/>
      <c r="G252" s="380"/>
      <c r="H252" s="380"/>
      <c r="I252" s="380"/>
      <c r="J252" s="380"/>
      <c r="K252" s="380"/>
      <c r="L252" s="380"/>
      <c r="M252" s="380"/>
      <c r="N252" s="380"/>
      <c r="O252" s="380"/>
      <c r="P252" s="380"/>
      <c r="Q252" s="380"/>
      <c r="R252" s="380"/>
      <c r="S252" s="380"/>
      <c r="T252" s="380"/>
    </row>
    <row r="253" spans="2:20">
      <c r="B253" s="380"/>
      <c r="C253" s="380"/>
      <c r="D253" s="380"/>
      <c r="E253" s="380"/>
      <c r="F253" s="380"/>
      <c r="G253" s="380"/>
      <c r="H253" s="380"/>
      <c r="I253" s="380"/>
      <c r="J253" s="380"/>
      <c r="K253" s="380"/>
      <c r="L253" s="380"/>
      <c r="M253" s="380"/>
      <c r="N253" s="380"/>
      <c r="O253" s="380"/>
      <c r="P253" s="380"/>
      <c r="Q253" s="380"/>
      <c r="R253" s="380"/>
      <c r="S253" s="380"/>
      <c r="T253" s="380"/>
    </row>
    <row r="254" spans="2:20">
      <c r="B254" s="380"/>
      <c r="C254" s="380"/>
      <c r="D254" s="380"/>
      <c r="E254" s="380"/>
      <c r="F254" s="380"/>
      <c r="G254" s="380"/>
      <c r="H254" s="380"/>
      <c r="I254" s="380"/>
      <c r="J254" s="380"/>
      <c r="K254" s="380"/>
      <c r="L254" s="380"/>
      <c r="M254" s="380"/>
      <c r="N254" s="380"/>
      <c r="O254" s="380"/>
      <c r="P254" s="380"/>
      <c r="Q254" s="380"/>
      <c r="R254" s="380"/>
      <c r="S254" s="380"/>
      <c r="T254" s="380"/>
    </row>
    <row r="255" spans="2:20">
      <c r="B255" s="380"/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0"/>
      <c r="N255" s="380"/>
      <c r="O255" s="380"/>
      <c r="P255" s="380"/>
      <c r="Q255" s="380"/>
      <c r="R255" s="380"/>
      <c r="S255" s="380"/>
      <c r="T255" s="380"/>
    </row>
    <row r="256" spans="2:20">
      <c r="B256" s="380"/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0"/>
      <c r="N256" s="380"/>
      <c r="O256" s="380"/>
      <c r="P256" s="380"/>
      <c r="Q256" s="380"/>
      <c r="R256" s="380"/>
      <c r="S256" s="380"/>
      <c r="T256" s="380"/>
    </row>
    <row r="257" spans="2:20">
      <c r="B257" s="380"/>
      <c r="C257" s="380"/>
      <c r="D257" s="380"/>
      <c r="E257" s="380"/>
      <c r="F257" s="380"/>
      <c r="G257" s="380"/>
      <c r="H257" s="380"/>
      <c r="I257" s="380"/>
      <c r="J257" s="380"/>
      <c r="K257" s="380"/>
      <c r="L257" s="380"/>
      <c r="M257" s="380"/>
      <c r="N257" s="380"/>
      <c r="O257" s="380"/>
      <c r="P257" s="380"/>
      <c r="Q257" s="380"/>
      <c r="R257" s="380"/>
      <c r="S257" s="380"/>
      <c r="T257" s="380"/>
    </row>
    <row r="258" spans="2:20">
      <c r="B258" s="380"/>
      <c r="C258" s="380"/>
      <c r="D258" s="380"/>
      <c r="E258" s="380"/>
      <c r="F258" s="380"/>
      <c r="G258" s="380"/>
      <c r="H258" s="380"/>
      <c r="I258" s="380"/>
      <c r="J258" s="380"/>
      <c r="K258" s="380"/>
      <c r="L258" s="380"/>
      <c r="M258" s="380"/>
      <c r="N258" s="380"/>
      <c r="O258" s="380"/>
      <c r="P258" s="380"/>
      <c r="Q258" s="380"/>
      <c r="R258" s="380"/>
      <c r="S258" s="380"/>
      <c r="T258" s="380"/>
    </row>
    <row r="259" spans="2:20">
      <c r="B259" s="380"/>
      <c r="C259" s="380"/>
      <c r="D259" s="380"/>
      <c r="E259" s="380"/>
      <c r="F259" s="380"/>
      <c r="G259" s="380"/>
      <c r="H259" s="380"/>
      <c r="I259" s="380"/>
      <c r="J259" s="380"/>
      <c r="K259" s="380"/>
      <c r="L259" s="380"/>
      <c r="M259" s="380"/>
      <c r="N259" s="380"/>
      <c r="O259" s="380"/>
      <c r="P259" s="380"/>
      <c r="Q259" s="380"/>
      <c r="R259" s="380"/>
      <c r="S259" s="380"/>
      <c r="T259" s="380"/>
    </row>
    <row r="260" spans="2:20">
      <c r="B260" s="380"/>
      <c r="C260" s="380"/>
      <c r="D260" s="380"/>
      <c r="E260" s="380"/>
      <c r="F260" s="380"/>
      <c r="G260" s="380"/>
      <c r="H260" s="380"/>
      <c r="I260" s="380"/>
      <c r="J260" s="380"/>
      <c r="K260" s="380"/>
      <c r="L260" s="380"/>
      <c r="M260" s="380"/>
      <c r="N260" s="380"/>
      <c r="O260" s="380"/>
      <c r="P260" s="380"/>
      <c r="Q260" s="380"/>
      <c r="R260" s="380"/>
      <c r="S260" s="380"/>
      <c r="T260" s="380"/>
    </row>
    <row r="261" spans="2:20">
      <c r="B261" s="380"/>
      <c r="C261" s="380"/>
      <c r="D261" s="380"/>
      <c r="E261" s="380"/>
      <c r="F261" s="380"/>
      <c r="G261" s="380"/>
      <c r="H261" s="380"/>
      <c r="I261" s="380"/>
      <c r="J261" s="380"/>
      <c r="K261" s="380"/>
      <c r="L261" s="380"/>
      <c r="M261" s="380"/>
      <c r="N261" s="380"/>
      <c r="O261" s="380"/>
      <c r="P261" s="380"/>
      <c r="Q261" s="380"/>
      <c r="R261" s="380"/>
      <c r="S261" s="380"/>
      <c r="T261" s="380"/>
    </row>
    <row r="262" spans="2:20">
      <c r="B262" s="380"/>
      <c r="C262" s="380"/>
      <c r="D262" s="380"/>
      <c r="E262" s="380"/>
      <c r="F262" s="380"/>
      <c r="G262" s="380"/>
      <c r="H262" s="380"/>
      <c r="I262" s="380"/>
      <c r="J262" s="380"/>
      <c r="K262" s="380"/>
      <c r="L262" s="380"/>
      <c r="M262" s="380"/>
      <c r="N262" s="380"/>
      <c r="O262" s="380"/>
      <c r="P262" s="380"/>
      <c r="Q262" s="380"/>
      <c r="R262" s="380"/>
      <c r="S262" s="380"/>
      <c r="T262" s="380"/>
    </row>
    <row r="263" spans="2:20">
      <c r="B263" s="380"/>
      <c r="C263" s="380"/>
      <c r="D263" s="380"/>
      <c r="E263" s="380"/>
      <c r="F263" s="380"/>
      <c r="G263" s="380"/>
      <c r="H263" s="380"/>
      <c r="I263" s="380"/>
      <c r="J263" s="380"/>
      <c r="K263" s="380"/>
      <c r="L263" s="380"/>
      <c r="M263" s="380"/>
      <c r="N263" s="380"/>
      <c r="O263" s="380"/>
      <c r="P263" s="380"/>
      <c r="Q263" s="380"/>
      <c r="R263" s="380"/>
      <c r="S263" s="380"/>
      <c r="T263" s="380"/>
    </row>
    <row r="264" spans="2:20">
      <c r="B264" s="380"/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0"/>
      <c r="N264" s="380"/>
      <c r="O264" s="380"/>
      <c r="P264" s="380"/>
      <c r="Q264" s="380"/>
      <c r="R264" s="380"/>
      <c r="S264" s="380"/>
      <c r="T264" s="380"/>
    </row>
    <row r="265" spans="2:20">
      <c r="B265" s="380"/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0"/>
      <c r="N265" s="380"/>
      <c r="O265" s="380"/>
      <c r="P265" s="380"/>
      <c r="Q265" s="380"/>
      <c r="R265" s="380"/>
      <c r="S265" s="380"/>
      <c r="T265" s="380"/>
    </row>
    <row r="266" spans="2:20">
      <c r="B266" s="380"/>
      <c r="C266" s="380"/>
      <c r="D266" s="380"/>
      <c r="E266" s="380"/>
      <c r="F266" s="380"/>
      <c r="G266" s="380"/>
      <c r="H266" s="380"/>
      <c r="I266" s="380"/>
      <c r="J266" s="380"/>
      <c r="K266" s="380"/>
      <c r="L266" s="380"/>
      <c r="M266" s="380"/>
      <c r="N266" s="380"/>
      <c r="O266" s="380"/>
      <c r="P266" s="380"/>
      <c r="Q266" s="380"/>
      <c r="R266" s="380"/>
      <c r="S266" s="380"/>
      <c r="T266" s="380"/>
    </row>
    <row r="267" spans="2:20">
      <c r="B267" s="380"/>
      <c r="C267" s="380"/>
      <c r="D267" s="380"/>
      <c r="E267" s="380"/>
      <c r="F267" s="380"/>
      <c r="G267" s="380"/>
      <c r="H267" s="380"/>
      <c r="I267" s="380"/>
      <c r="J267" s="380"/>
      <c r="K267" s="380"/>
      <c r="L267" s="380"/>
      <c r="M267" s="380"/>
      <c r="N267" s="380"/>
      <c r="O267" s="380"/>
      <c r="P267" s="380"/>
      <c r="Q267" s="380"/>
      <c r="R267" s="380"/>
      <c r="S267" s="380"/>
      <c r="T267" s="380"/>
    </row>
    <row r="268" spans="2:20">
      <c r="B268" s="380"/>
      <c r="C268" s="380"/>
      <c r="D268" s="380"/>
      <c r="E268" s="380"/>
      <c r="F268" s="380"/>
      <c r="G268" s="380"/>
      <c r="H268" s="380"/>
      <c r="I268" s="380"/>
      <c r="J268" s="380"/>
      <c r="K268" s="380"/>
      <c r="L268" s="380"/>
      <c r="M268" s="380"/>
      <c r="N268" s="380"/>
      <c r="O268" s="380"/>
      <c r="P268" s="380"/>
      <c r="Q268" s="380"/>
      <c r="R268" s="380"/>
      <c r="S268" s="380"/>
      <c r="T268" s="380"/>
    </row>
    <row r="269" spans="2:20">
      <c r="B269" s="380"/>
      <c r="C269" s="380"/>
      <c r="D269" s="380"/>
      <c r="E269" s="380"/>
      <c r="F269" s="380"/>
      <c r="G269" s="380"/>
      <c r="H269" s="380"/>
      <c r="I269" s="380"/>
      <c r="J269" s="380"/>
      <c r="K269" s="380"/>
      <c r="L269" s="380"/>
      <c r="M269" s="380"/>
      <c r="N269" s="380"/>
      <c r="O269" s="380"/>
      <c r="P269" s="380"/>
      <c r="Q269" s="380"/>
      <c r="R269" s="380"/>
      <c r="S269" s="380"/>
      <c r="T269" s="380"/>
    </row>
    <row r="270" spans="2:20">
      <c r="B270" s="380"/>
      <c r="C270" s="380"/>
      <c r="D270" s="380"/>
      <c r="E270" s="380"/>
      <c r="F270" s="380"/>
      <c r="G270" s="380"/>
      <c r="H270" s="380"/>
      <c r="I270" s="380"/>
      <c r="J270" s="380"/>
      <c r="K270" s="380"/>
      <c r="L270" s="380"/>
      <c r="M270" s="380"/>
      <c r="N270" s="380"/>
      <c r="O270" s="380"/>
      <c r="P270" s="380"/>
      <c r="Q270" s="380"/>
      <c r="R270" s="380"/>
      <c r="S270" s="380"/>
      <c r="T270" s="380"/>
    </row>
    <row r="271" spans="2:20">
      <c r="B271" s="380"/>
      <c r="C271" s="380"/>
      <c r="D271" s="380"/>
      <c r="E271" s="380"/>
      <c r="F271" s="380"/>
      <c r="G271" s="380"/>
      <c r="H271" s="380"/>
      <c r="I271" s="380"/>
      <c r="J271" s="380"/>
      <c r="K271" s="380"/>
      <c r="L271" s="380"/>
      <c r="M271" s="380"/>
      <c r="N271" s="380"/>
      <c r="O271" s="380"/>
      <c r="P271" s="380"/>
      <c r="Q271" s="380"/>
      <c r="R271" s="380"/>
      <c r="S271" s="380"/>
      <c r="T271" s="380"/>
    </row>
    <row r="272" spans="2:20">
      <c r="B272" s="380"/>
      <c r="C272" s="380"/>
      <c r="D272" s="380"/>
      <c r="E272" s="380"/>
      <c r="F272" s="380"/>
      <c r="G272" s="380"/>
      <c r="H272" s="380"/>
      <c r="I272" s="380"/>
      <c r="J272" s="380"/>
      <c r="K272" s="380"/>
      <c r="L272" s="380"/>
      <c r="M272" s="380"/>
      <c r="N272" s="380"/>
      <c r="O272" s="380"/>
      <c r="P272" s="380"/>
      <c r="Q272" s="380"/>
      <c r="R272" s="380"/>
      <c r="S272" s="380"/>
      <c r="T272" s="380"/>
    </row>
    <row r="273" spans="2:20">
      <c r="B273" s="380"/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0"/>
      <c r="N273" s="380"/>
      <c r="O273" s="380"/>
      <c r="P273" s="380"/>
      <c r="Q273" s="380"/>
      <c r="R273" s="380"/>
      <c r="S273" s="380"/>
      <c r="T273" s="380"/>
    </row>
    <row r="274" spans="2:20">
      <c r="B274" s="380"/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0"/>
      <c r="N274" s="380"/>
      <c r="O274" s="380"/>
      <c r="P274" s="380"/>
      <c r="Q274" s="380"/>
      <c r="R274" s="380"/>
      <c r="S274" s="380"/>
      <c r="T274" s="380"/>
    </row>
    <row r="275" spans="2:20">
      <c r="B275" s="380"/>
      <c r="C275" s="380"/>
      <c r="D275" s="380"/>
      <c r="E275" s="380"/>
      <c r="F275" s="380"/>
      <c r="G275" s="380"/>
      <c r="H275" s="380"/>
      <c r="I275" s="380"/>
      <c r="J275" s="380"/>
      <c r="K275" s="380"/>
      <c r="L275" s="380"/>
      <c r="M275" s="380"/>
      <c r="N275" s="380"/>
      <c r="O275" s="380"/>
      <c r="P275" s="380"/>
      <c r="Q275" s="380"/>
      <c r="R275" s="380"/>
      <c r="S275" s="380"/>
      <c r="T275" s="380"/>
    </row>
    <row r="276" spans="2:20">
      <c r="B276" s="380"/>
      <c r="C276" s="380"/>
      <c r="D276" s="380"/>
      <c r="E276" s="380"/>
      <c r="F276" s="380"/>
      <c r="G276" s="380"/>
      <c r="H276" s="380"/>
      <c r="I276" s="380"/>
      <c r="J276" s="380"/>
      <c r="K276" s="380"/>
      <c r="L276" s="380"/>
      <c r="M276" s="380"/>
      <c r="N276" s="380"/>
      <c r="O276" s="380"/>
      <c r="P276" s="380"/>
      <c r="Q276" s="380"/>
      <c r="R276" s="380"/>
      <c r="S276" s="380"/>
      <c r="T276" s="380"/>
    </row>
    <row r="277" spans="2:20">
      <c r="B277" s="380"/>
      <c r="C277" s="380"/>
      <c r="D277" s="380"/>
      <c r="E277" s="380"/>
      <c r="F277" s="380"/>
      <c r="G277" s="380"/>
      <c r="H277" s="380"/>
      <c r="I277" s="380"/>
      <c r="J277" s="380"/>
      <c r="K277" s="380"/>
      <c r="L277" s="380"/>
      <c r="M277" s="380"/>
      <c r="N277" s="380"/>
      <c r="O277" s="380"/>
      <c r="P277" s="380"/>
      <c r="Q277" s="380"/>
      <c r="R277" s="380"/>
      <c r="S277" s="380"/>
      <c r="T277" s="380"/>
    </row>
    <row r="278" spans="2:20">
      <c r="B278" s="380"/>
      <c r="C278" s="380"/>
      <c r="D278" s="380"/>
      <c r="E278" s="380"/>
      <c r="F278" s="380"/>
      <c r="G278" s="380"/>
      <c r="H278" s="380"/>
      <c r="I278" s="380"/>
      <c r="J278" s="380"/>
      <c r="K278" s="380"/>
      <c r="L278" s="380"/>
      <c r="M278" s="380"/>
      <c r="N278" s="380"/>
      <c r="O278" s="380"/>
      <c r="P278" s="380"/>
      <c r="Q278" s="380"/>
      <c r="R278" s="380"/>
      <c r="S278" s="380"/>
      <c r="T278" s="380"/>
    </row>
    <row r="279" spans="2:20">
      <c r="B279" s="380"/>
      <c r="C279" s="380"/>
      <c r="D279" s="380"/>
      <c r="E279" s="380"/>
      <c r="F279" s="380"/>
      <c r="G279" s="380"/>
      <c r="H279" s="380"/>
      <c r="I279" s="380"/>
      <c r="J279" s="380"/>
      <c r="K279" s="380"/>
      <c r="L279" s="380"/>
      <c r="M279" s="380"/>
      <c r="N279" s="380"/>
      <c r="O279" s="380"/>
      <c r="P279" s="380"/>
      <c r="Q279" s="380"/>
      <c r="R279" s="380"/>
      <c r="S279" s="380"/>
      <c r="T279" s="380"/>
    </row>
    <row r="280" spans="2:20">
      <c r="B280" s="380"/>
      <c r="C280" s="380"/>
      <c r="D280" s="380"/>
      <c r="E280" s="380"/>
      <c r="F280" s="380"/>
      <c r="G280" s="380"/>
      <c r="H280" s="380"/>
      <c r="I280" s="380"/>
      <c r="J280" s="380"/>
      <c r="K280" s="380"/>
      <c r="L280" s="380"/>
      <c r="M280" s="380"/>
      <c r="N280" s="380"/>
      <c r="O280" s="380"/>
      <c r="P280" s="380"/>
      <c r="Q280" s="380"/>
      <c r="R280" s="380"/>
      <c r="S280" s="380"/>
      <c r="T280" s="380"/>
    </row>
    <row r="281" spans="2:20">
      <c r="B281" s="380"/>
      <c r="C281" s="380"/>
      <c r="D281" s="380"/>
      <c r="E281" s="380"/>
      <c r="F281" s="380"/>
      <c r="G281" s="380"/>
      <c r="H281" s="380"/>
      <c r="I281" s="380"/>
      <c r="J281" s="380"/>
      <c r="K281" s="380"/>
      <c r="L281" s="380"/>
      <c r="M281" s="380"/>
      <c r="N281" s="380"/>
      <c r="O281" s="380"/>
      <c r="P281" s="380"/>
      <c r="Q281" s="380"/>
      <c r="R281" s="380"/>
      <c r="S281" s="380"/>
      <c r="T281" s="380"/>
    </row>
    <row r="282" spans="2:20">
      <c r="B282" s="380"/>
      <c r="C282" s="380"/>
      <c r="D282" s="380"/>
      <c r="E282" s="380"/>
      <c r="F282" s="380"/>
      <c r="G282" s="380"/>
      <c r="H282" s="380"/>
      <c r="I282" s="380"/>
      <c r="J282" s="380"/>
      <c r="K282" s="380"/>
      <c r="L282" s="380"/>
      <c r="M282" s="380"/>
      <c r="N282" s="380"/>
      <c r="O282" s="380"/>
      <c r="P282" s="380"/>
      <c r="Q282" s="380"/>
      <c r="R282" s="380"/>
      <c r="S282" s="380"/>
      <c r="T282" s="380"/>
    </row>
    <row r="283" spans="2:20">
      <c r="B283" s="380"/>
      <c r="C283" s="380"/>
      <c r="D283" s="380"/>
      <c r="E283" s="380"/>
      <c r="F283" s="380"/>
      <c r="G283" s="380"/>
      <c r="H283" s="380"/>
      <c r="I283" s="380"/>
      <c r="J283" s="380"/>
      <c r="K283" s="380"/>
      <c r="L283" s="380"/>
      <c r="M283" s="380"/>
      <c r="N283" s="380"/>
      <c r="O283" s="380"/>
      <c r="P283" s="380"/>
      <c r="Q283" s="380"/>
      <c r="R283" s="380"/>
      <c r="S283" s="380"/>
      <c r="T283" s="380"/>
    </row>
    <row r="284" spans="2:20">
      <c r="B284" s="380"/>
      <c r="C284" s="380"/>
      <c r="D284" s="380"/>
      <c r="E284" s="380"/>
      <c r="F284" s="380"/>
      <c r="G284" s="380"/>
      <c r="H284" s="380"/>
      <c r="I284" s="380"/>
      <c r="J284" s="380"/>
      <c r="K284" s="380"/>
      <c r="L284" s="380"/>
      <c r="M284" s="380"/>
      <c r="N284" s="380"/>
      <c r="O284" s="380"/>
      <c r="P284" s="380"/>
      <c r="Q284" s="380"/>
      <c r="R284" s="380"/>
      <c r="S284" s="380"/>
      <c r="T284" s="380"/>
    </row>
    <row r="285" spans="2:20">
      <c r="B285" s="380"/>
      <c r="C285" s="380"/>
      <c r="D285" s="380"/>
      <c r="E285" s="380"/>
      <c r="F285" s="380"/>
      <c r="G285" s="380"/>
      <c r="H285" s="380"/>
      <c r="I285" s="380"/>
      <c r="J285" s="380"/>
      <c r="K285" s="380"/>
      <c r="L285" s="380"/>
      <c r="M285" s="380"/>
      <c r="N285" s="380"/>
      <c r="O285" s="380"/>
      <c r="P285" s="380"/>
      <c r="Q285" s="380"/>
      <c r="R285" s="380"/>
      <c r="S285" s="380"/>
      <c r="T285" s="380"/>
    </row>
    <row r="286" spans="2:20">
      <c r="B286" s="380"/>
      <c r="C286" s="380"/>
      <c r="D286" s="380"/>
      <c r="E286" s="380"/>
      <c r="F286" s="380"/>
      <c r="G286" s="380"/>
      <c r="H286" s="380"/>
      <c r="I286" s="380"/>
      <c r="J286" s="380"/>
      <c r="K286" s="380"/>
      <c r="L286" s="380"/>
      <c r="M286" s="380"/>
      <c r="N286" s="380"/>
      <c r="O286" s="380"/>
      <c r="P286" s="380"/>
      <c r="Q286" s="380"/>
      <c r="R286" s="380"/>
      <c r="S286" s="380"/>
      <c r="T286" s="380"/>
    </row>
    <row r="287" spans="2:20">
      <c r="B287" s="380"/>
      <c r="C287" s="380"/>
      <c r="D287" s="380"/>
      <c r="E287" s="380"/>
      <c r="F287" s="380"/>
      <c r="G287" s="380"/>
      <c r="H287" s="380"/>
      <c r="I287" s="380"/>
      <c r="J287" s="380"/>
      <c r="K287" s="380"/>
      <c r="L287" s="380"/>
      <c r="M287" s="380"/>
      <c r="N287" s="380"/>
      <c r="O287" s="380"/>
      <c r="P287" s="380"/>
      <c r="Q287" s="380"/>
      <c r="R287" s="380"/>
      <c r="S287" s="380"/>
      <c r="T287" s="380"/>
    </row>
    <row r="288" spans="2:20">
      <c r="B288" s="380"/>
      <c r="C288" s="380"/>
      <c r="D288" s="380"/>
      <c r="E288" s="380"/>
      <c r="F288" s="380"/>
      <c r="G288" s="380"/>
      <c r="H288" s="380"/>
      <c r="I288" s="380"/>
      <c r="J288" s="380"/>
      <c r="K288" s="380"/>
      <c r="L288" s="380"/>
      <c r="M288" s="380"/>
      <c r="N288" s="380"/>
      <c r="O288" s="380"/>
      <c r="P288" s="380"/>
      <c r="Q288" s="380"/>
      <c r="R288" s="380"/>
      <c r="S288" s="380"/>
      <c r="T288" s="380"/>
    </row>
    <row r="289" spans="2:20">
      <c r="B289" s="380"/>
      <c r="C289" s="380"/>
      <c r="D289" s="380"/>
      <c r="E289" s="380"/>
      <c r="F289" s="380"/>
      <c r="G289" s="380"/>
      <c r="H289" s="380"/>
      <c r="I289" s="380"/>
      <c r="J289" s="380"/>
      <c r="K289" s="380"/>
      <c r="L289" s="380"/>
      <c r="M289" s="380"/>
      <c r="N289" s="380"/>
      <c r="O289" s="380"/>
      <c r="P289" s="380"/>
      <c r="Q289" s="380"/>
      <c r="R289" s="380"/>
      <c r="S289" s="380"/>
      <c r="T289" s="380"/>
    </row>
    <row r="290" spans="2:20">
      <c r="B290" s="380"/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0"/>
      <c r="N290" s="380"/>
      <c r="O290" s="380"/>
      <c r="P290" s="380"/>
      <c r="Q290" s="380"/>
      <c r="R290" s="380"/>
      <c r="S290" s="380"/>
      <c r="T290" s="380"/>
    </row>
    <row r="291" spans="2:20">
      <c r="B291" s="380"/>
      <c r="C291" s="380"/>
      <c r="D291" s="380"/>
      <c r="E291" s="380"/>
      <c r="F291" s="380"/>
      <c r="G291" s="380"/>
      <c r="H291" s="380"/>
      <c r="I291" s="380"/>
      <c r="J291" s="380"/>
      <c r="K291" s="380"/>
      <c r="L291" s="380"/>
      <c r="M291" s="380"/>
      <c r="N291" s="380"/>
      <c r="O291" s="380"/>
      <c r="P291" s="380"/>
      <c r="Q291" s="380"/>
      <c r="R291" s="380"/>
      <c r="S291" s="380"/>
      <c r="T291" s="380"/>
    </row>
    <row r="292" spans="2:20">
      <c r="B292" s="380"/>
      <c r="C292" s="380"/>
      <c r="D292" s="380"/>
      <c r="E292" s="380"/>
      <c r="F292" s="380"/>
      <c r="G292" s="380"/>
      <c r="H292" s="380"/>
      <c r="I292" s="380"/>
      <c r="J292" s="380"/>
      <c r="K292" s="380"/>
      <c r="L292" s="380"/>
      <c r="M292" s="380"/>
      <c r="N292" s="380"/>
      <c r="O292" s="380"/>
      <c r="P292" s="380"/>
      <c r="Q292" s="380"/>
      <c r="R292" s="380"/>
      <c r="S292" s="380"/>
      <c r="T292" s="380"/>
    </row>
    <row r="293" spans="2:20">
      <c r="B293" s="380"/>
      <c r="C293" s="380"/>
      <c r="D293" s="380"/>
      <c r="E293" s="380"/>
      <c r="F293" s="380"/>
      <c r="G293" s="380"/>
      <c r="H293" s="380"/>
      <c r="I293" s="380"/>
      <c r="J293" s="380"/>
      <c r="K293" s="380"/>
      <c r="L293" s="380"/>
      <c r="M293" s="380"/>
      <c r="N293" s="380"/>
      <c r="O293" s="380"/>
      <c r="P293" s="380"/>
      <c r="Q293" s="380"/>
      <c r="R293" s="380"/>
      <c r="S293" s="380"/>
      <c r="T293" s="380"/>
    </row>
    <row r="294" spans="2:20">
      <c r="B294" s="380"/>
      <c r="C294" s="380"/>
      <c r="D294" s="380"/>
      <c r="E294" s="380"/>
      <c r="F294" s="380"/>
      <c r="G294" s="380"/>
      <c r="H294" s="380"/>
      <c r="I294" s="380"/>
      <c r="J294" s="380"/>
      <c r="K294" s="380"/>
      <c r="L294" s="380"/>
      <c r="M294" s="380"/>
      <c r="N294" s="380"/>
      <c r="O294" s="380"/>
      <c r="P294" s="380"/>
      <c r="Q294" s="380"/>
      <c r="R294" s="380"/>
      <c r="S294" s="380"/>
      <c r="T294" s="380"/>
    </row>
    <row r="295" spans="2:20">
      <c r="B295" s="380"/>
      <c r="C295" s="380"/>
      <c r="D295" s="380"/>
      <c r="E295" s="380"/>
      <c r="F295" s="380"/>
      <c r="G295" s="380"/>
      <c r="H295" s="380"/>
      <c r="I295" s="380"/>
      <c r="J295" s="380"/>
      <c r="K295" s="380"/>
      <c r="L295" s="380"/>
      <c r="M295" s="380"/>
      <c r="N295" s="380"/>
      <c r="O295" s="380"/>
      <c r="P295" s="380"/>
      <c r="Q295" s="380"/>
      <c r="R295" s="380"/>
      <c r="S295" s="380"/>
      <c r="T295" s="380"/>
    </row>
    <row r="296" spans="2:20">
      <c r="B296" s="380"/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0"/>
      <c r="N296" s="380"/>
      <c r="O296" s="380"/>
      <c r="P296" s="380"/>
      <c r="Q296" s="380"/>
      <c r="R296" s="380"/>
      <c r="S296" s="380"/>
      <c r="T296" s="380"/>
    </row>
    <row r="297" spans="2:20">
      <c r="B297" s="380"/>
      <c r="C297" s="380"/>
      <c r="D297" s="380"/>
      <c r="E297" s="380"/>
      <c r="F297" s="380"/>
      <c r="G297" s="380"/>
      <c r="H297" s="380"/>
      <c r="I297" s="380"/>
      <c r="J297" s="380"/>
      <c r="K297" s="380"/>
      <c r="L297" s="380"/>
      <c r="M297" s="380"/>
      <c r="N297" s="380"/>
      <c r="O297" s="380"/>
      <c r="P297" s="380"/>
      <c r="Q297" s="380"/>
      <c r="R297" s="380"/>
      <c r="S297" s="380"/>
      <c r="T297" s="380"/>
    </row>
    <row r="298" spans="2:20">
      <c r="B298" s="380"/>
      <c r="C298" s="380"/>
      <c r="D298" s="380"/>
      <c r="E298" s="380"/>
      <c r="F298" s="380"/>
      <c r="G298" s="380"/>
      <c r="H298" s="380"/>
      <c r="I298" s="380"/>
      <c r="J298" s="380"/>
      <c r="K298" s="380"/>
      <c r="L298" s="380"/>
      <c r="M298" s="380"/>
      <c r="N298" s="380"/>
      <c r="O298" s="380"/>
      <c r="P298" s="380"/>
      <c r="Q298" s="380"/>
      <c r="R298" s="380"/>
      <c r="S298" s="380"/>
      <c r="T298" s="380"/>
    </row>
    <row r="299" spans="2:20">
      <c r="B299" s="380"/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0"/>
      <c r="N299" s="380"/>
      <c r="O299" s="380"/>
      <c r="P299" s="380"/>
      <c r="Q299" s="380"/>
      <c r="R299" s="380"/>
      <c r="S299" s="380"/>
      <c r="T299" s="380"/>
    </row>
    <row r="300" spans="2:20">
      <c r="B300" s="380"/>
      <c r="C300" s="380"/>
      <c r="D300" s="380"/>
      <c r="E300" s="380"/>
      <c r="F300" s="380"/>
      <c r="G300" s="380"/>
      <c r="H300" s="380"/>
      <c r="I300" s="380"/>
      <c r="J300" s="380"/>
      <c r="K300" s="380"/>
      <c r="L300" s="380"/>
      <c r="M300" s="380"/>
      <c r="N300" s="380"/>
      <c r="O300" s="380"/>
      <c r="P300" s="380"/>
      <c r="Q300" s="380"/>
      <c r="R300" s="380"/>
      <c r="S300" s="380"/>
      <c r="T300" s="380"/>
    </row>
    <row r="301" spans="2:20">
      <c r="B301" s="380"/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0"/>
      <c r="N301" s="380"/>
      <c r="O301" s="380"/>
      <c r="P301" s="380"/>
      <c r="Q301" s="380"/>
      <c r="R301" s="380"/>
      <c r="S301" s="380"/>
      <c r="T301" s="380"/>
    </row>
    <row r="302" spans="2:20">
      <c r="B302" s="381"/>
      <c r="C302" s="381"/>
      <c r="D302" s="381"/>
      <c r="G302" s="381"/>
      <c r="H302" s="381"/>
      <c r="I302" s="381"/>
      <c r="M302" s="382"/>
      <c r="S302" s="381"/>
      <c r="T302" s="381"/>
    </row>
    <row r="303" spans="2:20" ht="115.5">
      <c r="B303" s="383" t="s">
        <v>95</v>
      </c>
      <c r="C303" s="383" t="s">
        <v>96</v>
      </c>
      <c r="D303" s="383" t="s">
        <v>97</v>
      </c>
      <c r="E303" s="383" t="s">
        <v>98</v>
      </c>
      <c r="F303" s="383" t="s">
        <v>99</v>
      </c>
      <c r="G303" s="383" t="s">
        <v>100</v>
      </c>
      <c r="H303" s="383" t="s">
        <v>101</v>
      </c>
      <c r="I303" s="383" t="s">
        <v>102</v>
      </c>
      <c r="J303" s="383" t="s">
        <v>103</v>
      </c>
      <c r="K303" s="384"/>
      <c r="L303" s="384"/>
      <c r="M303" s="385"/>
      <c r="N303" s="384"/>
      <c r="O303" s="384"/>
      <c r="P303" s="384"/>
      <c r="Q303" s="384"/>
      <c r="R303" s="384"/>
      <c r="S303" s="386"/>
      <c r="T303" s="386"/>
    </row>
    <row r="304" spans="2:20">
      <c r="B304" s="380"/>
      <c r="C304" s="380"/>
      <c r="D304" s="380"/>
      <c r="E304" s="380"/>
      <c r="F304" s="380"/>
      <c r="G304" s="380"/>
      <c r="H304" s="380"/>
      <c r="I304" s="380"/>
      <c r="J304" s="380"/>
      <c r="M304" s="382"/>
      <c r="S304" s="381"/>
      <c r="T304" s="381"/>
    </row>
    <row r="305" spans="2:20">
      <c r="B305" s="380"/>
      <c r="C305" s="380"/>
      <c r="D305" s="380"/>
      <c r="E305" s="380"/>
      <c r="F305" s="380"/>
      <c r="G305" s="380"/>
      <c r="H305" s="380"/>
      <c r="I305" s="380"/>
      <c r="J305" s="380"/>
      <c r="M305" s="382"/>
      <c r="S305" s="381"/>
      <c r="T305" s="381"/>
    </row>
    <row r="306" spans="2:20">
      <c r="B306" s="380"/>
      <c r="C306" s="380"/>
      <c r="D306" s="380"/>
      <c r="E306" s="380"/>
      <c r="F306" s="380"/>
      <c r="G306" s="380"/>
      <c r="H306" s="380"/>
      <c r="I306" s="380"/>
      <c r="J306" s="380"/>
      <c r="M306" s="382"/>
      <c r="S306" s="381"/>
      <c r="T306" s="381"/>
    </row>
    <row r="307" spans="2:20">
      <c r="B307" s="380"/>
      <c r="C307" s="380"/>
      <c r="D307" s="380"/>
      <c r="E307" s="380"/>
      <c r="F307" s="380"/>
      <c r="G307" s="380"/>
      <c r="H307" s="380"/>
      <c r="I307" s="380"/>
      <c r="J307" s="380"/>
      <c r="M307" s="382"/>
      <c r="S307" s="381"/>
      <c r="T307" s="381"/>
    </row>
    <row r="308" spans="2:20">
      <c r="B308" s="380"/>
      <c r="C308" s="380"/>
      <c r="D308" s="380"/>
      <c r="E308" s="380"/>
      <c r="F308" s="380"/>
      <c r="G308" s="380"/>
      <c r="H308" s="380"/>
      <c r="I308" s="380"/>
      <c r="J308" s="380"/>
      <c r="M308" s="382"/>
      <c r="S308" s="381"/>
      <c r="T308" s="381"/>
    </row>
    <row r="309" spans="2:20">
      <c r="B309" s="380"/>
      <c r="C309" s="380"/>
      <c r="D309" s="380"/>
      <c r="E309" s="380"/>
      <c r="F309" s="380"/>
      <c r="G309" s="380"/>
      <c r="H309" s="380"/>
      <c r="I309" s="380"/>
      <c r="J309" s="380"/>
      <c r="M309" s="382"/>
      <c r="S309" s="381"/>
      <c r="T309" s="38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82" bestFit="1" customWidth="1"/>
    <col min="2" max="2" width="71.42578125" style="882" bestFit="1" customWidth="1"/>
    <col min="3" max="3" width="9.5703125" style="882" customWidth="1"/>
    <col min="4" max="4" width="15.42578125" style="882" customWidth="1"/>
    <col min="5" max="5" width="8.85546875" style="882" customWidth="1"/>
    <col min="6" max="6" width="19.42578125" style="882" customWidth="1"/>
    <col min="7" max="7" width="17.7109375" style="882" customWidth="1"/>
    <col min="8" max="8" width="16.5703125" style="882" customWidth="1"/>
    <col min="9" max="10" width="12.7109375" style="882" customWidth="1"/>
    <col min="11" max="11" width="13.28515625" style="882" customWidth="1"/>
    <col min="12" max="13" width="12.7109375" style="882" customWidth="1"/>
    <col min="14" max="14" width="15.85546875" style="882" customWidth="1"/>
    <col min="15" max="16" width="12.7109375" style="882" customWidth="1"/>
    <col min="17" max="17" width="12" style="882" customWidth="1"/>
    <col min="18" max="18" width="12.7109375" style="882" customWidth="1"/>
    <col min="19" max="19" width="14.28515625" style="882" customWidth="1"/>
    <col min="20" max="20" width="12.7109375" style="882" customWidth="1"/>
    <col min="21" max="21" width="12" style="882" customWidth="1"/>
    <col min="22" max="22" width="16.85546875" style="882" customWidth="1"/>
    <col min="23" max="24" width="12.7109375" style="882" customWidth="1"/>
    <col min="25" max="25" width="12" style="882" customWidth="1"/>
    <col min="26" max="26" width="10.5703125" style="882" customWidth="1"/>
    <col min="27" max="27" width="10.5703125" style="882" bestFit="1" customWidth="1"/>
    <col min="28" max="28" width="9.85546875" style="882" bestFit="1" customWidth="1"/>
    <col min="29" max="29" width="12" style="882" bestFit="1" customWidth="1"/>
    <col min="30" max="30" width="13.28515625" style="883" bestFit="1" customWidth="1"/>
    <col min="31" max="31" width="11.7109375" style="882" bestFit="1" customWidth="1"/>
    <col min="32" max="32" width="12.7109375" style="882" bestFit="1" customWidth="1"/>
    <col min="33" max="34" width="10.5703125" style="882" bestFit="1" customWidth="1"/>
    <col min="35" max="16384" width="9.140625" style="882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82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89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89">
        <v>44043</v>
      </c>
      <c r="AH2" s="884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89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89">
        <v>44055</v>
      </c>
      <c r="AH3" s="884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89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89">
        <v>44088</v>
      </c>
      <c r="AH4" s="884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89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89">
        <v>44117</v>
      </c>
      <c r="AH5" s="884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89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89">
        <v>44147</v>
      </c>
      <c r="AH6" s="884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89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89">
        <v>44179</v>
      </c>
      <c r="AH7" s="884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89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89">
        <v>44193</v>
      </c>
      <c r="AH8" s="884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89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89">
        <v>44208</v>
      </c>
      <c r="AH9" s="884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89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89">
        <v>44043</v>
      </c>
      <c r="AH10" s="884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89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89">
        <v>44055</v>
      </c>
      <c r="AH11" s="884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89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89">
        <v>44088</v>
      </c>
      <c r="AH12" s="884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89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89">
        <v>44117</v>
      </c>
      <c r="AH13" s="884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89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89">
        <v>44147</v>
      </c>
      <c r="AH14" s="884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89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89">
        <v>44179</v>
      </c>
      <c r="AH15" s="884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89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89">
        <v>44193</v>
      </c>
      <c r="AH16" s="884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89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89">
        <v>44208</v>
      </c>
      <c r="AH17" s="884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89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89">
        <v>44043</v>
      </c>
      <c r="AH18" s="884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89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89">
        <v>44055</v>
      </c>
      <c r="AH19" s="884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89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89">
        <v>44088</v>
      </c>
      <c r="AH20" s="884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89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89">
        <v>44117</v>
      </c>
      <c r="AH21" s="884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89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89">
        <v>44147</v>
      </c>
      <c r="AH22" s="884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89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89">
        <v>44179</v>
      </c>
      <c r="AH23" s="884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89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89">
        <v>44193</v>
      </c>
      <c r="AH24" s="884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89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89">
        <v>44208</v>
      </c>
      <c r="AH25" s="884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89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89">
        <v>44043</v>
      </c>
      <c r="AH26" s="884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89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89">
        <v>44055</v>
      </c>
      <c r="AH27" s="884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89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89">
        <v>44088</v>
      </c>
      <c r="AH28" s="884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89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89">
        <v>44117</v>
      </c>
      <c r="AH29" s="884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89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89">
        <v>44147</v>
      </c>
      <c r="AH30" s="884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89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89">
        <v>44179</v>
      </c>
      <c r="AH31" s="884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89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89">
        <v>44193</v>
      </c>
      <c r="AH32" s="884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89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89">
        <v>44208</v>
      </c>
      <c r="AH33" s="884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89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89">
        <v>44043</v>
      </c>
      <c r="AH34" s="884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89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89">
        <v>44055</v>
      </c>
      <c r="AH35" s="884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89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89">
        <v>44088</v>
      </c>
      <c r="AH36" s="884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89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89">
        <v>44117</v>
      </c>
      <c r="AH37" s="884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89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89">
        <v>44147</v>
      </c>
      <c r="AH38" s="884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89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89">
        <v>44179</v>
      </c>
      <c r="AH39" s="884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89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89">
        <v>44193</v>
      </c>
      <c r="AH40" s="884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89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89">
        <v>44208</v>
      </c>
      <c r="AH41" s="884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89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89">
        <v>44043</v>
      </c>
      <c r="AH42" s="884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89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89">
        <v>44055</v>
      </c>
      <c r="AH43" s="884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89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89">
        <v>44088</v>
      </c>
      <c r="AH44" s="884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89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89">
        <v>44117</v>
      </c>
      <c r="AH45" s="884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89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89">
        <v>44147</v>
      </c>
      <c r="AH46" s="884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89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89">
        <v>44179</v>
      </c>
      <c r="AH47" s="884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89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89">
        <v>44193</v>
      </c>
      <c r="AH48" s="884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89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89">
        <v>44208</v>
      </c>
      <c r="AH49" s="884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89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89">
        <v>44043</v>
      </c>
      <c r="AH50" s="884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89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89">
        <v>44055</v>
      </c>
      <c r="AH51" s="884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89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89">
        <v>44088</v>
      </c>
      <c r="AH52" s="884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89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89">
        <v>44117</v>
      </c>
      <c r="AH53" s="884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89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89">
        <v>44147</v>
      </c>
      <c r="AH54" s="884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89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89">
        <v>44179</v>
      </c>
      <c r="AH55" s="884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89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89">
        <v>44193</v>
      </c>
      <c r="AH56" s="884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89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89">
        <v>44208</v>
      </c>
      <c r="AH57" s="884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89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89">
        <v>44043</v>
      </c>
      <c r="AH58" s="884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89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89">
        <v>44055</v>
      </c>
      <c r="AH59" s="884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89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89">
        <v>44088</v>
      </c>
      <c r="AH60" s="884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89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89">
        <v>44117</v>
      </c>
      <c r="AH61" s="884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89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89">
        <v>44147</v>
      </c>
      <c r="AH62" s="884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89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89">
        <v>44179</v>
      </c>
      <c r="AH63" s="884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89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89">
        <v>44193</v>
      </c>
      <c r="AH64" s="884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89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89">
        <v>44208</v>
      </c>
      <c r="AH65" s="884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89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89">
        <v>44043</v>
      </c>
      <c r="AH66" s="884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89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89">
        <v>44055</v>
      </c>
      <c r="AH67" s="884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89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89">
        <v>44088</v>
      </c>
      <c r="AH68" s="884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89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89">
        <v>44117</v>
      </c>
      <c r="AH69" s="884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89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89">
        <v>44147</v>
      </c>
      <c r="AH70" s="884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89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89">
        <v>44179</v>
      </c>
      <c r="AH71" s="884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89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89">
        <v>44193</v>
      </c>
      <c r="AH72" s="884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89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89">
        <v>44208</v>
      </c>
      <c r="AH73" s="884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89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89">
        <v>44043</v>
      </c>
      <c r="AH74" s="884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89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89">
        <v>44055</v>
      </c>
      <c r="AH75" s="884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89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89">
        <v>44088</v>
      </c>
      <c r="AH76" s="884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89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89">
        <v>44117</v>
      </c>
      <c r="AH77" s="884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89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89">
        <v>44147</v>
      </c>
      <c r="AH78" s="884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89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89">
        <v>44179</v>
      </c>
      <c r="AH79" s="884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89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89">
        <v>44193</v>
      </c>
      <c r="AH80" s="884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89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89">
        <v>44208</v>
      </c>
      <c r="AH81" s="884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89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89">
        <v>44043</v>
      </c>
      <c r="AH82" s="884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89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89">
        <v>44055</v>
      </c>
      <c r="AH83" s="884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89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89">
        <v>44088</v>
      </c>
      <c r="AH84" s="884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89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89">
        <v>44117</v>
      </c>
      <c r="AH85" s="884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89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89">
        <v>44147</v>
      </c>
      <c r="AH86" s="884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89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89">
        <v>44179</v>
      </c>
      <c r="AH87" s="884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89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89">
        <v>44193</v>
      </c>
      <c r="AH88" s="884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89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89">
        <v>44208</v>
      </c>
      <c r="AH89" s="884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89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89">
        <v>44043</v>
      </c>
      <c r="AH90" s="884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89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89">
        <v>44055</v>
      </c>
      <c r="AH91" s="884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89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89">
        <v>44088</v>
      </c>
      <c r="AH92" s="884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89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89">
        <v>44117</v>
      </c>
      <c r="AH93" s="884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89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89">
        <v>44147</v>
      </c>
      <c r="AH94" s="884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89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89">
        <v>44179</v>
      </c>
      <c r="AH95" s="884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89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89">
        <v>44193</v>
      </c>
      <c r="AH96" s="884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89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89">
        <v>44208</v>
      </c>
      <c r="AH97" s="884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89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89">
        <v>44043</v>
      </c>
      <c r="AH98" s="884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89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89">
        <v>44055</v>
      </c>
      <c r="AH99" s="884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89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89">
        <v>44088</v>
      </c>
      <c r="AH100" s="884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89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89">
        <v>44117</v>
      </c>
      <c r="AH101" s="884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89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89">
        <v>44147</v>
      </c>
      <c r="AH102" s="884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89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89">
        <v>44179</v>
      </c>
      <c r="AH103" s="884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89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89">
        <v>44193</v>
      </c>
      <c r="AH104" s="884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89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89">
        <v>44208</v>
      </c>
      <c r="AH105" s="884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89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89">
        <v>44043</v>
      </c>
      <c r="AH106" s="884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89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89">
        <v>44055</v>
      </c>
      <c r="AH107" s="884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89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89">
        <v>44088</v>
      </c>
      <c r="AH108" s="884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89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89">
        <v>44117</v>
      </c>
      <c r="AH109" s="884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89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89">
        <v>44147</v>
      </c>
      <c r="AH110" s="884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89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89">
        <v>44179</v>
      </c>
      <c r="AH111" s="884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89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89">
        <v>44193</v>
      </c>
      <c r="AH112" s="884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89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89">
        <v>44208</v>
      </c>
      <c r="AH113" s="884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89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89">
        <v>44043</v>
      </c>
      <c r="AH114" s="884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89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89">
        <v>44055</v>
      </c>
      <c r="AH115" s="884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89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89">
        <v>44088</v>
      </c>
      <c r="AH116" s="884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89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89">
        <v>44117</v>
      </c>
      <c r="AH117" s="884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89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89">
        <v>44147</v>
      </c>
      <c r="AH118" s="884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89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89">
        <v>44179</v>
      </c>
      <c r="AH119" s="884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89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89">
        <v>44193</v>
      </c>
      <c r="AH120" s="884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89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89">
        <v>44208</v>
      </c>
      <c r="AH121" s="884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89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89">
        <v>44043</v>
      </c>
      <c r="AH122" s="884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89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89">
        <v>44055</v>
      </c>
      <c r="AH123" s="884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89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89">
        <v>44088</v>
      </c>
      <c r="AH124" s="884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89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89">
        <v>44117</v>
      </c>
      <c r="AH125" s="884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89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89">
        <v>44147</v>
      </c>
      <c r="AH126" s="884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89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89">
        <v>44179</v>
      </c>
      <c r="AH127" s="884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89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89">
        <v>44193</v>
      </c>
      <c r="AH128" s="884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89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89">
        <v>44208</v>
      </c>
      <c r="AH129" s="884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89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89">
        <v>44043</v>
      </c>
      <c r="AH130" s="884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89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89">
        <v>44055</v>
      </c>
      <c r="AH131" s="884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89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89">
        <v>44088</v>
      </c>
      <c r="AH132" s="884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89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89">
        <v>44117</v>
      </c>
      <c r="AH133" s="884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89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89">
        <v>44147</v>
      </c>
      <c r="AH134" s="884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89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89">
        <v>44179</v>
      </c>
      <c r="AH135" s="884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89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89">
        <v>44193</v>
      </c>
      <c r="AH136" s="884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89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89">
        <v>44208</v>
      </c>
      <c r="AH137" s="884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89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89">
        <v>44043</v>
      </c>
      <c r="AH138" s="884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89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89">
        <v>44055</v>
      </c>
      <c r="AH139" s="884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89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89">
        <v>44088</v>
      </c>
      <c r="AH140" s="884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89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89">
        <v>44117</v>
      </c>
      <c r="AH141" s="884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89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89">
        <v>44147</v>
      </c>
      <c r="AH142" s="884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89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89">
        <v>44179</v>
      </c>
      <c r="AH143" s="884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89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89">
        <v>44193</v>
      </c>
      <c r="AH144" s="884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89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89">
        <v>44208</v>
      </c>
      <c r="AH145" s="884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89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89">
        <v>44043</v>
      </c>
      <c r="AH146" s="884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89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89">
        <v>44055</v>
      </c>
      <c r="AH147" s="884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89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89">
        <v>44088</v>
      </c>
      <c r="AH148" s="884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89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89">
        <v>44117</v>
      </c>
      <c r="AH149" s="884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89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89">
        <v>44147</v>
      </c>
      <c r="AH150" s="884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89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89">
        <v>44179</v>
      </c>
      <c r="AH151" s="884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89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89">
        <v>44193</v>
      </c>
      <c r="AH152" s="884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89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89">
        <v>44208</v>
      </c>
      <c r="AH153" s="884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89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89">
        <v>44043</v>
      </c>
      <c r="AH154" s="884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89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89">
        <v>44055</v>
      </c>
      <c r="AH155" s="884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89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89">
        <v>44088</v>
      </c>
      <c r="AH156" s="884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89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89">
        <v>44117</v>
      </c>
      <c r="AH157" s="884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89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89">
        <v>44147</v>
      </c>
      <c r="AH158" s="884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89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89">
        <v>44179</v>
      </c>
      <c r="AH159" s="884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89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89">
        <v>44193</v>
      </c>
      <c r="AH160" s="884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89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89">
        <v>44208</v>
      </c>
      <c r="AH161" s="884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89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89">
        <v>44043</v>
      </c>
      <c r="AH162" s="884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89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89">
        <v>44055</v>
      </c>
      <c r="AH163" s="884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89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89">
        <v>44088</v>
      </c>
      <c r="AH164" s="884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89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89">
        <v>44117</v>
      </c>
      <c r="AH165" s="884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89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89">
        <v>44147</v>
      </c>
      <c r="AH166" s="884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89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89">
        <v>44179</v>
      </c>
      <c r="AH167" s="884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89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89">
        <v>44193</v>
      </c>
      <c r="AH168" s="884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89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89">
        <v>44208</v>
      </c>
      <c r="AH169" s="884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89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89">
        <v>44043</v>
      </c>
      <c r="AH170" s="884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89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89">
        <v>44055</v>
      </c>
      <c r="AH171" s="884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89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89">
        <v>44088</v>
      </c>
      <c r="AH172" s="884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89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89">
        <v>44117</v>
      </c>
      <c r="AH173" s="884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89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89">
        <v>44147</v>
      </c>
      <c r="AH174" s="884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89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89">
        <v>44179</v>
      </c>
      <c r="AH175" s="884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89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89">
        <v>44193</v>
      </c>
      <c r="AH176" s="884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89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89">
        <v>44208</v>
      </c>
      <c r="AH177" s="884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89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89">
        <v>44043</v>
      </c>
      <c r="AH178" s="884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89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89">
        <v>44055</v>
      </c>
      <c r="AH179" s="884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89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89">
        <v>44088</v>
      </c>
      <c r="AH180" s="884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89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89">
        <v>44117</v>
      </c>
      <c r="AH181" s="884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89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89">
        <v>44147</v>
      </c>
      <c r="AH182" s="884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89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89">
        <v>44179</v>
      </c>
      <c r="AH183" s="884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89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89">
        <v>44193</v>
      </c>
      <c r="AH184" s="884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89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89">
        <v>44208</v>
      </c>
      <c r="AH185" s="884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89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89">
        <v>44043</v>
      </c>
      <c r="AH186" s="884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89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89">
        <v>44055</v>
      </c>
      <c r="AH187" s="884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89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89">
        <v>44088</v>
      </c>
      <c r="AH188" s="884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89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89">
        <v>44117</v>
      </c>
      <c r="AH189" s="884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89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89">
        <v>44147</v>
      </c>
      <c r="AH190" s="884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89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89">
        <v>44179</v>
      </c>
      <c r="AH191" s="884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89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89">
        <v>44193</v>
      </c>
      <c r="AH192" s="884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89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89">
        <v>44208</v>
      </c>
      <c r="AH193" s="884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89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89">
        <v>44043</v>
      </c>
      <c r="AH194" s="884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89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89">
        <v>44055</v>
      </c>
      <c r="AH195" s="884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89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89">
        <v>44088</v>
      </c>
      <c r="AH196" s="884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89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89">
        <v>44117</v>
      </c>
      <c r="AH197" s="884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89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89">
        <v>44147</v>
      </c>
      <c r="AH198" s="884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89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89">
        <v>44179</v>
      </c>
      <c r="AH199" s="884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89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89">
        <v>44193</v>
      </c>
      <c r="AH200" s="884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89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89">
        <v>44208</v>
      </c>
      <c r="AH201" s="884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89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89">
        <v>44043</v>
      </c>
      <c r="AH202" s="884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89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89">
        <v>44055</v>
      </c>
      <c r="AH203" s="884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89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89">
        <v>44088</v>
      </c>
      <c r="AH204" s="884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89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89">
        <v>44117</v>
      </c>
      <c r="AH205" s="884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89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89">
        <v>44147</v>
      </c>
      <c r="AH206" s="884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89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89">
        <v>44179</v>
      </c>
      <c r="AH207" s="884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89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89">
        <v>44193</v>
      </c>
      <c r="AH208" s="884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89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89">
        <v>44208</v>
      </c>
      <c r="AH209" s="884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89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89">
        <v>44043</v>
      </c>
      <c r="AH210" s="884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89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89">
        <v>44055</v>
      </c>
      <c r="AH211" s="884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89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89">
        <v>44088</v>
      </c>
      <c r="AH212" s="884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89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89">
        <v>44117</v>
      </c>
      <c r="AH213" s="884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89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89">
        <v>44147</v>
      </c>
      <c r="AH214" s="884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89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89">
        <v>44179</v>
      </c>
      <c r="AH215" s="884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89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89">
        <v>44193</v>
      </c>
      <c r="AH216" s="884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89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89">
        <v>44208</v>
      </c>
      <c r="AH217" s="884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89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89">
        <v>44043</v>
      </c>
      <c r="AH218" s="884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89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89">
        <v>44055</v>
      </c>
      <c r="AH219" s="884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89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89">
        <v>44088</v>
      </c>
      <c r="AH220" s="884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89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89">
        <v>44117</v>
      </c>
      <c r="AH221" s="884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89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89">
        <v>44147</v>
      </c>
      <c r="AH222" s="884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89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89">
        <v>44179</v>
      </c>
      <c r="AH223" s="884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89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89">
        <v>44193</v>
      </c>
      <c r="AH224" s="884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89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89">
        <v>44208</v>
      </c>
      <c r="AH225" s="884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89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89">
        <v>44043</v>
      </c>
      <c r="AH226" s="884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89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89">
        <v>44055</v>
      </c>
      <c r="AH227" s="884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89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89">
        <v>44088</v>
      </c>
      <c r="AH228" s="884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89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89">
        <v>44117</v>
      </c>
      <c r="AH229" s="884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89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89">
        <v>44147</v>
      </c>
      <c r="AH230" s="884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89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89">
        <v>44179</v>
      </c>
      <c r="AH231" s="884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89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89">
        <v>44193</v>
      </c>
      <c r="AH232" s="884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89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89">
        <v>44208</v>
      </c>
      <c r="AH233" s="884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89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89">
        <v>44043</v>
      </c>
      <c r="AH234" s="884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89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89">
        <v>44055</v>
      </c>
      <c r="AH235" s="884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89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89">
        <v>44088</v>
      </c>
      <c r="AH236" s="884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89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89">
        <v>44117</v>
      </c>
      <c r="AH237" s="884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89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89">
        <v>44147</v>
      </c>
      <c r="AH238" s="884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89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89">
        <v>44179</v>
      </c>
      <c r="AH239" s="884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89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89">
        <v>44193</v>
      </c>
      <c r="AH240" s="884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89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89">
        <v>44208</v>
      </c>
      <c r="AH241" s="884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89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89">
        <v>44043</v>
      </c>
      <c r="AH242" s="884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89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89">
        <v>44055</v>
      </c>
      <c r="AH243" s="884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89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89">
        <v>44088</v>
      </c>
      <c r="AH244" s="884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89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89">
        <v>44117</v>
      </c>
      <c r="AH245" s="884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89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89">
        <v>44147</v>
      </c>
      <c r="AH246" s="884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89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89">
        <v>44179</v>
      </c>
      <c r="AH247" s="884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89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89">
        <v>44193</v>
      </c>
      <c r="AH248" s="884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89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89">
        <v>44208</v>
      </c>
      <c r="AH249" s="884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89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89">
        <v>44043</v>
      </c>
      <c r="AH250" s="884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89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89">
        <v>44055</v>
      </c>
      <c r="AH251" s="884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89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89">
        <v>44088</v>
      </c>
      <c r="AH252" s="884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89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89">
        <v>44117</v>
      </c>
      <c r="AH253" s="884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89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89">
        <v>44147</v>
      </c>
      <c r="AH254" s="884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89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89">
        <v>44179</v>
      </c>
      <c r="AH255" s="884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89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89">
        <v>44193</v>
      </c>
      <c r="AH256" s="884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89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89">
        <v>44208</v>
      </c>
      <c r="AH257" s="884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89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89">
        <v>44043</v>
      </c>
      <c r="AH258" s="884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89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89">
        <v>44055</v>
      </c>
      <c r="AH259" s="884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89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89">
        <v>44088</v>
      </c>
      <c r="AH260" s="884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89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89">
        <v>44117</v>
      </c>
      <c r="AH261" s="884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89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89">
        <v>44147</v>
      </c>
      <c r="AH262" s="884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89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89">
        <v>44179</v>
      </c>
      <c r="AH263" s="884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89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89">
        <v>44193</v>
      </c>
      <c r="AH264" s="884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89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89">
        <v>44208</v>
      </c>
      <c r="AH265" s="884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89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89">
        <v>44043</v>
      </c>
      <c r="AH266" s="884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89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89">
        <v>44055</v>
      </c>
      <c r="AH267" s="884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89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89">
        <v>44088</v>
      </c>
      <c r="AH268" s="884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89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89">
        <v>44117</v>
      </c>
      <c r="AH269" s="884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89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89">
        <v>44147</v>
      </c>
      <c r="AH270" s="884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89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89">
        <v>44179</v>
      </c>
      <c r="AH271" s="884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89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89">
        <v>44193</v>
      </c>
      <c r="AH272" s="884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89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89">
        <v>44208</v>
      </c>
      <c r="AH273" s="884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89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84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89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84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89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84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89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84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89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84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89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84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89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84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89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84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89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84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89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84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89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84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89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84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89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84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89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84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89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84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89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84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89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89">
        <v>44043</v>
      </c>
      <c r="AH290" s="884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89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89">
        <v>44055</v>
      </c>
      <c r="AH291" s="884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89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89">
        <v>44088</v>
      </c>
      <c r="AH292" s="884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89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89">
        <v>44117</v>
      </c>
      <c r="AH293" s="884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89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89">
        <v>44147</v>
      </c>
      <c r="AH294" s="884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89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89">
        <v>44179</v>
      </c>
      <c r="AH295" s="884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89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89">
        <v>44193</v>
      </c>
      <c r="AH296" s="884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89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89">
        <v>44208</v>
      </c>
      <c r="AH297" s="884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89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89">
        <v>44043</v>
      </c>
      <c r="AH298" s="884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89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89">
        <v>44055</v>
      </c>
      <c r="AH299" s="884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89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89">
        <v>44088</v>
      </c>
      <c r="AH300" s="884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89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89">
        <v>44117</v>
      </c>
      <c r="AH301" s="884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89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89">
        <v>44147</v>
      </c>
      <c r="AH302" s="884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89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89">
        <v>44179</v>
      </c>
      <c r="AH303" s="884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89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89">
        <v>44193</v>
      </c>
      <c r="AH304" s="884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89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89">
        <v>44208</v>
      </c>
      <c r="AH305" s="884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89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89">
        <v>44043</v>
      </c>
      <c r="AH306" s="884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89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89">
        <v>44055</v>
      </c>
      <c r="AH307" s="884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89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89">
        <v>44088</v>
      </c>
      <c r="AH308" s="884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89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89">
        <v>44117</v>
      </c>
      <c r="AH309" s="884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89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89">
        <v>44147</v>
      </c>
      <c r="AH310" s="884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89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89">
        <v>44179</v>
      </c>
      <c r="AH311" s="884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89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89">
        <v>44193</v>
      </c>
      <c r="AH312" s="884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89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89">
        <v>44208</v>
      </c>
      <c r="AH313" s="884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89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89">
        <v>44043</v>
      </c>
      <c r="AH314" s="884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89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89">
        <v>44055</v>
      </c>
      <c r="AH315" s="884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89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89">
        <v>44088</v>
      </c>
      <c r="AH316" s="884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89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89">
        <v>44117</v>
      </c>
      <c r="AH317" s="884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89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89">
        <v>44147</v>
      </c>
      <c r="AH318" s="884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89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89">
        <v>44179</v>
      </c>
      <c r="AH319" s="884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89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89">
        <v>44193</v>
      </c>
      <c r="AH320" s="884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89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89">
        <v>44208</v>
      </c>
      <c r="AH321" s="884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89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84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89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84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89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84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89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84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89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84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89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84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89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84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89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84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89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84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89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84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89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84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89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84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89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84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89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84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89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84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89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84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89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84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89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84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89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84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89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84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89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84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89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84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89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84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89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84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89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84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89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84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68">
        <v>-3012884.08</v>
      </c>
      <c r="H348" s="234" t="s">
        <v>138</v>
      </c>
      <c r="I348" s="889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84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89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84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89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84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89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84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89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84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89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84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89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84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89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84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89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84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89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84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89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84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89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84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89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84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89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84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89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84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89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84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89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84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89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84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89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84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89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84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89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84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89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84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89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84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89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84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89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84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89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84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89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84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89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84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89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84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89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84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89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89">
        <v>44043</v>
      </c>
      <c r="AH378" s="884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89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89">
        <v>44055</v>
      </c>
      <c r="AH379" s="884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89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89">
        <v>44088</v>
      </c>
      <c r="AH380" s="884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89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89">
        <v>44117</v>
      </c>
      <c r="AH381" s="884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89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89">
        <v>44147</v>
      </c>
      <c r="AH382" s="884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89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89">
        <v>44179</v>
      </c>
      <c r="AH383" s="884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89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89">
        <v>44193</v>
      </c>
      <c r="AH384" s="884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89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89">
        <v>44208</v>
      </c>
      <c r="AH385" s="884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89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89">
        <v>44043</v>
      </c>
      <c r="AH386" s="884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89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89">
        <v>44055</v>
      </c>
      <c r="AH387" s="884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89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89">
        <v>44088</v>
      </c>
      <c r="AH388" s="884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89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89">
        <v>44117</v>
      </c>
      <c r="AH389" s="884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89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89">
        <v>44147</v>
      </c>
      <c r="AH390" s="884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89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89">
        <v>44179</v>
      </c>
      <c r="AH391" s="884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89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89">
        <v>44193</v>
      </c>
      <c r="AH392" s="884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89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89">
        <v>44208</v>
      </c>
      <c r="AH393" s="884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89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89">
        <v>44043</v>
      </c>
      <c r="AH394" s="884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89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89">
        <v>44055</v>
      </c>
      <c r="AH395" s="884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89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89">
        <v>44088</v>
      </c>
      <c r="AH396" s="884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89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89">
        <v>44117</v>
      </c>
      <c r="AH397" s="884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89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89">
        <v>44147</v>
      </c>
      <c r="AH398" s="884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89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89">
        <v>44179</v>
      </c>
      <c r="AH399" s="884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89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89">
        <v>44193</v>
      </c>
      <c r="AH400" s="884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89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89">
        <v>44208</v>
      </c>
      <c r="AH401" s="884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89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89">
        <v>44043</v>
      </c>
      <c r="AH402" s="884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89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89">
        <v>44055</v>
      </c>
      <c r="AH403" s="884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89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89">
        <v>44088</v>
      </c>
      <c r="AH404" s="884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89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89">
        <v>44117</v>
      </c>
      <c r="AH405" s="884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89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89">
        <v>44147</v>
      </c>
      <c r="AH406" s="884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89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89">
        <v>44179</v>
      </c>
      <c r="AH407" s="884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89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89">
        <v>44193</v>
      </c>
      <c r="AH408" s="884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89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89">
        <v>44208</v>
      </c>
      <c r="AH409" s="884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89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89">
        <v>44043</v>
      </c>
      <c r="AH410" s="884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89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89">
        <v>44055</v>
      </c>
      <c r="AH411" s="884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89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89">
        <v>44088</v>
      </c>
      <c r="AH412" s="884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89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89">
        <v>44117</v>
      </c>
      <c r="AH413" s="884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89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89">
        <v>44147</v>
      </c>
      <c r="AH414" s="884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89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89">
        <v>44179</v>
      </c>
      <c r="AH415" s="884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89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89">
        <v>44193</v>
      </c>
      <c r="AH416" s="884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89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89">
        <v>44208</v>
      </c>
      <c r="AH417" s="884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89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89">
        <v>44043</v>
      </c>
      <c r="AH418" s="884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89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89">
        <v>44055</v>
      </c>
      <c r="AH419" s="884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89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89">
        <v>44088</v>
      </c>
      <c r="AH420" s="884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89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89">
        <v>44117</v>
      </c>
      <c r="AH421" s="884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89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89">
        <v>44147</v>
      </c>
      <c r="AH422" s="884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89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89">
        <v>44179</v>
      </c>
      <c r="AH423" s="884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89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89">
        <v>44193</v>
      </c>
      <c r="AH424" s="884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89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89">
        <v>44208</v>
      </c>
      <c r="AH425" s="884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89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84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89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84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89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84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89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84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89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84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89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84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89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84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89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84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89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89">
        <v>44043</v>
      </c>
      <c r="AH434" s="884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89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89">
        <v>44055</v>
      </c>
      <c r="AH435" s="884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89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89">
        <v>44088</v>
      </c>
      <c r="AH436" s="884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89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89">
        <v>44117</v>
      </c>
      <c r="AH437" s="884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89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89">
        <v>44147</v>
      </c>
      <c r="AH438" s="884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89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89">
        <v>44179</v>
      </c>
      <c r="AH439" s="884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89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89">
        <v>44193</v>
      </c>
      <c r="AH440" s="884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89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89">
        <v>44208</v>
      </c>
      <c r="AH441" s="884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89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89">
        <v>44043</v>
      </c>
      <c r="AH442" s="884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89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89">
        <v>44055</v>
      </c>
      <c r="AH443" s="884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89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89">
        <v>44088</v>
      </c>
      <c r="AH444" s="884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89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89">
        <v>44117</v>
      </c>
      <c r="AH445" s="884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89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89">
        <v>44147</v>
      </c>
      <c r="AH446" s="884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89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89">
        <v>44179</v>
      </c>
      <c r="AH447" s="884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89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89">
        <v>44193</v>
      </c>
      <c r="AH448" s="884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89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89">
        <v>44208</v>
      </c>
      <c r="AH449" s="884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89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89">
        <v>44043</v>
      </c>
      <c r="AH450" s="884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89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89">
        <v>44055</v>
      </c>
      <c r="AH451" s="884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89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89">
        <v>44088</v>
      </c>
      <c r="AH452" s="884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89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89">
        <v>44117</v>
      </c>
      <c r="AH453" s="884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89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89">
        <v>44147</v>
      </c>
      <c r="AH454" s="884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89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89">
        <v>44179</v>
      </c>
      <c r="AH455" s="884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89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89">
        <v>44193</v>
      </c>
      <c r="AH456" s="884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89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89">
        <v>44208</v>
      </c>
      <c r="AH457" s="884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89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89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89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89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89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89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89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89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89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89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89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89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89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89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89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89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89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89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89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89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89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89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89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89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89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89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89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89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89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89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89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89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89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89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89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89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89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89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89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89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89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89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89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89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89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89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89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89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89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89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89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89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89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89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89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89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89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89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89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89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89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89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89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89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81"/>
  <sheetViews>
    <sheetView topLeftCell="N1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3" t="s">
        <v>208</v>
      </c>
      <c r="K1" s="753" t="s">
        <v>214</v>
      </c>
      <c r="L1" s="753" t="s">
        <v>213</v>
      </c>
      <c r="M1" s="753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228</v>
      </c>
      <c r="AJ1" t="s">
        <v>230</v>
      </c>
    </row>
    <row r="2" spans="1:36">
      <c r="A2" t="s">
        <v>2317</v>
      </c>
      <c r="B2" t="s">
        <v>2318</v>
      </c>
      <c r="C2" t="s">
        <v>2319</v>
      </c>
      <c r="D2" t="s">
        <v>2320</v>
      </c>
      <c r="E2" t="s">
        <v>215</v>
      </c>
      <c r="F2">
        <v>202104</v>
      </c>
      <c r="G2" t="s">
        <v>216</v>
      </c>
      <c r="H2">
        <v>0</v>
      </c>
      <c r="J2" s="754">
        <f>CAPA!K12</f>
        <v>5939</v>
      </c>
      <c r="K2" s="754" t="s">
        <v>217</v>
      </c>
      <c r="L2" s="754" t="str">
        <f>"&gt;="&amp;K6</f>
        <v>&gt;=202107</v>
      </c>
      <c r="M2" s="754" t="str">
        <f>"&lt;="&amp;K7</f>
        <v>&lt;=202206</v>
      </c>
      <c r="O2" t="s">
        <v>2317</v>
      </c>
      <c r="P2" t="s">
        <v>2318</v>
      </c>
      <c r="Q2" t="s">
        <v>2319</v>
      </c>
      <c r="R2" t="s">
        <v>2320</v>
      </c>
      <c r="S2" t="s">
        <v>215</v>
      </c>
      <c r="T2">
        <v>202107</v>
      </c>
      <c r="U2" t="s">
        <v>218</v>
      </c>
      <c r="V2">
        <v>11500</v>
      </c>
      <c r="X2" t="s">
        <v>2319</v>
      </c>
      <c r="Y2" t="s">
        <v>2320</v>
      </c>
      <c r="Z2" t="s">
        <v>215</v>
      </c>
      <c r="AB2" t="s">
        <v>2319</v>
      </c>
      <c r="AC2" t="s">
        <v>2320</v>
      </c>
      <c r="AD2" t="s">
        <v>215</v>
      </c>
      <c r="AE2" t="s">
        <v>218</v>
      </c>
      <c r="AH2" t="s">
        <v>2319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>
      <c r="A3" t="s">
        <v>2317</v>
      </c>
      <c r="B3" t="s">
        <v>2318</v>
      </c>
      <c r="C3" t="s">
        <v>2319</v>
      </c>
      <c r="D3" t="s">
        <v>2320</v>
      </c>
      <c r="E3" t="s">
        <v>215</v>
      </c>
      <c r="F3">
        <v>202105</v>
      </c>
      <c r="G3" t="s">
        <v>216</v>
      </c>
      <c r="H3">
        <v>0</v>
      </c>
      <c r="J3" s="754">
        <f>J2</f>
        <v>5939</v>
      </c>
      <c r="K3" s="754" t="s">
        <v>219</v>
      </c>
      <c r="L3" s="754" t="str">
        <f>L2</f>
        <v>&gt;=202107</v>
      </c>
      <c r="M3" s="754" t="str">
        <f>M2</f>
        <v>&lt;=202206</v>
      </c>
      <c r="O3" t="s">
        <v>2317</v>
      </c>
      <c r="P3" t="s">
        <v>2318</v>
      </c>
      <c r="Q3" t="s">
        <v>2319</v>
      </c>
      <c r="R3" t="s">
        <v>2320</v>
      </c>
      <c r="S3" t="s">
        <v>215</v>
      </c>
      <c r="T3">
        <v>202107</v>
      </c>
      <c r="U3" t="s">
        <v>220</v>
      </c>
      <c r="V3">
        <v>3620.54</v>
      </c>
      <c r="X3" t="s">
        <v>2319</v>
      </c>
      <c r="Y3" t="s">
        <v>2320</v>
      </c>
      <c r="Z3" t="s">
        <v>2179</v>
      </c>
      <c r="AB3" t="s">
        <v>2319</v>
      </c>
      <c r="AC3" t="s">
        <v>2320</v>
      </c>
      <c r="AD3" t="s">
        <v>215</v>
      </c>
      <c r="AE3" t="s">
        <v>220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 t="s">
        <v>2317</v>
      </c>
      <c r="B4" t="s">
        <v>2318</v>
      </c>
      <c r="C4" t="s">
        <v>2319</v>
      </c>
      <c r="D4" t="s">
        <v>2320</v>
      </c>
      <c r="E4" t="s">
        <v>215</v>
      </c>
      <c r="F4">
        <v>202106</v>
      </c>
      <c r="G4" t="s">
        <v>216</v>
      </c>
      <c r="H4">
        <v>0</v>
      </c>
      <c r="J4" s="756">
        <f>J3</f>
        <v>5939</v>
      </c>
      <c r="K4" s="754" t="s">
        <v>221</v>
      </c>
      <c r="L4" s="755" t="str">
        <f>L2</f>
        <v>&gt;=202107</v>
      </c>
      <c r="M4" s="755" t="str">
        <f>M2</f>
        <v>&lt;=202206</v>
      </c>
      <c r="O4" t="s">
        <v>2317</v>
      </c>
      <c r="P4" t="s">
        <v>2318</v>
      </c>
      <c r="Q4" t="s">
        <v>2319</v>
      </c>
      <c r="R4" t="s">
        <v>2320</v>
      </c>
      <c r="S4" t="s">
        <v>215</v>
      </c>
      <c r="T4">
        <v>202108</v>
      </c>
      <c r="U4" t="s">
        <v>218</v>
      </c>
      <c r="V4">
        <v>11500</v>
      </c>
      <c r="AB4" t="s">
        <v>2319</v>
      </c>
      <c r="AC4" t="s">
        <v>2320</v>
      </c>
      <c r="AD4" t="s">
        <v>2179</v>
      </c>
      <c r="AE4" t="s">
        <v>218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 t="s">
        <v>2317</v>
      </c>
      <c r="B5" t="s">
        <v>2318</v>
      </c>
      <c r="C5" t="s">
        <v>2319</v>
      </c>
      <c r="D5" t="s">
        <v>2320</v>
      </c>
      <c r="E5" t="s">
        <v>215</v>
      </c>
      <c r="F5">
        <v>202107</v>
      </c>
      <c r="G5" t="s">
        <v>216</v>
      </c>
      <c r="H5">
        <v>0</v>
      </c>
      <c r="J5" s="756">
        <f>J4</f>
        <v>5939</v>
      </c>
      <c r="K5" s="951" t="s">
        <v>223</v>
      </c>
      <c r="L5" s="755" t="str">
        <f>L3</f>
        <v>&gt;=202107</v>
      </c>
      <c r="M5" s="755" t="str">
        <f>M3</f>
        <v>&lt;=202206</v>
      </c>
      <c r="O5" t="s">
        <v>2317</v>
      </c>
      <c r="P5" t="s">
        <v>2318</v>
      </c>
      <c r="Q5" t="s">
        <v>2319</v>
      </c>
      <c r="R5" t="s">
        <v>2320</v>
      </c>
      <c r="S5" t="s">
        <v>215</v>
      </c>
      <c r="T5">
        <v>202108</v>
      </c>
      <c r="U5" t="s">
        <v>220</v>
      </c>
      <c r="V5">
        <v>4949.18</v>
      </c>
      <c r="AB5" t="s">
        <v>2319</v>
      </c>
      <c r="AC5" t="s">
        <v>2320</v>
      </c>
      <c r="AD5" t="s">
        <v>2179</v>
      </c>
      <c r="AE5" t="s">
        <v>220</v>
      </c>
      <c r="AI5">
        <f t="shared" si="0"/>
        <v>0</v>
      </c>
      <c r="AJ5" t="str">
        <f t="shared" si="1"/>
        <v>Nada</v>
      </c>
    </row>
    <row r="6" spans="1:36">
      <c r="A6" t="s">
        <v>2317</v>
      </c>
      <c r="B6" t="s">
        <v>2318</v>
      </c>
      <c r="C6" t="s">
        <v>2319</v>
      </c>
      <c r="D6" t="s">
        <v>2320</v>
      </c>
      <c r="E6" t="s">
        <v>215</v>
      </c>
      <c r="F6">
        <v>202108</v>
      </c>
      <c r="G6" t="s">
        <v>216</v>
      </c>
      <c r="H6">
        <v>0</v>
      </c>
      <c r="J6" t="s">
        <v>225</v>
      </c>
      <c r="K6">
        <f>(YEAR(SAS_RA0_DataInicio)*100+MONTH(SAS_RA0_DataInicio))</f>
        <v>202107</v>
      </c>
      <c r="O6" t="s">
        <v>2317</v>
      </c>
      <c r="P6" t="s">
        <v>2318</v>
      </c>
      <c r="Q6" t="s">
        <v>2319</v>
      </c>
      <c r="R6" t="s">
        <v>2320</v>
      </c>
      <c r="S6" t="s">
        <v>215</v>
      </c>
      <c r="T6">
        <v>202109</v>
      </c>
      <c r="U6" t="s">
        <v>218</v>
      </c>
      <c r="V6">
        <v>11500</v>
      </c>
      <c r="AB6" t="s">
        <v>2319</v>
      </c>
      <c r="AC6" t="s">
        <v>2320</v>
      </c>
      <c r="AD6" t="s">
        <v>215</v>
      </c>
      <c r="AE6" t="s">
        <v>222</v>
      </c>
      <c r="AI6">
        <f t="shared" si="0"/>
        <v>0</v>
      </c>
      <c r="AJ6" t="str">
        <f t="shared" si="1"/>
        <v>Nada</v>
      </c>
    </row>
    <row r="7" spans="1:36">
      <c r="A7" t="s">
        <v>2317</v>
      </c>
      <c r="B7" t="s">
        <v>2318</v>
      </c>
      <c r="C7" t="s">
        <v>2319</v>
      </c>
      <c r="D7" t="s">
        <v>2320</v>
      </c>
      <c r="E7" t="s">
        <v>215</v>
      </c>
      <c r="F7">
        <v>202109</v>
      </c>
      <c r="G7" t="s">
        <v>216</v>
      </c>
      <c r="H7">
        <v>0</v>
      </c>
      <c r="J7" t="s">
        <v>227</v>
      </c>
      <c r="K7">
        <f>YEAR(SAS_RA0_DataFim)*100+MONTH(SAS_RA0_DataFim)</f>
        <v>202206</v>
      </c>
      <c r="O7" t="s">
        <v>2317</v>
      </c>
      <c r="P7" t="s">
        <v>2318</v>
      </c>
      <c r="Q7" t="s">
        <v>2319</v>
      </c>
      <c r="R7" t="s">
        <v>2320</v>
      </c>
      <c r="S7" t="s">
        <v>215</v>
      </c>
      <c r="T7">
        <v>202109</v>
      </c>
      <c r="U7" t="s">
        <v>220</v>
      </c>
      <c r="V7">
        <v>3600</v>
      </c>
      <c r="AB7" t="s">
        <v>2319</v>
      </c>
      <c r="AC7" t="s">
        <v>2320</v>
      </c>
      <c r="AD7" t="s">
        <v>215</v>
      </c>
      <c r="AE7" t="s">
        <v>224</v>
      </c>
      <c r="AI7">
        <f t="shared" si="0"/>
        <v>0</v>
      </c>
      <c r="AJ7" t="str">
        <f t="shared" si="1"/>
        <v>Nada</v>
      </c>
    </row>
    <row r="8" spans="1:36">
      <c r="A8" t="s">
        <v>2317</v>
      </c>
      <c r="B8" t="s">
        <v>2318</v>
      </c>
      <c r="C8" t="s">
        <v>2319</v>
      </c>
      <c r="D8" t="s">
        <v>2320</v>
      </c>
      <c r="E8" t="s">
        <v>215</v>
      </c>
      <c r="F8">
        <v>202110</v>
      </c>
      <c r="G8" t="s">
        <v>216</v>
      </c>
      <c r="H8">
        <v>0</v>
      </c>
      <c r="J8" t="s">
        <v>228</v>
      </c>
      <c r="K8" s="661">
        <f>MAX(AI:AI)</f>
        <v>202205</v>
      </c>
      <c r="O8" t="s">
        <v>2317</v>
      </c>
      <c r="P8" t="s">
        <v>2318</v>
      </c>
      <c r="Q8" t="s">
        <v>2319</v>
      </c>
      <c r="R8" t="s">
        <v>2320</v>
      </c>
      <c r="S8" t="s">
        <v>215</v>
      </c>
      <c r="T8">
        <v>202110</v>
      </c>
      <c r="U8" t="s">
        <v>218</v>
      </c>
      <c r="V8">
        <v>11500</v>
      </c>
      <c r="AB8" t="s">
        <v>2319</v>
      </c>
      <c r="AC8" t="s">
        <v>2320</v>
      </c>
      <c r="AD8" t="s">
        <v>215</v>
      </c>
      <c r="AE8" t="s">
        <v>226</v>
      </c>
      <c r="AI8">
        <f t="shared" si="0"/>
        <v>0</v>
      </c>
      <c r="AJ8" t="str">
        <f t="shared" si="1"/>
        <v>Nada</v>
      </c>
    </row>
    <row r="9" spans="1:36">
      <c r="A9" t="s">
        <v>2317</v>
      </c>
      <c r="B9" t="s">
        <v>2318</v>
      </c>
      <c r="C9" t="s">
        <v>2319</v>
      </c>
      <c r="D9" t="s">
        <v>2320</v>
      </c>
      <c r="E9" t="s">
        <v>215</v>
      </c>
      <c r="F9">
        <v>202111</v>
      </c>
      <c r="G9" t="s">
        <v>216</v>
      </c>
      <c r="H9">
        <v>0</v>
      </c>
      <c r="J9" t="s">
        <v>230</v>
      </c>
      <c r="K9" s="661">
        <f>MAX(AJ:AJ)</f>
        <v>1</v>
      </c>
      <c r="O9" t="s">
        <v>2317</v>
      </c>
      <c r="P9" t="s">
        <v>2318</v>
      </c>
      <c r="Q9" t="s">
        <v>2319</v>
      </c>
      <c r="R9" t="s">
        <v>2320</v>
      </c>
      <c r="S9" t="s">
        <v>215</v>
      </c>
      <c r="T9">
        <v>202110</v>
      </c>
      <c r="U9" t="s">
        <v>220</v>
      </c>
      <c r="V9">
        <v>4218.43</v>
      </c>
      <c r="AB9" t="s">
        <v>2319</v>
      </c>
      <c r="AC9" t="s">
        <v>2320</v>
      </c>
      <c r="AD9" t="s">
        <v>2179</v>
      </c>
      <c r="AE9" t="s">
        <v>222</v>
      </c>
    </row>
    <row r="10" spans="1:36">
      <c r="A10" t="s">
        <v>2317</v>
      </c>
      <c r="B10" t="s">
        <v>2318</v>
      </c>
      <c r="C10" t="s">
        <v>2319</v>
      </c>
      <c r="D10" t="s">
        <v>2320</v>
      </c>
      <c r="E10" t="s">
        <v>215</v>
      </c>
      <c r="F10">
        <v>202112</v>
      </c>
      <c r="G10" t="s">
        <v>216</v>
      </c>
      <c r="H10">
        <v>0</v>
      </c>
      <c r="O10" t="s">
        <v>2317</v>
      </c>
      <c r="P10" t="s">
        <v>2318</v>
      </c>
      <c r="Q10" t="s">
        <v>2319</v>
      </c>
      <c r="R10" t="s">
        <v>2320</v>
      </c>
      <c r="S10" t="s">
        <v>215</v>
      </c>
      <c r="T10">
        <v>202111</v>
      </c>
      <c r="U10" t="s">
        <v>218</v>
      </c>
      <c r="V10">
        <v>13103.71</v>
      </c>
      <c r="AB10" t="s">
        <v>2319</v>
      </c>
      <c r="AC10" t="s">
        <v>2320</v>
      </c>
      <c r="AD10" t="s">
        <v>2179</v>
      </c>
      <c r="AE10" t="s">
        <v>224</v>
      </c>
    </row>
    <row r="11" spans="1:36">
      <c r="A11" t="s">
        <v>2317</v>
      </c>
      <c r="B11" t="s">
        <v>2318</v>
      </c>
      <c r="C11" t="s">
        <v>2319</v>
      </c>
      <c r="D11" t="s">
        <v>2320</v>
      </c>
      <c r="E11" t="s">
        <v>215</v>
      </c>
      <c r="F11">
        <v>202201</v>
      </c>
      <c r="G11" t="s">
        <v>216</v>
      </c>
      <c r="H11">
        <v>0</v>
      </c>
      <c r="J11" s="815">
        <f>VALUE(A2)</f>
        <v>5939</v>
      </c>
      <c r="O11" t="s">
        <v>2317</v>
      </c>
      <c r="P11" t="s">
        <v>2318</v>
      </c>
      <c r="Q11" t="s">
        <v>2319</v>
      </c>
      <c r="R11" t="s">
        <v>2320</v>
      </c>
      <c r="S11" t="s">
        <v>215</v>
      </c>
      <c r="T11">
        <v>202111</v>
      </c>
      <c r="U11" t="s">
        <v>220</v>
      </c>
      <c r="V11">
        <v>4068.96</v>
      </c>
      <c r="AB11" t="s">
        <v>2319</v>
      </c>
      <c r="AC11" t="s">
        <v>2320</v>
      </c>
      <c r="AD11" t="s">
        <v>2179</v>
      </c>
      <c r="AE11" t="s">
        <v>226</v>
      </c>
    </row>
    <row r="12" spans="1:36">
      <c r="A12" t="s">
        <v>2317</v>
      </c>
      <c r="B12" t="s">
        <v>2318</v>
      </c>
      <c r="C12" t="s">
        <v>2319</v>
      </c>
      <c r="D12" t="s">
        <v>2320</v>
      </c>
      <c r="E12" t="s">
        <v>215</v>
      </c>
      <c r="F12">
        <v>202202</v>
      </c>
      <c r="G12" t="s">
        <v>216</v>
      </c>
      <c r="H12">
        <v>0</v>
      </c>
      <c r="K12" s="8"/>
      <c r="O12" t="s">
        <v>2317</v>
      </c>
      <c r="P12" t="s">
        <v>2318</v>
      </c>
      <c r="Q12" t="s">
        <v>2319</v>
      </c>
      <c r="R12" t="s">
        <v>2320</v>
      </c>
      <c r="S12" t="s">
        <v>215</v>
      </c>
      <c r="T12">
        <v>202112</v>
      </c>
      <c r="U12" t="s">
        <v>218</v>
      </c>
      <c r="V12">
        <v>13369.44</v>
      </c>
    </row>
    <row r="13" spans="1:36">
      <c r="A13" t="s">
        <v>2317</v>
      </c>
      <c r="B13" t="s">
        <v>2318</v>
      </c>
      <c r="C13" t="s">
        <v>2319</v>
      </c>
      <c r="D13" t="s">
        <v>2320</v>
      </c>
      <c r="E13" t="s">
        <v>215</v>
      </c>
      <c r="F13">
        <v>202203</v>
      </c>
      <c r="G13" t="s">
        <v>216</v>
      </c>
      <c r="H13">
        <v>0</v>
      </c>
      <c r="O13" t="s">
        <v>2317</v>
      </c>
      <c r="P13" t="s">
        <v>2318</v>
      </c>
      <c r="Q13" t="s">
        <v>2319</v>
      </c>
      <c r="R13" t="s">
        <v>2320</v>
      </c>
      <c r="S13" t="s">
        <v>215</v>
      </c>
      <c r="T13">
        <v>202112</v>
      </c>
      <c r="U13" t="s">
        <v>220</v>
      </c>
      <c r="V13">
        <v>4309.7700000000004</v>
      </c>
    </row>
    <row r="14" spans="1:36">
      <c r="A14" t="s">
        <v>2317</v>
      </c>
      <c r="B14" t="s">
        <v>2318</v>
      </c>
      <c r="C14" t="s">
        <v>2319</v>
      </c>
      <c r="D14" t="s">
        <v>2320</v>
      </c>
      <c r="E14" t="s">
        <v>215</v>
      </c>
      <c r="F14">
        <v>202204</v>
      </c>
      <c r="G14" t="s">
        <v>216</v>
      </c>
      <c r="H14">
        <v>0</v>
      </c>
      <c r="O14" t="s">
        <v>2317</v>
      </c>
      <c r="P14" t="s">
        <v>2318</v>
      </c>
      <c r="Q14" t="s">
        <v>2319</v>
      </c>
      <c r="R14" t="s">
        <v>2320</v>
      </c>
      <c r="S14" t="s">
        <v>215</v>
      </c>
      <c r="T14">
        <v>202201</v>
      </c>
      <c r="U14" t="s">
        <v>218</v>
      </c>
      <c r="V14">
        <v>23000</v>
      </c>
    </row>
    <row r="15" spans="1:36">
      <c r="A15" t="s">
        <v>2317</v>
      </c>
      <c r="B15" t="s">
        <v>2318</v>
      </c>
      <c r="C15" t="s">
        <v>2319</v>
      </c>
      <c r="D15" t="s">
        <v>2320</v>
      </c>
      <c r="E15" t="s">
        <v>215</v>
      </c>
      <c r="F15">
        <v>202205</v>
      </c>
      <c r="G15" t="s">
        <v>216</v>
      </c>
      <c r="H15">
        <v>0</v>
      </c>
      <c r="O15" t="s">
        <v>2317</v>
      </c>
      <c r="P15" t="s">
        <v>2318</v>
      </c>
      <c r="Q15" t="s">
        <v>2319</v>
      </c>
      <c r="R15" t="s">
        <v>2320</v>
      </c>
      <c r="S15" t="s">
        <v>215</v>
      </c>
      <c r="T15">
        <v>202201</v>
      </c>
      <c r="U15" t="s">
        <v>220</v>
      </c>
      <c r="V15">
        <v>9865.14</v>
      </c>
    </row>
    <row r="16" spans="1:36">
      <c r="A16" t="s">
        <v>2317</v>
      </c>
      <c r="B16" t="s">
        <v>2318</v>
      </c>
      <c r="C16" t="s">
        <v>2319</v>
      </c>
      <c r="D16" t="s">
        <v>2320</v>
      </c>
      <c r="E16" t="s">
        <v>2179</v>
      </c>
      <c r="F16">
        <v>202104</v>
      </c>
      <c r="G16" t="s">
        <v>216</v>
      </c>
      <c r="H16">
        <v>-2921.86</v>
      </c>
      <c r="O16" t="s">
        <v>2317</v>
      </c>
      <c r="P16" t="s">
        <v>2318</v>
      </c>
      <c r="Q16" t="s">
        <v>2319</v>
      </c>
      <c r="R16" t="s">
        <v>2320</v>
      </c>
      <c r="S16" t="s">
        <v>215</v>
      </c>
      <c r="T16">
        <v>202202</v>
      </c>
      <c r="U16" t="s">
        <v>218</v>
      </c>
      <c r="V16">
        <v>11500</v>
      </c>
    </row>
    <row r="17" spans="1:22">
      <c r="A17" t="s">
        <v>2317</v>
      </c>
      <c r="B17" t="s">
        <v>2318</v>
      </c>
      <c r="C17" t="s">
        <v>2319</v>
      </c>
      <c r="D17" t="s">
        <v>2320</v>
      </c>
      <c r="E17" t="s">
        <v>2179</v>
      </c>
      <c r="F17">
        <v>202105</v>
      </c>
      <c r="G17" t="s">
        <v>216</v>
      </c>
      <c r="H17">
        <v>-29996.49</v>
      </c>
      <c r="O17" t="s">
        <v>2317</v>
      </c>
      <c r="P17" t="s">
        <v>2318</v>
      </c>
      <c r="Q17" t="s">
        <v>2319</v>
      </c>
      <c r="R17" t="s">
        <v>2320</v>
      </c>
      <c r="S17" t="s">
        <v>215</v>
      </c>
      <c r="T17">
        <v>202202</v>
      </c>
      <c r="U17" t="s">
        <v>220</v>
      </c>
      <c r="V17">
        <v>3886.27</v>
      </c>
    </row>
    <row r="18" spans="1:22">
      <c r="A18" t="s">
        <v>2317</v>
      </c>
      <c r="B18" t="s">
        <v>2318</v>
      </c>
      <c r="C18" t="s">
        <v>2319</v>
      </c>
      <c r="D18" t="s">
        <v>2320</v>
      </c>
      <c r="E18" t="s">
        <v>2179</v>
      </c>
      <c r="F18">
        <v>202106</v>
      </c>
      <c r="G18" t="s">
        <v>216</v>
      </c>
      <c r="H18">
        <v>0.01</v>
      </c>
      <c r="O18" t="s">
        <v>2317</v>
      </c>
      <c r="P18" t="s">
        <v>2318</v>
      </c>
      <c r="Q18" t="s">
        <v>2319</v>
      </c>
      <c r="R18" t="s">
        <v>2320</v>
      </c>
      <c r="S18" t="s">
        <v>215</v>
      </c>
      <c r="T18">
        <v>202203</v>
      </c>
      <c r="U18" t="s">
        <v>218</v>
      </c>
      <c r="V18">
        <v>11500</v>
      </c>
    </row>
    <row r="19" spans="1:22">
      <c r="A19" t="s">
        <v>2317</v>
      </c>
      <c r="B19" t="s">
        <v>2318</v>
      </c>
      <c r="C19" t="s">
        <v>2319</v>
      </c>
      <c r="D19" t="s">
        <v>2320</v>
      </c>
      <c r="E19" t="s">
        <v>2179</v>
      </c>
      <c r="F19">
        <v>202107</v>
      </c>
      <c r="G19" t="s">
        <v>216</v>
      </c>
      <c r="H19">
        <v>-37385.160000000003</v>
      </c>
      <c r="O19" t="s">
        <v>2317</v>
      </c>
      <c r="P19" t="s">
        <v>2318</v>
      </c>
      <c r="Q19" t="s">
        <v>2319</v>
      </c>
      <c r="R19" t="s">
        <v>2320</v>
      </c>
      <c r="S19" t="s">
        <v>215</v>
      </c>
      <c r="T19">
        <v>202203</v>
      </c>
      <c r="U19" t="s">
        <v>220</v>
      </c>
      <c r="V19">
        <v>3600</v>
      </c>
    </row>
    <row r="20" spans="1:22">
      <c r="A20" t="s">
        <v>2317</v>
      </c>
      <c r="B20" t="s">
        <v>2318</v>
      </c>
      <c r="C20" t="s">
        <v>2319</v>
      </c>
      <c r="D20" t="s">
        <v>2320</v>
      </c>
      <c r="E20" t="s">
        <v>2179</v>
      </c>
      <c r="F20">
        <v>202108</v>
      </c>
      <c r="G20" t="s">
        <v>216</v>
      </c>
      <c r="H20">
        <v>-5197.8900000000003</v>
      </c>
      <c r="O20" t="s">
        <v>2317</v>
      </c>
      <c r="P20" t="s">
        <v>2318</v>
      </c>
      <c r="Q20" t="s">
        <v>2319</v>
      </c>
      <c r="R20" t="s">
        <v>2320</v>
      </c>
      <c r="S20" t="s">
        <v>215</v>
      </c>
      <c r="T20">
        <v>202204</v>
      </c>
      <c r="U20" t="s">
        <v>218</v>
      </c>
      <c r="V20">
        <v>11500</v>
      </c>
    </row>
    <row r="21" spans="1:22">
      <c r="A21" t="s">
        <v>2317</v>
      </c>
      <c r="B21" t="s">
        <v>2318</v>
      </c>
      <c r="C21" t="s">
        <v>2319</v>
      </c>
      <c r="D21" t="s">
        <v>2320</v>
      </c>
      <c r="E21" t="s">
        <v>2179</v>
      </c>
      <c r="F21">
        <v>202109</v>
      </c>
      <c r="G21" t="s">
        <v>216</v>
      </c>
      <c r="H21">
        <v>-41114.36</v>
      </c>
      <c r="O21" t="s">
        <v>2317</v>
      </c>
      <c r="P21" t="s">
        <v>2318</v>
      </c>
      <c r="Q21" t="s">
        <v>2319</v>
      </c>
      <c r="R21" t="s">
        <v>2320</v>
      </c>
      <c r="S21" t="s">
        <v>215</v>
      </c>
      <c r="T21">
        <v>202204</v>
      </c>
      <c r="U21" t="s">
        <v>220</v>
      </c>
      <c r="V21">
        <v>3600</v>
      </c>
    </row>
    <row r="22" spans="1:22">
      <c r="A22" t="s">
        <v>2317</v>
      </c>
      <c r="B22" t="s">
        <v>2318</v>
      </c>
      <c r="C22" t="s">
        <v>2319</v>
      </c>
      <c r="D22" t="s">
        <v>2320</v>
      </c>
      <c r="E22" t="s">
        <v>2179</v>
      </c>
      <c r="F22">
        <v>202110</v>
      </c>
      <c r="G22" t="s">
        <v>216</v>
      </c>
      <c r="H22">
        <v>-35438.54</v>
      </c>
      <c r="O22" t="s">
        <v>2317</v>
      </c>
      <c r="P22" t="s">
        <v>2318</v>
      </c>
      <c r="Q22" t="s">
        <v>2319</v>
      </c>
      <c r="R22" t="s">
        <v>2320</v>
      </c>
      <c r="S22" t="s">
        <v>215</v>
      </c>
      <c r="T22">
        <v>202205</v>
      </c>
      <c r="U22" t="s">
        <v>218</v>
      </c>
      <c r="V22">
        <v>11500</v>
      </c>
    </row>
    <row r="23" spans="1:22">
      <c r="A23" t="s">
        <v>2317</v>
      </c>
      <c r="B23" t="s">
        <v>2318</v>
      </c>
      <c r="C23" t="s">
        <v>2319</v>
      </c>
      <c r="D23" t="s">
        <v>2320</v>
      </c>
      <c r="E23" t="s">
        <v>2179</v>
      </c>
      <c r="F23">
        <v>202111</v>
      </c>
      <c r="G23" t="s">
        <v>216</v>
      </c>
      <c r="H23">
        <v>0</v>
      </c>
      <c r="O23" t="s">
        <v>2317</v>
      </c>
      <c r="P23" t="s">
        <v>2318</v>
      </c>
      <c r="Q23" t="s">
        <v>2319</v>
      </c>
      <c r="R23" t="s">
        <v>2320</v>
      </c>
      <c r="S23" t="s">
        <v>215</v>
      </c>
      <c r="T23">
        <v>202205</v>
      </c>
      <c r="U23" t="s">
        <v>220</v>
      </c>
      <c r="V23">
        <v>3600</v>
      </c>
    </row>
    <row r="24" spans="1:22">
      <c r="A24" t="s">
        <v>2317</v>
      </c>
      <c r="B24" t="s">
        <v>2318</v>
      </c>
      <c r="C24" t="s">
        <v>2319</v>
      </c>
      <c r="D24" t="s">
        <v>2320</v>
      </c>
      <c r="E24" t="s">
        <v>2179</v>
      </c>
      <c r="F24">
        <v>202112</v>
      </c>
      <c r="G24" t="s">
        <v>216</v>
      </c>
      <c r="H24">
        <v>-0.01</v>
      </c>
      <c r="O24" t="s">
        <v>2317</v>
      </c>
      <c r="P24" t="s">
        <v>2318</v>
      </c>
      <c r="Q24" t="s">
        <v>2319</v>
      </c>
      <c r="R24" t="s">
        <v>2320</v>
      </c>
      <c r="S24" t="s">
        <v>2179</v>
      </c>
      <c r="T24">
        <v>202107</v>
      </c>
      <c r="U24" t="s">
        <v>218</v>
      </c>
      <c r="V24">
        <v>18718.669999999998</v>
      </c>
    </row>
    <row r="25" spans="1:22">
      <c r="A25" t="s">
        <v>2317</v>
      </c>
      <c r="B25" t="s">
        <v>2318</v>
      </c>
      <c r="C25" t="s">
        <v>2319</v>
      </c>
      <c r="D25" t="s">
        <v>2320</v>
      </c>
      <c r="E25" t="s">
        <v>2179</v>
      </c>
      <c r="F25">
        <v>202201</v>
      </c>
      <c r="G25" t="s">
        <v>216</v>
      </c>
      <c r="H25">
        <v>-68504.259999999995</v>
      </c>
      <c r="O25" t="s">
        <v>2317</v>
      </c>
      <c r="P25" t="s">
        <v>2318</v>
      </c>
      <c r="Q25" t="s">
        <v>2319</v>
      </c>
      <c r="R25" t="s">
        <v>2320</v>
      </c>
      <c r="S25" t="s">
        <v>2179</v>
      </c>
      <c r="T25">
        <v>202107</v>
      </c>
      <c r="U25" t="s">
        <v>220</v>
      </c>
      <c r="V25">
        <v>14714.74</v>
      </c>
    </row>
    <row r="26" spans="1:22">
      <c r="A26" t="s">
        <v>2317</v>
      </c>
      <c r="B26" t="s">
        <v>2318</v>
      </c>
      <c r="C26" t="s">
        <v>2319</v>
      </c>
      <c r="D26" t="s">
        <v>2320</v>
      </c>
      <c r="E26" t="s">
        <v>2179</v>
      </c>
      <c r="F26">
        <v>202202</v>
      </c>
      <c r="G26" t="s">
        <v>216</v>
      </c>
      <c r="H26">
        <v>-1960.66</v>
      </c>
      <c r="O26" t="s">
        <v>2317</v>
      </c>
      <c r="P26" t="s">
        <v>2318</v>
      </c>
      <c r="Q26" t="s">
        <v>2319</v>
      </c>
      <c r="R26" t="s">
        <v>2320</v>
      </c>
      <c r="S26" t="s">
        <v>2179</v>
      </c>
      <c r="T26">
        <v>202108</v>
      </c>
      <c r="U26" t="s">
        <v>218</v>
      </c>
      <c r="V26">
        <v>19385.39</v>
      </c>
    </row>
    <row r="27" spans="1:22">
      <c r="A27" t="s">
        <v>2317</v>
      </c>
      <c r="B27" t="s">
        <v>2318</v>
      </c>
      <c r="C27" t="s">
        <v>2319</v>
      </c>
      <c r="D27" t="s">
        <v>2320</v>
      </c>
      <c r="E27" t="s">
        <v>2179</v>
      </c>
      <c r="F27">
        <v>202203</v>
      </c>
      <c r="G27" t="s">
        <v>216</v>
      </c>
      <c r="H27">
        <v>0.02</v>
      </c>
      <c r="O27" t="s">
        <v>2317</v>
      </c>
      <c r="P27" t="s">
        <v>2318</v>
      </c>
      <c r="Q27" t="s">
        <v>2319</v>
      </c>
      <c r="R27" t="s">
        <v>2320</v>
      </c>
      <c r="S27" t="s">
        <v>2179</v>
      </c>
      <c r="T27">
        <v>202108</v>
      </c>
      <c r="U27" t="s">
        <v>220</v>
      </c>
      <c r="V27">
        <v>14788.27</v>
      </c>
    </row>
    <row r="28" spans="1:22">
      <c r="A28" t="s">
        <v>2317</v>
      </c>
      <c r="B28" t="s">
        <v>2318</v>
      </c>
      <c r="C28" t="s">
        <v>2319</v>
      </c>
      <c r="D28" t="s">
        <v>2320</v>
      </c>
      <c r="E28" t="s">
        <v>2179</v>
      </c>
      <c r="F28">
        <v>202204</v>
      </c>
      <c r="G28" t="s">
        <v>216</v>
      </c>
      <c r="H28">
        <v>-450.06</v>
      </c>
      <c r="O28" t="s">
        <v>2317</v>
      </c>
      <c r="P28" t="s">
        <v>2318</v>
      </c>
      <c r="Q28" t="s">
        <v>2319</v>
      </c>
      <c r="R28" t="s">
        <v>2320</v>
      </c>
      <c r="S28" t="s">
        <v>2179</v>
      </c>
      <c r="T28">
        <v>202109</v>
      </c>
      <c r="U28" t="s">
        <v>218</v>
      </c>
      <c r="V28">
        <v>18630.009999999998</v>
      </c>
    </row>
    <row r="29" spans="1:22">
      <c r="A29" t="s">
        <v>2317</v>
      </c>
      <c r="B29" t="s">
        <v>2318</v>
      </c>
      <c r="C29" t="s">
        <v>2319</v>
      </c>
      <c r="D29" t="s">
        <v>2320</v>
      </c>
      <c r="E29" t="s">
        <v>2179</v>
      </c>
      <c r="F29">
        <v>202205</v>
      </c>
      <c r="G29" t="s">
        <v>216</v>
      </c>
      <c r="H29">
        <v>-2918.29</v>
      </c>
      <c r="O29" t="s">
        <v>2317</v>
      </c>
      <c r="P29" t="s">
        <v>2318</v>
      </c>
      <c r="Q29" t="s">
        <v>2319</v>
      </c>
      <c r="R29" t="s">
        <v>2320</v>
      </c>
      <c r="S29" t="s">
        <v>2179</v>
      </c>
      <c r="T29">
        <v>202109</v>
      </c>
      <c r="U29" t="s">
        <v>220</v>
      </c>
      <c r="V29">
        <v>14685.51</v>
      </c>
    </row>
    <row r="30" spans="1:22">
      <c r="A30" t="s">
        <v>2317</v>
      </c>
      <c r="B30" t="s">
        <v>2318</v>
      </c>
      <c r="C30" t="s">
        <v>2319</v>
      </c>
      <c r="D30" t="s">
        <v>2320</v>
      </c>
      <c r="E30" t="s">
        <v>215</v>
      </c>
      <c r="F30">
        <v>202104</v>
      </c>
      <c r="G30" t="s">
        <v>229</v>
      </c>
      <c r="H30">
        <v>81198.66</v>
      </c>
      <c r="O30" t="s">
        <v>2317</v>
      </c>
      <c r="P30" t="s">
        <v>2318</v>
      </c>
      <c r="Q30" t="s">
        <v>2319</v>
      </c>
      <c r="R30" t="s">
        <v>2320</v>
      </c>
      <c r="S30" t="s">
        <v>2179</v>
      </c>
      <c r="T30">
        <v>202110</v>
      </c>
      <c r="U30" t="s">
        <v>218</v>
      </c>
      <c r="V30">
        <v>18977.580000000002</v>
      </c>
    </row>
    <row r="31" spans="1:22">
      <c r="A31" t="s">
        <v>2317</v>
      </c>
      <c r="B31" t="s">
        <v>2318</v>
      </c>
      <c r="C31" t="s">
        <v>2319</v>
      </c>
      <c r="D31" t="s">
        <v>2320</v>
      </c>
      <c r="E31" t="s">
        <v>215</v>
      </c>
      <c r="F31">
        <v>202105</v>
      </c>
      <c r="G31" t="s">
        <v>229</v>
      </c>
      <c r="H31">
        <v>62863.38</v>
      </c>
      <c r="O31" t="s">
        <v>2317</v>
      </c>
      <c r="P31" t="s">
        <v>2318</v>
      </c>
      <c r="Q31" t="s">
        <v>2319</v>
      </c>
      <c r="R31" t="s">
        <v>2320</v>
      </c>
      <c r="S31" t="s">
        <v>2179</v>
      </c>
      <c r="T31">
        <v>202110</v>
      </c>
      <c r="U31" t="s">
        <v>220</v>
      </c>
      <c r="V31">
        <v>14868.29</v>
      </c>
    </row>
    <row r="32" spans="1:22">
      <c r="A32" t="s">
        <v>2317</v>
      </c>
      <c r="B32" t="s">
        <v>2318</v>
      </c>
      <c r="C32" t="s">
        <v>2319</v>
      </c>
      <c r="D32" t="s">
        <v>2320</v>
      </c>
      <c r="E32" t="s">
        <v>215</v>
      </c>
      <c r="F32">
        <v>202106</v>
      </c>
      <c r="G32" t="s">
        <v>229</v>
      </c>
      <c r="H32">
        <v>50198.42</v>
      </c>
      <c r="O32" t="s">
        <v>2317</v>
      </c>
      <c r="P32" t="s">
        <v>2318</v>
      </c>
      <c r="Q32" t="s">
        <v>2319</v>
      </c>
      <c r="R32" t="s">
        <v>2320</v>
      </c>
      <c r="S32" t="s">
        <v>2179</v>
      </c>
      <c r="T32">
        <v>202111</v>
      </c>
      <c r="U32" t="s">
        <v>218</v>
      </c>
      <c r="V32">
        <v>21984.46</v>
      </c>
    </row>
    <row r="33" spans="1:22">
      <c r="A33" t="s">
        <v>2317</v>
      </c>
      <c r="B33" t="s">
        <v>2318</v>
      </c>
      <c r="C33" t="s">
        <v>2319</v>
      </c>
      <c r="D33" t="s">
        <v>2320</v>
      </c>
      <c r="E33" t="s">
        <v>215</v>
      </c>
      <c r="F33">
        <v>202107</v>
      </c>
      <c r="G33" t="s">
        <v>229</v>
      </c>
      <c r="H33">
        <v>54651.59</v>
      </c>
      <c r="O33" t="s">
        <v>2317</v>
      </c>
      <c r="P33" t="s">
        <v>2318</v>
      </c>
      <c r="Q33" t="s">
        <v>2319</v>
      </c>
      <c r="R33" t="s">
        <v>2320</v>
      </c>
      <c r="S33" t="s">
        <v>2179</v>
      </c>
      <c r="T33">
        <v>202111</v>
      </c>
      <c r="U33" t="s">
        <v>220</v>
      </c>
      <c r="V33">
        <v>15116.88</v>
      </c>
    </row>
    <row r="34" spans="1:22">
      <c r="A34" t="s">
        <v>2317</v>
      </c>
      <c r="B34" t="s">
        <v>2318</v>
      </c>
      <c r="C34" t="s">
        <v>2319</v>
      </c>
      <c r="D34" t="s">
        <v>2320</v>
      </c>
      <c r="E34" t="s">
        <v>215</v>
      </c>
      <c r="F34">
        <v>202108</v>
      </c>
      <c r="G34" t="s">
        <v>229</v>
      </c>
      <c r="H34">
        <v>101889.77</v>
      </c>
      <c r="O34" t="s">
        <v>2317</v>
      </c>
      <c r="P34" t="s">
        <v>2318</v>
      </c>
      <c r="Q34" t="s">
        <v>2319</v>
      </c>
      <c r="R34" t="s">
        <v>2320</v>
      </c>
      <c r="S34" t="s">
        <v>2179</v>
      </c>
      <c r="T34">
        <v>202112</v>
      </c>
      <c r="U34" t="s">
        <v>218</v>
      </c>
      <c r="V34">
        <v>20983.48</v>
      </c>
    </row>
    <row r="35" spans="1:22">
      <c r="A35" t="s">
        <v>2317</v>
      </c>
      <c r="B35" t="s">
        <v>2318</v>
      </c>
      <c r="C35" t="s">
        <v>2319</v>
      </c>
      <c r="D35" t="s">
        <v>2320</v>
      </c>
      <c r="E35" t="s">
        <v>215</v>
      </c>
      <c r="F35">
        <v>202109</v>
      </c>
      <c r="G35" t="s">
        <v>229</v>
      </c>
      <c r="H35">
        <v>76341.919999999998</v>
      </c>
      <c r="O35" t="s">
        <v>2317</v>
      </c>
      <c r="P35" t="s">
        <v>2318</v>
      </c>
      <c r="Q35" t="s">
        <v>2319</v>
      </c>
      <c r="R35" t="s">
        <v>2320</v>
      </c>
      <c r="S35" t="s">
        <v>2179</v>
      </c>
      <c r="T35">
        <v>202112</v>
      </c>
      <c r="U35" t="s">
        <v>220</v>
      </c>
      <c r="V35">
        <v>14568.23</v>
      </c>
    </row>
    <row r="36" spans="1:22">
      <c r="A36" t="s">
        <v>2317</v>
      </c>
      <c r="B36" t="s">
        <v>2318</v>
      </c>
      <c r="C36" t="s">
        <v>2319</v>
      </c>
      <c r="D36" t="s">
        <v>2320</v>
      </c>
      <c r="E36" t="s">
        <v>215</v>
      </c>
      <c r="F36">
        <v>202110</v>
      </c>
      <c r="G36" t="s">
        <v>229</v>
      </c>
      <c r="H36">
        <v>106539.42</v>
      </c>
      <c r="O36" t="s">
        <v>2317</v>
      </c>
      <c r="P36" t="s">
        <v>2318</v>
      </c>
      <c r="Q36" t="s">
        <v>2319</v>
      </c>
      <c r="R36" t="s">
        <v>2320</v>
      </c>
      <c r="S36" t="s">
        <v>2179</v>
      </c>
      <c r="T36">
        <v>202201</v>
      </c>
      <c r="U36" t="s">
        <v>218</v>
      </c>
      <c r="V36">
        <v>17538.04</v>
      </c>
    </row>
    <row r="37" spans="1:22">
      <c r="A37" t="s">
        <v>2317</v>
      </c>
      <c r="B37" t="s">
        <v>2318</v>
      </c>
      <c r="C37" t="s">
        <v>2319</v>
      </c>
      <c r="D37" t="s">
        <v>2320</v>
      </c>
      <c r="E37" t="s">
        <v>215</v>
      </c>
      <c r="F37">
        <v>202111</v>
      </c>
      <c r="G37" t="s">
        <v>229</v>
      </c>
      <c r="H37">
        <v>188488.36</v>
      </c>
      <c r="O37" t="s">
        <v>2317</v>
      </c>
      <c r="P37" t="s">
        <v>2318</v>
      </c>
      <c r="Q37" t="s">
        <v>2319</v>
      </c>
      <c r="R37" t="s">
        <v>2320</v>
      </c>
      <c r="S37" t="s">
        <v>2179</v>
      </c>
      <c r="T37">
        <v>202201</v>
      </c>
      <c r="U37" t="s">
        <v>220</v>
      </c>
      <c r="V37">
        <v>13415.83</v>
      </c>
    </row>
    <row r="38" spans="1:22">
      <c r="A38" t="s">
        <v>2317</v>
      </c>
      <c r="B38" t="s">
        <v>2318</v>
      </c>
      <c r="C38" t="s">
        <v>2319</v>
      </c>
      <c r="D38" t="s">
        <v>2320</v>
      </c>
      <c r="E38" t="s">
        <v>215</v>
      </c>
      <c r="F38">
        <v>202112</v>
      </c>
      <c r="G38" t="s">
        <v>229</v>
      </c>
      <c r="H38">
        <v>133252.72</v>
      </c>
      <c r="O38" t="s">
        <v>2317</v>
      </c>
      <c r="P38" t="s">
        <v>2318</v>
      </c>
      <c r="Q38" t="s">
        <v>2319</v>
      </c>
      <c r="R38" t="s">
        <v>2320</v>
      </c>
      <c r="S38" t="s">
        <v>2179</v>
      </c>
      <c r="T38">
        <v>202202</v>
      </c>
      <c r="U38" t="s">
        <v>218</v>
      </c>
      <c r="V38">
        <v>16944.03</v>
      </c>
    </row>
    <row r="39" spans="1:22">
      <c r="A39" t="s">
        <v>2317</v>
      </c>
      <c r="B39" t="s">
        <v>2318</v>
      </c>
      <c r="C39" t="s">
        <v>2319</v>
      </c>
      <c r="D39" t="s">
        <v>2320</v>
      </c>
      <c r="E39" t="s">
        <v>215</v>
      </c>
      <c r="F39">
        <v>202201</v>
      </c>
      <c r="G39" t="s">
        <v>229</v>
      </c>
      <c r="H39">
        <v>1197.06</v>
      </c>
      <c r="O39" t="s">
        <v>2317</v>
      </c>
      <c r="P39" t="s">
        <v>2318</v>
      </c>
      <c r="Q39" t="s">
        <v>2319</v>
      </c>
      <c r="R39" t="s">
        <v>2320</v>
      </c>
      <c r="S39" t="s">
        <v>2179</v>
      </c>
      <c r="T39">
        <v>202202</v>
      </c>
      <c r="U39" t="s">
        <v>220</v>
      </c>
      <c r="V39">
        <v>14006.03</v>
      </c>
    </row>
    <row r="40" spans="1:22">
      <c r="A40" t="s">
        <v>2317</v>
      </c>
      <c r="B40" t="s">
        <v>2318</v>
      </c>
      <c r="C40" t="s">
        <v>2319</v>
      </c>
      <c r="D40" t="s">
        <v>2320</v>
      </c>
      <c r="E40" t="s">
        <v>215</v>
      </c>
      <c r="F40">
        <v>202202</v>
      </c>
      <c r="G40" t="s">
        <v>229</v>
      </c>
      <c r="H40">
        <v>3492.39</v>
      </c>
      <c r="O40" t="s">
        <v>2317</v>
      </c>
      <c r="P40" t="s">
        <v>2318</v>
      </c>
      <c r="Q40" t="s">
        <v>2319</v>
      </c>
      <c r="R40" t="s">
        <v>2320</v>
      </c>
      <c r="S40" t="s">
        <v>2179</v>
      </c>
      <c r="T40">
        <v>202203</v>
      </c>
      <c r="U40" t="s">
        <v>218</v>
      </c>
      <c r="V40">
        <v>14881.6</v>
      </c>
    </row>
    <row r="41" spans="1:22">
      <c r="A41" t="s">
        <v>2317</v>
      </c>
      <c r="B41" t="s">
        <v>2318</v>
      </c>
      <c r="C41" t="s">
        <v>2319</v>
      </c>
      <c r="D41" t="s">
        <v>2320</v>
      </c>
      <c r="E41" t="s">
        <v>215</v>
      </c>
      <c r="F41">
        <v>202203</v>
      </c>
      <c r="G41" t="s">
        <v>229</v>
      </c>
      <c r="H41">
        <v>15417.35</v>
      </c>
      <c r="O41" t="s">
        <v>2317</v>
      </c>
      <c r="P41" t="s">
        <v>2318</v>
      </c>
      <c r="Q41" t="s">
        <v>2319</v>
      </c>
      <c r="R41" t="s">
        <v>2320</v>
      </c>
      <c r="S41" t="s">
        <v>2179</v>
      </c>
      <c r="T41">
        <v>202203</v>
      </c>
      <c r="U41" t="s">
        <v>220</v>
      </c>
      <c r="V41">
        <v>12517.02</v>
      </c>
    </row>
    <row r="42" spans="1:22">
      <c r="A42" t="s">
        <v>2317</v>
      </c>
      <c r="B42" t="s">
        <v>2318</v>
      </c>
      <c r="C42" t="s">
        <v>2319</v>
      </c>
      <c r="D42" t="s">
        <v>2320</v>
      </c>
      <c r="E42" t="s">
        <v>215</v>
      </c>
      <c r="F42">
        <v>202204</v>
      </c>
      <c r="G42" t="s">
        <v>229</v>
      </c>
      <c r="H42">
        <v>15865.89</v>
      </c>
      <c r="O42" t="s">
        <v>2317</v>
      </c>
      <c r="P42" t="s">
        <v>2318</v>
      </c>
      <c r="Q42" t="s">
        <v>2319</v>
      </c>
      <c r="R42" t="s">
        <v>2320</v>
      </c>
      <c r="S42" t="s">
        <v>2179</v>
      </c>
      <c r="T42">
        <v>202204</v>
      </c>
      <c r="U42" t="s">
        <v>218</v>
      </c>
      <c r="V42">
        <v>14129.84</v>
      </c>
    </row>
    <row r="43" spans="1:22">
      <c r="A43" t="s">
        <v>2317</v>
      </c>
      <c r="B43" t="s">
        <v>2318</v>
      </c>
      <c r="C43" t="s">
        <v>2319</v>
      </c>
      <c r="D43" t="s">
        <v>2320</v>
      </c>
      <c r="E43" t="s">
        <v>215</v>
      </c>
      <c r="F43">
        <v>202205</v>
      </c>
      <c r="G43" t="s">
        <v>229</v>
      </c>
      <c r="H43">
        <v>12362.78</v>
      </c>
      <c r="O43" t="s">
        <v>2317</v>
      </c>
      <c r="P43" t="s">
        <v>2318</v>
      </c>
      <c r="Q43" t="s">
        <v>2319</v>
      </c>
      <c r="R43" t="s">
        <v>2320</v>
      </c>
      <c r="S43" t="s">
        <v>2179</v>
      </c>
      <c r="T43">
        <v>202204</v>
      </c>
      <c r="U43" t="s">
        <v>220</v>
      </c>
      <c r="V43">
        <v>12597.08</v>
      </c>
    </row>
    <row r="44" spans="1:22">
      <c r="A44" t="s">
        <v>2317</v>
      </c>
      <c r="B44" t="s">
        <v>2318</v>
      </c>
      <c r="C44" t="s">
        <v>2319</v>
      </c>
      <c r="D44" t="s">
        <v>2320</v>
      </c>
      <c r="E44" t="s">
        <v>2179</v>
      </c>
      <c r="F44">
        <v>202104</v>
      </c>
      <c r="G44" t="s">
        <v>229</v>
      </c>
      <c r="H44">
        <v>102445.21</v>
      </c>
      <c r="O44" t="s">
        <v>2317</v>
      </c>
      <c r="P44" t="s">
        <v>2318</v>
      </c>
      <c r="Q44" t="s">
        <v>2319</v>
      </c>
      <c r="R44" t="s">
        <v>2320</v>
      </c>
      <c r="S44" t="s">
        <v>2179</v>
      </c>
      <c r="T44">
        <v>202205</v>
      </c>
      <c r="U44" t="s">
        <v>218</v>
      </c>
      <c r="V44">
        <v>14050</v>
      </c>
    </row>
    <row r="45" spans="1:22">
      <c r="A45" t="s">
        <v>2317</v>
      </c>
      <c r="B45" t="s">
        <v>2318</v>
      </c>
      <c r="C45" t="s">
        <v>2319</v>
      </c>
      <c r="D45" t="s">
        <v>2320</v>
      </c>
      <c r="E45" t="s">
        <v>2179</v>
      </c>
      <c r="F45">
        <v>202105</v>
      </c>
      <c r="G45" t="s">
        <v>229</v>
      </c>
      <c r="H45">
        <v>107785.49</v>
      </c>
      <c r="O45" t="s">
        <v>2317</v>
      </c>
      <c r="P45" t="s">
        <v>2318</v>
      </c>
      <c r="Q45" t="s">
        <v>2319</v>
      </c>
      <c r="R45" t="s">
        <v>2320</v>
      </c>
      <c r="S45" t="s">
        <v>2179</v>
      </c>
      <c r="T45">
        <v>202205</v>
      </c>
      <c r="U45" t="s">
        <v>220</v>
      </c>
      <c r="V45">
        <v>12462.22</v>
      </c>
    </row>
    <row r="46" spans="1:22">
      <c r="A46" t="s">
        <v>2317</v>
      </c>
      <c r="B46" t="s">
        <v>2318</v>
      </c>
      <c r="C46" t="s">
        <v>2319</v>
      </c>
      <c r="D46" t="s">
        <v>2320</v>
      </c>
      <c r="E46" t="s">
        <v>2179</v>
      </c>
      <c r="F46">
        <v>202106</v>
      </c>
      <c r="G46" t="s">
        <v>229</v>
      </c>
      <c r="H46">
        <v>96709.41</v>
      </c>
      <c r="O46" t="s">
        <v>2317</v>
      </c>
      <c r="P46" t="s">
        <v>2318</v>
      </c>
      <c r="Q46" t="s">
        <v>2319</v>
      </c>
      <c r="R46" t="s">
        <v>2320</v>
      </c>
      <c r="S46" t="s">
        <v>215</v>
      </c>
      <c r="T46">
        <v>202107</v>
      </c>
      <c r="U46" t="s">
        <v>231</v>
      </c>
      <c r="V46">
        <v>1985512.14</v>
      </c>
    </row>
    <row r="47" spans="1:22">
      <c r="A47" t="s">
        <v>2317</v>
      </c>
      <c r="B47" t="s">
        <v>2318</v>
      </c>
      <c r="C47" t="s">
        <v>2319</v>
      </c>
      <c r="D47" t="s">
        <v>2320</v>
      </c>
      <c r="E47" t="s">
        <v>2179</v>
      </c>
      <c r="F47">
        <v>202107</v>
      </c>
      <c r="G47" t="s">
        <v>229</v>
      </c>
      <c r="H47">
        <v>113830.99</v>
      </c>
      <c r="O47" t="s">
        <v>2317</v>
      </c>
      <c r="P47" t="s">
        <v>2318</v>
      </c>
      <c r="Q47" t="s">
        <v>2319</v>
      </c>
      <c r="R47" t="s">
        <v>2320</v>
      </c>
      <c r="S47" t="s">
        <v>215</v>
      </c>
      <c r="T47">
        <v>202107</v>
      </c>
      <c r="U47" t="s">
        <v>232</v>
      </c>
      <c r="V47">
        <v>419254.62</v>
      </c>
    </row>
    <row r="48" spans="1:22">
      <c r="A48" t="s">
        <v>2317</v>
      </c>
      <c r="B48" t="s">
        <v>2318</v>
      </c>
      <c r="C48" t="s">
        <v>2319</v>
      </c>
      <c r="D48" t="s">
        <v>2320</v>
      </c>
      <c r="E48" t="s">
        <v>2179</v>
      </c>
      <c r="F48">
        <v>202108</v>
      </c>
      <c r="G48" t="s">
        <v>229</v>
      </c>
      <c r="H48">
        <v>138611.41</v>
      </c>
      <c r="O48" t="s">
        <v>2317</v>
      </c>
      <c r="P48" t="s">
        <v>2318</v>
      </c>
      <c r="Q48" t="s">
        <v>2319</v>
      </c>
      <c r="R48" t="s">
        <v>2320</v>
      </c>
      <c r="S48" t="s">
        <v>215</v>
      </c>
      <c r="T48">
        <v>202107</v>
      </c>
      <c r="U48" t="s">
        <v>222</v>
      </c>
      <c r="V48">
        <v>1131673.27</v>
      </c>
    </row>
    <row r="49" spans="1:22">
      <c r="A49" t="s">
        <v>2317</v>
      </c>
      <c r="B49" t="s">
        <v>2318</v>
      </c>
      <c r="C49" t="s">
        <v>2319</v>
      </c>
      <c r="D49" t="s">
        <v>2320</v>
      </c>
      <c r="E49" t="s">
        <v>2179</v>
      </c>
      <c r="F49">
        <v>202109</v>
      </c>
      <c r="G49" t="s">
        <v>229</v>
      </c>
      <c r="H49">
        <v>134776.17000000001</v>
      </c>
      <c r="O49" t="s">
        <v>2317</v>
      </c>
      <c r="P49" t="s">
        <v>2318</v>
      </c>
      <c r="Q49" t="s">
        <v>2319</v>
      </c>
      <c r="R49" t="s">
        <v>2320</v>
      </c>
      <c r="S49" t="s">
        <v>215</v>
      </c>
      <c r="T49">
        <v>202107</v>
      </c>
      <c r="U49" t="s">
        <v>224</v>
      </c>
      <c r="V49">
        <v>189405.93</v>
      </c>
    </row>
    <row r="50" spans="1:22">
      <c r="A50" t="s">
        <v>2317</v>
      </c>
      <c r="B50" t="s">
        <v>2318</v>
      </c>
      <c r="C50" t="s">
        <v>2319</v>
      </c>
      <c r="D50" t="s">
        <v>2320</v>
      </c>
      <c r="E50" t="s">
        <v>2179</v>
      </c>
      <c r="F50">
        <v>202110</v>
      </c>
      <c r="G50" t="s">
        <v>229</v>
      </c>
      <c r="H50">
        <v>131096.38</v>
      </c>
      <c r="O50" t="s">
        <v>2317</v>
      </c>
      <c r="P50" t="s">
        <v>2318</v>
      </c>
      <c r="Q50" t="s">
        <v>2319</v>
      </c>
      <c r="R50" t="s">
        <v>2320</v>
      </c>
      <c r="S50" t="s">
        <v>215</v>
      </c>
      <c r="T50">
        <v>202107</v>
      </c>
      <c r="U50" t="s">
        <v>226</v>
      </c>
      <c r="V50">
        <v>78411.09</v>
      </c>
    </row>
    <row r="51" spans="1:22">
      <c r="A51" t="s">
        <v>2317</v>
      </c>
      <c r="B51" t="s">
        <v>2318</v>
      </c>
      <c r="C51" t="s">
        <v>2319</v>
      </c>
      <c r="D51" t="s">
        <v>2320</v>
      </c>
      <c r="E51" t="s">
        <v>2179</v>
      </c>
      <c r="F51">
        <v>202111</v>
      </c>
      <c r="G51" t="s">
        <v>229</v>
      </c>
      <c r="H51">
        <v>147757.66</v>
      </c>
      <c r="O51" t="s">
        <v>2317</v>
      </c>
      <c r="P51" t="s">
        <v>2318</v>
      </c>
      <c r="Q51" t="s">
        <v>2319</v>
      </c>
      <c r="R51" t="s">
        <v>2320</v>
      </c>
      <c r="S51" t="s">
        <v>215</v>
      </c>
      <c r="T51">
        <v>202108</v>
      </c>
      <c r="U51" t="s">
        <v>231</v>
      </c>
      <c r="V51">
        <v>3747429.43</v>
      </c>
    </row>
    <row r="52" spans="1:22">
      <c r="A52" t="s">
        <v>2317</v>
      </c>
      <c r="B52" t="s">
        <v>2318</v>
      </c>
      <c r="C52" t="s">
        <v>2319</v>
      </c>
      <c r="D52" t="s">
        <v>2320</v>
      </c>
      <c r="E52" t="s">
        <v>2179</v>
      </c>
      <c r="F52">
        <v>202112</v>
      </c>
      <c r="G52" t="s">
        <v>229</v>
      </c>
      <c r="H52">
        <v>69674.02</v>
      </c>
      <c r="O52" t="s">
        <v>2317</v>
      </c>
      <c r="P52" t="s">
        <v>2318</v>
      </c>
      <c r="Q52" t="s">
        <v>2319</v>
      </c>
      <c r="R52" t="s">
        <v>2320</v>
      </c>
      <c r="S52" t="s">
        <v>215</v>
      </c>
      <c r="T52">
        <v>202108</v>
      </c>
      <c r="U52" t="s">
        <v>232</v>
      </c>
      <c r="V52">
        <v>477798.76</v>
      </c>
    </row>
    <row r="53" spans="1:22">
      <c r="A53" t="s">
        <v>2317</v>
      </c>
      <c r="B53" t="s">
        <v>2318</v>
      </c>
      <c r="C53" t="s">
        <v>2319</v>
      </c>
      <c r="D53" t="s">
        <v>2320</v>
      </c>
      <c r="E53" t="s">
        <v>2179</v>
      </c>
      <c r="F53">
        <v>202201</v>
      </c>
      <c r="G53" t="s">
        <v>229</v>
      </c>
      <c r="H53">
        <v>1578.44</v>
      </c>
      <c r="O53" t="s">
        <v>2317</v>
      </c>
      <c r="P53" t="s">
        <v>2318</v>
      </c>
      <c r="Q53" t="s">
        <v>2319</v>
      </c>
      <c r="R53" t="s">
        <v>2320</v>
      </c>
      <c r="S53" t="s">
        <v>215</v>
      </c>
      <c r="T53">
        <v>202108</v>
      </c>
      <c r="U53" t="s">
        <v>222</v>
      </c>
      <c r="V53">
        <v>1599217.53</v>
      </c>
    </row>
    <row r="54" spans="1:22">
      <c r="A54" t="s">
        <v>2317</v>
      </c>
      <c r="B54" t="s">
        <v>2318</v>
      </c>
      <c r="C54" t="s">
        <v>2319</v>
      </c>
      <c r="D54" t="s">
        <v>2320</v>
      </c>
      <c r="E54" t="s">
        <v>2179</v>
      </c>
      <c r="F54">
        <v>202202</v>
      </c>
      <c r="G54" t="s">
        <v>229</v>
      </c>
      <c r="H54">
        <v>10935.18</v>
      </c>
      <c r="O54" t="s">
        <v>2317</v>
      </c>
      <c r="P54" t="s">
        <v>2318</v>
      </c>
      <c r="Q54" t="s">
        <v>2319</v>
      </c>
      <c r="R54" t="s">
        <v>2320</v>
      </c>
      <c r="S54" t="s">
        <v>215</v>
      </c>
      <c r="T54">
        <v>202108</v>
      </c>
      <c r="U54" t="s">
        <v>224</v>
      </c>
      <c r="V54">
        <v>190518.67</v>
      </c>
    </row>
    <row r="55" spans="1:22">
      <c r="A55" t="s">
        <v>2317</v>
      </c>
      <c r="B55" t="s">
        <v>2318</v>
      </c>
      <c r="C55" t="s">
        <v>2319</v>
      </c>
      <c r="D55" t="s">
        <v>2320</v>
      </c>
      <c r="E55" t="s">
        <v>2179</v>
      </c>
      <c r="F55">
        <v>202203</v>
      </c>
      <c r="G55" t="s">
        <v>229</v>
      </c>
      <c r="H55">
        <v>37151.56</v>
      </c>
      <c r="O55" t="s">
        <v>2317</v>
      </c>
      <c r="P55" t="s">
        <v>2318</v>
      </c>
      <c r="Q55" t="s">
        <v>2319</v>
      </c>
      <c r="R55" t="s">
        <v>2320</v>
      </c>
      <c r="S55" t="s">
        <v>215</v>
      </c>
      <c r="T55">
        <v>202108</v>
      </c>
      <c r="U55" t="s">
        <v>226</v>
      </c>
      <c r="V55">
        <v>107558.06</v>
      </c>
    </row>
    <row r="56" spans="1:22">
      <c r="A56" t="s">
        <v>2317</v>
      </c>
      <c r="B56" t="s">
        <v>2318</v>
      </c>
      <c r="C56" t="s">
        <v>2319</v>
      </c>
      <c r="D56" t="s">
        <v>2320</v>
      </c>
      <c r="E56" t="s">
        <v>2179</v>
      </c>
      <c r="F56">
        <v>202204</v>
      </c>
      <c r="G56" t="s">
        <v>229</v>
      </c>
      <c r="H56">
        <v>37452.03</v>
      </c>
      <c r="O56" t="s">
        <v>2317</v>
      </c>
      <c r="P56" t="s">
        <v>2318</v>
      </c>
      <c r="Q56" t="s">
        <v>2319</v>
      </c>
      <c r="R56" t="s">
        <v>2320</v>
      </c>
      <c r="S56" t="s">
        <v>215</v>
      </c>
      <c r="T56">
        <v>202109</v>
      </c>
      <c r="U56" t="s">
        <v>231</v>
      </c>
      <c r="V56">
        <v>2598196.63</v>
      </c>
    </row>
    <row r="57" spans="1:22">
      <c r="A57" t="s">
        <v>2317</v>
      </c>
      <c r="B57" t="s">
        <v>2318</v>
      </c>
      <c r="C57" t="s">
        <v>2319</v>
      </c>
      <c r="D57" t="s">
        <v>2320</v>
      </c>
      <c r="E57" t="s">
        <v>2179</v>
      </c>
      <c r="F57">
        <v>202205</v>
      </c>
      <c r="G57" t="s">
        <v>229</v>
      </c>
      <c r="H57">
        <v>29260.43</v>
      </c>
      <c r="O57" t="s">
        <v>2317</v>
      </c>
      <c r="P57" t="s">
        <v>2318</v>
      </c>
      <c r="Q57" t="s">
        <v>2319</v>
      </c>
      <c r="R57" t="s">
        <v>2320</v>
      </c>
      <c r="S57" t="s">
        <v>215</v>
      </c>
      <c r="T57">
        <v>202109</v>
      </c>
      <c r="U57" t="s">
        <v>232</v>
      </c>
      <c r="V57">
        <v>396230.91</v>
      </c>
    </row>
    <row r="58" spans="1:22">
      <c r="A58" t="s">
        <v>2317</v>
      </c>
      <c r="B58" t="s">
        <v>2318</v>
      </c>
      <c r="C58" t="s">
        <v>2319</v>
      </c>
      <c r="D58" t="s">
        <v>2320</v>
      </c>
      <c r="E58" t="s">
        <v>215</v>
      </c>
      <c r="F58">
        <v>202104</v>
      </c>
      <c r="G58" t="s">
        <v>233</v>
      </c>
      <c r="H58">
        <v>0</v>
      </c>
      <c r="O58" t="s">
        <v>2317</v>
      </c>
      <c r="P58" t="s">
        <v>2318</v>
      </c>
      <c r="Q58" t="s">
        <v>2319</v>
      </c>
      <c r="R58" t="s">
        <v>2320</v>
      </c>
      <c r="S58" t="s">
        <v>215</v>
      </c>
      <c r="T58">
        <v>202109</v>
      </c>
      <c r="U58" t="s">
        <v>222</v>
      </c>
      <c r="V58">
        <v>2679564.2799999998</v>
      </c>
    </row>
    <row r="59" spans="1:22">
      <c r="A59" t="s">
        <v>2317</v>
      </c>
      <c r="B59" t="s">
        <v>2318</v>
      </c>
      <c r="C59" t="s">
        <v>2319</v>
      </c>
      <c r="D59" t="s">
        <v>2320</v>
      </c>
      <c r="E59" t="s">
        <v>215</v>
      </c>
      <c r="F59">
        <v>202105</v>
      </c>
      <c r="G59" t="s">
        <v>233</v>
      </c>
      <c r="H59">
        <v>0</v>
      </c>
      <c r="O59" t="s">
        <v>2317</v>
      </c>
      <c r="P59" t="s">
        <v>2318</v>
      </c>
      <c r="Q59" t="s">
        <v>2319</v>
      </c>
      <c r="R59" t="s">
        <v>2320</v>
      </c>
      <c r="S59" t="s">
        <v>215</v>
      </c>
      <c r="T59">
        <v>202109</v>
      </c>
      <c r="U59" t="s">
        <v>224</v>
      </c>
      <c r="V59">
        <v>408639.65</v>
      </c>
    </row>
    <row r="60" spans="1:22">
      <c r="A60" t="s">
        <v>2317</v>
      </c>
      <c r="B60" t="s">
        <v>2318</v>
      </c>
      <c r="C60" t="s">
        <v>2319</v>
      </c>
      <c r="D60" t="s">
        <v>2320</v>
      </c>
      <c r="E60" t="s">
        <v>215</v>
      </c>
      <c r="F60">
        <v>202106</v>
      </c>
      <c r="G60" t="s">
        <v>233</v>
      </c>
      <c r="H60">
        <v>0</v>
      </c>
      <c r="O60" t="s">
        <v>2317</v>
      </c>
      <c r="P60" t="s">
        <v>2318</v>
      </c>
      <c r="Q60" t="s">
        <v>2319</v>
      </c>
      <c r="R60" t="s">
        <v>2320</v>
      </c>
      <c r="S60" t="s">
        <v>215</v>
      </c>
      <c r="T60">
        <v>202109</v>
      </c>
      <c r="U60" t="s">
        <v>226</v>
      </c>
      <c r="V60">
        <v>93776.38</v>
      </c>
    </row>
    <row r="61" spans="1:22">
      <c r="A61" t="s">
        <v>2317</v>
      </c>
      <c r="B61" t="s">
        <v>2318</v>
      </c>
      <c r="C61" t="s">
        <v>2319</v>
      </c>
      <c r="D61" t="s">
        <v>2320</v>
      </c>
      <c r="E61" t="s">
        <v>215</v>
      </c>
      <c r="F61">
        <v>202107</v>
      </c>
      <c r="G61" t="s">
        <v>233</v>
      </c>
      <c r="H61">
        <v>0</v>
      </c>
      <c r="O61" t="s">
        <v>2317</v>
      </c>
      <c r="P61" t="s">
        <v>2318</v>
      </c>
      <c r="Q61" t="s">
        <v>2319</v>
      </c>
      <c r="R61" t="s">
        <v>2320</v>
      </c>
      <c r="S61" t="s">
        <v>215</v>
      </c>
      <c r="T61">
        <v>202110</v>
      </c>
      <c r="U61" t="s">
        <v>231</v>
      </c>
      <c r="V61">
        <v>4387043.75</v>
      </c>
    </row>
    <row r="62" spans="1:22">
      <c r="A62" t="s">
        <v>2317</v>
      </c>
      <c r="B62" t="s">
        <v>2318</v>
      </c>
      <c r="C62" t="s">
        <v>2319</v>
      </c>
      <c r="D62" t="s">
        <v>2320</v>
      </c>
      <c r="E62" t="s">
        <v>215</v>
      </c>
      <c r="F62">
        <v>202108</v>
      </c>
      <c r="G62" t="s">
        <v>233</v>
      </c>
      <c r="H62">
        <v>0</v>
      </c>
      <c r="O62" t="s">
        <v>2317</v>
      </c>
      <c r="P62" t="s">
        <v>2318</v>
      </c>
      <c r="Q62" t="s">
        <v>2319</v>
      </c>
      <c r="R62" t="s">
        <v>2320</v>
      </c>
      <c r="S62" t="s">
        <v>215</v>
      </c>
      <c r="T62">
        <v>202110</v>
      </c>
      <c r="U62" t="s">
        <v>232</v>
      </c>
      <c r="V62">
        <v>450095.35999999999</v>
      </c>
    </row>
    <row r="63" spans="1:22">
      <c r="A63" t="s">
        <v>2317</v>
      </c>
      <c r="B63" t="s">
        <v>2318</v>
      </c>
      <c r="C63" t="s">
        <v>2319</v>
      </c>
      <c r="D63" t="s">
        <v>2320</v>
      </c>
      <c r="E63" t="s">
        <v>215</v>
      </c>
      <c r="F63">
        <v>202109</v>
      </c>
      <c r="G63" t="s">
        <v>233</v>
      </c>
      <c r="H63">
        <v>0</v>
      </c>
      <c r="O63" t="s">
        <v>2317</v>
      </c>
      <c r="P63" t="s">
        <v>2318</v>
      </c>
      <c r="Q63" t="s">
        <v>2319</v>
      </c>
      <c r="R63" t="s">
        <v>2320</v>
      </c>
      <c r="S63" t="s">
        <v>215</v>
      </c>
      <c r="T63">
        <v>202110</v>
      </c>
      <c r="U63" t="s">
        <v>222</v>
      </c>
      <c r="V63">
        <v>4500091.6399999997</v>
      </c>
    </row>
    <row r="64" spans="1:22">
      <c r="A64" t="s">
        <v>2317</v>
      </c>
      <c r="B64" t="s">
        <v>2318</v>
      </c>
      <c r="C64" t="s">
        <v>2319</v>
      </c>
      <c r="D64" t="s">
        <v>2320</v>
      </c>
      <c r="E64" t="s">
        <v>215</v>
      </c>
      <c r="F64">
        <v>202110</v>
      </c>
      <c r="G64" t="s">
        <v>233</v>
      </c>
      <c r="H64">
        <v>0</v>
      </c>
      <c r="O64" t="s">
        <v>2317</v>
      </c>
      <c r="P64" t="s">
        <v>2318</v>
      </c>
      <c r="Q64" t="s">
        <v>2319</v>
      </c>
      <c r="R64" t="s">
        <v>2320</v>
      </c>
      <c r="S64" t="s">
        <v>215</v>
      </c>
      <c r="T64">
        <v>202110</v>
      </c>
      <c r="U64" t="s">
        <v>224</v>
      </c>
      <c r="V64">
        <v>461693.68</v>
      </c>
    </row>
    <row r="65" spans="1:22">
      <c r="A65" t="s">
        <v>2317</v>
      </c>
      <c r="B65" t="s">
        <v>2318</v>
      </c>
      <c r="C65" t="s">
        <v>2319</v>
      </c>
      <c r="D65" t="s">
        <v>2320</v>
      </c>
      <c r="E65" t="s">
        <v>215</v>
      </c>
      <c r="F65">
        <v>202111</v>
      </c>
      <c r="G65" t="s">
        <v>233</v>
      </c>
      <c r="H65">
        <v>0</v>
      </c>
      <c r="O65" t="s">
        <v>2317</v>
      </c>
      <c r="P65" t="s">
        <v>2318</v>
      </c>
      <c r="Q65" t="s">
        <v>2319</v>
      </c>
      <c r="R65" t="s">
        <v>2320</v>
      </c>
      <c r="S65" t="s">
        <v>215</v>
      </c>
      <c r="T65">
        <v>202110</v>
      </c>
      <c r="U65" t="s">
        <v>226</v>
      </c>
      <c r="V65">
        <v>124646.2</v>
      </c>
    </row>
    <row r="66" spans="1:22">
      <c r="A66" t="s">
        <v>2317</v>
      </c>
      <c r="B66" t="s">
        <v>2318</v>
      </c>
      <c r="C66" t="s">
        <v>2319</v>
      </c>
      <c r="D66" t="s">
        <v>2320</v>
      </c>
      <c r="E66" t="s">
        <v>215</v>
      </c>
      <c r="F66">
        <v>202112</v>
      </c>
      <c r="G66" t="s">
        <v>233</v>
      </c>
      <c r="H66">
        <v>0</v>
      </c>
      <c r="O66" t="s">
        <v>2317</v>
      </c>
      <c r="P66" t="s">
        <v>2318</v>
      </c>
      <c r="Q66" t="s">
        <v>2319</v>
      </c>
      <c r="R66" t="s">
        <v>2320</v>
      </c>
      <c r="S66" t="s">
        <v>215</v>
      </c>
      <c r="T66">
        <v>202111</v>
      </c>
      <c r="U66" t="s">
        <v>231</v>
      </c>
      <c r="V66">
        <v>10883246.09</v>
      </c>
    </row>
    <row r="67" spans="1:22">
      <c r="A67" t="s">
        <v>2317</v>
      </c>
      <c r="B67" t="s">
        <v>2318</v>
      </c>
      <c r="C67" t="s">
        <v>2319</v>
      </c>
      <c r="D67" t="s">
        <v>2320</v>
      </c>
      <c r="E67" t="s">
        <v>215</v>
      </c>
      <c r="F67">
        <v>202201</v>
      </c>
      <c r="G67" t="s">
        <v>233</v>
      </c>
      <c r="H67">
        <v>0</v>
      </c>
      <c r="O67" t="s">
        <v>2317</v>
      </c>
      <c r="P67" t="s">
        <v>2318</v>
      </c>
      <c r="Q67" t="s">
        <v>2319</v>
      </c>
      <c r="R67" t="s">
        <v>2320</v>
      </c>
      <c r="S67" t="s">
        <v>215</v>
      </c>
      <c r="T67">
        <v>202111</v>
      </c>
      <c r="U67" t="s">
        <v>232</v>
      </c>
      <c r="V67">
        <v>499201.19</v>
      </c>
    </row>
    <row r="68" spans="1:22">
      <c r="A68" t="s">
        <v>2317</v>
      </c>
      <c r="B68" t="s">
        <v>2318</v>
      </c>
      <c r="C68" t="s">
        <v>2319</v>
      </c>
      <c r="D68" t="s">
        <v>2320</v>
      </c>
      <c r="E68" t="s">
        <v>215</v>
      </c>
      <c r="F68">
        <v>202202</v>
      </c>
      <c r="G68" t="s">
        <v>233</v>
      </c>
      <c r="H68">
        <v>0</v>
      </c>
      <c r="O68" t="s">
        <v>2317</v>
      </c>
      <c r="P68" t="s">
        <v>2318</v>
      </c>
      <c r="Q68" t="s">
        <v>2319</v>
      </c>
      <c r="R68" t="s">
        <v>2320</v>
      </c>
      <c r="S68" t="s">
        <v>215</v>
      </c>
      <c r="T68">
        <v>202111</v>
      </c>
      <c r="U68" t="s">
        <v>222</v>
      </c>
      <c r="V68">
        <v>11029592.529999999</v>
      </c>
    </row>
    <row r="69" spans="1:22">
      <c r="A69" t="s">
        <v>2317</v>
      </c>
      <c r="B69" t="s">
        <v>2318</v>
      </c>
      <c r="C69" t="s">
        <v>2319</v>
      </c>
      <c r="D69" t="s">
        <v>2320</v>
      </c>
      <c r="E69" t="s">
        <v>215</v>
      </c>
      <c r="F69">
        <v>202203</v>
      </c>
      <c r="G69" t="s">
        <v>233</v>
      </c>
      <c r="H69">
        <v>0</v>
      </c>
      <c r="O69" t="s">
        <v>2317</v>
      </c>
      <c r="P69" t="s">
        <v>2318</v>
      </c>
      <c r="Q69" t="s">
        <v>2319</v>
      </c>
      <c r="R69" t="s">
        <v>2320</v>
      </c>
      <c r="S69" t="s">
        <v>215</v>
      </c>
      <c r="T69">
        <v>202111</v>
      </c>
      <c r="U69" t="s">
        <v>224</v>
      </c>
      <c r="V69">
        <v>505913.9</v>
      </c>
    </row>
    <row r="70" spans="1:22">
      <c r="A70" t="s">
        <v>2317</v>
      </c>
      <c r="B70" t="s">
        <v>2318</v>
      </c>
      <c r="C70" t="s">
        <v>2319</v>
      </c>
      <c r="D70" t="s">
        <v>2320</v>
      </c>
      <c r="E70" t="s">
        <v>215</v>
      </c>
      <c r="F70">
        <v>202204</v>
      </c>
      <c r="G70" t="s">
        <v>233</v>
      </c>
      <c r="H70">
        <v>0</v>
      </c>
      <c r="O70" t="s">
        <v>2317</v>
      </c>
      <c r="P70" t="s">
        <v>2318</v>
      </c>
      <c r="Q70" t="s">
        <v>2319</v>
      </c>
      <c r="R70" t="s">
        <v>2320</v>
      </c>
      <c r="S70" t="s">
        <v>215</v>
      </c>
      <c r="T70">
        <v>202111</v>
      </c>
      <c r="U70" t="s">
        <v>226</v>
      </c>
      <c r="V70">
        <v>153059.16</v>
      </c>
    </row>
    <row r="71" spans="1:22">
      <c r="A71" t="s">
        <v>2317</v>
      </c>
      <c r="B71" t="s">
        <v>2318</v>
      </c>
      <c r="C71" t="s">
        <v>2319</v>
      </c>
      <c r="D71" t="s">
        <v>2320</v>
      </c>
      <c r="E71" t="s">
        <v>215</v>
      </c>
      <c r="F71">
        <v>202205</v>
      </c>
      <c r="G71" t="s">
        <v>233</v>
      </c>
      <c r="H71">
        <v>0</v>
      </c>
      <c r="O71" t="s">
        <v>2317</v>
      </c>
      <c r="P71" t="s">
        <v>2318</v>
      </c>
      <c r="Q71" t="s">
        <v>2319</v>
      </c>
      <c r="R71" t="s">
        <v>2320</v>
      </c>
      <c r="S71" t="s">
        <v>215</v>
      </c>
      <c r="T71">
        <v>202112</v>
      </c>
      <c r="U71" t="s">
        <v>231</v>
      </c>
      <c r="V71">
        <v>15499258.220000001</v>
      </c>
    </row>
    <row r="72" spans="1:22">
      <c r="A72" t="s">
        <v>2317</v>
      </c>
      <c r="B72" t="s">
        <v>2318</v>
      </c>
      <c r="C72" t="s">
        <v>2319</v>
      </c>
      <c r="D72" t="s">
        <v>2320</v>
      </c>
      <c r="E72" t="s">
        <v>2179</v>
      </c>
      <c r="F72">
        <v>202104</v>
      </c>
      <c r="G72" t="s">
        <v>233</v>
      </c>
      <c r="H72">
        <v>0</v>
      </c>
      <c r="O72" t="s">
        <v>2317</v>
      </c>
      <c r="P72" t="s">
        <v>2318</v>
      </c>
      <c r="Q72" t="s">
        <v>2319</v>
      </c>
      <c r="R72" t="s">
        <v>2320</v>
      </c>
      <c r="S72" t="s">
        <v>215</v>
      </c>
      <c r="T72">
        <v>202112</v>
      </c>
      <c r="U72" t="s">
        <v>232</v>
      </c>
      <c r="V72">
        <v>744045.53</v>
      </c>
    </row>
    <row r="73" spans="1:22">
      <c r="A73" t="s">
        <v>2317</v>
      </c>
      <c r="B73" t="s">
        <v>2318</v>
      </c>
      <c r="C73" t="s">
        <v>2319</v>
      </c>
      <c r="D73" t="s">
        <v>2320</v>
      </c>
      <c r="E73" t="s">
        <v>2179</v>
      </c>
      <c r="F73">
        <v>202105</v>
      </c>
      <c r="G73" t="s">
        <v>233</v>
      </c>
      <c r="H73">
        <v>0</v>
      </c>
      <c r="O73" t="s">
        <v>2317</v>
      </c>
      <c r="P73" t="s">
        <v>2318</v>
      </c>
      <c r="Q73" t="s">
        <v>2319</v>
      </c>
      <c r="R73" t="s">
        <v>2320</v>
      </c>
      <c r="S73" t="s">
        <v>215</v>
      </c>
      <c r="T73">
        <v>202112</v>
      </c>
      <c r="U73" t="s">
        <v>222</v>
      </c>
      <c r="V73">
        <v>5183393.47</v>
      </c>
    </row>
    <row r="74" spans="1:22">
      <c r="A74" t="s">
        <v>2317</v>
      </c>
      <c r="B74" t="s">
        <v>2318</v>
      </c>
      <c r="C74" t="s">
        <v>2319</v>
      </c>
      <c r="D74" t="s">
        <v>2320</v>
      </c>
      <c r="E74" t="s">
        <v>2179</v>
      </c>
      <c r="F74">
        <v>202106</v>
      </c>
      <c r="G74" t="s">
        <v>233</v>
      </c>
      <c r="H74">
        <v>0</v>
      </c>
      <c r="O74" t="s">
        <v>2317</v>
      </c>
      <c r="P74" t="s">
        <v>2318</v>
      </c>
      <c r="Q74" t="s">
        <v>2319</v>
      </c>
      <c r="R74" t="s">
        <v>2320</v>
      </c>
      <c r="S74" t="s">
        <v>215</v>
      </c>
      <c r="T74">
        <v>202112</v>
      </c>
      <c r="U74" t="s">
        <v>224</v>
      </c>
      <c r="V74">
        <v>213955.32</v>
      </c>
    </row>
    <row r="75" spans="1:22">
      <c r="A75" t="s">
        <v>2317</v>
      </c>
      <c r="B75" t="s">
        <v>2318</v>
      </c>
      <c r="C75" t="s">
        <v>2319</v>
      </c>
      <c r="D75" t="s">
        <v>2320</v>
      </c>
      <c r="E75" t="s">
        <v>2179</v>
      </c>
      <c r="F75">
        <v>202107</v>
      </c>
      <c r="G75" t="s">
        <v>233</v>
      </c>
      <c r="H75">
        <v>0</v>
      </c>
      <c r="O75" t="s">
        <v>2317</v>
      </c>
      <c r="P75" t="s">
        <v>2318</v>
      </c>
      <c r="Q75" t="s">
        <v>2319</v>
      </c>
      <c r="R75" t="s">
        <v>2320</v>
      </c>
      <c r="S75" t="s">
        <v>215</v>
      </c>
      <c r="T75">
        <v>202112</v>
      </c>
      <c r="U75" t="s">
        <v>226</v>
      </c>
      <c r="V75">
        <v>153681.12</v>
      </c>
    </row>
    <row r="76" spans="1:22">
      <c r="A76" t="s">
        <v>2317</v>
      </c>
      <c r="B76" t="s">
        <v>2318</v>
      </c>
      <c r="C76" t="s">
        <v>2319</v>
      </c>
      <c r="D76" t="s">
        <v>2320</v>
      </c>
      <c r="E76" t="s">
        <v>2179</v>
      </c>
      <c r="F76">
        <v>202108</v>
      </c>
      <c r="G76" t="s">
        <v>233</v>
      </c>
      <c r="H76">
        <v>0</v>
      </c>
      <c r="O76" t="s">
        <v>2317</v>
      </c>
      <c r="P76" t="s">
        <v>2318</v>
      </c>
      <c r="Q76" t="s">
        <v>2319</v>
      </c>
      <c r="R76" t="s">
        <v>2320</v>
      </c>
      <c r="S76" t="s">
        <v>215</v>
      </c>
      <c r="T76">
        <v>202201</v>
      </c>
      <c r="U76" t="s">
        <v>231</v>
      </c>
      <c r="V76">
        <v>128082</v>
      </c>
    </row>
    <row r="77" spans="1:22">
      <c r="A77" t="s">
        <v>2317</v>
      </c>
      <c r="B77" t="s">
        <v>2318</v>
      </c>
      <c r="C77" t="s">
        <v>2319</v>
      </c>
      <c r="D77" t="s">
        <v>2320</v>
      </c>
      <c r="E77" t="s">
        <v>2179</v>
      </c>
      <c r="F77">
        <v>202109</v>
      </c>
      <c r="G77" t="s">
        <v>233</v>
      </c>
      <c r="H77">
        <v>0</v>
      </c>
      <c r="O77" t="s">
        <v>2317</v>
      </c>
      <c r="P77" t="s">
        <v>2318</v>
      </c>
      <c r="Q77" t="s">
        <v>2319</v>
      </c>
      <c r="R77" t="s">
        <v>2320</v>
      </c>
      <c r="S77" t="s">
        <v>215</v>
      </c>
      <c r="T77">
        <v>202201</v>
      </c>
      <c r="U77" t="s">
        <v>232</v>
      </c>
      <c r="V77">
        <v>0</v>
      </c>
    </row>
    <row r="78" spans="1:22">
      <c r="A78" t="s">
        <v>2317</v>
      </c>
      <c r="B78" t="s">
        <v>2318</v>
      </c>
      <c r="C78" t="s">
        <v>2319</v>
      </c>
      <c r="D78" t="s">
        <v>2320</v>
      </c>
      <c r="E78" t="s">
        <v>2179</v>
      </c>
      <c r="F78">
        <v>202110</v>
      </c>
      <c r="G78" t="s">
        <v>233</v>
      </c>
      <c r="H78">
        <v>0</v>
      </c>
      <c r="O78" t="s">
        <v>2317</v>
      </c>
      <c r="P78" t="s">
        <v>2318</v>
      </c>
      <c r="Q78" t="s">
        <v>2319</v>
      </c>
      <c r="R78" t="s">
        <v>2320</v>
      </c>
      <c r="S78" t="s">
        <v>215</v>
      </c>
      <c r="T78">
        <v>202201</v>
      </c>
      <c r="U78" t="s">
        <v>222</v>
      </c>
      <c r="V78">
        <v>7383543.1200000001</v>
      </c>
    </row>
    <row r="79" spans="1:22">
      <c r="A79" t="s">
        <v>2317</v>
      </c>
      <c r="B79" t="s">
        <v>2318</v>
      </c>
      <c r="C79" t="s">
        <v>2319</v>
      </c>
      <c r="D79" t="s">
        <v>2320</v>
      </c>
      <c r="E79" t="s">
        <v>2179</v>
      </c>
      <c r="F79">
        <v>202111</v>
      </c>
      <c r="G79" t="s">
        <v>233</v>
      </c>
      <c r="H79">
        <v>0</v>
      </c>
      <c r="O79" t="s">
        <v>2317</v>
      </c>
      <c r="P79" t="s">
        <v>2318</v>
      </c>
      <c r="Q79" t="s">
        <v>2319</v>
      </c>
      <c r="R79" t="s">
        <v>2320</v>
      </c>
      <c r="S79" t="s">
        <v>215</v>
      </c>
      <c r="T79">
        <v>202201</v>
      </c>
      <c r="U79" t="s">
        <v>224</v>
      </c>
      <c r="V79">
        <v>416192.32</v>
      </c>
    </row>
    <row r="80" spans="1:22">
      <c r="A80" t="s">
        <v>2317</v>
      </c>
      <c r="B80" t="s">
        <v>2318</v>
      </c>
      <c r="C80" t="s">
        <v>2319</v>
      </c>
      <c r="D80" t="s">
        <v>2320</v>
      </c>
      <c r="E80" t="s">
        <v>2179</v>
      </c>
      <c r="F80">
        <v>202112</v>
      </c>
      <c r="G80" t="s">
        <v>233</v>
      </c>
      <c r="H80">
        <v>0</v>
      </c>
      <c r="O80" t="s">
        <v>2317</v>
      </c>
      <c r="P80" t="s">
        <v>2318</v>
      </c>
      <c r="Q80" t="s">
        <v>2319</v>
      </c>
      <c r="R80" t="s">
        <v>2320</v>
      </c>
      <c r="S80" t="s">
        <v>215</v>
      </c>
      <c r="T80">
        <v>202201</v>
      </c>
      <c r="U80" t="s">
        <v>226</v>
      </c>
      <c r="V80">
        <v>0</v>
      </c>
    </row>
    <row r="81" spans="1:22">
      <c r="A81" t="s">
        <v>2317</v>
      </c>
      <c r="B81" t="s">
        <v>2318</v>
      </c>
      <c r="C81" t="s">
        <v>2319</v>
      </c>
      <c r="D81" t="s">
        <v>2320</v>
      </c>
      <c r="E81" t="s">
        <v>2179</v>
      </c>
      <c r="F81">
        <v>202201</v>
      </c>
      <c r="G81" t="s">
        <v>233</v>
      </c>
      <c r="H81">
        <v>0</v>
      </c>
      <c r="O81" t="s">
        <v>2317</v>
      </c>
      <c r="P81" t="s">
        <v>2318</v>
      </c>
      <c r="Q81" t="s">
        <v>2319</v>
      </c>
      <c r="R81" t="s">
        <v>2320</v>
      </c>
      <c r="S81" t="s">
        <v>215</v>
      </c>
      <c r="T81">
        <v>202202</v>
      </c>
      <c r="U81" t="s">
        <v>231</v>
      </c>
      <c r="V81">
        <v>117351</v>
      </c>
    </row>
    <row r="82" spans="1:22">
      <c r="A82" t="s">
        <v>2317</v>
      </c>
      <c r="B82" t="s">
        <v>2318</v>
      </c>
      <c r="C82" t="s">
        <v>2319</v>
      </c>
      <c r="D82" t="s">
        <v>2320</v>
      </c>
      <c r="E82" t="s">
        <v>2179</v>
      </c>
      <c r="F82">
        <v>202202</v>
      </c>
      <c r="G82" t="s">
        <v>233</v>
      </c>
      <c r="H82">
        <v>0</v>
      </c>
      <c r="O82" t="s">
        <v>2317</v>
      </c>
      <c r="P82" t="s">
        <v>2318</v>
      </c>
      <c r="Q82" t="s">
        <v>2319</v>
      </c>
      <c r="R82" t="s">
        <v>2320</v>
      </c>
      <c r="S82" t="s">
        <v>215</v>
      </c>
      <c r="T82">
        <v>202202</v>
      </c>
      <c r="U82" t="s">
        <v>232</v>
      </c>
      <c r="V82">
        <v>0</v>
      </c>
    </row>
    <row r="83" spans="1:22">
      <c r="A83" t="s">
        <v>2317</v>
      </c>
      <c r="B83" t="s">
        <v>2318</v>
      </c>
      <c r="C83" t="s">
        <v>2319</v>
      </c>
      <c r="D83" t="s">
        <v>2320</v>
      </c>
      <c r="E83" t="s">
        <v>2179</v>
      </c>
      <c r="F83">
        <v>202203</v>
      </c>
      <c r="G83" t="s">
        <v>233</v>
      </c>
      <c r="H83">
        <v>0</v>
      </c>
      <c r="O83" t="s">
        <v>2317</v>
      </c>
      <c r="P83" t="s">
        <v>2318</v>
      </c>
      <c r="Q83" t="s">
        <v>2319</v>
      </c>
      <c r="R83" t="s">
        <v>2320</v>
      </c>
      <c r="S83" t="s">
        <v>215</v>
      </c>
      <c r="T83">
        <v>202202</v>
      </c>
      <c r="U83" t="s">
        <v>222</v>
      </c>
      <c r="V83">
        <v>2947481.96</v>
      </c>
    </row>
    <row r="84" spans="1:22">
      <c r="A84" t="s">
        <v>2317</v>
      </c>
      <c r="B84" t="s">
        <v>2318</v>
      </c>
      <c r="C84" t="s">
        <v>2319</v>
      </c>
      <c r="D84" t="s">
        <v>2320</v>
      </c>
      <c r="E84" t="s">
        <v>2179</v>
      </c>
      <c r="F84">
        <v>202204</v>
      </c>
      <c r="G84" t="s">
        <v>233</v>
      </c>
      <c r="H84">
        <v>0</v>
      </c>
      <c r="O84" t="s">
        <v>2317</v>
      </c>
      <c r="P84" t="s">
        <v>2318</v>
      </c>
      <c r="Q84" t="s">
        <v>2319</v>
      </c>
      <c r="R84" t="s">
        <v>2320</v>
      </c>
      <c r="S84" t="s">
        <v>215</v>
      </c>
      <c r="T84">
        <v>202202</v>
      </c>
      <c r="U84" t="s">
        <v>224</v>
      </c>
      <c r="V84">
        <v>174296.81</v>
      </c>
    </row>
    <row r="85" spans="1:22">
      <c r="A85" t="s">
        <v>2317</v>
      </c>
      <c r="B85" t="s">
        <v>2318</v>
      </c>
      <c r="C85" t="s">
        <v>2319</v>
      </c>
      <c r="D85" t="s">
        <v>2320</v>
      </c>
      <c r="E85" t="s">
        <v>2179</v>
      </c>
      <c r="F85">
        <v>202205</v>
      </c>
      <c r="G85" t="s">
        <v>233</v>
      </c>
      <c r="H85">
        <v>0</v>
      </c>
      <c r="O85" t="s">
        <v>2317</v>
      </c>
      <c r="P85" t="s">
        <v>2318</v>
      </c>
      <c r="Q85" t="s">
        <v>2319</v>
      </c>
      <c r="R85" t="s">
        <v>2320</v>
      </c>
      <c r="S85" t="s">
        <v>215</v>
      </c>
      <c r="T85">
        <v>202202</v>
      </c>
      <c r="U85" t="s">
        <v>226</v>
      </c>
      <c r="V85">
        <v>0</v>
      </c>
    </row>
    <row r="86" spans="1:22">
      <c r="A86" t="s">
        <v>2317</v>
      </c>
      <c r="B86" t="s">
        <v>2318</v>
      </c>
      <c r="C86" t="s">
        <v>2319</v>
      </c>
      <c r="D86" t="s">
        <v>2320</v>
      </c>
      <c r="E86" t="s">
        <v>215</v>
      </c>
      <c r="F86">
        <v>202104</v>
      </c>
      <c r="G86" t="s">
        <v>218</v>
      </c>
      <c r="H86">
        <v>11500</v>
      </c>
      <c r="O86" t="s">
        <v>2317</v>
      </c>
      <c r="P86" t="s">
        <v>2318</v>
      </c>
      <c r="Q86" t="s">
        <v>2319</v>
      </c>
      <c r="R86" t="s">
        <v>2320</v>
      </c>
      <c r="S86" t="s">
        <v>215</v>
      </c>
      <c r="T86">
        <v>202203</v>
      </c>
      <c r="U86" t="s">
        <v>231</v>
      </c>
      <c r="V86">
        <v>123005</v>
      </c>
    </row>
    <row r="87" spans="1:22">
      <c r="A87" t="s">
        <v>2317</v>
      </c>
      <c r="B87" t="s">
        <v>2318</v>
      </c>
      <c r="C87" t="s">
        <v>2319</v>
      </c>
      <c r="D87" t="s">
        <v>2320</v>
      </c>
      <c r="E87" t="s">
        <v>215</v>
      </c>
      <c r="F87">
        <v>202104</v>
      </c>
      <c r="G87" t="s">
        <v>220</v>
      </c>
      <c r="H87">
        <v>3886.27</v>
      </c>
      <c r="O87" t="s">
        <v>2317</v>
      </c>
      <c r="P87" t="s">
        <v>2318</v>
      </c>
      <c r="Q87" t="s">
        <v>2319</v>
      </c>
      <c r="R87" t="s">
        <v>2320</v>
      </c>
      <c r="S87" t="s">
        <v>215</v>
      </c>
      <c r="T87">
        <v>202203</v>
      </c>
      <c r="U87" t="s">
        <v>232</v>
      </c>
      <c r="V87">
        <v>0</v>
      </c>
    </row>
    <row r="88" spans="1:22">
      <c r="A88" t="s">
        <v>2317</v>
      </c>
      <c r="B88" t="s">
        <v>2318</v>
      </c>
      <c r="C88" t="s">
        <v>2319</v>
      </c>
      <c r="D88" t="s">
        <v>2320</v>
      </c>
      <c r="E88" t="s">
        <v>215</v>
      </c>
      <c r="F88">
        <v>202105</v>
      </c>
      <c r="G88" t="s">
        <v>218</v>
      </c>
      <c r="H88">
        <v>11500</v>
      </c>
      <c r="O88" t="s">
        <v>2317</v>
      </c>
      <c r="P88" t="s">
        <v>2318</v>
      </c>
      <c r="Q88" t="s">
        <v>2319</v>
      </c>
      <c r="R88" t="s">
        <v>2320</v>
      </c>
      <c r="S88" t="s">
        <v>215</v>
      </c>
      <c r="T88">
        <v>202203</v>
      </c>
      <c r="U88" t="s">
        <v>222</v>
      </c>
      <c r="V88">
        <v>1695560.54</v>
      </c>
    </row>
    <row r="89" spans="1:22">
      <c r="A89" t="s">
        <v>2317</v>
      </c>
      <c r="B89" t="s">
        <v>2318</v>
      </c>
      <c r="C89" t="s">
        <v>2319</v>
      </c>
      <c r="D89" t="s">
        <v>2320</v>
      </c>
      <c r="E89" t="s">
        <v>215</v>
      </c>
      <c r="F89">
        <v>202105</v>
      </c>
      <c r="G89" t="s">
        <v>220</v>
      </c>
      <c r="H89">
        <v>3600</v>
      </c>
      <c r="O89" t="s">
        <v>2317</v>
      </c>
      <c r="P89" t="s">
        <v>2318</v>
      </c>
      <c r="Q89" t="s">
        <v>2319</v>
      </c>
      <c r="R89" t="s">
        <v>2320</v>
      </c>
      <c r="S89" t="s">
        <v>215</v>
      </c>
      <c r="T89">
        <v>202203</v>
      </c>
      <c r="U89" t="s">
        <v>224</v>
      </c>
      <c r="V89">
        <v>171624.5</v>
      </c>
    </row>
    <row r="90" spans="1:22">
      <c r="A90" t="s">
        <v>2317</v>
      </c>
      <c r="B90" t="s">
        <v>2318</v>
      </c>
      <c r="C90" t="s">
        <v>2319</v>
      </c>
      <c r="D90" t="s">
        <v>2320</v>
      </c>
      <c r="E90" t="s">
        <v>215</v>
      </c>
      <c r="F90">
        <v>202106</v>
      </c>
      <c r="G90" t="s">
        <v>218</v>
      </c>
      <c r="H90">
        <v>11500</v>
      </c>
      <c r="O90" t="s">
        <v>2317</v>
      </c>
      <c r="P90" t="s">
        <v>2318</v>
      </c>
      <c r="Q90" t="s">
        <v>2319</v>
      </c>
      <c r="R90" t="s">
        <v>2320</v>
      </c>
      <c r="S90" t="s">
        <v>215</v>
      </c>
      <c r="T90">
        <v>202203</v>
      </c>
      <c r="U90" t="s">
        <v>226</v>
      </c>
      <c r="V90">
        <v>0</v>
      </c>
    </row>
    <row r="91" spans="1:22">
      <c r="A91" t="s">
        <v>2317</v>
      </c>
      <c r="B91" t="s">
        <v>2318</v>
      </c>
      <c r="C91" t="s">
        <v>2319</v>
      </c>
      <c r="D91" t="s">
        <v>2320</v>
      </c>
      <c r="E91" t="s">
        <v>215</v>
      </c>
      <c r="F91">
        <v>202106</v>
      </c>
      <c r="G91" t="s">
        <v>220</v>
      </c>
      <c r="H91">
        <v>3703.58</v>
      </c>
      <c r="O91" t="s">
        <v>2317</v>
      </c>
      <c r="P91" t="s">
        <v>2318</v>
      </c>
      <c r="Q91" t="s">
        <v>2319</v>
      </c>
      <c r="R91" t="s">
        <v>2320</v>
      </c>
      <c r="S91" t="s">
        <v>215</v>
      </c>
      <c r="T91">
        <v>202204</v>
      </c>
      <c r="U91" t="s">
        <v>231</v>
      </c>
      <c r="V91">
        <v>109015</v>
      </c>
    </row>
    <row r="92" spans="1:22">
      <c r="A92" t="s">
        <v>2317</v>
      </c>
      <c r="B92" t="s">
        <v>2318</v>
      </c>
      <c r="C92" t="s">
        <v>2319</v>
      </c>
      <c r="D92" t="s">
        <v>2320</v>
      </c>
      <c r="E92" t="s">
        <v>215</v>
      </c>
      <c r="F92">
        <v>202107</v>
      </c>
      <c r="G92" t="s">
        <v>218</v>
      </c>
      <c r="H92">
        <v>11500</v>
      </c>
      <c r="O92" t="s">
        <v>2317</v>
      </c>
      <c r="P92" t="s">
        <v>2318</v>
      </c>
      <c r="Q92" t="s">
        <v>2319</v>
      </c>
      <c r="R92" t="s">
        <v>2320</v>
      </c>
      <c r="S92" t="s">
        <v>215</v>
      </c>
      <c r="T92">
        <v>202204</v>
      </c>
      <c r="U92" t="s">
        <v>232</v>
      </c>
      <c r="V92">
        <v>0</v>
      </c>
    </row>
    <row r="93" spans="1:22">
      <c r="A93" t="s">
        <v>2317</v>
      </c>
      <c r="B93" t="s">
        <v>2318</v>
      </c>
      <c r="C93" t="s">
        <v>2319</v>
      </c>
      <c r="D93" t="s">
        <v>2320</v>
      </c>
      <c r="E93" t="s">
        <v>215</v>
      </c>
      <c r="F93">
        <v>202107</v>
      </c>
      <c r="G93" t="s">
        <v>220</v>
      </c>
      <c r="H93">
        <v>3620.54</v>
      </c>
      <c r="O93" t="s">
        <v>2317</v>
      </c>
      <c r="P93" t="s">
        <v>2318</v>
      </c>
      <c r="Q93" t="s">
        <v>2319</v>
      </c>
      <c r="R93" t="s">
        <v>2320</v>
      </c>
      <c r="S93" t="s">
        <v>215</v>
      </c>
      <c r="T93">
        <v>202204</v>
      </c>
      <c r="U93" t="s">
        <v>222</v>
      </c>
      <c r="V93">
        <v>971810.89</v>
      </c>
    </row>
    <row r="94" spans="1:22">
      <c r="A94" t="s">
        <v>2317</v>
      </c>
      <c r="B94" t="s">
        <v>2318</v>
      </c>
      <c r="C94" t="s">
        <v>2319</v>
      </c>
      <c r="D94" t="s">
        <v>2320</v>
      </c>
      <c r="E94" t="s">
        <v>215</v>
      </c>
      <c r="F94">
        <v>202108</v>
      </c>
      <c r="G94" t="s">
        <v>218</v>
      </c>
      <c r="H94">
        <v>11500</v>
      </c>
      <c r="O94" t="s">
        <v>2317</v>
      </c>
      <c r="P94" t="s">
        <v>2318</v>
      </c>
      <c r="Q94" t="s">
        <v>2319</v>
      </c>
      <c r="R94" t="s">
        <v>2320</v>
      </c>
      <c r="S94" t="s">
        <v>215</v>
      </c>
      <c r="T94">
        <v>202204</v>
      </c>
      <c r="U94" t="s">
        <v>224</v>
      </c>
      <c r="V94">
        <v>137508.01</v>
      </c>
    </row>
    <row r="95" spans="1:22">
      <c r="A95" t="s">
        <v>2317</v>
      </c>
      <c r="B95" t="s">
        <v>2318</v>
      </c>
      <c r="C95" t="s">
        <v>2319</v>
      </c>
      <c r="D95" t="s">
        <v>2320</v>
      </c>
      <c r="E95" t="s">
        <v>215</v>
      </c>
      <c r="F95">
        <v>202108</v>
      </c>
      <c r="G95" t="s">
        <v>220</v>
      </c>
      <c r="H95">
        <v>4949.18</v>
      </c>
      <c r="O95" t="s">
        <v>2317</v>
      </c>
      <c r="P95" t="s">
        <v>2318</v>
      </c>
      <c r="Q95" t="s">
        <v>2319</v>
      </c>
      <c r="R95" t="s">
        <v>2320</v>
      </c>
      <c r="S95" t="s">
        <v>215</v>
      </c>
      <c r="T95">
        <v>202204</v>
      </c>
      <c r="U95" t="s">
        <v>226</v>
      </c>
      <c r="V95">
        <v>0</v>
      </c>
    </row>
    <row r="96" spans="1:22">
      <c r="A96" t="s">
        <v>2317</v>
      </c>
      <c r="B96" t="s">
        <v>2318</v>
      </c>
      <c r="C96" t="s">
        <v>2319</v>
      </c>
      <c r="D96" t="s">
        <v>2320</v>
      </c>
      <c r="E96" t="s">
        <v>215</v>
      </c>
      <c r="F96">
        <v>202109</v>
      </c>
      <c r="G96" t="s">
        <v>218</v>
      </c>
      <c r="H96">
        <v>11500</v>
      </c>
      <c r="O96" t="s">
        <v>2317</v>
      </c>
      <c r="P96" t="s">
        <v>2318</v>
      </c>
      <c r="Q96" t="s">
        <v>2319</v>
      </c>
      <c r="R96" t="s">
        <v>2320</v>
      </c>
      <c r="S96" t="s">
        <v>215</v>
      </c>
      <c r="T96">
        <v>202205</v>
      </c>
      <c r="U96" t="s">
        <v>231</v>
      </c>
      <c r="V96">
        <v>90091</v>
      </c>
    </row>
    <row r="97" spans="1:22">
      <c r="A97" t="s">
        <v>2317</v>
      </c>
      <c r="B97" t="s">
        <v>2318</v>
      </c>
      <c r="C97" t="s">
        <v>2319</v>
      </c>
      <c r="D97" t="s">
        <v>2320</v>
      </c>
      <c r="E97" t="s">
        <v>215</v>
      </c>
      <c r="F97">
        <v>202109</v>
      </c>
      <c r="G97" t="s">
        <v>220</v>
      </c>
      <c r="H97">
        <v>3600</v>
      </c>
      <c r="O97" t="s">
        <v>2317</v>
      </c>
      <c r="P97" t="s">
        <v>2318</v>
      </c>
      <c r="Q97" t="s">
        <v>2319</v>
      </c>
      <c r="R97" t="s">
        <v>2320</v>
      </c>
      <c r="S97" t="s">
        <v>215</v>
      </c>
      <c r="T97">
        <v>202205</v>
      </c>
      <c r="U97" t="s">
        <v>232</v>
      </c>
      <c r="V97">
        <v>0</v>
      </c>
    </row>
    <row r="98" spans="1:22">
      <c r="A98" t="s">
        <v>2317</v>
      </c>
      <c r="B98" t="s">
        <v>2318</v>
      </c>
      <c r="C98" t="s">
        <v>2319</v>
      </c>
      <c r="D98" t="s">
        <v>2320</v>
      </c>
      <c r="E98" t="s">
        <v>215</v>
      </c>
      <c r="F98">
        <v>202110</v>
      </c>
      <c r="G98" t="s">
        <v>218</v>
      </c>
      <c r="H98">
        <v>11500</v>
      </c>
      <c r="O98" t="s">
        <v>2317</v>
      </c>
      <c r="P98" t="s">
        <v>2318</v>
      </c>
      <c r="Q98" t="s">
        <v>2319</v>
      </c>
      <c r="R98" t="s">
        <v>2320</v>
      </c>
      <c r="S98" t="s">
        <v>215</v>
      </c>
      <c r="T98">
        <v>202205</v>
      </c>
      <c r="U98" t="s">
        <v>222</v>
      </c>
      <c r="V98">
        <v>954795.99</v>
      </c>
    </row>
    <row r="99" spans="1:22">
      <c r="A99" t="s">
        <v>2317</v>
      </c>
      <c r="B99" t="s">
        <v>2318</v>
      </c>
      <c r="C99" t="s">
        <v>2319</v>
      </c>
      <c r="D99" t="s">
        <v>2320</v>
      </c>
      <c r="E99" t="s">
        <v>215</v>
      </c>
      <c r="F99">
        <v>202110</v>
      </c>
      <c r="G99" t="s">
        <v>220</v>
      </c>
      <c r="H99">
        <v>4218.43</v>
      </c>
      <c r="O99" t="s">
        <v>2317</v>
      </c>
      <c r="P99" t="s">
        <v>2318</v>
      </c>
      <c r="Q99" t="s">
        <v>2319</v>
      </c>
      <c r="R99" t="s">
        <v>2320</v>
      </c>
      <c r="S99" t="s">
        <v>215</v>
      </c>
      <c r="T99">
        <v>202205</v>
      </c>
      <c r="U99" t="s">
        <v>224</v>
      </c>
      <c r="V99">
        <v>160645.03</v>
      </c>
    </row>
    <row r="100" spans="1:22">
      <c r="A100" t="s">
        <v>2317</v>
      </c>
      <c r="B100" t="s">
        <v>2318</v>
      </c>
      <c r="C100" t="s">
        <v>2319</v>
      </c>
      <c r="D100" t="s">
        <v>2320</v>
      </c>
      <c r="E100" t="s">
        <v>215</v>
      </c>
      <c r="F100">
        <v>202111</v>
      </c>
      <c r="G100" t="s">
        <v>218</v>
      </c>
      <c r="H100">
        <v>13103.71</v>
      </c>
      <c r="O100" t="s">
        <v>2317</v>
      </c>
      <c r="P100" t="s">
        <v>2318</v>
      </c>
      <c r="Q100" t="s">
        <v>2319</v>
      </c>
      <c r="R100" t="s">
        <v>2320</v>
      </c>
      <c r="S100" t="s">
        <v>215</v>
      </c>
      <c r="T100">
        <v>202205</v>
      </c>
      <c r="U100" t="s">
        <v>226</v>
      </c>
      <c r="V100">
        <v>0</v>
      </c>
    </row>
    <row r="101" spans="1:22">
      <c r="A101" t="s">
        <v>2317</v>
      </c>
      <c r="B101" t="s">
        <v>2318</v>
      </c>
      <c r="C101" t="s">
        <v>2319</v>
      </c>
      <c r="D101" t="s">
        <v>2320</v>
      </c>
      <c r="E101" t="s">
        <v>215</v>
      </c>
      <c r="F101">
        <v>202111</v>
      </c>
      <c r="G101" t="s">
        <v>220</v>
      </c>
      <c r="H101">
        <v>4068.96</v>
      </c>
      <c r="O101" t="s">
        <v>2317</v>
      </c>
      <c r="P101" t="s">
        <v>2318</v>
      </c>
      <c r="Q101" t="s">
        <v>2319</v>
      </c>
      <c r="R101" t="s">
        <v>2320</v>
      </c>
      <c r="S101" t="s">
        <v>2179</v>
      </c>
      <c r="T101">
        <v>202107</v>
      </c>
      <c r="U101" t="s">
        <v>231</v>
      </c>
      <c r="V101">
        <v>3523569.22</v>
      </c>
    </row>
    <row r="102" spans="1:22">
      <c r="A102" t="s">
        <v>2317</v>
      </c>
      <c r="B102" t="s">
        <v>2318</v>
      </c>
      <c r="C102" t="s">
        <v>2319</v>
      </c>
      <c r="D102" t="s">
        <v>2320</v>
      </c>
      <c r="E102" t="s">
        <v>215</v>
      </c>
      <c r="F102">
        <v>202112</v>
      </c>
      <c r="G102" t="s">
        <v>218</v>
      </c>
      <c r="H102">
        <v>13369.44</v>
      </c>
      <c r="O102" t="s">
        <v>2317</v>
      </c>
      <c r="P102" t="s">
        <v>2318</v>
      </c>
      <c r="Q102" t="s">
        <v>2319</v>
      </c>
      <c r="R102" t="s">
        <v>2320</v>
      </c>
      <c r="S102" t="s">
        <v>2179</v>
      </c>
      <c r="T102">
        <v>202107</v>
      </c>
      <c r="U102" t="s">
        <v>232</v>
      </c>
      <c r="V102">
        <v>581984.93999999994</v>
      </c>
    </row>
    <row r="103" spans="1:22">
      <c r="A103" t="s">
        <v>2317</v>
      </c>
      <c r="B103" t="s">
        <v>2318</v>
      </c>
      <c r="C103" t="s">
        <v>2319</v>
      </c>
      <c r="D103" t="s">
        <v>2320</v>
      </c>
      <c r="E103" t="s">
        <v>215</v>
      </c>
      <c r="F103">
        <v>202112</v>
      </c>
      <c r="G103" t="s">
        <v>220</v>
      </c>
      <c r="H103">
        <v>4309.7700000000004</v>
      </c>
      <c r="O103" t="s">
        <v>2317</v>
      </c>
      <c r="P103" t="s">
        <v>2318</v>
      </c>
      <c r="Q103" t="s">
        <v>2319</v>
      </c>
      <c r="R103" t="s">
        <v>2320</v>
      </c>
      <c r="S103" t="s">
        <v>2179</v>
      </c>
      <c r="T103">
        <v>202107</v>
      </c>
      <c r="U103" t="s">
        <v>222</v>
      </c>
      <c r="V103">
        <v>3946482.31</v>
      </c>
    </row>
    <row r="104" spans="1:22">
      <c r="A104" t="s">
        <v>2317</v>
      </c>
      <c r="B104" t="s">
        <v>2318</v>
      </c>
      <c r="C104" t="s">
        <v>2319</v>
      </c>
      <c r="D104" t="s">
        <v>2320</v>
      </c>
      <c r="E104" t="s">
        <v>215</v>
      </c>
      <c r="F104">
        <v>202201</v>
      </c>
      <c r="G104" t="s">
        <v>218</v>
      </c>
      <c r="H104">
        <v>23000</v>
      </c>
      <c r="O104" t="s">
        <v>2317</v>
      </c>
      <c r="P104" t="s">
        <v>2318</v>
      </c>
      <c r="Q104" t="s">
        <v>2319</v>
      </c>
      <c r="R104" t="s">
        <v>2320</v>
      </c>
      <c r="S104" t="s">
        <v>2179</v>
      </c>
      <c r="T104">
        <v>202107</v>
      </c>
      <c r="U104" t="s">
        <v>224</v>
      </c>
      <c r="V104">
        <v>606726.55000000005</v>
      </c>
    </row>
    <row r="105" spans="1:22">
      <c r="A105" t="s">
        <v>2317</v>
      </c>
      <c r="B105" t="s">
        <v>2318</v>
      </c>
      <c r="C105" t="s">
        <v>2319</v>
      </c>
      <c r="D105" t="s">
        <v>2320</v>
      </c>
      <c r="E105" t="s">
        <v>215</v>
      </c>
      <c r="F105">
        <v>202201</v>
      </c>
      <c r="G105" t="s">
        <v>220</v>
      </c>
      <c r="H105">
        <v>9865.14</v>
      </c>
      <c r="O105" t="s">
        <v>2317</v>
      </c>
      <c r="P105" t="s">
        <v>2318</v>
      </c>
      <c r="Q105" t="s">
        <v>2319</v>
      </c>
      <c r="R105" t="s">
        <v>2320</v>
      </c>
      <c r="S105" t="s">
        <v>2179</v>
      </c>
      <c r="T105">
        <v>202107</v>
      </c>
      <c r="U105" t="s">
        <v>226</v>
      </c>
      <c r="V105">
        <v>143776.65</v>
      </c>
    </row>
    <row r="106" spans="1:22">
      <c r="A106" t="s">
        <v>2317</v>
      </c>
      <c r="B106" t="s">
        <v>2318</v>
      </c>
      <c r="C106" t="s">
        <v>2319</v>
      </c>
      <c r="D106" t="s">
        <v>2320</v>
      </c>
      <c r="E106" t="s">
        <v>215</v>
      </c>
      <c r="F106">
        <v>202202</v>
      </c>
      <c r="G106" t="s">
        <v>218</v>
      </c>
      <c r="H106">
        <v>11500</v>
      </c>
      <c r="O106" t="s">
        <v>2317</v>
      </c>
      <c r="P106" t="s">
        <v>2318</v>
      </c>
      <c r="Q106" t="s">
        <v>2319</v>
      </c>
      <c r="R106" t="s">
        <v>2320</v>
      </c>
      <c r="S106" t="s">
        <v>2179</v>
      </c>
      <c r="T106">
        <v>202108</v>
      </c>
      <c r="U106" t="s">
        <v>231</v>
      </c>
      <c r="V106">
        <v>3928255.05</v>
      </c>
    </row>
    <row r="107" spans="1:22">
      <c r="A107" t="s">
        <v>2317</v>
      </c>
      <c r="B107" t="s">
        <v>2318</v>
      </c>
      <c r="C107" t="s">
        <v>2319</v>
      </c>
      <c r="D107" t="s">
        <v>2320</v>
      </c>
      <c r="E107" t="s">
        <v>215</v>
      </c>
      <c r="F107">
        <v>202202</v>
      </c>
      <c r="G107" t="s">
        <v>220</v>
      </c>
      <c r="H107">
        <v>3886.27</v>
      </c>
      <c r="O107" t="s">
        <v>2317</v>
      </c>
      <c r="P107" t="s">
        <v>2318</v>
      </c>
      <c r="Q107" t="s">
        <v>2319</v>
      </c>
      <c r="R107" t="s">
        <v>2320</v>
      </c>
      <c r="S107" t="s">
        <v>2179</v>
      </c>
      <c r="T107">
        <v>202108</v>
      </c>
      <c r="U107" t="s">
        <v>232</v>
      </c>
      <c r="V107">
        <v>622293.75</v>
      </c>
    </row>
    <row r="108" spans="1:22">
      <c r="A108" t="s">
        <v>2317</v>
      </c>
      <c r="B108" t="s">
        <v>2318</v>
      </c>
      <c r="C108" t="s">
        <v>2319</v>
      </c>
      <c r="D108" t="s">
        <v>2320</v>
      </c>
      <c r="E108" t="s">
        <v>215</v>
      </c>
      <c r="F108">
        <v>202203</v>
      </c>
      <c r="G108" t="s">
        <v>218</v>
      </c>
      <c r="H108">
        <v>11500</v>
      </c>
      <c r="O108" t="s">
        <v>2317</v>
      </c>
      <c r="P108" t="s">
        <v>2318</v>
      </c>
      <c r="Q108" t="s">
        <v>2319</v>
      </c>
      <c r="R108" t="s">
        <v>2320</v>
      </c>
      <c r="S108" t="s">
        <v>2179</v>
      </c>
      <c r="T108">
        <v>202108</v>
      </c>
      <c r="U108" t="s">
        <v>222</v>
      </c>
      <c r="V108">
        <v>4336880.16</v>
      </c>
    </row>
    <row r="109" spans="1:22">
      <c r="A109" t="s">
        <v>2317</v>
      </c>
      <c r="B109" t="s">
        <v>2318</v>
      </c>
      <c r="C109" t="s">
        <v>2319</v>
      </c>
      <c r="D109" t="s">
        <v>2320</v>
      </c>
      <c r="E109" t="s">
        <v>215</v>
      </c>
      <c r="F109">
        <v>202203</v>
      </c>
      <c r="G109" t="s">
        <v>220</v>
      </c>
      <c r="H109">
        <v>3600</v>
      </c>
      <c r="O109" t="s">
        <v>2317</v>
      </c>
      <c r="P109" t="s">
        <v>2318</v>
      </c>
      <c r="Q109" t="s">
        <v>2319</v>
      </c>
      <c r="R109" t="s">
        <v>2320</v>
      </c>
      <c r="S109" t="s">
        <v>2179</v>
      </c>
      <c r="T109">
        <v>202108</v>
      </c>
      <c r="U109" t="s">
        <v>224</v>
      </c>
      <c r="V109">
        <v>645186.22</v>
      </c>
    </row>
    <row r="110" spans="1:22">
      <c r="A110" t="s">
        <v>2317</v>
      </c>
      <c r="B110" t="s">
        <v>2318</v>
      </c>
      <c r="C110" t="s">
        <v>2319</v>
      </c>
      <c r="D110" t="s">
        <v>2320</v>
      </c>
      <c r="E110" t="s">
        <v>215</v>
      </c>
      <c r="F110">
        <v>202204</v>
      </c>
      <c r="G110" t="s">
        <v>218</v>
      </c>
      <c r="H110">
        <v>11500</v>
      </c>
      <c r="O110" t="s">
        <v>2317</v>
      </c>
      <c r="P110" t="s">
        <v>2318</v>
      </c>
      <c r="Q110" t="s">
        <v>2319</v>
      </c>
      <c r="R110" t="s">
        <v>2320</v>
      </c>
      <c r="S110" t="s">
        <v>2179</v>
      </c>
      <c r="T110">
        <v>202108</v>
      </c>
      <c r="U110" t="s">
        <v>226</v>
      </c>
      <c r="V110">
        <v>123677.52</v>
      </c>
    </row>
    <row r="111" spans="1:22">
      <c r="A111" t="s">
        <v>2317</v>
      </c>
      <c r="B111" t="s">
        <v>2318</v>
      </c>
      <c r="C111" t="s">
        <v>2319</v>
      </c>
      <c r="D111" t="s">
        <v>2320</v>
      </c>
      <c r="E111" t="s">
        <v>215</v>
      </c>
      <c r="F111">
        <v>202204</v>
      </c>
      <c r="G111" t="s">
        <v>220</v>
      </c>
      <c r="H111">
        <v>3600</v>
      </c>
      <c r="O111" t="s">
        <v>2317</v>
      </c>
      <c r="P111" t="s">
        <v>2318</v>
      </c>
      <c r="Q111" t="s">
        <v>2319</v>
      </c>
      <c r="R111" t="s">
        <v>2320</v>
      </c>
      <c r="S111" t="s">
        <v>2179</v>
      </c>
      <c r="T111">
        <v>202109</v>
      </c>
      <c r="U111" t="s">
        <v>231</v>
      </c>
      <c r="V111">
        <v>3558701.6</v>
      </c>
    </row>
    <row r="112" spans="1:22">
      <c r="A112" t="s">
        <v>2317</v>
      </c>
      <c r="B112" t="s">
        <v>2318</v>
      </c>
      <c r="C112" t="s">
        <v>2319</v>
      </c>
      <c r="D112" t="s">
        <v>2320</v>
      </c>
      <c r="E112" t="s">
        <v>215</v>
      </c>
      <c r="F112">
        <v>202205</v>
      </c>
      <c r="G112" t="s">
        <v>218</v>
      </c>
      <c r="H112">
        <v>11500</v>
      </c>
      <c r="O112" t="s">
        <v>2317</v>
      </c>
      <c r="P112" t="s">
        <v>2318</v>
      </c>
      <c r="Q112" t="s">
        <v>2319</v>
      </c>
      <c r="R112" t="s">
        <v>2320</v>
      </c>
      <c r="S112" t="s">
        <v>2179</v>
      </c>
      <c r="T112">
        <v>202109</v>
      </c>
      <c r="U112" t="s">
        <v>232</v>
      </c>
      <c r="V112">
        <v>563197.97</v>
      </c>
    </row>
    <row r="113" spans="1:22">
      <c r="A113" t="s">
        <v>2317</v>
      </c>
      <c r="B113" t="s">
        <v>2318</v>
      </c>
      <c r="C113" t="s">
        <v>2319</v>
      </c>
      <c r="D113" t="s">
        <v>2320</v>
      </c>
      <c r="E113" t="s">
        <v>215</v>
      </c>
      <c r="F113">
        <v>202205</v>
      </c>
      <c r="G113" t="s">
        <v>220</v>
      </c>
      <c r="H113">
        <v>3600</v>
      </c>
      <c r="O113" t="s">
        <v>2317</v>
      </c>
      <c r="P113" t="s">
        <v>2318</v>
      </c>
      <c r="Q113" t="s">
        <v>2319</v>
      </c>
      <c r="R113" t="s">
        <v>2320</v>
      </c>
      <c r="S113" t="s">
        <v>2179</v>
      </c>
      <c r="T113">
        <v>202109</v>
      </c>
      <c r="U113" t="s">
        <v>222</v>
      </c>
      <c r="V113">
        <v>3939400.4</v>
      </c>
    </row>
    <row r="114" spans="1:22">
      <c r="A114" t="s">
        <v>2317</v>
      </c>
      <c r="B114" t="s">
        <v>2318</v>
      </c>
      <c r="C114" t="s">
        <v>2319</v>
      </c>
      <c r="D114" t="s">
        <v>2320</v>
      </c>
      <c r="E114" t="s">
        <v>2179</v>
      </c>
      <c r="F114">
        <v>202104</v>
      </c>
      <c r="G114" t="s">
        <v>218</v>
      </c>
      <c r="H114">
        <v>19925.36</v>
      </c>
      <c r="O114" t="s">
        <v>2317</v>
      </c>
      <c r="P114" t="s">
        <v>2318</v>
      </c>
      <c r="Q114" t="s">
        <v>2319</v>
      </c>
      <c r="R114" t="s">
        <v>2320</v>
      </c>
      <c r="S114" t="s">
        <v>2179</v>
      </c>
      <c r="T114">
        <v>202109</v>
      </c>
      <c r="U114" t="s">
        <v>224</v>
      </c>
      <c r="V114">
        <v>585780.65</v>
      </c>
    </row>
    <row r="115" spans="1:22">
      <c r="A115" t="s">
        <v>2317</v>
      </c>
      <c r="B115" t="s">
        <v>2318</v>
      </c>
      <c r="C115" t="s">
        <v>2319</v>
      </c>
      <c r="D115" t="s">
        <v>2320</v>
      </c>
      <c r="E115" t="s">
        <v>2179</v>
      </c>
      <c r="F115">
        <v>202104</v>
      </c>
      <c r="G115" t="s">
        <v>220</v>
      </c>
      <c r="H115">
        <v>15504.72</v>
      </c>
      <c r="O115" t="s">
        <v>2317</v>
      </c>
      <c r="P115" t="s">
        <v>2318</v>
      </c>
      <c r="Q115" t="s">
        <v>2319</v>
      </c>
      <c r="R115" t="s">
        <v>2320</v>
      </c>
      <c r="S115" t="s">
        <v>2179</v>
      </c>
      <c r="T115">
        <v>202109</v>
      </c>
      <c r="U115" t="s">
        <v>226</v>
      </c>
      <c r="V115">
        <v>137410.62</v>
      </c>
    </row>
    <row r="116" spans="1:22">
      <c r="A116" t="s">
        <v>2317</v>
      </c>
      <c r="B116" t="s">
        <v>2318</v>
      </c>
      <c r="C116" t="s">
        <v>2319</v>
      </c>
      <c r="D116" t="s">
        <v>2320</v>
      </c>
      <c r="E116" t="s">
        <v>2179</v>
      </c>
      <c r="F116">
        <v>202105</v>
      </c>
      <c r="G116" t="s">
        <v>218</v>
      </c>
      <c r="H116">
        <v>18522.64</v>
      </c>
      <c r="O116" t="s">
        <v>2317</v>
      </c>
      <c r="P116" t="s">
        <v>2318</v>
      </c>
      <c r="Q116" t="s">
        <v>2319</v>
      </c>
      <c r="R116" t="s">
        <v>2320</v>
      </c>
      <c r="S116" t="s">
        <v>2179</v>
      </c>
      <c r="T116">
        <v>202110</v>
      </c>
      <c r="U116" t="s">
        <v>231</v>
      </c>
      <c r="V116">
        <v>3913146.56</v>
      </c>
    </row>
    <row r="117" spans="1:22">
      <c r="A117" t="s">
        <v>2317</v>
      </c>
      <c r="B117" t="s">
        <v>2318</v>
      </c>
      <c r="C117" t="s">
        <v>2319</v>
      </c>
      <c r="D117" t="s">
        <v>2320</v>
      </c>
      <c r="E117" t="s">
        <v>2179</v>
      </c>
      <c r="F117">
        <v>202105</v>
      </c>
      <c r="G117" t="s">
        <v>220</v>
      </c>
      <c r="H117">
        <v>14947.85</v>
      </c>
      <c r="O117" t="s">
        <v>2317</v>
      </c>
      <c r="P117" t="s">
        <v>2318</v>
      </c>
      <c r="Q117" t="s">
        <v>2319</v>
      </c>
      <c r="R117" t="s">
        <v>2320</v>
      </c>
      <c r="S117" t="s">
        <v>2179</v>
      </c>
      <c r="T117">
        <v>202110</v>
      </c>
      <c r="U117" t="s">
        <v>232</v>
      </c>
      <c r="V117">
        <v>558152.99</v>
      </c>
    </row>
    <row r="118" spans="1:22">
      <c r="A118" t="s">
        <v>2317</v>
      </c>
      <c r="B118" t="s">
        <v>2318</v>
      </c>
      <c r="C118" t="s">
        <v>2319</v>
      </c>
      <c r="D118" t="s">
        <v>2320</v>
      </c>
      <c r="E118" t="s">
        <v>2179</v>
      </c>
      <c r="F118">
        <v>202106</v>
      </c>
      <c r="G118" t="s">
        <v>218</v>
      </c>
      <c r="H118">
        <v>18716.560000000001</v>
      </c>
      <c r="O118" t="s">
        <v>2317</v>
      </c>
      <c r="P118" t="s">
        <v>2318</v>
      </c>
      <c r="Q118" t="s">
        <v>2319</v>
      </c>
      <c r="R118" t="s">
        <v>2320</v>
      </c>
      <c r="S118" t="s">
        <v>2179</v>
      </c>
      <c r="T118">
        <v>202110</v>
      </c>
      <c r="U118" t="s">
        <v>222</v>
      </c>
      <c r="V118">
        <v>4259978.4800000004</v>
      </c>
    </row>
    <row r="119" spans="1:22">
      <c r="A119" t="s">
        <v>2317</v>
      </c>
      <c r="B119" t="s">
        <v>2318</v>
      </c>
      <c r="C119" t="s">
        <v>2319</v>
      </c>
      <c r="D119" t="s">
        <v>2320</v>
      </c>
      <c r="E119" t="s">
        <v>2179</v>
      </c>
      <c r="F119">
        <v>202106</v>
      </c>
      <c r="G119" t="s">
        <v>220</v>
      </c>
      <c r="H119">
        <v>14454.84</v>
      </c>
      <c r="O119" t="s">
        <v>2317</v>
      </c>
      <c r="P119" t="s">
        <v>2318</v>
      </c>
      <c r="Q119" t="s">
        <v>2319</v>
      </c>
      <c r="R119" t="s">
        <v>2320</v>
      </c>
      <c r="S119" t="s">
        <v>2179</v>
      </c>
      <c r="T119">
        <v>202110</v>
      </c>
      <c r="U119" t="s">
        <v>224</v>
      </c>
      <c r="V119">
        <v>576856.62</v>
      </c>
    </row>
    <row r="120" spans="1:22">
      <c r="A120" t="s">
        <v>2317</v>
      </c>
      <c r="B120" t="s">
        <v>2318</v>
      </c>
      <c r="C120" t="s">
        <v>2319</v>
      </c>
      <c r="D120" t="s">
        <v>2320</v>
      </c>
      <c r="E120" t="s">
        <v>2179</v>
      </c>
      <c r="F120">
        <v>202107</v>
      </c>
      <c r="G120" t="s">
        <v>218</v>
      </c>
      <c r="H120">
        <v>18718.669999999998</v>
      </c>
      <c r="O120" t="s">
        <v>2317</v>
      </c>
      <c r="P120" t="s">
        <v>2318</v>
      </c>
      <c r="Q120" t="s">
        <v>2319</v>
      </c>
      <c r="R120" t="s">
        <v>2320</v>
      </c>
      <c r="S120" t="s">
        <v>2179</v>
      </c>
      <c r="T120">
        <v>202110</v>
      </c>
      <c r="U120" t="s">
        <v>226</v>
      </c>
      <c r="V120">
        <v>121509.49</v>
      </c>
    </row>
    <row r="121" spans="1:22">
      <c r="A121" t="s">
        <v>2317</v>
      </c>
      <c r="B121" t="s">
        <v>2318</v>
      </c>
      <c r="C121" t="s">
        <v>2319</v>
      </c>
      <c r="D121" t="s">
        <v>2320</v>
      </c>
      <c r="E121" t="s">
        <v>2179</v>
      </c>
      <c r="F121">
        <v>202107</v>
      </c>
      <c r="G121" t="s">
        <v>220</v>
      </c>
      <c r="H121">
        <v>14714.74</v>
      </c>
      <c r="O121" t="s">
        <v>2317</v>
      </c>
      <c r="P121" t="s">
        <v>2318</v>
      </c>
      <c r="Q121" t="s">
        <v>2319</v>
      </c>
      <c r="R121" t="s">
        <v>2320</v>
      </c>
      <c r="S121" t="s">
        <v>2179</v>
      </c>
      <c r="T121">
        <v>202111</v>
      </c>
      <c r="U121" t="s">
        <v>231</v>
      </c>
      <c r="V121">
        <v>5968539.1100000003</v>
      </c>
    </row>
    <row r="122" spans="1:22">
      <c r="A122" t="s">
        <v>2317</v>
      </c>
      <c r="B122" t="s">
        <v>2318</v>
      </c>
      <c r="C122" t="s">
        <v>2319</v>
      </c>
      <c r="D122" t="s">
        <v>2320</v>
      </c>
      <c r="E122" t="s">
        <v>2179</v>
      </c>
      <c r="F122">
        <v>202108</v>
      </c>
      <c r="G122" t="s">
        <v>218</v>
      </c>
      <c r="H122">
        <v>19385.39</v>
      </c>
      <c r="O122" t="s">
        <v>2317</v>
      </c>
      <c r="P122" t="s">
        <v>2318</v>
      </c>
      <c r="Q122" t="s">
        <v>2319</v>
      </c>
      <c r="R122" t="s">
        <v>2320</v>
      </c>
      <c r="S122" t="s">
        <v>2179</v>
      </c>
      <c r="T122">
        <v>202111</v>
      </c>
      <c r="U122" t="s">
        <v>232</v>
      </c>
      <c r="V122">
        <v>602744.93999999994</v>
      </c>
    </row>
    <row r="123" spans="1:22">
      <c r="A123" t="s">
        <v>2317</v>
      </c>
      <c r="B123" t="s">
        <v>2318</v>
      </c>
      <c r="C123" t="s">
        <v>2319</v>
      </c>
      <c r="D123" t="s">
        <v>2320</v>
      </c>
      <c r="E123" t="s">
        <v>2179</v>
      </c>
      <c r="F123">
        <v>202108</v>
      </c>
      <c r="G123" t="s">
        <v>220</v>
      </c>
      <c r="H123">
        <v>14788.27</v>
      </c>
      <c r="O123" t="s">
        <v>2317</v>
      </c>
      <c r="P123" t="s">
        <v>2318</v>
      </c>
      <c r="Q123" t="s">
        <v>2319</v>
      </c>
      <c r="R123" t="s">
        <v>2320</v>
      </c>
      <c r="S123" t="s">
        <v>2179</v>
      </c>
      <c r="T123">
        <v>202111</v>
      </c>
      <c r="U123" t="s">
        <v>222</v>
      </c>
      <c r="V123">
        <v>6371048.8099999996</v>
      </c>
    </row>
    <row r="124" spans="1:22">
      <c r="A124" t="s">
        <v>2317</v>
      </c>
      <c r="B124" t="s">
        <v>2318</v>
      </c>
      <c r="C124" t="s">
        <v>2319</v>
      </c>
      <c r="D124" t="s">
        <v>2320</v>
      </c>
      <c r="E124" t="s">
        <v>2179</v>
      </c>
      <c r="F124">
        <v>202109</v>
      </c>
      <c r="G124" t="s">
        <v>218</v>
      </c>
      <c r="H124">
        <v>18630.009999999998</v>
      </c>
      <c r="O124" t="s">
        <v>2317</v>
      </c>
      <c r="P124" t="s">
        <v>2318</v>
      </c>
      <c r="Q124" t="s">
        <v>2319</v>
      </c>
      <c r="R124" t="s">
        <v>2320</v>
      </c>
      <c r="S124" t="s">
        <v>2179</v>
      </c>
      <c r="T124">
        <v>202111</v>
      </c>
      <c r="U124" t="s">
        <v>224</v>
      </c>
      <c r="V124">
        <v>615561.47</v>
      </c>
    </row>
    <row r="125" spans="1:22">
      <c r="A125" t="s">
        <v>2317</v>
      </c>
      <c r="B125" t="s">
        <v>2318</v>
      </c>
      <c r="C125" t="s">
        <v>2319</v>
      </c>
      <c r="D125" t="s">
        <v>2320</v>
      </c>
      <c r="E125" t="s">
        <v>2179</v>
      </c>
      <c r="F125">
        <v>202109</v>
      </c>
      <c r="G125" t="s">
        <v>220</v>
      </c>
      <c r="H125">
        <v>14685.51</v>
      </c>
      <c r="O125" t="s">
        <v>2317</v>
      </c>
      <c r="P125" t="s">
        <v>2318</v>
      </c>
      <c r="Q125" t="s">
        <v>2319</v>
      </c>
      <c r="R125" t="s">
        <v>2320</v>
      </c>
      <c r="S125" t="s">
        <v>2179</v>
      </c>
      <c r="T125">
        <v>202111</v>
      </c>
      <c r="U125" t="s">
        <v>226</v>
      </c>
      <c r="V125">
        <v>92701.17</v>
      </c>
    </row>
    <row r="126" spans="1:22">
      <c r="A126" t="s">
        <v>2317</v>
      </c>
      <c r="B126" t="s">
        <v>2318</v>
      </c>
      <c r="C126" t="s">
        <v>2319</v>
      </c>
      <c r="D126" t="s">
        <v>2320</v>
      </c>
      <c r="E126" t="s">
        <v>2179</v>
      </c>
      <c r="F126">
        <v>202110</v>
      </c>
      <c r="G126" t="s">
        <v>218</v>
      </c>
      <c r="H126">
        <v>18977.580000000002</v>
      </c>
      <c r="O126" t="s">
        <v>2317</v>
      </c>
      <c r="P126" t="s">
        <v>2318</v>
      </c>
      <c r="Q126" t="s">
        <v>2319</v>
      </c>
      <c r="R126" t="s">
        <v>2320</v>
      </c>
      <c r="S126" t="s">
        <v>2179</v>
      </c>
      <c r="T126">
        <v>202112</v>
      </c>
      <c r="U126" t="s">
        <v>231</v>
      </c>
      <c r="V126">
        <v>5499856.0800000001</v>
      </c>
    </row>
    <row r="127" spans="1:22">
      <c r="A127" t="s">
        <v>2317</v>
      </c>
      <c r="B127" t="s">
        <v>2318</v>
      </c>
      <c r="C127" t="s">
        <v>2319</v>
      </c>
      <c r="D127" t="s">
        <v>2320</v>
      </c>
      <c r="E127" t="s">
        <v>2179</v>
      </c>
      <c r="F127">
        <v>202110</v>
      </c>
      <c r="G127" t="s">
        <v>220</v>
      </c>
      <c r="H127">
        <v>14868.29</v>
      </c>
      <c r="O127" t="s">
        <v>2317</v>
      </c>
      <c r="P127" t="s">
        <v>2318</v>
      </c>
      <c r="Q127" t="s">
        <v>2319</v>
      </c>
      <c r="R127" t="s">
        <v>2320</v>
      </c>
      <c r="S127" t="s">
        <v>2179</v>
      </c>
      <c r="T127">
        <v>202112</v>
      </c>
      <c r="U127" t="s">
        <v>232</v>
      </c>
      <c r="V127">
        <v>679435.96</v>
      </c>
    </row>
    <row r="128" spans="1:22">
      <c r="A128" t="s">
        <v>2317</v>
      </c>
      <c r="B128" t="s">
        <v>2318</v>
      </c>
      <c r="C128" t="s">
        <v>2319</v>
      </c>
      <c r="D128" t="s">
        <v>2320</v>
      </c>
      <c r="E128" t="s">
        <v>2179</v>
      </c>
      <c r="F128">
        <v>202111</v>
      </c>
      <c r="G128" t="s">
        <v>218</v>
      </c>
      <c r="H128">
        <v>21984.46</v>
      </c>
      <c r="O128" t="s">
        <v>2317</v>
      </c>
      <c r="P128" t="s">
        <v>2318</v>
      </c>
      <c r="Q128" t="s">
        <v>2319</v>
      </c>
      <c r="R128" t="s">
        <v>2320</v>
      </c>
      <c r="S128" t="s">
        <v>2179</v>
      </c>
      <c r="T128">
        <v>202112</v>
      </c>
      <c r="U128" t="s">
        <v>222</v>
      </c>
      <c r="V128">
        <v>5760664.3700000001</v>
      </c>
    </row>
    <row r="129" spans="1:22">
      <c r="A129" t="s">
        <v>2317</v>
      </c>
      <c r="B129" t="s">
        <v>2318</v>
      </c>
      <c r="C129" t="s">
        <v>2319</v>
      </c>
      <c r="D129" t="s">
        <v>2320</v>
      </c>
      <c r="E129" t="s">
        <v>2179</v>
      </c>
      <c r="F129">
        <v>202111</v>
      </c>
      <c r="G129" t="s">
        <v>220</v>
      </c>
      <c r="H129">
        <v>15116.88</v>
      </c>
      <c r="O129" t="s">
        <v>2317</v>
      </c>
      <c r="P129" t="s">
        <v>2318</v>
      </c>
      <c r="Q129" t="s">
        <v>2319</v>
      </c>
      <c r="R129" t="s">
        <v>2320</v>
      </c>
      <c r="S129" t="s">
        <v>2179</v>
      </c>
      <c r="T129">
        <v>202112</v>
      </c>
      <c r="U129" t="s">
        <v>224</v>
      </c>
      <c r="V129">
        <v>690398.75</v>
      </c>
    </row>
    <row r="130" spans="1:22">
      <c r="A130" t="s">
        <v>2317</v>
      </c>
      <c r="B130" t="s">
        <v>2318</v>
      </c>
      <c r="C130" t="s">
        <v>2319</v>
      </c>
      <c r="D130" t="s">
        <v>2320</v>
      </c>
      <c r="E130" t="s">
        <v>2179</v>
      </c>
      <c r="F130">
        <v>202112</v>
      </c>
      <c r="G130" t="s">
        <v>218</v>
      </c>
      <c r="H130">
        <v>20983.48</v>
      </c>
      <c r="O130" t="s">
        <v>2317</v>
      </c>
      <c r="P130" t="s">
        <v>2318</v>
      </c>
      <c r="Q130" t="s">
        <v>2319</v>
      </c>
      <c r="R130" t="s">
        <v>2320</v>
      </c>
      <c r="S130" t="s">
        <v>2179</v>
      </c>
      <c r="T130">
        <v>202112</v>
      </c>
      <c r="U130" t="s">
        <v>226</v>
      </c>
      <c r="V130">
        <v>70414</v>
      </c>
    </row>
    <row r="131" spans="1:22">
      <c r="A131" t="s">
        <v>2317</v>
      </c>
      <c r="B131" t="s">
        <v>2318</v>
      </c>
      <c r="C131" t="s">
        <v>2319</v>
      </c>
      <c r="D131" t="s">
        <v>2320</v>
      </c>
      <c r="E131" t="s">
        <v>2179</v>
      </c>
      <c r="F131">
        <v>202112</v>
      </c>
      <c r="G131" t="s">
        <v>220</v>
      </c>
      <c r="H131">
        <v>14568.23</v>
      </c>
      <c r="O131" t="s">
        <v>2317</v>
      </c>
      <c r="P131" t="s">
        <v>2318</v>
      </c>
      <c r="Q131" t="s">
        <v>2319</v>
      </c>
      <c r="R131" t="s">
        <v>2320</v>
      </c>
      <c r="S131" t="s">
        <v>2179</v>
      </c>
      <c r="T131">
        <v>202201</v>
      </c>
      <c r="U131" t="s">
        <v>231</v>
      </c>
      <c r="V131">
        <v>0</v>
      </c>
    </row>
    <row r="132" spans="1:22">
      <c r="A132" t="s">
        <v>2317</v>
      </c>
      <c r="B132" t="s">
        <v>2318</v>
      </c>
      <c r="C132" t="s">
        <v>2319</v>
      </c>
      <c r="D132" t="s">
        <v>2320</v>
      </c>
      <c r="E132" t="s">
        <v>2179</v>
      </c>
      <c r="F132">
        <v>202201</v>
      </c>
      <c r="G132" t="s">
        <v>218</v>
      </c>
      <c r="H132">
        <v>17538.04</v>
      </c>
      <c r="O132" t="s">
        <v>2317</v>
      </c>
      <c r="P132" t="s">
        <v>2318</v>
      </c>
      <c r="Q132" t="s">
        <v>2319</v>
      </c>
      <c r="R132" t="s">
        <v>2320</v>
      </c>
      <c r="S132" t="s">
        <v>2179</v>
      </c>
      <c r="T132">
        <v>202201</v>
      </c>
      <c r="U132" t="s">
        <v>232</v>
      </c>
      <c r="V132">
        <v>0</v>
      </c>
    </row>
    <row r="133" spans="1:22">
      <c r="A133" t="s">
        <v>2317</v>
      </c>
      <c r="B133" t="s">
        <v>2318</v>
      </c>
      <c r="C133" t="s">
        <v>2319</v>
      </c>
      <c r="D133" t="s">
        <v>2320</v>
      </c>
      <c r="E133" t="s">
        <v>2179</v>
      </c>
      <c r="F133">
        <v>202201</v>
      </c>
      <c r="G133" t="s">
        <v>220</v>
      </c>
      <c r="H133">
        <v>13415.83</v>
      </c>
      <c r="O133" t="s">
        <v>2317</v>
      </c>
      <c r="P133" t="s">
        <v>2318</v>
      </c>
      <c r="Q133" t="s">
        <v>2319</v>
      </c>
      <c r="R133" t="s">
        <v>2320</v>
      </c>
      <c r="S133" t="s">
        <v>2179</v>
      </c>
      <c r="T133">
        <v>202201</v>
      </c>
      <c r="U133" t="s">
        <v>222</v>
      </c>
      <c r="V133">
        <v>6475111.04</v>
      </c>
    </row>
    <row r="134" spans="1:22">
      <c r="A134" t="s">
        <v>2317</v>
      </c>
      <c r="B134" t="s">
        <v>2318</v>
      </c>
      <c r="C134" t="s">
        <v>2319</v>
      </c>
      <c r="D134" t="s">
        <v>2320</v>
      </c>
      <c r="E134" t="s">
        <v>2179</v>
      </c>
      <c r="F134">
        <v>202202</v>
      </c>
      <c r="G134" t="s">
        <v>218</v>
      </c>
      <c r="H134">
        <v>16944.03</v>
      </c>
      <c r="O134" t="s">
        <v>2317</v>
      </c>
      <c r="P134" t="s">
        <v>2318</v>
      </c>
      <c r="Q134" t="s">
        <v>2319</v>
      </c>
      <c r="R134" t="s">
        <v>2320</v>
      </c>
      <c r="S134" t="s">
        <v>2179</v>
      </c>
      <c r="T134">
        <v>202201</v>
      </c>
      <c r="U134" t="s">
        <v>224</v>
      </c>
      <c r="V134">
        <v>656463.66</v>
      </c>
    </row>
    <row r="135" spans="1:22">
      <c r="A135" t="s">
        <v>2317</v>
      </c>
      <c r="B135" t="s">
        <v>2318</v>
      </c>
      <c r="C135" t="s">
        <v>2319</v>
      </c>
      <c r="D135" t="s">
        <v>2320</v>
      </c>
      <c r="E135" t="s">
        <v>2179</v>
      </c>
      <c r="F135">
        <v>202202</v>
      </c>
      <c r="G135" t="s">
        <v>220</v>
      </c>
      <c r="H135">
        <v>14006.03</v>
      </c>
      <c r="O135" t="s">
        <v>2317</v>
      </c>
      <c r="P135" t="s">
        <v>2318</v>
      </c>
      <c r="Q135" t="s">
        <v>2319</v>
      </c>
      <c r="R135" t="s">
        <v>2320</v>
      </c>
      <c r="S135" t="s">
        <v>2179</v>
      </c>
      <c r="T135">
        <v>202201</v>
      </c>
      <c r="U135" t="s">
        <v>226</v>
      </c>
      <c r="V135">
        <v>0</v>
      </c>
    </row>
    <row r="136" spans="1:22">
      <c r="A136" t="s">
        <v>2317</v>
      </c>
      <c r="B136" t="s">
        <v>2318</v>
      </c>
      <c r="C136" t="s">
        <v>2319</v>
      </c>
      <c r="D136" t="s">
        <v>2320</v>
      </c>
      <c r="E136" t="s">
        <v>2179</v>
      </c>
      <c r="F136">
        <v>202203</v>
      </c>
      <c r="G136" t="s">
        <v>218</v>
      </c>
      <c r="H136">
        <v>14881.6</v>
      </c>
      <c r="O136" t="s">
        <v>2317</v>
      </c>
      <c r="P136" t="s">
        <v>2318</v>
      </c>
      <c r="Q136" t="s">
        <v>2319</v>
      </c>
      <c r="R136" t="s">
        <v>2320</v>
      </c>
      <c r="S136" t="s">
        <v>2179</v>
      </c>
      <c r="T136">
        <v>202202</v>
      </c>
      <c r="U136" t="s">
        <v>231</v>
      </c>
      <c r="V136">
        <v>0</v>
      </c>
    </row>
    <row r="137" spans="1:22">
      <c r="A137" t="s">
        <v>2317</v>
      </c>
      <c r="B137" t="s">
        <v>2318</v>
      </c>
      <c r="C137" t="s">
        <v>2319</v>
      </c>
      <c r="D137" t="s">
        <v>2320</v>
      </c>
      <c r="E137" t="s">
        <v>2179</v>
      </c>
      <c r="F137">
        <v>202203</v>
      </c>
      <c r="G137" t="s">
        <v>220</v>
      </c>
      <c r="H137">
        <v>12517.02</v>
      </c>
      <c r="O137" t="s">
        <v>2317</v>
      </c>
      <c r="P137" t="s">
        <v>2318</v>
      </c>
      <c r="Q137" t="s">
        <v>2319</v>
      </c>
      <c r="R137" t="s">
        <v>2320</v>
      </c>
      <c r="S137" t="s">
        <v>2179</v>
      </c>
      <c r="T137">
        <v>202202</v>
      </c>
      <c r="U137" t="s">
        <v>232</v>
      </c>
      <c r="V137">
        <v>0</v>
      </c>
    </row>
    <row r="138" spans="1:22">
      <c r="A138" t="s">
        <v>2317</v>
      </c>
      <c r="B138" t="s">
        <v>2318</v>
      </c>
      <c r="C138" t="s">
        <v>2319</v>
      </c>
      <c r="D138" t="s">
        <v>2320</v>
      </c>
      <c r="E138" t="s">
        <v>2179</v>
      </c>
      <c r="F138">
        <v>202204</v>
      </c>
      <c r="G138" t="s">
        <v>218</v>
      </c>
      <c r="H138">
        <v>14129.84</v>
      </c>
      <c r="O138" t="s">
        <v>2317</v>
      </c>
      <c r="P138" t="s">
        <v>2318</v>
      </c>
      <c r="Q138" t="s">
        <v>2319</v>
      </c>
      <c r="R138" t="s">
        <v>2320</v>
      </c>
      <c r="S138" t="s">
        <v>2179</v>
      </c>
      <c r="T138">
        <v>202202</v>
      </c>
      <c r="U138" t="s">
        <v>222</v>
      </c>
      <c r="V138">
        <v>5320051.33</v>
      </c>
    </row>
    <row r="139" spans="1:22">
      <c r="A139" t="s">
        <v>2317</v>
      </c>
      <c r="B139" t="s">
        <v>2318</v>
      </c>
      <c r="C139" t="s">
        <v>2319</v>
      </c>
      <c r="D139" t="s">
        <v>2320</v>
      </c>
      <c r="E139" t="s">
        <v>2179</v>
      </c>
      <c r="F139">
        <v>202204</v>
      </c>
      <c r="G139" t="s">
        <v>220</v>
      </c>
      <c r="H139">
        <v>12597.08</v>
      </c>
      <c r="O139" t="s">
        <v>2317</v>
      </c>
      <c r="P139" t="s">
        <v>2318</v>
      </c>
      <c r="Q139" t="s">
        <v>2319</v>
      </c>
      <c r="R139" t="s">
        <v>2320</v>
      </c>
      <c r="S139" t="s">
        <v>2179</v>
      </c>
      <c r="T139">
        <v>202202</v>
      </c>
      <c r="U139" t="s">
        <v>224</v>
      </c>
      <c r="V139">
        <v>617390.49</v>
      </c>
    </row>
    <row r="140" spans="1:22">
      <c r="A140" t="s">
        <v>2317</v>
      </c>
      <c r="B140" t="s">
        <v>2318</v>
      </c>
      <c r="C140" t="s">
        <v>2319</v>
      </c>
      <c r="D140" t="s">
        <v>2320</v>
      </c>
      <c r="E140" t="s">
        <v>2179</v>
      </c>
      <c r="F140">
        <v>202205</v>
      </c>
      <c r="G140" t="s">
        <v>218</v>
      </c>
      <c r="H140">
        <v>14050</v>
      </c>
      <c r="O140" t="s">
        <v>2317</v>
      </c>
      <c r="P140" t="s">
        <v>2318</v>
      </c>
      <c r="Q140" t="s">
        <v>2319</v>
      </c>
      <c r="R140" t="s">
        <v>2320</v>
      </c>
      <c r="S140" t="s">
        <v>2179</v>
      </c>
      <c r="T140">
        <v>202202</v>
      </c>
      <c r="U140" t="s">
        <v>226</v>
      </c>
      <c r="V140">
        <v>0</v>
      </c>
    </row>
    <row r="141" spans="1:22">
      <c r="A141" t="s">
        <v>2317</v>
      </c>
      <c r="B141" t="s">
        <v>2318</v>
      </c>
      <c r="C141" t="s">
        <v>2319</v>
      </c>
      <c r="D141" t="s">
        <v>2320</v>
      </c>
      <c r="E141" t="s">
        <v>2179</v>
      </c>
      <c r="F141">
        <v>202205</v>
      </c>
      <c r="G141" t="s">
        <v>220</v>
      </c>
      <c r="H141">
        <v>12462.22</v>
      </c>
      <c r="O141" t="s">
        <v>2317</v>
      </c>
      <c r="P141" t="s">
        <v>2318</v>
      </c>
      <c r="Q141" t="s">
        <v>2319</v>
      </c>
      <c r="R141" t="s">
        <v>2320</v>
      </c>
      <c r="S141" t="s">
        <v>2179</v>
      </c>
      <c r="T141">
        <v>202203</v>
      </c>
      <c r="U141" t="s">
        <v>231</v>
      </c>
      <c r="V141">
        <v>0</v>
      </c>
    </row>
    <row r="142" spans="1:22">
      <c r="A142" t="s">
        <v>2317</v>
      </c>
      <c r="B142" t="s">
        <v>2318</v>
      </c>
      <c r="C142" t="s">
        <v>2319</v>
      </c>
      <c r="D142" t="s">
        <v>2320</v>
      </c>
      <c r="E142" t="s">
        <v>215</v>
      </c>
      <c r="F142">
        <v>202104</v>
      </c>
      <c r="G142" t="s">
        <v>231</v>
      </c>
      <c r="H142">
        <v>5101424.3499999996</v>
      </c>
      <c r="O142" t="s">
        <v>2317</v>
      </c>
      <c r="P142" t="s">
        <v>2318</v>
      </c>
      <c r="Q142" t="s">
        <v>2319</v>
      </c>
      <c r="R142" t="s">
        <v>2320</v>
      </c>
      <c r="S142" t="s">
        <v>2179</v>
      </c>
      <c r="T142">
        <v>202203</v>
      </c>
      <c r="U142" t="s">
        <v>232</v>
      </c>
      <c r="V142">
        <v>0</v>
      </c>
    </row>
    <row r="143" spans="1:22">
      <c r="A143" t="s">
        <v>2317</v>
      </c>
      <c r="B143" t="s">
        <v>2318</v>
      </c>
      <c r="C143" t="s">
        <v>2319</v>
      </c>
      <c r="D143" t="s">
        <v>2320</v>
      </c>
      <c r="E143" t="s">
        <v>215</v>
      </c>
      <c r="F143">
        <v>202104</v>
      </c>
      <c r="G143" t="s">
        <v>232</v>
      </c>
      <c r="H143">
        <v>508905.17</v>
      </c>
      <c r="O143" t="s">
        <v>2317</v>
      </c>
      <c r="P143" t="s">
        <v>2318</v>
      </c>
      <c r="Q143" t="s">
        <v>2319</v>
      </c>
      <c r="R143" t="s">
        <v>2320</v>
      </c>
      <c r="S143" t="s">
        <v>2179</v>
      </c>
      <c r="T143">
        <v>202203</v>
      </c>
      <c r="U143" t="s">
        <v>222</v>
      </c>
      <c r="V143">
        <v>4458955.09</v>
      </c>
    </row>
    <row r="144" spans="1:22">
      <c r="A144" t="s">
        <v>2317</v>
      </c>
      <c r="B144" t="s">
        <v>2318</v>
      </c>
      <c r="C144" t="s">
        <v>2319</v>
      </c>
      <c r="D144" t="s">
        <v>2320</v>
      </c>
      <c r="E144" t="s">
        <v>215</v>
      </c>
      <c r="F144">
        <v>202104</v>
      </c>
      <c r="G144" t="s">
        <v>222</v>
      </c>
      <c r="H144">
        <v>1819530.96</v>
      </c>
      <c r="O144" t="s">
        <v>2317</v>
      </c>
      <c r="P144" t="s">
        <v>2318</v>
      </c>
      <c r="Q144" t="s">
        <v>2319</v>
      </c>
      <c r="R144" t="s">
        <v>2320</v>
      </c>
      <c r="S144" t="s">
        <v>2179</v>
      </c>
      <c r="T144">
        <v>202203</v>
      </c>
      <c r="U144" t="s">
        <v>224</v>
      </c>
      <c r="V144">
        <v>606115.65</v>
      </c>
    </row>
    <row r="145" spans="1:22">
      <c r="A145" t="s">
        <v>2317</v>
      </c>
      <c r="B145" t="s">
        <v>2318</v>
      </c>
      <c r="C145" t="s">
        <v>2319</v>
      </c>
      <c r="D145" t="s">
        <v>2320</v>
      </c>
      <c r="E145" t="s">
        <v>215</v>
      </c>
      <c r="F145">
        <v>202104</v>
      </c>
      <c r="G145" t="s">
        <v>224</v>
      </c>
      <c r="H145">
        <v>173346</v>
      </c>
      <c r="O145" t="s">
        <v>2317</v>
      </c>
      <c r="P145" t="s">
        <v>2318</v>
      </c>
      <c r="Q145" t="s">
        <v>2319</v>
      </c>
      <c r="R145" t="s">
        <v>2320</v>
      </c>
      <c r="S145" t="s">
        <v>2179</v>
      </c>
      <c r="T145">
        <v>202203</v>
      </c>
      <c r="U145" t="s">
        <v>226</v>
      </c>
      <c r="V145">
        <v>0</v>
      </c>
    </row>
    <row r="146" spans="1:22">
      <c r="A146" t="s">
        <v>2317</v>
      </c>
      <c r="B146" t="s">
        <v>2318</v>
      </c>
      <c r="C146" t="s">
        <v>2319</v>
      </c>
      <c r="D146" t="s">
        <v>2320</v>
      </c>
      <c r="E146" t="s">
        <v>215</v>
      </c>
      <c r="F146">
        <v>202104</v>
      </c>
      <c r="G146" t="s">
        <v>226</v>
      </c>
      <c r="H146">
        <v>96331.94</v>
      </c>
      <c r="O146" t="s">
        <v>2317</v>
      </c>
      <c r="P146" t="s">
        <v>2318</v>
      </c>
      <c r="Q146" t="s">
        <v>2319</v>
      </c>
      <c r="R146" t="s">
        <v>2320</v>
      </c>
      <c r="S146" t="s">
        <v>2179</v>
      </c>
      <c r="T146">
        <v>202204</v>
      </c>
      <c r="U146" t="s">
        <v>231</v>
      </c>
      <c r="V146">
        <v>0</v>
      </c>
    </row>
    <row r="147" spans="1:22">
      <c r="A147" t="s">
        <v>2317</v>
      </c>
      <c r="B147" t="s">
        <v>2318</v>
      </c>
      <c r="C147" t="s">
        <v>2319</v>
      </c>
      <c r="D147" t="s">
        <v>2320</v>
      </c>
      <c r="E147" t="s">
        <v>215</v>
      </c>
      <c r="F147">
        <v>202105</v>
      </c>
      <c r="G147" t="s">
        <v>231</v>
      </c>
      <c r="H147">
        <v>2957929.54</v>
      </c>
      <c r="O147" t="s">
        <v>2317</v>
      </c>
      <c r="P147" t="s">
        <v>2318</v>
      </c>
      <c r="Q147" t="s">
        <v>2319</v>
      </c>
      <c r="R147" t="s">
        <v>2320</v>
      </c>
      <c r="S147" t="s">
        <v>2179</v>
      </c>
      <c r="T147">
        <v>202204</v>
      </c>
      <c r="U147" t="s">
        <v>232</v>
      </c>
      <c r="V147">
        <v>0</v>
      </c>
    </row>
    <row r="148" spans="1:22">
      <c r="A148" t="s">
        <v>2317</v>
      </c>
      <c r="B148" t="s">
        <v>2318</v>
      </c>
      <c r="C148" t="s">
        <v>2319</v>
      </c>
      <c r="D148" t="s">
        <v>2320</v>
      </c>
      <c r="E148" t="s">
        <v>215</v>
      </c>
      <c r="F148">
        <v>202105</v>
      </c>
      <c r="G148" t="s">
        <v>232</v>
      </c>
      <c r="H148">
        <v>423842.97</v>
      </c>
      <c r="O148" t="s">
        <v>2317</v>
      </c>
      <c r="P148" t="s">
        <v>2318</v>
      </c>
      <c r="Q148" t="s">
        <v>2319</v>
      </c>
      <c r="R148" t="s">
        <v>2320</v>
      </c>
      <c r="S148" t="s">
        <v>2179</v>
      </c>
      <c r="T148">
        <v>202204</v>
      </c>
      <c r="U148" t="s">
        <v>222</v>
      </c>
      <c r="V148">
        <v>3674020.03</v>
      </c>
    </row>
    <row r="149" spans="1:22">
      <c r="A149" t="s">
        <v>2317</v>
      </c>
      <c r="B149" t="s">
        <v>2318</v>
      </c>
      <c r="C149" t="s">
        <v>2319</v>
      </c>
      <c r="D149" t="s">
        <v>2320</v>
      </c>
      <c r="E149" t="s">
        <v>215</v>
      </c>
      <c r="F149">
        <v>202105</v>
      </c>
      <c r="G149" t="s">
        <v>222</v>
      </c>
      <c r="H149">
        <v>1201783.94</v>
      </c>
      <c r="O149" t="s">
        <v>2317</v>
      </c>
      <c r="P149" t="s">
        <v>2318</v>
      </c>
      <c r="Q149" t="s">
        <v>2319</v>
      </c>
      <c r="R149" t="s">
        <v>2320</v>
      </c>
      <c r="S149" t="s">
        <v>2179</v>
      </c>
      <c r="T149">
        <v>202204</v>
      </c>
      <c r="U149" t="s">
        <v>224</v>
      </c>
      <c r="V149">
        <v>501002.13</v>
      </c>
    </row>
    <row r="150" spans="1:22">
      <c r="A150" t="s">
        <v>2317</v>
      </c>
      <c r="B150" t="s">
        <v>2318</v>
      </c>
      <c r="C150" t="s">
        <v>2319</v>
      </c>
      <c r="D150" t="s">
        <v>2320</v>
      </c>
      <c r="E150" t="s">
        <v>215</v>
      </c>
      <c r="F150">
        <v>202105</v>
      </c>
      <c r="G150" t="s">
        <v>224</v>
      </c>
      <c r="H150">
        <v>167603.78</v>
      </c>
      <c r="O150" t="s">
        <v>2317</v>
      </c>
      <c r="P150" t="s">
        <v>2318</v>
      </c>
      <c r="Q150" t="s">
        <v>2319</v>
      </c>
      <c r="R150" t="s">
        <v>2320</v>
      </c>
      <c r="S150" t="s">
        <v>2179</v>
      </c>
      <c r="T150">
        <v>202204</v>
      </c>
      <c r="U150" t="s">
        <v>226</v>
      </c>
      <c r="V150">
        <v>0</v>
      </c>
    </row>
    <row r="151" spans="1:22">
      <c r="A151" t="s">
        <v>2317</v>
      </c>
      <c r="B151" t="s">
        <v>2318</v>
      </c>
      <c r="C151" t="s">
        <v>2319</v>
      </c>
      <c r="D151" t="s">
        <v>2320</v>
      </c>
      <c r="E151" t="s">
        <v>215</v>
      </c>
      <c r="F151">
        <v>202105</v>
      </c>
      <c r="G151" t="s">
        <v>226</v>
      </c>
      <c r="H151">
        <v>93853.6</v>
      </c>
      <c r="O151" t="s">
        <v>2317</v>
      </c>
      <c r="P151" t="s">
        <v>2318</v>
      </c>
      <c r="Q151" t="s">
        <v>2319</v>
      </c>
      <c r="R151" t="s">
        <v>2320</v>
      </c>
      <c r="S151" t="s">
        <v>2179</v>
      </c>
      <c r="T151">
        <v>202205</v>
      </c>
      <c r="U151" t="s">
        <v>231</v>
      </c>
      <c r="V151">
        <v>0</v>
      </c>
    </row>
    <row r="152" spans="1:22">
      <c r="A152" t="s">
        <v>2317</v>
      </c>
      <c r="B152" t="s">
        <v>2318</v>
      </c>
      <c r="C152" t="s">
        <v>2319</v>
      </c>
      <c r="D152" t="s">
        <v>2320</v>
      </c>
      <c r="E152" t="s">
        <v>215</v>
      </c>
      <c r="F152">
        <v>202106</v>
      </c>
      <c r="G152" t="s">
        <v>231</v>
      </c>
      <c r="H152">
        <v>2055966.62</v>
      </c>
      <c r="O152" t="s">
        <v>2317</v>
      </c>
      <c r="P152" t="s">
        <v>2318</v>
      </c>
      <c r="Q152" t="s">
        <v>2319</v>
      </c>
      <c r="R152" t="s">
        <v>2320</v>
      </c>
      <c r="S152" t="s">
        <v>2179</v>
      </c>
      <c r="T152">
        <v>202205</v>
      </c>
      <c r="U152" t="s">
        <v>232</v>
      </c>
      <c r="V152">
        <v>0</v>
      </c>
    </row>
    <row r="153" spans="1:22">
      <c r="A153" t="s">
        <v>2317</v>
      </c>
      <c r="B153" t="s">
        <v>2318</v>
      </c>
      <c r="C153" t="s">
        <v>2319</v>
      </c>
      <c r="D153" t="s">
        <v>2320</v>
      </c>
      <c r="E153" t="s">
        <v>215</v>
      </c>
      <c r="F153">
        <v>202106</v>
      </c>
      <c r="G153" t="s">
        <v>232</v>
      </c>
      <c r="H153">
        <v>402146.48</v>
      </c>
      <c r="O153" t="s">
        <v>2317</v>
      </c>
      <c r="P153" t="s">
        <v>2318</v>
      </c>
      <c r="Q153" t="s">
        <v>2319</v>
      </c>
      <c r="R153" t="s">
        <v>2320</v>
      </c>
      <c r="S153" t="s">
        <v>2179</v>
      </c>
      <c r="T153">
        <v>202205</v>
      </c>
      <c r="U153" t="s">
        <v>222</v>
      </c>
      <c r="V153">
        <v>3622406.47</v>
      </c>
    </row>
    <row r="154" spans="1:22">
      <c r="A154" t="s">
        <v>2317</v>
      </c>
      <c r="B154" t="s">
        <v>2318</v>
      </c>
      <c r="C154" t="s">
        <v>2319</v>
      </c>
      <c r="D154" t="s">
        <v>2320</v>
      </c>
      <c r="E154" t="s">
        <v>215</v>
      </c>
      <c r="F154">
        <v>202106</v>
      </c>
      <c r="G154" t="s">
        <v>222</v>
      </c>
      <c r="H154">
        <v>1151121.24</v>
      </c>
      <c r="O154" t="s">
        <v>2317</v>
      </c>
      <c r="P154" t="s">
        <v>2318</v>
      </c>
      <c r="Q154" t="s">
        <v>2319</v>
      </c>
      <c r="R154" t="s">
        <v>2320</v>
      </c>
      <c r="S154" t="s">
        <v>2179</v>
      </c>
      <c r="T154">
        <v>202205</v>
      </c>
      <c r="U154" t="s">
        <v>224</v>
      </c>
      <c r="V154">
        <v>555492.39</v>
      </c>
    </row>
    <row r="155" spans="1:22">
      <c r="A155" t="s">
        <v>2317</v>
      </c>
      <c r="B155" t="s">
        <v>2318</v>
      </c>
      <c r="C155" t="s">
        <v>2319</v>
      </c>
      <c r="D155" t="s">
        <v>2320</v>
      </c>
      <c r="E155" t="s">
        <v>215</v>
      </c>
      <c r="F155">
        <v>202106</v>
      </c>
      <c r="G155" t="s">
        <v>224</v>
      </c>
      <c r="H155">
        <v>178822.48</v>
      </c>
      <c r="O155" t="s">
        <v>2317</v>
      </c>
      <c r="P155" t="s">
        <v>2318</v>
      </c>
      <c r="Q155" t="s">
        <v>2319</v>
      </c>
      <c r="R155" t="s">
        <v>2320</v>
      </c>
      <c r="S155" t="s">
        <v>2179</v>
      </c>
      <c r="T155">
        <v>202205</v>
      </c>
      <c r="U155" t="s">
        <v>226</v>
      </c>
      <c r="V155">
        <v>0</v>
      </c>
    </row>
    <row r="156" spans="1:22">
      <c r="A156" t="s">
        <v>2317</v>
      </c>
      <c r="B156" t="s">
        <v>2318</v>
      </c>
      <c r="C156" t="s">
        <v>2319</v>
      </c>
      <c r="D156" t="s">
        <v>2320</v>
      </c>
      <c r="E156" t="s">
        <v>215</v>
      </c>
      <c r="F156">
        <v>202106</v>
      </c>
      <c r="G156" t="s">
        <v>226</v>
      </c>
      <c r="H156">
        <v>79130.86</v>
      </c>
    </row>
    <row r="157" spans="1:22">
      <c r="A157" t="s">
        <v>2317</v>
      </c>
      <c r="B157" t="s">
        <v>2318</v>
      </c>
      <c r="C157" t="s">
        <v>2319</v>
      </c>
      <c r="D157" t="s">
        <v>2320</v>
      </c>
      <c r="E157" t="s">
        <v>215</v>
      </c>
      <c r="F157">
        <v>202107</v>
      </c>
      <c r="G157" t="s">
        <v>231</v>
      </c>
      <c r="H157">
        <v>1985512.14</v>
      </c>
      <c r="O157" t="s">
        <v>2317</v>
      </c>
      <c r="P157" t="s">
        <v>2318</v>
      </c>
      <c r="Q157" t="s">
        <v>2319</v>
      </c>
      <c r="R157" t="s">
        <v>2320</v>
      </c>
      <c r="S157" t="s">
        <v>215</v>
      </c>
      <c r="T157">
        <v>202205</v>
      </c>
      <c r="U157" t="s">
        <v>218</v>
      </c>
      <c r="V157">
        <v>11500</v>
      </c>
    </row>
    <row r="158" spans="1:22">
      <c r="A158" t="s">
        <v>2317</v>
      </c>
      <c r="B158" t="s">
        <v>2318</v>
      </c>
      <c r="C158" t="s">
        <v>2319</v>
      </c>
      <c r="D158" t="s">
        <v>2320</v>
      </c>
      <c r="E158" t="s">
        <v>215</v>
      </c>
      <c r="F158">
        <v>202107</v>
      </c>
      <c r="G158" t="s">
        <v>232</v>
      </c>
      <c r="H158">
        <v>419254.62</v>
      </c>
      <c r="O158" t="s">
        <v>2317</v>
      </c>
      <c r="P158" t="s">
        <v>2318</v>
      </c>
      <c r="Q158" t="s">
        <v>2319</v>
      </c>
      <c r="R158" t="s">
        <v>2320</v>
      </c>
      <c r="S158" t="s">
        <v>215</v>
      </c>
      <c r="T158">
        <v>202205</v>
      </c>
      <c r="U158" t="s">
        <v>220</v>
      </c>
      <c r="V158">
        <v>3600</v>
      </c>
    </row>
    <row r="159" spans="1:22">
      <c r="A159" t="s">
        <v>2317</v>
      </c>
      <c r="B159" t="s">
        <v>2318</v>
      </c>
      <c r="C159" t="s">
        <v>2319</v>
      </c>
      <c r="D159" t="s">
        <v>2320</v>
      </c>
      <c r="E159" t="s">
        <v>215</v>
      </c>
      <c r="F159">
        <v>202107</v>
      </c>
      <c r="G159" t="s">
        <v>222</v>
      </c>
      <c r="H159">
        <v>1131673.27</v>
      </c>
      <c r="O159" t="s">
        <v>2317</v>
      </c>
      <c r="P159" t="s">
        <v>2318</v>
      </c>
      <c r="Q159" t="s">
        <v>2319</v>
      </c>
      <c r="R159" t="s">
        <v>2320</v>
      </c>
      <c r="S159" t="s">
        <v>2179</v>
      </c>
      <c r="T159">
        <v>202205</v>
      </c>
      <c r="U159" t="s">
        <v>218</v>
      </c>
      <c r="V159">
        <v>14050</v>
      </c>
    </row>
    <row r="160" spans="1:22">
      <c r="A160" t="s">
        <v>2317</v>
      </c>
      <c r="B160" t="s">
        <v>2318</v>
      </c>
      <c r="C160" t="s">
        <v>2319</v>
      </c>
      <c r="D160" t="s">
        <v>2320</v>
      </c>
      <c r="E160" t="s">
        <v>215</v>
      </c>
      <c r="F160">
        <v>202107</v>
      </c>
      <c r="G160" t="s">
        <v>224</v>
      </c>
      <c r="H160">
        <v>189405.93</v>
      </c>
      <c r="O160" t="s">
        <v>2317</v>
      </c>
      <c r="P160" t="s">
        <v>2318</v>
      </c>
      <c r="Q160" t="s">
        <v>2319</v>
      </c>
      <c r="R160" t="s">
        <v>2320</v>
      </c>
      <c r="S160" t="s">
        <v>2179</v>
      </c>
      <c r="T160">
        <v>202205</v>
      </c>
      <c r="U160" t="s">
        <v>220</v>
      </c>
      <c r="V160">
        <v>12462.22</v>
      </c>
    </row>
    <row r="161" spans="1:22">
      <c r="A161" t="s">
        <v>2317</v>
      </c>
      <c r="B161" t="s">
        <v>2318</v>
      </c>
      <c r="C161" t="s">
        <v>2319</v>
      </c>
      <c r="D161" t="s">
        <v>2320</v>
      </c>
      <c r="E161" t="s">
        <v>215</v>
      </c>
      <c r="F161">
        <v>202107</v>
      </c>
      <c r="G161" t="s">
        <v>226</v>
      </c>
      <c r="H161">
        <v>78411.09</v>
      </c>
      <c r="O161" t="s">
        <v>2317</v>
      </c>
      <c r="P161" t="s">
        <v>2318</v>
      </c>
      <c r="Q161" t="s">
        <v>2319</v>
      </c>
      <c r="R161" t="s">
        <v>2320</v>
      </c>
      <c r="S161" t="s">
        <v>215</v>
      </c>
      <c r="T161">
        <v>202205</v>
      </c>
      <c r="U161" t="s">
        <v>231</v>
      </c>
      <c r="V161">
        <v>90091</v>
      </c>
    </row>
    <row r="162" spans="1:22">
      <c r="A162" t="s">
        <v>2317</v>
      </c>
      <c r="B162" t="s">
        <v>2318</v>
      </c>
      <c r="C162" t="s">
        <v>2319</v>
      </c>
      <c r="D162" t="s">
        <v>2320</v>
      </c>
      <c r="E162" t="s">
        <v>215</v>
      </c>
      <c r="F162">
        <v>202108</v>
      </c>
      <c r="G162" t="s">
        <v>231</v>
      </c>
      <c r="H162">
        <v>3747429.43</v>
      </c>
      <c r="O162" t="s">
        <v>2317</v>
      </c>
      <c r="P162" t="s">
        <v>2318</v>
      </c>
      <c r="Q162" t="s">
        <v>2319</v>
      </c>
      <c r="R162" t="s">
        <v>2320</v>
      </c>
      <c r="S162" t="s">
        <v>215</v>
      </c>
      <c r="T162">
        <v>202205</v>
      </c>
      <c r="U162" t="s">
        <v>232</v>
      </c>
      <c r="V162">
        <v>0</v>
      </c>
    </row>
    <row r="163" spans="1:22">
      <c r="A163" t="s">
        <v>2317</v>
      </c>
      <c r="B163" t="s">
        <v>2318</v>
      </c>
      <c r="C163" t="s">
        <v>2319</v>
      </c>
      <c r="D163" t="s">
        <v>2320</v>
      </c>
      <c r="E163" t="s">
        <v>215</v>
      </c>
      <c r="F163">
        <v>202108</v>
      </c>
      <c r="G163" t="s">
        <v>232</v>
      </c>
      <c r="H163">
        <v>477798.76</v>
      </c>
      <c r="O163" t="s">
        <v>2317</v>
      </c>
      <c r="P163" t="s">
        <v>2318</v>
      </c>
      <c r="Q163" t="s">
        <v>2319</v>
      </c>
      <c r="R163" t="s">
        <v>2320</v>
      </c>
      <c r="S163" t="s">
        <v>215</v>
      </c>
      <c r="T163">
        <v>202205</v>
      </c>
      <c r="U163" t="s">
        <v>222</v>
      </c>
      <c r="V163">
        <v>954795.99</v>
      </c>
    </row>
    <row r="164" spans="1:22">
      <c r="A164" t="s">
        <v>2317</v>
      </c>
      <c r="B164" t="s">
        <v>2318</v>
      </c>
      <c r="C164" t="s">
        <v>2319</v>
      </c>
      <c r="D164" t="s">
        <v>2320</v>
      </c>
      <c r="E164" t="s">
        <v>215</v>
      </c>
      <c r="F164">
        <v>202108</v>
      </c>
      <c r="G164" t="s">
        <v>222</v>
      </c>
      <c r="H164">
        <v>1599217.53</v>
      </c>
      <c r="O164" t="s">
        <v>2317</v>
      </c>
      <c r="P164" t="s">
        <v>2318</v>
      </c>
      <c r="Q164" t="s">
        <v>2319</v>
      </c>
      <c r="R164" t="s">
        <v>2320</v>
      </c>
      <c r="S164" t="s">
        <v>215</v>
      </c>
      <c r="T164">
        <v>202205</v>
      </c>
      <c r="U164" t="s">
        <v>224</v>
      </c>
      <c r="V164">
        <v>160645.03</v>
      </c>
    </row>
    <row r="165" spans="1:22">
      <c r="A165" t="s">
        <v>2317</v>
      </c>
      <c r="B165" t="s">
        <v>2318</v>
      </c>
      <c r="C165" t="s">
        <v>2319</v>
      </c>
      <c r="D165" t="s">
        <v>2320</v>
      </c>
      <c r="E165" t="s">
        <v>215</v>
      </c>
      <c r="F165">
        <v>202108</v>
      </c>
      <c r="G165" t="s">
        <v>224</v>
      </c>
      <c r="H165">
        <v>190518.67</v>
      </c>
      <c r="O165" t="s">
        <v>2317</v>
      </c>
      <c r="P165" t="s">
        <v>2318</v>
      </c>
      <c r="Q165" t="s">
        <v>2319</v>
      </c>
      <c r="R165" t="s">
        <v>2320</v>
      </c>
      <c r="S165" t="s">
        <v>215</v>
      </c>
      <c r="T165">
        <v>202205</v>
      </c>
      <c r="U165" t="s">
        <v>226</v>
      </c>
      <c r="V165">
        <v>0</v>
      </c>
    </row>
    <row r="166" spans="1:22">
      <c r="A166" t="s">
        <v>2317</v>
      </c>
      <c r="B166" t="s">
        <v>2318</v>
      </c>
      <c r="C166" t="s">
        <v>2319</v>
      </c>
      <c r="D166" t="s">
        <v>2320</v>
      </c>
      <c r="E166" t="s">
        <v>215</v>
      </c>
      <c r="F166">
        <v>202108</v>
      </c>
      <c r="G166" t="s">
        <v>226</v>
      </c>
      <c r="H166">
        <v>107558.06</v>
      </c>
      <c r="O166" t="s">
        <v>2317</v>
      </c>
      <c r="P166" t="s">
        <v>2318</v>
      </c>
      <c r="Q166" t="s">
        <v>2319</v>
      </c>
      <c r="R166" t="s">
        <v>2320</v>
      </c>
      <c r="S166" t="s">
        <v>2179</v>
      </c>
      <c r="T166">
        <v>202205</v>
      </c>
      <c r="U166" t="s">
        <v>231</v>
      </c>
      <c r="V166">
        <v>0</v>
      </c>
    </row>
    <row r="167" spans="1:22">
      <c r="A167" t="s">
        <v>2317</v>
      </c>
      <c r="B167" t="s">
        <v>2318</v>
      </c>
      <c r="C167" t="s">
        <v>2319</v>
      </c>
      <c r="D167" t="s">
        <v>2320</v>
      </c>
      <c r="E167" t="s">
        <v>215</v>
      </c>
      <c r="F167">
        <v>202109</v>
      </c>
      <c r="G167" t="s">
        <v>231</v>
      </c>
      <c r="H167">
        <v>2598196.63</v>
      </c>
      <c r="O167" t="s">
        <v>2317</v>
      </c>
      <c r="P167" t="s">
        <v>2318</v>
      </c>
      <c r="Q167" t="s">
        <v>2319</v>
      </c>
      <c r="R167" t="s">
        <v>2320</v>
      </c>
      <c r="S167" t="s">
        <v>2179</v>
      </c>
      <c r="T167">
        <v>202205</v>
      </c>
      <c r="U167" t="s">
        <v>232</v>
      </c>
      <c r="V167">
        <v>0</v>
      </c>
    </row>
    <row r="168" spans="1:22">
      <c r="A168" t="s">
        <v>2317</v>
      </c>
      <c r="B168" t="s">
        <v>2318</v>
      </c>
      <c r="C168" t="s">
        <v>2319</v>
      </c>
      <c r="D168" t="s">
        <v>2320</v>
      </c>
      <c r="E168" t="s">
        <v>215</v>
      </c>
      <c r="F168">
        <v>202109</v>
      </c>
      <c r="G168" t="s">
        <v>232</v>
      </c>
      <c r="H168">
        <v>396230.91</v>
      </c>
      <c r="O168" t="s">
        <v>2317</v>
      </c>
      <c r="P168" t="s">
        <v>2318</v>
      </c>
      <c r="Q168" t="s">
        <v>2319</v>
      </c>
      <c r="R168" t="s">
        <v>2320</v>
      </c>
      <c r="S168" t="s">
        <v>2179</v>
      </c>
      <c r="T168">
        <v>202205</v>
      </c>
      <c r="U168" t="s">
        <v>222</v>
      </c>
      <c r="V168">
        <v>3622406.47</v>
      </c>
    </row>
    <row r="169" spans="1:22">
      <c r="A169" t="s">
        <v>2317</v>
      </c>
      <c r="B169" t="s">
        <v>2318</v>
      </c>
      <c r="C169" t="s">
        <v>2319</v>
      </c>
      <c r="D169" t="s">
        <v>2320</v>
      </c>
      <c r="E169" t="s">
        <v>215</v>
      </c>
      <c r="F169">
        <v>202109</v>
      </c>
      <c r="G169" t="s">
        <v>222</v>
      </c>
      <c r="H169">
        <v>2679564.2799999998</v>
      </c>
      <c r="O169" t="s">
        <v>2317</v>
      </c>
      <c r="P169" t="s">
        <v>2318</v>
      </c>
      <c r="Q169" t="s">
        <v>2319</v>
      </c>
      <c r="R169" t="s">
        <v>2320</v>
      </c>
      <c r="S169" t="s">
        <v>2179</v>
      </c>
      <c r="T169">
        <v>202205</v>
      </c>
      <c r="U169" t="s">
        <v>224</v>
      </c>
      <c r="V169">
        <v>555492.39</v>
      </c>
    </row>
    <row r="170" spans="1:22">
      <c r="A170" t="s">
        <v>2317</v>
      </c>
      <c r="B170" t="s">
        <v>2318</v>
      </c>
      <c r="C170" t="s">
        <v>2319</v>
      </c>
      <c r="D170" t="s">
        <v>2320</v>
      </c>
      <c r="E170" t="s">
        <v>215</v>
      </c>
      <c r="F170">
        <v>202109</v>
      </c>
      <c r="G170" t="s">
        <v>224</v>
      </c>
      <c r="H170">
        <v>408639.65</v>
      </c>
      <c r="O170" t="s">
        <v>2317</v>
      </c>
      <c r="P170" t="s">
        <v>2318</v>
      </c>
      <c r="Q170" t="s">
        <v>2319</v>
      </c>
      <c r="R170" t="s">
        <v>2320</v>
      </c>
      <c r="S170" t="s">
        <v>2179</v>
      </c>
      <c r="T170">
        <v>202205</v>
      </c>
      <c r="U170" t="s">
        <v>226</v>
      </c>
      <c r="V170">
        <v>0</v>
      </c>
    </row>
    <row r="171" spans="1:22">
      <c r="A171" t="s">
        <v>2317</v>
      </c>
      <c r="B171" t="s">
        <v>2318</v>
      </c>
      <c r="C171" t="s">
        <v>2319</v>
      </c>
      <c r="D171" t="s">
        <v>2320</v>
      </c>
      <c r="E171" t="s">
        <v>215</v>
      </c>
      <c r="F171">
        <v>202109</v>
      </c>
      <c r="G171" t="s">
        <v>226</v>
      </c>
      <c r="H171">
        <v>93776.38</v>
      </c>
    </row>
    <row r="172" spans="1:22">
      <c r="A172" t="s">
        <v>2317</v>
      </c>
      <c r="B172" t="s">
        <v>2318</v>
      </c>
      <c r="C172" t="s">
        <v>2319</v>
      </c>
      <c r="D172" t="s">
        <v>2320</v>
      </c>
      <c r="E172" t="s">
        <v>215</v>
      </c>
      <c r="F172">
        <v>202110</v>
      </c>
      <c r="G172" t="s">
        <v>231</v>
      </c>
      <c r="H172">
        <v>4387043.75</v>
      </c>
    </row>
    <row r="173" spans="1:22">
      <c r="A173" t="s">
        <v>2317</v>
      </c>
      <c r="B173" t="s">
        <v>2318</v>
      </c>
      <c r="C173" t="s">
        <v>2319</v>
      </c>
      <c r="D173" t="s">
        <v>2320</v>
      </c>
      <c r="E173" t="s">
        <v>215</v>
      </c>
      <c r="F173">
        <v>202110</v>
      </c>
      <c r="G173" t="s">
        <v>232</v>
      </c>
      <c r="H173">
        <v>450095.35999999999</v>
      </c>
    </row>
    <row r="174" spans="1:22">
      <c r="A174" t="s">
        <v>2317</v>
      </c>
      <c r="B174" t="s">
        <v>2318</v>
      </c>
      <c r="C174" t="s">
        <v>2319</v>
      </c>
      <c r="D174" t="s">
        <v>2320</v>
      </c>
      <c r="E174" t="s">
        <v>215</v>
      </c>
      <c r="F174">
        <v>202110</v>
      </c>
      <c r="G174" t="s">
        <v>222</v>
      </c>
      <c r="H174">
        <v>4500091.6399999997</v>
      </c>
    </row>
    <row r="175" spans="1:22">
      <c r="A175" t="s">
        <v>2317</v>
      </c>
      <c r="B175" t="s">
        <v>2318</v>
      </c>
      <c r="C175" t="s">
        <v>2319</v>
      </c>
      <c r="D175" t="s">
        <v>2320</v>
      </c>
      <c r="E175" t="s">
        <v>215</v>
      </c>
      <c r="F175">
        <v>202110</v>
      </c>
      <c r="G175" t="s">
        <v>224</v>
      </c>
      <c r="H175">
        <v>461693.68</v>
      </c>
    </row>
    <row r="176" spans="1:22">
      <c r="A176" t="s">
        <v>2317</v>
      </c>
      <c r="B176" t="s">
        <v>2318</v>
      </c>
      <c r="C176" t="s">
        <v>2319</v>
      </c>
      <c r="D176" t="s">
        <v>2320</v>
      </c>
      <c r="E176" t="s">
        <v>215</v>
      </c>
      <c r="F176">
        <v>202110</v>
      </c>
      <c r="G176" t="s">
        <v>226</v>
      </c>
      <c r="H176">
        <v>124646.2</v>
      </c>
    </row>
    <row r="177" spans="1:8">
      <c r="A177" t="s">
        <v>2317</v>
      </c>
      <c r="B177" t="s">
        <v>2318</v>
      </c>
      <c r="C177" t="s">
        <v>2319</v>
      </c>
      <c r="D177" t="s">
        <v>2320</v>
      </c>
      <c r="E177" t="s">
        <v>215</v>
      </c>
      <c r="F177">
        <v>202111</v>
      </c>
      <c r="G177" t="s">
        <v>231</v>
      </c>
      <c r="H177">
        <v>10883246.09</v>
      </c>
    </row>
    <row r="178" spans="1:8">
      <c r="A178" t="s">
        <v>2317</v>
      </c>
      <c r="B178" t="s">
        <v>2318</v>
      </c>
      <c r="C178" t="s">
        <v>2319</v>
      </c>
      <c r="D178" t="s">
        <v>2320</v>
      </c>
      <c r="E178" t="s">
        <v>215</v>
      </c>
      <c r="F178">
        <v>202111</v>
      </c>
      <c r="G178" t="s">
        <v>232</v>
      </c>
      <c r="H178">
        <v>499201.19</v>
      </c>
    </row>
    <row r="179" spans="1:8">
      <c r="A179" t="s">
        <v>2317</v>
      </c>
      <c r="B179" t="s">
        <v>2318</v>
      </c>
      <c r="C179" t="s">
        <v>2319</v>
      </c>
      <c r="D179" t="s">
        <v>2320</v>
      </c>
      <c r="E179" t="s">
        <v>215</v>
      </c>
      <c r="F179">
        <v>202111</v>
      </c>
      <c r="G179" t="s">
        <v>222</v>
      </c>
      <c r="H179">
        <v>11029592.529999999</v>
      </c>
    </row>
    <row r="180" spans="1:8">
      <c r="A180" t="s">
        <v>2317</v>
      </c>
      <c r="B180" t="s">
        <v>2318</v>
      </c>
      <c r="C180" t="s">
        <v>2319</v>
      </c>
      <c r="D180" t="s">
        <v>2320</v>
      </c>
      <c r="E180" t="s">
        <v>215</v>
      </c>
      <c r="F180">
        <v>202111</v>
      </c>
      <c r="G180" t="s">
        <v>224</v>
      </c>
      <c r="H180">
        <v>505913.9</v>
      </c>
    </row>
    <row r="181" spans="1:8">
      <c r="A181" t="s">
        <v>2317</v>
      </c>
      <c r="B181" t="s">
        <v>2318</v>
      </c>
      <c r="C181" t="s">
        <v>2319</v>
      </c>
      <c r="D181" t="s">
        <v>2320</v>
      </c>
      <c r="E181" t="s">
        <v>215</v>
      </c>
      <c r="F181">
        <v>202111</v>
      </c>
      <c r="G181" t="s">
        <v>226</v>
      </c>
      <c r="H181">
        <v>153059.16</v>
      </c>
    </row>
    <row r="182" spans="1:8">
      <c r="A182" t="s">
        <v>2317</v>
      </c>
      <c r="B182" t="s">
        <v>2318</v>
      </c>
      <c r="C182" t="s">
        <v>2319</v>
      </c>
      <c r="D182" t="s">
        <v>2320</v>
      </c>
      <c r="E182" t="s">
        <v>215</v>
      </c>
      <c r="F182">
        <v>202112</v>
      </c>
      <c r="G182" t="s">
        <v>231</v>
      </c>
      <c r="H182">
        <v>15499258.220000001</v>
      </c>
    </row>
    <row r="183" spans="1:8">
      <c r="A183" t="s">
        <v>2317</v>
      </c>
      <c r="B183" t="s">
        <v>2318</v>
      </c>
      <c r="C183" t="s">
        <v>2319</v>
      </c>
      <c r="D183" t="s">
        <v>2320</v>
      </c>
      <c r="E183" t="s">
        <v>215</v>
      </c>
      <c r="F183">
        <v>202112</v>
      </c>
      <c r="G183" t="s">
        <v>232</v>
      </c>
      <c r="H183">
        <v>744045.53</v>
      </c>
    </row>
    <row r="184" spans="1:8">
      <c r="A184" t="s">
        <v>2317</v>
      </c>
      <c r="B184" t="s">
        <v>2318</v>
      </c>
      <c r="C184" t="s">
        <v>2319</v>
      </c>
      <c r="D184" t="s">
        <v>2320</v>
      </c>
      <c r="E184" t="s">
        <v>215</v>
      </c>
      <c r="F184">
        <v>202112</v>
      </c>
      <c r="G184" t="s">
        <v>222</v>
      </c>
      <c r="H184">
        <v>5183393.47</v>
      </c>
    </row>
    <row r="185" spans="1:8">
      <c r="A185" t="s">
        <v>2317</v>
      </c>
      <c r="B185" t="s">
        <v>2318</v>
      </c>
      <c r="C185" t="s">
        <v>2319</v>
      </c>
      <c r="D185" t="s">
        <v>2320</v>
      </c>
      <c r="E185" t="s">
        <v>215</v>
      </c>
      <c r="F185">
        <v>202112</v>
      </c>
      <c r="G185" t="s">
        <v>224</v>
      </c>
      <c r="H185">
        <v>213955.32</v>
      </c>
    </row>
    <row r="186" spans="1:8">
      <c r="A186" t="s">
        <v>2317</v>
      </c>
      <c r="B186" t="s">
        <v>2318</v>
      </c>
      <c r="C186" t="s">
        <v>2319</v>
      </c>
      <c r="D186" t="s">
        <v>2320</v>
      </c>
      <c r="E186" t="s">
        <v>215</v>
      </c>
      <c r="F186">
        <v>202112</v>
      </c>
      <c r="G186" t="s">
        <v>226</v>
      </c>
      <c r="H186">
        <v>153681.12</v>
      </c>
    </row>
    <row r="187" spans="1:8">
      <c r="A187" t="s">
        <v>2317</v>
      </c>
      <c r="B187" t="s">
        <v>2318</v>
      </c>
      <c r="C187" t="s">
        <v>2319</v>
      </c>
      <c r="D187" t="s">
        <v>2320</v>
      </c>
      <c r="E187" t="s">
        <v>215</v>
      </c>
      <c r="F187">
        <v>202201</v>
      </c>
      <c r="G187" t="s">
        <v>231</v>
      </c>
      <c r="H187">
        <v>128082</v>
      </c>
    </row>
    <row r="188" spans="1:8">
      <c r="A188" t="s">
        <v>2317</v>
      </c>
      <c r="B188" t="s">
        <v>2318</v>
      </c>
      <c r="C188" t="s">
        <v>2319</v>
      </c>
      <c r="D188" t="s">
        <v>2320</v>
      </c>
      <c r="E188" t="s">
        <v>215</v>
      </c>
      <c r="F188">
        <v>202201</v>
      </c>
      <c r="G188" t="s">
        <v>232</v>
      </c>
      <c r="H188">
        <v>0</v>
      </c>
    </row>
    <row r="189" spans="1:8">
      <c r="A189" t="s">
        <v>2317</v>
      </c>
      <c r="B189" t="s">
        <v>2318</v>
      </c>
      <c r="C189" t="s">
        <v>2319</v>
      </c>
      <c r="D189" t="s">
        <v>2320</v>
      </c>
      <c r="E189" t="s">
        <v>215</v>
      </c>
      <c r="F189">
        <v>202201</v>
      </c>
      <c r="G189" t="s">
        <v>222</v>
      </c>
      <c r="H189">
        <v>7383543.1200000001</v>
      </c>
    </row>
    <row r="190" spans="1:8">
      <c r="A190" t="s">
        <v>2317</v>
      </c>
      <c r="B190" t="s">
        <v>2318</v>
      </c>
      <c r="C190" t="s">
        <v>2319</v>
      </c>
      <c r="D190" t="s">
        <v>2320</v>
      </c>
      <c r="E190" t="s">
        <v>215</v>
      </c>
      <c r="F190">
        <v>202201</v>
      </c>
      <c r="G190" t="s">
        <v>224</v>
      </c>
      <c r="H190">
        <v>416192.32</v>
      </c>
    </row>
    <row r="191" spans="1:8">
      <c r="A191" t="s">
        <v>2317</v>
      </c>
      <c r="B191" t="s">
        <v>2318</v>
      </c>
      <c r="C191" t="s">
        <v>2319</v>
      </c>
      <c r="D191" t="s">
        <v>2320</v>
      </c>
      <c r="E191" t="s">
        <v>215</v>
      </c>
      <c r="F191">
        <v>202201</v>
      </c>
      <c r="G191" t="s">
        <v>226</v>
      </c>
      <c r="H191">
        <v>0</v>
      </c>
    </row>
    <row r="192" spans="1:8">
      <c r="A192" t="s">
        <v>2317</v>
      </c>
      <c r="B192" t="s">
        <v>2318</v>
      </c>
      <c r="C192" t="s">
        <v>2319</v>
      </c>
      <c r="D192" t="s">
        <v>2320</v>
      </c>
      <c r="E192" t="s">
        <v>215</v>
      </c>
      <c r="F192">
        <v>202202</v>
      </c>
      <c r="G192" t="s">
        <v>231</v>
      </c>
      <c r="H192">
        <v>117351</v>
      </c>
    </row>
    <row r="193" spans="1:8">
      <c r="A193" t="s">
        <v>2317</v>
      </c>
      <c r="B193" t="s">
        <v>2318</v>
      </c>
      <c r="C193" t="s">
        <v>2319</v>
      </c>
      <c r="D193" t="s">
        <v>2320</v>
      </c>
      <c r="E193" t="s">
        <v>215</v>
      </c>
      <c r="F193">
        <v>202202</v>
      </c>
      <c r="G193" t="s">
        <v>232</v>
      </c>
      <c r="H193">
        <v>0</v>
      </c>
    </row>
    <row r="194" spans="1:8">
      <c r="A194" t="s">
        <v>2317</v>
      </c>
      <c r="B194" t="s">
        <v>2318</v>
      </c>
      <c r="C194" t="s">
        <v>2319</v>
      </c>
      <c r="D194" t="s">
        <v>2320</v>
      </c>
      <c r="E194" t="s">
        <v>215</v>
      </c>
      <c r="F194">
        <v>202202</v>
      </c>
      <c r="G194" t="s">
        <v>222</v>
      </c>
      <c r="H194">
        <v>2947481.96</v>
      </c>
    </row>
    <row r="195" spans="1:8">
      <c r="A195" t="s">
        <v>2317</v>
      </c>
      <c r="B195" t="s">
        <v>2318</v>
      </c>
      <c r="C195" t="s">
        <v>2319</v>
      </c>
      <c r="D195" t="s">
        <v>2320</v>
      </c>
      <c r="E195" t="s">
        <v>215</v>
      </c>
      <c r="F195">
        <v>202202</v>
      </c>
      <c r="G195" t="s">
        <v>224</v>
      </c>
      <c r="H195">
        <v>174296.81</v>
      </c>
    </row>
    <row r="196" spans="1:8">
      <c r="A196" t="s">
        <v>2317</v>
      </c>
      <c r="B196" t="s">
        <v>2318</v>
      </c>
      <c r="C196" t="s">
        <v>2319</v>
      </c>
      <c r="D196" t="s">
        <v>2320</v>
      </c>
      <c r="E196" t="s">
        <v>215</v>
      </c>
      <c r="F196">
        <v>202202</v>
      </c>
      <c r="G196" t="s">
        <v>226</v>
      </c>
      <c r="H196">
        <v>0</v>
      </c>
    </row>
    <row r="197" spans="1:8">
      <c r="A197" t="s">
        <v>2317</v>
      </c>
      <c r="B197" t="s">
        <v>2318</v>
      </c>
      <c r="C197" t="s">
        <v>2319</v>
      </c>
      <c r="D197" t="s">
        <v>2320</v>
      </c>
      <c r="E197" t="s">
        <v>215</v>
      </c>
      <c r="F197">
        <v>202203</v>
      </c>
      <c r="G197" t="s">
        <v>231</v>
      </c>
      <c r="H197">
        <v>123005</v>
      </c>
    </row>
    <row r="198" spans="1:8">
      <c r="A198" t="s">
        <v>2317</v>
      </c>
      <c r="B198" t="s">
        <v>2318</v>
      </c>
      <c r="C198" t="s">
        <v>2319</v>
      </c>
      <c r="D198" t="s">
        <v>2320</v>
      </c>
      <c r="E198" t="s">
        <v>215</v>
      </c>
      <c r="F198">
        <v>202203</v>
      </c>
      <c r="G198" t="s">
        <v>232</v>
      </c>
      <c r="H198">
        <v>0</v>
      </c>
    </row>
    <row r="199" spans="1:8">
      <c r="A199" t="s">
        <v>2317</v>
      </c>
      <c r="B199" t="s">
        <v>2318</v>
      </c>
      <c r="C199" t="s">
        <v>2319</v>
      </c>
      <c r="D199" t="s">
        <v>2320</v>
      </c>
      <c r="E199" t="s">
        <v>215</v>
      </c>
      <c r="F199">
        <v>202203</v>
      </c>
      <c r="G199" t="s">
        <v>222</v>
      </c>
      <c r="H199">
        <v>1695560.54</v>
      </c>
    </row>
    <row r="200" spans="1:8">
      <c r="A200" t="s">
        <v>2317</v>
      </c>
      <c r="B200" t="s">
        <v>2318</v>
      </c>
      <c r="C200" t="s">
        <v>2319</v>
      </c>
      <c r="D200" t="s">
        <v>2320</v>
      </c>
      <c r="E200" t="s">
        <v>215</v>
      </c>
      <c r="F200">
        <v>202203</v>
      </c>
      <c r="G200" t="s">
        <v>224</v>
      </c>
      <c r="H200">
        <v>171624.5</v>
      </c>
    </row>
    <row r="201" spans="1:8">
      <c r="A201" t="s">
        <v>2317</v>
      </c>
      <c r="B201" t="s">
        <v>2318</v>
      </c>
      <c r="C201" t="s">
        <v>2319</v>
      </c>
      <c r="D201" t="s">
        <v>2320</v>
      </c>
      <c r="E201" t="s">
        <v>215</v>
      </c>
      <c r="F201">
        <v>202203</v>
      </c>
      <c r="G201" t="s">
        <v>226</v>
      </c>
      <c r="H201">
        <v>0</v>
      </c>
    </row>
    <row r="202" spans="1:8">
      <c r="A202" t="s">
        <v>2317</v>
      </c>
      <c r="B202" t="s">
        <v>2318</v>
      </c>
      <c r="C202" t="s">
        <v>2319</v>
      </c>
      <c r="D202" t="s">
        <v>2320</v>
      </c>
      <c r="E202" t="s">
        <v>215</v>
      </c>
      <c r="F202">
        <v>202204</v>
      </c>
      <c r="G202" t="s">
        <v>231</v>
      </c>
      <c r="H202">
        <v>109015</v>
      </c>
    </row>
    <row r="203" spans="1:8">
      <c r="A203" t="s">
        <v>2317</v>
      </c>
      <c r="B203" t="s">
        <v>2318</v>
      </c>
      <c r="C203" t="s">
        <v>2319</v>
      </c>
      <c r="D203" t="s">
        <v>2320</v>
      </c>
      <c r="E203" t="s">
        <v>215</v>
      </c>
      <c r="F203">
        <v>202204</v>
      </c>
      <c r="G203" t="s">
        <v>232</v>
      </c>
      <c r="H203">
        <v>0</v>
      </c>
    </row>
    <row r="204" spans="1:8">
      <c r="A204" t="s">
        <v>2317</v>
      </c>
      <c r="B204" t="s">
        <v>2318</v>
      </c>
      <c r="C204" t="s">
        <v>2319</v>
      </c>
      <c r="D204" t="s">
        <v>2320</v>
      </c>
      <c r="E204" t="s">
        <v>215</v>
      </c>
      <c r="F204">
        <v>202204</v>
      </c>
      <c r="G204" t="s">
        <v>222</v>
      </c>
      <c r="H204">
        <v>971810.89</v>
      </c>
    </row>
    <row r="205" spans="1:8">
      <c r="A205" t="s">
        <v>2317</v>
      </c>
      <c r="B205" t="s">
        <v>2318</v>
      </c>
      <c r="C205" t="s">
        <v>2319</v>
      </c>
      <c r="D205" t="s">
        <v>2320</v>
      </c>
      <c r="E205" t="s">
        <v>215</v>
      </c>
      <c r="F205">
        <v>202204</v>
      </c>
      <c r="G205" t="s">
        <v>224</v>
      </c>
      <c r="H205">
        <v>137508.01</v>
      </c>
    </row>
    <row r="206" spans="1:8">
      <c r="A206" t="s">
        <v>2317</v>
      </c>
      <c r="B206" t="s">
        <v>2318</v>
      </c>
      <c r="C206" t="s">
        <v>2319</v>
      </c>
      <c r="D206" t="s">
        <v>2320</v>
      </c>
      <c r="E206" t="s">
        <v>215</v>
      </c>
      <c r="F206">
        <v>202204</v>
      </c>
      <c r="G206" t="s">
        <v>226</v>
      </c>
      <c r="H206">
        <v>0</v>
      </c>
    </row>
    <row r="207" spans="1:8">
      <c r="A207" t="s">
        <v>2317</v>
      </c>
      <c r="B207" t="s">
        <v>2318</v>
      </c>
      <c r="C207" t="s">
        <v>2319</v>
      </c>
      <c r="D207" t="s">
        <v>2320</v>
      </c>
      <c r="E207" t="s">
        <v>215</v>
      </c>
      <c r="F207">
        <v>202205</v>
      </c>
      <c r="G207" t="s">
        <v>231</v>
      </c>
      <c r="H207">
        <v>90091</v>
      </c>
    </row>
    <row r="208" spans="1:8">
      <c r="A208" t="s">
        <v>2317</v>
      </c>
      <c r="B208" t="s">
        <v>2318</v>
      </c>
      <c r="C208" t="s">
        <v>2319</v>
      </c>
      <c r="D208" t="s">
        <v>2320</v>
      </c>
      <c r="E208" t="s">
        <v>215</v>
      </c>
      <c r="F208">
        <v>202205</v>
      </c>
      <c r="G208" t="s">
        <v>232</v>
      </c>
      <c r="H208">
        <v>0</v>
      </c>
    </row>
    <row r="209" spans="1:8">
      <c r="A209" t="s">
        <v>2317</v>
      </c>
      <c r="B209" t="s">
        <v>2318</v>
      </c>
      <c r="C209" t="s">
        <v>2319</v>
      </c>
      <c r="D209" t="s">
        <v>2320</v>
      </c>
      <c r="E209" t="s">
        <v>215</v>
      </c>
      <c r="F209">
        <v>202205</v>
      </c>
      <c r="G209" t="s">
        <v>222</v>
      </c>
      <c r="H209">
        <v>954795.99</v>
      </c>
    </row>
    <row r="210" spans="1:8">
      <c r="A210" t="s">
        <v>2317</v>
      </c>
      <c r="B210" t="s">
        <v>2318</v>
      </c>
      <c r="C210" t="s">
        <v>2319</v>
      </c>
      <c r="D210" t="s">
        <v>2320</v>
      </c>
      <c r="E210" t="s">
        <v>215</v>
      </c>
      <c r="F210">
        <v>202205</v>
      </c>
      <c r="G210" t="s">
        <v>224</v>
      </c>
      <c r="H210">
        <v>160645.03</v>
      </c>
    </row>
    <row r="211" spans="1:8">
      <c r="A211" t="s">
        <v>2317</v>
      </c>
      <c r="B211" t="s">
        <v>2318</v>
      </c>
      <c r="C211" t="s">
        <v>2319</v>
      </c>
      <c r="D211" t="s">
        <v>2320</v>
      </c>
      <c r="E211" t="s">
        <v>215</v>
      </c>
      <c r="F211">
        <v>202205</v>
      </c>
      <c r="G211" t="s">
        <v>226</v>
      </c>
      <c r="H211">
        <v>0</v>
      </c>
    </row>
    <row r="212" spans="1:8">
      <c r="A212" t="s">
        <v>2317</v>
      </c>
      <c r="B212" t="s">
        <v>2318</v>
      </c>
      <c r="C212" t="s">
        <v>2319</v>
      </c>
      <c r="D212" t="s">
        <v>2320</v>
      </c>
      <c r="E212" t="s">
        <v>2179</v>
      </c>
      <c r="F212">
        <v>202104</v>
      </c>
      <c r="G212" t="s">
        <v>231</v>
      </c>
      <c r="H212">
        <v>4699386.9800000004</v>
      </c>
    </row>
    <row r="213" spans="1:8">
      <c r="A213" t="s">
        <v>2317</v>
      </c>
      <c r="B213" t="s">
        <v>2318</v>
      </c>
      <c r="C213" t="s">
        <v>2319</v>
      </c>
      <c r="D213" t="s">
        <v>2320</v>
      </c>
      <c r="E213" t="s">
        <v>2179</v>
      </c>
      <c r="F213">
        <v>202104</v>
      </c>
      <c r="G213" t="s">
        <v>232</v>
      </c>
      <c r="H213">
        <v>646505.68000000005</v>
      </c>
    </row>
    <row r="214" spans="1:8">
      <c r="A214" t="s">
        <v>2317</v>
      </c>
      <c r="B214" t="s">
        <v>2318</v>
      </c>
      <c r="C214" t="s">
        <v>2319</v>
      </c>
      <c r="D214" t="s">
        <v>2320</v>
      </c>
      <c r="E214" t="s">
        <v>2179</v>
      </c>
      <c r="F214">
        <v>202104</v>
      </c>
      <c r="G214" t="s">
        <v>222</v>
      </c>
      <c r="H214">
        <v>5312018.9800000004</v>
      </c>
    </row>
    <row r="215" spans="1:8">
      <c r="A215" t="s">
        <v>2317</v>
      </c>
      <c r="B215" t="s">
        <v>2318</v>
      </c>
      <c r="C215" t="s">
        <v>2319</v>
      </c>
      <c r="D215" t="s">
        <v>2320</v>
      </c>
      <c r="E215" t="s">
        <v>2179</v>
      </c>
      <c r="F215">
        <v>202104</v>
      </c>
      <c r="G215" t="s">
        <v>224</v>
      </c>
      <c r="H215">
        <v>665240.73</v>
      </c>
    </row>
    <row r="216" spans="1:8">
      <c r="A216" t="s">
        <v>2317</v>
      </c>
      <c r="B216" t="s">
        <v>2318</v>
      </c>
      <c r="C216" t="s">
        <v>2319</v>
      </c>
      <c r="D216" t="s">
        <v>2320</v>
      </c>
      <c r="E216" t="s">
        <v>2179</v>
      </c>
      <c r="F216">
        <v>202104</v>
      </c>
      <c r="G216" t="s">
        <v>226</v>
      </c>
      <c r="H216">
        <v>100902.97</v>
      </c>
    </row>
    <row r="217" spans="1:8">
      <c r="A217" t="s">
        <v>2317</v>
      </c>
      <c r="B217" t="s">
        <v>2318</v>
      </c>
      <c r="C217" t="s">
        <v>2319</v>
      </c>
      <c r="D217" t="s">
        <v>2320</v>
      </c>
      <c r="E217" t="s">
        <v>2179</v>
      </c>
      <c r="F217">
        <v>202105</v>
      </c>
      <c r="G217" t="s">
        <v>231</v>
      </c>
      <c r="H217">
        <v>4037458.13</v>
      </c>
    </row>
    <row r="218" spans="1:8">
      <c r="A218" t="s">
        <v>2317</v>
      </c>
      <c r="B218" t="s">
        <v>2318</v>
      </c>
      <c r="C218" t="s">
        <v>2319</v>
      </c>
      <c r="D218" t="s">
        <v>2320</v>
      </c>
      <c r="E218" t="s">
        <v>2179</v>
      </c>
      <c r="F218">
        <v>202105</v>
      </c>
      <c r="G218" t="s">
        <v>232</v>
      </c>
      <c r="H218">
        <v>572748.39</v>
      </c>
    </row>
    <row r="219" spans="1:8">
      <c r="A219" t="s">
        <v>2317</v>
      </c>
      <c r="B219" t="s">
        <v>2318</v>
      </c>
      <c r="C219" t="s">
        <v>2319</v>
      </c>
      <c r="D219" t="s">
        <v>2320</v>
      </c>
      <c r="E219" t="s">
        <v>2179</v>
      </c>
      <c r="F219">
        <v>202105</v>
      </c>
      <c r="G219" t="s">
        <v>222</v>
      </c>
      <c r="H219">
        <v>4149509.02</v>
      </c>
    </row>
    <row r="220" spans="1:8">
      <c r="A220" t="s">
        <v>2317</v>
      </c>
      <c r="B220" t="s">
        <v>2318</v>
      </c>
      <c r="C220" t="s">
        <v>2319</v>
      </c>
      <c r="D220" t="s">
        <v>2320</v>
      </c>
      <c r="E220" t="s">
        <v>2179</v>
      </c>
      <c r="F220">
        <v>202105</v>
      </c>
      <c r="G220" t="s">
        <v>224</v>
      </c>
      <c r="H220">
        <v>588643.80000000005</v>
      </c>
    </row>
    <row r="221" spans="1:8">
      <c r="A221" t="s">
        <v>2317</v>
      </c>
      <c r="B221" t="s">
        <v>2318</v>
      </c>
      <c r="C221" t="s">
        <v>2319</v>
      </c>
      <c r="D221" t="s">
        <v>2320</v>
      </c>
      <c r="E221" t="s">
        <v>2179</v>
      </c>
      <c r="F221">
        <v>202105</v>
      </c>
      <c r="G221" t="s">
        <v>226</v>
      </c>
      <c r="H221">
        <v>127946.23</v>
      </c>
    </row>
    <row r="222" spans="1:8">
      <c r="A222" t="s">
        <v>2317</v>
      </c>
      <c r="B222" t="s">
        <v>2318</v>
      </c>
      <c r="C222" t="s">
        <v>2319</v>
      </c>
      <c r="D222" t="s">
        <v>2320</v>
      </c>
      <c r="E222" t="s">
        <v>2179</v>
      </c>
      <c r="F222">
        <v>202106</v>
      </c>
      <c r="G222" t="s">
        <v>231</v>
      </c>
      <c r="H222">
        <v>3212377.07</v>
      </c>
    </row>
    <row r="223" spans="1:8">
      <c r="A223" t="s">
        <v>2317</v>
      </c>
      <c r="B223" t="s">
        <v>2318</v>
      </c>
      <c r="C223" t="s">
        <v>2319</v>
      </c>
      <c r="D223" t="s">
        <v>2320</v>
      </c>
      <c r="E223" t="s">
        <v>2179</v>
      </c>
      <c r="F223">
        <v>202106</v>
      </c>
      <c r="G223" t="s">
        <v>232</v>
      </c>
      <c r="H223">
        <v>522684.87</v>
      </c>
    </row>
    <row r="224" spans="1:8">
      <c r="A224" t="s">
        <v>2317</v>
      </c>
      <c r="B224" t="s">
        <v>2318</v>
      </c>
      <c r="C224" t="s">
        <v>2319</v>
      </c>
      <c r="D224" t="s">
        <v>2320</v>
      </c>
      <c r="E224" t="s">
        <v>2179</v>
      </c>
      <c r="F224">
        <v>202106</v>
      </c>
      <c r="G224" t="s">
        <v>222</v>
      </c>
      <c r="H224">
        <v>3844535.11</v>
      </c>
    </row>
    <row r="225" spans="1:8">
      <c r="A225" t="s">
        <v>2317</v>
      </c>
      <c r="B225" t="s">
        <v>2318</v>
      </c>
      <c r="C225" t="s">
        <v>2319</v>
      </c>
      <c r="D225" t="s">
        <v>2320</v>
      </c>
      <c r="E225" t="s">
        <v>2179</v>
      </c>
      <c r="F225">
        <v>202106</v>
      </c>
      <c r="G225" t="s">
        <v>224</v>
      </c>
      <c r="H225">
        <v>547244.16</v>
      </c>
    </row>
    <row r="226" spans="1:8">
      <c r="A226" t="s">
        <v>2317</v>
      </c>
      <c r="B226" t="s">
        <v>2318</v>
      </c>
      <c r="C226" t="s">
        <v>2319</v>
      </c>
      <c r="D226" t="s">
        <v>2320</v>
      </c>
      <c r="E226" t="s">
        <v>2179</v>
      </c>
      <c r="F226">
        <v>202106</v>
      </c>
      <c r="G226" t="s">
        <v>226</v>
      </c>
      <c r="H226">
        <v>136969.26</v>
      </c>
    </row>
    <row r="227" spans="1:8">
      <c r="A227" t="s">
        <v>2317</v>
      </c>
      <c r="B227" t="s">
        <v>2318</v>
      </c>
      <c r="C227" t="s">
        <v>2319</v>
      </c>
      <c r="D227" t="s">
        <v>2320</v>
      </c>
      <c r="E227" t="s">
        <v>2179</v>
      </c>
      <c r="F227">
        <v>202107</v>
      </c>
      <c r="G227" t="s">
        <v>231</v>
      </c>
      <c r="H227">
        <v>3523569.22</v>
      </c>
    </row>
    <row r="228" spans="1:8">
      <c r="A228" t="s">
        <v>2317</v>
      </c>
      <c r="B228" t="s">
        <v>2318</v>
      </c>
      <c r="C228" t="s">
        <v>2319</v>
      </c>
      <c r="D228" t="s">
        <v>2320</v>
      </c>
      <c r="E228" t="s">
        <v>2179</v>
      </c>
      <c r="F228">
        <v>202107</v>
      </c>
      <c r="G228" t="s">
        <v>232</v>
      </c>
      <c r="H228">
        <v>581984.93999999994</v>
      </c>
    </row>
    <row r="229" spans="1:8">
      <c r="A229" t="s">
        <v>2317</v>
      </c>
      <c r="B229" t="s">
        <v>2318</v>
      </c>
      <c r="C229" t="s">
        <v>2319</v>
      </c>
      <c r="D229" t="s">
        <v>2320</v>
      </c>
      <c r="E229" t="s">
        <v>2179</v>
      </c>
      <c r="F229">
        <v>202107</v>
      </c>
      <c r="G229" t="s">
        <v>222</v>
      </c>
      <c r="H229">
        <v>3946482.31</v>
      </c>
    </row>
    <row r="230" spans="1:8">
      <c r="A230" t="s">
        <v>2317</v>
      </c>
      <c r="B230" t="s">
        <v>2318</v>
      </c>
      <c r="C230" t="s">
        <v>2319</v>
      </c>
      <c r="D230" t="s">
        <v>2320</v>
      </c>
      <c r="E230" t="s">
        <v>2179</v>
      </c>
      <c r="F230">
        <v>202107</v>
      </c>
      <c r="G230" t="s">
        <v>224</v>
      </c>
      <c r="H230">
        <v>606726.55000000005</v>
      </c>
    </row>
    <row r="231" spans="1:8">
      <c r="A231" t="s">
        <v>2317</v>
      </c>
      <c r="B231" t="s">
        <v>2318</v>
      </c>
      <c r="C231" t="s">
        <v>2319</v>
      </c>
      <c r="D231" t="s">
        <v>2320</v>
      </c>
      <c r="E231" t="s">
        <v>2179</v>
      </c>
      <c r="F231">
        <v>202107</v>
      </c>
      <c r="G231" t="s">
        <v>226</v>
      </c>
      <c r="H231">
        <v>143776.65</v>
      </c>
    </row>
    <row r="232" spans="1:8">
      <c r="A232" t="s">
        <v>2317</v>
      </c>
      <c r="B232" t="s">
        <v>2318</v>
      </c>
      <c r="C232" t="s">
        <v>2319</v>
      </c>
      <c r="D232" t="s">
        <v>2320</v>
      </c>
      <c r="E232" t="s">
        <v>2179</v>
      </c>
      <c r="F232">
        <v>202108</v>
      </c>
      <c r="G232" t="s">
        <v>231</v>
      </c>
      <c r="H232">
        <v>3928255.05</v>
      </c>
    </row>
    <row r="233" spans="1:8">
      <c r="A233" t="s">
        <v>2317</v>
      </c>
      <c r="B233" t="s">
        <v>2318</v>
      </c>
      <c r="C233" t="s">
        <v>2319</v>
      </c>
      <c r="D233" t="s">
        <v>2320</v>
      </c>
      <c r="E233" t="s">
        <v>2179</v>
      </c>
      <c r="F233">
        <v>202108</v>
      </c>
      <c r="G233" t="s">
        <v>232</v>
      </c>
      <c r="H233">
        <v>622293.75</v>
      </c>
    </row>
    <row r="234" spans="1:8">
      <c r="A234" t="s">
        <v>2317</v>
      </c>
      <c r="B234" t="s">
        <v>2318</v>
      </c>
      <c r="C234" t="s">
        <v>2319</v>
      </c>
      <c r="D234" t="s">
        <v>2320</v>
      </c>
      <c r="E234" t="s">
        <v>2179</v>
      </c>
      <c r="F234">
        <v>202108</v>
      </c>
      <c r="G234" t="s">
        <v>222</v>
      </c>
      <c r="H234">
        <v>4336880.16</v>
      </c>
    </row>
    <row r="235" spans="1:8">
      <c r="A235" t="s">
        <v>2317</v>
      </c>
      <c r="B235" t="s">
        <v>2318</v>
      </c>
      <c r="C235" t="s">
        <v>2319</v>
      </c>
      <c r="D235" t="s">
        <v>2320</v>
      </c>
      <c r="E235" t="s">
        <v>2179</v>
      </c>
      <c r="F235">
        <v>202108</v>
      </c>
      <c r="G235" t="s">
        <v>224</v>
      </c>
      <c r="H235">
        <v>645186.22</v>
      </c>
    </row>
    <row r="236" spans="1:8">
      <c r="A236" t="s">
        <v>2317</v>
      </c>
      <c r="B236" t="s">
        <v>2318</v>
      </c>
      <c r="C236" t="s">
        <v>2319</v>
      </c>
      <c r="D236" t="s">
        <v>2320</v>
      </c>
      <c r="E236" t="s">
        <v>2179</v>
      </c>
      <c r="F236">
        <v>202108</v>
      </c>
      <c r="G236" t="s">
        <v>226</v>
      </c>
      <c r="H236">
        <v>123677.52</v>
      </c>
    </row>
    <row r="237" spans="1:8">
      <c r="A237" t="s">
        <v>2317</v>
      </c>
      <c r="B237" t="s">
        <v>2318</v>
      </c>
      <c r="C237" t="s">
        <v>2319</v>
      </c>
      <c r="D237" t="s">
        <v>2320</v>
      </c>
      <c r="E237" t="s">
        <v>2179</v>
      </c>
      <c r="F237">
        <v>202109</v>
      </c>
      <c r="G237" t="s">
        <v>231</v>
      </c>
      <c r="H237">
        <v>3558701.6</v>
      </c>
    </row>
    <row r="238" spans="1:8">
      <c r="A238" t="s">
        <v>2317</v>
      </c>
      <c r="B238" t="s">
        <v>2318</v>
      </c>
      <c r="C238" t="s">
        <v>2319</v>
      </c>
      <c r="D238" t="s">
        <v>2320</v>
      </c>
      <c r="E238" t="s">
        <v>2179</v>
      </c>
      <c r="F238">
        <v>202109</v>
      </c>
      <c r="G238" t="s">
        <v>232</v>
      </c>
      <c r="H238">
        <v>563197.97</v>
      </c>
    </row>
    <row r="239" spans="1:8">
      <c r="A239" t="s">
        <v>2317</v>
      </c>
      <c r="B239" t="s">
        <v>2318</v>
      </c>
      <c r="C239" t="s">
        <v>2319</v>
      </c>
      <c r="D239" t="s">
        <v>2320</v>
      </c>
      <c r="E239" t="s">
        <v>2179</v>
      </c>
      <c r="F239">
        <v>202109</v>
      </c>
      <c r="G239" t="s">
        <v>222</v>
      </c>
      <c r="H239">
        <v>3939400.4</v>
      </c>
    </row>
    <row r="240" spans="1:8">
      <c r="A240" t="s">
        <v>2317</v>
      </c>
      <c r="B240" t="s">
        <v>2318</v>
      </c>
      <c r="C240" t="s">
        <v>2319</v>
      </c>
      <c r="D240" t="s">
        <v>2320</v>
      </c>
      <c r="E240" t="s">
        <v>2179</v>
      </c>
      <c r="F240">
        <v>202109</v>
      </c>
      <c r="G240" t="s">
        <v>224</v>
      </c>
      <c r="H240">
        <v>585780.65</v>
      </c>
    </row>
    <row r="241" spans="1:8">
      <c r="A241" t="s">
        <v>2317</v>
      </c>
      <c r="B241" t="s">
        <v>2318</v>
      </c>
      <c r="C241" t="s">
        <v>2319</v>
      </c>
      <c r="D241" t="s">
        <v>2320</v>
      </c>
      <c r="E241" t="s">
        <v>2179</v>
      </c>
      <c r="F241">
        <v>202109</v>
      </c>
      <c r="G241" t="s">
        <v>226</v>
      </c>
      <c r="H241">
        <v>137410.62</v>
      </c>
    </row>
    <row r="242" spans="1:8">
      <c r="A242" t="s">
        <v>2317</v>
      </c>
      <c r="B242" t="s">
        <v>2318</v>
      </c>
      <c r="C242" t="s">
        <v>2319</v>
      </c>
      <c r="D242" t="s">
        <v>2320</v>
      </c>
      <c r="E242" t="s">
        <v>2179</v>
      </c>
      <c r="F242">
        <v>202110</v>
      </c>
      <c r="G242" t="s">
        <v>231</v>
      </c>
      <c r="H242">
        <v>3913146.56</v>
      </c>
    </row>
    <row r="243" spans="1:8">
      <c r="A243" t="s">
        <v>2317</v>
      </c>
      <c r="B243" t="s">
        <v>2318</v>
      </c>
      <c r="C243" t="s">
        <v>2319</v>
      </c>
      <c r="D243" t="s">
        <v>2320</v>
      </c>
      <c r="E243" t="s">
        <v>2179</v>
      </c>
      <c r="F243">
        <v>202110</v>
      </c>
      <c r="G243" t="s">
        <v>232</v>
      </c>
      <c r="H243">
        <v>558152.99</v>
      </c>
    </row>
    <row r="244" spans="1:8">
      <c r="A244" t="s">
        <v>2317</v>
      </c>
      <c r="B244" t="s">
        <v>2318</v>
      </c>
      <c r="C244" t="s">
        <v>2319</v>
      </c>
      <c r="D244" t="s">
        <v>2320</v>
      </c>
      <c r="E244" t="s">
        <v>2179</v>
      </c>
      <c r="F244">
        <v>202110</v>
      </c>
      <c r="G244" t="s">
        <v>222</v>
      </c>
      <c r="H244">
        <v>4259978.4800000004</v>
      </c>
    </row>
    <row r="245" spans="1:8">
      <c r="A245" t="s">
        <v>2317</v>
      </c>
      <c r="B245" t="s">
        <v>2318</v>
      </c>
      <c r="C245" t="s">
        <v>2319</v>
      </c>
      <c r="D245" t="s">
        <v>2320</v>
      </c>
      <c r="E245" t="s">
        <v>2179</v>
      </c>
      <c r="F245">
        <v>202110</v>
      </c>
      <c r="G245" t="s">
        <v>224</v>
      </c>
      <c r="H245">
        <v>576856.62</v>
      </c>
    </row>
    <row r="246" spans="1:8">
      <c r="A246" t="s">
        <v>2317</v>
      </c>
      <c r="B246" t="s">
        <v>2318</v>
      </c>
      <c r="C246" t="s">
        <v>2319</v>
      </c>
      <c r="D246" t="s">
        <v>2320</v>
      </c>
      <c r="E246" t="s">
        <v>2179</v>
      </c>
      <c r="F246">
        <v>202110</v>
      </c>
      <c r="G246" t="s">
        <v>226</v>
      </c>
      <c r="H246">
        <v>121509.49</v>
      </c>
    </row>
    <row r="247" spans="1:8">
      <c r="A247" t="s">
        <v>2317</v>
      </c>
      <c r="B247" t="s">
        <v>2318</v>
      </c>
      <c r="C247" t="s">
        <v>2319</v>
      </c>
      <c r="D247" t="s">
        <v>2320</v>
      </c>
      <c r="E247" t="s">
        <v>2179</v>
      </c>
      <c r="F247">
        <v>202111</v>
      </c>
      <c r="G247" t="s">
        <v>231</v>
      </c>
      <c r="H247">
        <v>5968539.1100000003</v>
      </c>
    </row>
    <row r="248" spans="1:8">
      <c r="A248" t="s">
        <v>2317</v>
      </c>
      <c r="B248" t="s">
        <v>2318</v>
      </c>
      <c r="C248" t="s">
        <v>2319</v>
      </c>
      <c r="D248" t="s">
        <v>2320</v>
      </c>
      <c r="E248" t="s">
        <v>2179</v>
      </c>
      <c r="F248">
        <v>202111</v>
      </c>
      <c r="G248" t="s">
        <v>232</v>
      </c>
      <c r="H248">
        <v>602744.93999999994</v>
      </c>
    </row>
    <row r="249" spans="1:8">
      <c r="A249" t="s">
        <v>2317</v>
      </c>
      <c r="B249" t="s">
        <v>2318</v>
      </c>
      <c r="C249" t="s">
        <v>2319</v>
      </c>
      <c r="D249" t="s">
        <v>2320</v>
      </c>
      <c r="E249" t="s">
        <v>2179</v>
      </c>
      <c r="F249">
        <v>202111</v>
      </c>
      <c r="G249" t="s">
        <v>222</v>
      </c>
      <c r="H249">
        <v>6371048.8099999996</v>
      </c>
    </row>
    <row r="250" spans="1:8">
      <c r="A250" t="s">
        <v>2317</v>
      </c>
      <c r="B250" t="s">
        <v>2318</v>
      </c>
      <c r="C250" t="s">
        <v>2319</v>
      </c>
      <c r="D250" t="s">
        <v>2320</v>
      </c>
      <c r="E250" t="s">
        <v>2179</v>
      </c>
      <c r="F250">
        <v>202111</v>
      </c>
      <c r="G250" t="s">
        <v>224</v>
      </c>
      <c r="H250">
        <v>615561.47</v>
      </c>
    </row>
    <row r="251" spans="1:8">
      <c r="A251" t="s">
        <v>2317</v>
      </c>
      <c r="B251" t="s">
        <v>2318</v>
      </c>
      <c r="C251" t="s">
        <v>2319</v>
      </c>
      <c r="D251" t="s">
        <v>2320</v>
      </c>
      <c r="E251" t="s">
        <v>2179</v>
      </c>
      <c r="F251">
        <v>202111</v>
      </c>
      <c r="G251" t="s">
        <v>226</v>
      </c>
      <c r="H251">
        <v>92701.17</v>
      </c>
    </row>
    <row r="252" spans="1:8">
      <c r="A252" t="s">
        <v>2317</v>
      </c>
      <c r="B252" t="s">
        <v>2318</v>
      </c>
      <c r="C252" t="s">
        <v>2319</v>
      </c>
      <c r="D252" t="s">
        <v>2320</v>
      </c>
      <c r="E252" t="s">
        <v>2179</v>
      </c>
      <c r="F252">
        <v>202112</v>
      </c>
      <c r="G252" t="s">
        <v>231</v>
      </c>
      <c r="H252">
        <v>5499856.0800000001</v>
      </c>
    </row>
    <row r="253" spans="1:8">
      <c r="A253" t="s">
        <v>2317</v>
      </c>
      <c r="B253" t="s">
        <v>2318</v>
      </c>
      <c r="C253" t="s">
        <v>2319</v>
      </c>
      <c r="D253" t="s">
        <v>2320</v>
      </c>
      <c r="E253" t="s">
        <v>2179</v>
      </c>
      <c r="F253">
        <v>202112</v>
      </c>
      <c r="G253" t="s">
        <v>232</v>
      </c>
      <c r="H253">
        <v>679435.96</v>
      </c>
    </row>
    <row r="254" spans="1:8">
      <c r="A254" t="s">
        <v>2317</v>
      </c>
      <c r="B254" t="s">
        <v>2318</v>
      </c>
      <c r="C254" t="s">
        <v>2319</v>
      </c>
      <c r="D254" t="s">
        <v>2320</v>
      </c>
      <c r="E254" t="s">
        <v>2179</v>
      </c>
      <c r="F254">
        <v>202112</v>
      </c>
      <c r="G254" t="s">
        <v>222</v>
      </c>
      <c r="H254">
        <v>5760664.3700000001</v>
      </c>
    </row>
    <row r="255" spans="1:8">
      <c r="A255" t="s">
        <v>2317</v>
      </c>
      <c r="B255" t="s">
        <v>2318</v>
      </c>
      <c r="C255" t="s">
        <v>2319</v>
      </c>
      <c r="D255" t="s">
        <v>2320</v>
      </c>
      <c r="E255" t="s">
        <v>2179</v>
      </c>
      <c r="F255">
        <v>202112</v>
      </c>
      <c r="G255" t="s">
        <v>224</v>
      </c>
      <c r="H255">
        <v>690398.75</v>
      </c>
    </row>
    <row r="256" spans="1:8">
      <c r="A256" t="s">
        <v>2317</v>
      </c>
      <c r="B256" t="s">
        <v>2318</v>
      </c>
      <c r="C256" t="s">
        <v>2319</v>
      </c>
      <c r="D256" t="s">
        <v>2320</v>
      </c>
      <c r="E256" t="s">
        <v>2179</v>
      </c>
      <c r="F256">
        <v>202112</v>
      </c>
      <c r="G256" t="s">
        <v>226</v>
      </c>
      <c r="H256">
        <v>70414</v>
      </c>
    </row>
    <row r="257" spans="1:8">
      <c r="A257" t="s">
        <v>2317</v>
      </c>
      <c r="B257" t="s">
        <v>2318</v>
      </c>
      <c r="C257" t="s">
        <v>2319</v>
      </c>
      <c r="D257" t="s">
        <v>2320</v>
      </c>
      <c r="E257" t="s">
        <v>2179</v>
      </c>
      <c r="F257">
        <v>202201</v>
      </c>
      <c r="G257" t="s">
        <v>231</v>
      </c>
      <c r="H257">
        <v>0</v>
      </c>
    </row>
    <row r="258" spans="1:8">
      <c r="A258" t="s">
        <v>2317</v>
      </c>
      <c r="B258" t="s">
        <v>2318</v>
      </c>
      <c r="C258" t="s">
        <v>2319</v>
      </c>
      <c r="D258" t="s">
        <v>2320</v>
      </c>
      <c r="E258" t="s">
        <v>2179</v>
      </c>
      <c r="F258">
        <v>202201</v>
      </c>
      <c r="G258" t="s">
        <v>232</v>
      </c>
      <c r="H258">
        <v>0</v>
      </c>
    </row>
    <row r="259" spans="1:8">
      <c r="A259" t="s">
        <v>2317</v>
      </c>
      <c r="B259" t="s">
        <v>2318</v>
      </c>
      <c r="C259" t="s">
        <v>2319</v>
      </c>
      <c r="D259" t="s">
        <v>2320</v>
      </c>
      <c r="E259" t="s">
        <v>2179</v>
      </c>
      <c r="F259">
        <v>202201</v>
      </c>
      <c r="G259" t="s">
        <v>222</v>
      </c>
      <c r="H259">
        <v>6475111.04</v>
      </c>
    </row>
    <row r="260" spans="1:8">
      <c r="A260" t="s">
        <v>2317</v>
      </c>
      <c r="B260" t="s">
        <v>2318</v>
      </c>
      <c r="C260" t="s">
        <v>2319</v>
      </c>
      <c r="D260" t="s">
        <v>2320</v>
      </c>
      <c r="E260" t="s">
        <v>2179</v>
      </c>
      <c r="F260">
        <v>202201</v>
      </c>
      <c r="G260" t="s">
        <v>224</v>
      </c>
      <c r="H260">
        <v>656463.66</v>
      </c>
    </row>
    <row r="261" spans="1:8">
      <c r="A261" t="s">
        <v>2317</v>
      </c>
      <c r="B261" t="s">
        <v>2318</v>
      </c>
      <c r="C261" t="s">
        <v>2319</v>
      </c>
      <c r="D261" t="s">
        <v>2320</v>
      </c>
      <c r="E261" t="s">
        <v>2179</v>
      </c>
      <c r="F261">
        <v>202201</v>
      </c>
      <c r="G261" t="s">
        <v>226</v>
      </c>
      <c r="H261">
        <v>0</v>
      </c>
    </row>
    <row r="262" spans="1:8">
      <c r="A262" t="s">
        <v>2317</v>
      </c>
      <c r="B262" t="s">
        <v>2318</v>
      </c>
      <c r="C262" t="s">
        <v>2319</v>
      </c>
      <c r="D262" t="s">
        <v>2320</v>
      </c>
      <c r="E262" t="s">
        <v>2179</v>
      </c>
      <c r="F262">
        <v>202202</v>
      </c>
      <c r="G262" t="s">
        <v>231</v>
      </c>
      <c r="H262">
        <v>0</v>
      </c>
    </row>
    <row r="263" spans="1:8">
      <c r="A263" t="s">
        <v>2317</v>
      </c>
      <c r="B263" t="s">
        <v>2318</v>
      </c>
      <c r="C263" t="s">
        <v>2319</v>
      </c>
      <c r="D263" t="s">
        <v>2320</v>
      </c>
      <c r="E263" t="s">
        <v>2179</v>
      </c>
      <c r="F263">
        <v>202202</v>
      </c>
      <c r="G263" t="s">
        <v>232</v>
      </c>
      <c r="H263">
        <v>0</v>
      </c>
    </row>
    <row r="264" spans="1:8">
      <c r="A264" t="s">
        <v>2317</v>
      </c>
      <c r="B264" t="s">
        <v>2318</v>
      </c>
      <c r="C264" t="s">
        <v>2319</v>
      </c>
      <c r="D264" t="s">
        <v>2320</v>
      </c>
      <c r="E264" t="s">
        <v>2179</v>
      </c>
      <c r="F264">
        <v>202202</v>
      </c>
      <c r="G264" t="s">
        <v>222</v>
      </c>
      <c r="H264">
        <v>5320051.33</v>
      </c>
    </row>
    <row r="265" spans="1:8">
      <c r="A265" t="s">
        <v>2317</v>
      </c>
      <c r="B265" t="s">
        <v>2318</v>
      </c>
      <c r="C265" t="s">
        <v>2319</v>
      </c>
      <c r="D265" t="s">
        <v>2320</v>
      </c>
      <c r="E265" t="s">
        <v>2179</v>
      </c>
      <c r="F265">
        <v>202202</v>
      </c>
      <c r="G265" t="s">
        <v>224</v>
      </c>
      <c r="H265">
        <v>617390.49</v>
      </c>
    </row>
    <row r="266" spans="1:8">
      <c r="A266" t="s">
        <v>2317</v>
      </c>
      <c r="B266" t="s">
        <v>2318</v>
      </c>
      <c r="C266" t="s">
        <v>2319</v>
      </c>
      <c r="D266" t="s">
        <v>2320</v>
      </c>
      <c r="E266" t="s">
        <v>2179</v>
      </c>
      <c r="F266">
        <v>202202</v>
      </c>
      <c r="G266" t="s">
        <v>226</v>
      </c>
      <c r="H266">
        <v>0</v>
      </c>
    </row>
    <row r="267" spans="1:8">
      <c r="A267" t="s">
        <v>2317</v>
      </c>
      <c r="B267" t="s">
        <v>2318</v>
      </c>
      <c r="C267" t="s">
        <v>2319</v>
      </c>
      <c r="D267" t="s">
        <v>2320</v>
      </c>
      <c r="E267" t="s">
        <v>2179</v>
      </c>
      <c r="F267">
        <v>202203</v>
      </c>
      <c r="G267" t="s">
        <v>231</v>
      </c>
      <c r="H267">
        <v>0</v>
      </c>
    </row>
    <row r="268" spans="1:8">
      <c r="A268" t="s">
        <v>2317</v>
      </c>
      <c r="B268" t="s">
        <v>2318</v>
      </c>
      <c r="C268" t="s">
        <v>2319</v>
      </c>
      <c r="D268" t="s">
        <v>2320</v>
      </c>
      <c r="E268" t="s">
        <v>2179</v>
      </c>
      <c r="F268">
        <v>202203</v>
      </c>
      <c r="G268" t="s">
        <v>232</v>
      </c>
      <c r="H268">
        <v>0</v>
      </c>
    </row>
    <row r="269" spans="1:8">
      <c r="A269" t="s">
        <v>2317</v>
      </c>
      <c r="B269" t="s">
        <v>2318</v>
      </c>
      <c r="C269" t="s">
        <v>2319</v>
      </c>
      <c r="D269" t="s">
        <v>2320</v>
      </c>
      <c r="E269" t="s">
        <v>2179</v>
      </c>
      <c r="F269">
        <v>202203</v>
      </c>
      <c r="G269" t="s">
        <v>222</v>
      </c>
      <c r="H269">
        <v>4458955.09</v>
      </c>
    </row>
    <row r="270" spans="1:8">
      <c r="A270" t="s">
        <v>2317</v>
      </c>
      <c r="B270" t="s">
        <v>2318</v>
      </c>
      <c r="C270" t="s">
        <v>2319</v>
      </c>
      <c r="D270" t="s">
        <v>2320</v>
      </c>
      <c r="E270" t="s">
        <v>2179</v>
      </c>
      <c r="F270">
        <v>202203</v>
      </c>
      <c r="G270" t="s">
        <v>224</v>
      </c>
      <c r="H270">
        <v>606115.65</v>
      </c>
    </row>
    <row r="271" spans="1:8">
      <c r="A271" t="s">
        <v>2317</v>
      </c>
      <c r="B271" t="s">
        <v>2318</v>
      </c>
      <c r="C271" t="s">
        <v>2319</v>
      </c>
      <c r="D271" t="s">
        <v>2320</v>
      </c>
      <c r="E271" t="s">
        <v>2179</v>
      </c>
      <c r="F271">
        <v>202203</v>
      </c>
      <c r="G271" t="s">
        <v>226</v>
      </c>
      <c r="H271">
        <v>0</v>
      </c>
    </row>
    <row r="272" spans="1:8">
      <c r="A272" t="s">
        <v>2317</v>
      </c>
      <c r="B272" t="s">
        <v>2318</v>
      </c>
      <c r="C272" t="s">
        <v>2319</v>
      </c>
      <c r="D272" t="s">
        <v>2320</v>
      </c>
      <c r="E272" t="s">
        <v>2179</v>
      </c>
      <c r="F272">
        <v>202204</v>
      </c>
      <c r="G272" t="s">
        <v>231</v>
      </c>
      <c r="H272">
        <v>0</v>
      </c>
    </row>
    <row r="273" spans="1:8">
      <c r="A273" t="s">
        <v>2317</v>
      </c>
      <c r="B273" t="s">
        <v>2318</v>
      </c>
      <c r="C273" t="s">
        <v>2319</v>
      </c>
      <c r="D273" t="s">
        <v>2320</v>
      </c>
      <c r="E273" t="s">
        <v>2179</v>
      </c>
      <c r="F273">
        <v>202204</v>
      </c>
      <c r="G273" t="s">
        <v>232</v>
      </c>
      <c r="H273">
        <v>0</v>
      </c>
    </row>
    <row r="274" spans="1:8">
      <c r="A274" t="s">
        <v>2317</v>
      </c>
      <c r="B274" t="s">
        <v>2318</v>
      </c>
      <c r="C274" t="s">
        <v>2319</v>
      </c>
      <c r="D274" t="s">
        <v>2320</v>
      </c>
      <c r="E274" t="s">
        <v>2179</v>
      </c>
      <c r="F274">
        <v>202204</v>
      </c>
      <c r="G274" t="s">
        <v>222</v>
      </c>
      <c r="H274">
        <v>3674020.03</v>
      </c>
    </row>
    <row r="275" spans="1:8">
      <c r="A275" t="s">
        <v>2317</v>
      </c>
      <c r="B275" t="s">
        <v>2318</v>
      </c>
      <c r="C275" t="s">
        <v>2319</v>
      </c>
      <c r="D275" t="s">
        <v>2320</v>
      </c>
      <c r="E275" t="s">
        <v>2179</v>
      </c>
      <c r="F275">
        <v>202204</v>
      </c>
      <c r="G275" t="s">
        <v>224</v>
      </c>
      <c r="H275">
        <v>501002.13</v>
      </c>
    </row>
    <row r="276" spans="1:8">
      <c r="A276" t="s">
        <v>2317</v>
      </c>
      <c r="B276" t="s">
        <v>2318</v>
      </c>
      <c r="C276" t="s">
        <v>2319</v>
      </c>
      <c r="D276" t="s">
        <v>2320</v>
      </c>
      <c r="E276" t="s">
        <v>2179</v>
      </c>
      <c r="F276">
        <v>202204</v>
      </c>
      <c r="G276" t="s">
        <v>226</v>
      </c>
      <c r="H276">
        <v>0</v>
      </c>
    </row>
    <row r="277" spans="1:8">
      <c r="A277" t="s">
        <v>2317</v>
      </c>
      <c r="B277" t="s">
        <v>2318</v>
      </c>
      <c r="C277" t="s">
        <v>2319</v>
      </c>
      <c r="D277" t="s">
        <v>2320</v>
      </c>
      <c r="E277" t="s">
        <v>2179</v>
      </c>
      <c r="F277">
        <v>202205</v>
      </c>
      <c r="G277" t="s">
        <v>231</v>
      </c>
      <c r="H277">
        <v>0</v>
      </c>
    </row>
    <row r="278" spans="1:8">
      <c r="A278" t="s">
        <v>2317</v>
      </c>
      <c r="B278" t="s">
        <v>2318</v>
      </c>
      <c r="C278" t="s">
        <v>2319</v>
      </c>
      <c r="D278" t="s">
        <v>2320</v>
      </c>
      <c r="E278" t="s">
        <v>2179</v>
      </c>
      <c r="F278">
        <v>202205</v>
      </c>
      <c r="G278" t="s">
        <v>232</v>
      </c>
      <c r="H278">
        <v>0</v>
      </c>
    </row>
    <row r="279" spans="1:8">
      <c r="A279" t="s">
        <v>2317</v>
      </c>
      <c r="B279" t="s">
        <v>2318</v>
      </c>
      <c r="C279" t="s">
        <v>2319</v>
      </c>
      <c r="D279" t="s">
        <v>2320</v>
      </c>
      <c r="E279" t="s">
        <v>2179</v>
      </c>
      <c r="F279">
        <v>202205</v>
      </c>
      <c r="G279" t="s">
        <v>222</v>
      </c>
      <c r="H279">
        <v>3622406.47</v>
      </c>
    </row>
    <row r="280" spans="1:8">
      <c r="A280" t="s">
        <v>2317</v>
      </c>
      <c r="B280" t="s">
        <v>2318</v>
      </c>
      <c r="C280" t="s">
        <v>2319</v>
      </c>
      <c r="D280" t="s">
        <v>2320</v>
      </c>
      <c r="E280" t="s">
        <v>2179</v>
      </c>
      <c r="F280">
        <v>202205</v>
      </c>
      <c r="G280" t="s">
        <v>224</v>
      </c>
      <c r="H280">
        <v>555492.39</v>
      </c>
    </row>
    <row r="281" spans="1:8">
      <c r="A281" t="s">
        <v>2317</v>
      </c>
      <c r="B281" t="s">
        <v>2318</v>
      </c>
      <c r="C281" t="s">
        <v>2319</v>
      </c>
      <c r="D281" t="s">
        <v>2320</v>
      </c>
      <c r="E281" t="s">
        <v>2179</v>
      </c>
      <c r="F281">
        <v>202205</v>
      </c>
      <c r="G281" t="s">
        <v>226</v>
      </c>
      <c r="H281">
        <v>0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N1" activePane="topRight" state="frozen"/>
      <selection activeCell="A7" sqref="A7"/>
      <selection pane="topRight" activeCell="R11" sqref="R1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234</v>
      </c>
    </row>
    <row r="2" spans="1:50">
      <c r="A2" s="63" t="s">
        <v>235</v>
      </c>
      <c r="AI2" t="s">
        <v>2163</v>
      </c>
    </row>
    <row r="3" spans="1:50">
      <c r="A3" s="63" t="s">
        <v>236</v>
      </c>
      <c r="AI3" t="s">
        <v>2164</v>
      </c>
    </row>
    <row r="4" spans="1:50">
      <c r="A4" s="63" t="s">
        <v>237</v>
      </c>
    </row>
    <row r="7" spans="1:50">
      <c r="A7" s="656" t="s">
        <v>238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4" t="s">
        <v>239</v>
      </c>
      <c r="B9" s="514" t="s">
        <v>240</v>
      </c>
      <c r="C9" s="514" t="s">
        <v>241</v>
      </c>
      <c r="D9" s="514" t="s">
        <v>242</v>
      </c>
      <c r="E9" s="514" t="s">
        <v>243</v>
      </c>
      <c r="F9" s="514" t="s">
        <v>244</v>
      </c>
      <c r="G9" s="514" t="s">
        <v>245</v>
      </c>
      <c r="H9" s="514" t="s">
        <v>246</v>
      </c>
      <c r="I9" s="514" t="s">
        <v>247</v>
      </c>
      <c r="J9" s="514" t="s">
        <v>248</v>
      </c>
      <c r="K9" s="514" t="s">
        <v>249</v>
      </c>
      <c r="L9" s="514" t="s">
        <v>250</v>
      </c>
      <c r="M9" s="514" t="s">
        <v>251</v>
      </c>
      <c r="N9" s="514" t="s">
        <v>252</v>
      </c>
      <c r="O9" s="514" t="s">
        <v>253</v>
      </c>
      <c r="P9" s="514" t="s">
        <v>254</v>
      </c>
      <c r="Q9" s="514" t="s">
        <v>255</v>
      </c>
      <c r="R9" s="514" t="s">
        <v>256</v>
      </c>
      <c r="S9" s="514" t="s">
        <v>257</v>
      </c>
      <c r="T9" s="514" t="s">
        <v>258</v>
      </c>
      <c r="U9" s="515" t="s">
        <v>259</v>
      </c>
      <c r="V9" s="514" t="s">
        <v>260</v>
      </c>
      <c r="W9" s="514" t="s">
        <v>261</v>
      </c>
      <c r="X9" s="515" t="s">
        <v>262</v>
      </c>
      <c r="Y9" s="515" t="s">
        <v>263</v>
      </c>
      <c r="Z9" s="515" t="s">
        <v>264</v>
      </c>
      <c r="AA9" s="515" t="s">
        <v>265</v>
      </c>
      <c r="AB9" s="515" t="s">
        <v>266</v>
      </c>
      <c r="AC9" s="515" t="s">
        <v>267</v>
      </c>
      <c r="AD9" s="515" t="s">
        <v>268</v>
      </c>
      <c r="AE9" s="515" t="s">
        <v>269</v>
      </c>
      <c r="AF9" s="515" t="s">
        <v>270</v>
      </c>
      <c r="AG9" s="515" t="s">
        <v>271</v>
      </c>
      <c r="AH9" s="515" t="s">
        <v>272</v>
      </c>
      <c r="AI9" s="515" t="s">
        <v>273</v>
      </c>
      <c r="AJ9" s="515" t="s">
        <v>274</v>
      </c>
      <c r="AK9" s="515" t="s">
        <v>275</v>
      </c>
      <c r="AL9" s="515" t="s">
        <v>276</v>
      </c>
      <c r="AM9" s="515" t="s">
        <v>277</v>
      </c>
      <c r="AN9" s="515" t="s">
        <v>278</v>
      </c>
      <c r="AR9" s="808" t="s">
        <v>239</v>
      </c>
      <c r="AS9" s="809" t="s">
        <v>279</v>
      </c>
    </row>
    <row r="10" spans="1:50" s="9" customFormat="1" ht="31.5">
      <c r="A10" s="630" t="s">
        <v>280</v>
      </c>
      <c r="B10" s="630" t="s">
        <v>281</v>
      </c>
      <c r="C10" s="630">
        <v>5381</v>
      </c>
      <c r="D10" s="630" t="s">
        <v>282</v>
      </c>
      <c r="E10" s="630" t="s">
        <v>283</v>
      </c>
      <c r="F10" s="630" t="s">
        <v>284</v>
      </c>
      <c r="G10" s="630" t="s">
        <v>285</v>
      </c>
      <c r="H10" s="630">
        <v>3.7699999999999997E-2</v>
      </c>
      <c r="I10" s="630" t="s">
        <v>286</v>
      </c>
      <c r="J10" s="630">
        <v>104</v>
      </c>
      <c r="K10" s="630" t="s">
        <v>164</v>
      </c>
      <c r="L10" s="630">
        <v>145</v>
      </c>
      <c r="M10" s="811">
        <v>0</v>
      </c>
      <c r="N10" s="1560"/>
      <c r="O10" s="1560" t="s">
        <v>2156</v>
      </c>
      <c r="P10" s="1557">
        <v>0.18360000000000001</v>
      </c>
      <c r="Q10" s="1560">
        <v>16758759.762993418</v>
      </c>
      <c r="R10" s="1568">
        <v>44531</v>
      </c>
      <c r="S10" s="1560" t="s">
        <v>2167</v>
      </c>
      <c r="T10" s="630" t="s">
        <v>287</v>
      </c>
      <c r="U10" s="741" t="s">
        <v>288</v>
      </c>
      <c r="V10" s="630">
        <v>2024</v>
      </c>
      <c r="W10" s="1555">
        <v>2974</v>
      </c>
      <c r="X10" s="1556" t="s">
        <v>2158</v>
      </c>
      <c r="Y10" s="1557">
        <v>1.15E-2</v>
      </c>
      <c r="Z10" s="1558">
        <v>0</v>
      </c>
      <c r="AA10" s="1558" t="s">
        <v>289</v>
      </c>
      <c r="AB10" s="491">
        <v>39.72</v>
      </c>
      <c r="AC10" s="491">
        <v>539.16</v>
      </c>
      <c r="AD10" s="491">
        <v>3502812.67</v>
      </c>
      <c r="AE10" s="1559">
        <v>42300</v>
      </c>
      <c r="AF10" s="1559">
        <v>42300</v>
      </c>
      <c r="AG10" s="1560">
        <v>0</v>
      </c>
      <c r="AH10" s="630"/>
      <c r="AI10" s="741">
        <v>41472</v>
      </c>
      <c r="AJ10" s="741">
        <v>42613</v>
      </c>
      <c r="AK10" s="741" t="s">
        <v>290</v>
      </c>
      <c r="AL10" s="741"/>
      <c r="AM10" s="741"/>
      <c r="AN10" s="860"/>
      <c r="AO10" s="235"/>
      <c r="AP10" s="17"/>
      <c r="AR10" s="814" t="s">
        <v>291</v>
      </c>
      <c r="AS10" s="235"/>
      <c r="AT10" s="235"/>
      <c r="AX10" s="235"/>
    </row>
    <row r="11" spans="1:50" s="9" customFormat="1" ht="31.5">
      <c r="A11" s="630" t="s">
        <v>187</v>
      </c>
      <c r="B11" s="630" t="s">
        <v>292</v>
      </c>
      <c r="C11" s="630">
        <v>5366</v>
      </c>
      <c r="D11" s="630" t="s">
        <v>293</v>
      </c>
      <c r="E11" s="630" t="s">
        <v>283</v>
      </c>
      <c r="F11" s="630" t="s">
        <v>294</v>
      </c>
      <c r="G11" s="630" t="s">
        <v>285</v>
      </c>
      <c r="H11" s="630">
        <v>9.9699999999999997E-2</v>
      </c>
      <c r="I11" s="630" t="s">
        <v>164</v>
      </c>
      <c r="J11" s="630">
        <v>145</v>
      </c>
      <c r="K11" s="630"/>
      <c r="L11" s="630"/>
      <c r="M11" s="811">
        <v>0</v>
      </c>
      <c r="N11" s="1560"/>
      <c r="O11" s="1560" t="str">
        <f>O10</f>
        <v>ReH 2.995/2021</v>
      </c>
      <c r="P11" s="1569">
        <v>8.7599999999999997E-2</v>
      </c>
      <c r="Q11" s="1560">
        <v>12051594.579145933</v>
      </c>
      <c r="R11" s="1568">
        <v>44531</v>
      </c>
      <c r="S11" s="1560" t="str">
        <f>S10</f>
        <v>Desp. 521/2022</v>
      </c>
      <c r="T11" s="630" t="s">
        <v>295</v>
      </c>
      <c r="U11" s="741" t="s">
        <v>296</v>
      </c>
      <c r="V11" s="630">
        <v>2024</v>
      </c>
      <c r="W11" s="1555">
        <v>2944</v>
      </c>
      <c r="X11" s="1556" t="s">
        <v>2162</v>
      </c>
      <c r="Y11" s="630"/>
      <c r="AA11" s="1558" t="s">
        <v>164</v>
      </c>
      <c r="AB11" s="1560">
        <v>39.799999999999997</v>
      </c>
      <c r="AC11" s="1561">
        <v>133.91999999999999</v>
      </c>
      <c r="AD11" s="1561">
        <v>2423958.41</v>
      </c>
      <c r="AE11" s="741">
        <v>43678</v>
      </c>
      <c r="AF11" s="741">
        <v>43678</v>
      </c>
      <c r="AG11" s="1560">
        <v>0</v>
      </c>
      <c r="AH11" s="630"/>
      <c r="AI11" s="741">
        <v>41472</v>
      </c>
      <c r="AJ11" s="741">
        <v>42613</v>
      </c>
      <c r="AK11" s="741" t="s">
        <v>290</v>
      </c>
      <c r="AL11" s="741"/>
      <c r="AM11" s="741"/>
      <c r="AN11" s="860"/>
      <c r="AO11" s="235"/>
      <c r="AP11" s="17"/>
      <c r="AR11" s="814" t="s">
        <v>280</v>
      </c>
      <c r="AS11" s="235"/>
      <c r="AT11" s="235"/>
      <c r="AX11" s="235"/>
    </row>
    <row r="12" spans="1:50" s="9" customFormat="1" ht="31.5">
      <c r="A12" s="630" t="s">
        <v>297</v>
      </c>
      <c r="B12" s="630" t="s">
        <v>298</v>
      </c>
      <c r="C12" s="630">
        <v>5386</v>
      </c>
      <c r="D12" s="630" t="s">
        <v>299</v>
      </c>
      <c r="E12" s="630" t="s">
        <v>283</v>
      </c>
      <c r="F12" s="630" t="s">
        <v>300</v>
      </c>
      <c r="G12" s="630" t="s">
        <v>285</v>
      </c>
      <c r="H12" s="630">
        <v>3.7699999999999997E-2</v>
      </c>
      <c r="I12" s="630" t="s">
        <v>178</v>
      </c>
      <c r="J12" s="630">
        <v>135</v>
      </c>
      <c r="K12" s="630"/>
      <c r="L12" s="630"/>
      <c r="M12" s="811">
        <v>0</v>
      </c>
      <c r="N12" s="1560"/>
      <c r="O12" s="1560" t="str">
        <f t="shared" ref="O12:O61" si="9">O11</f>
        <v>ReH 2.995/2021</v>
      </c>
      <c r="P12" s="1569">
        <v>0.1298</v>
      </c>
      <c r="Q12" s="1560">
        <v>17888427.870995689</v>
      </c>
      <c r="R12" s="1568">
        <v>44531</v>
      </c>
      <c r="S12" s="1560" t="str">
        <f t="shared" ref="S12:S61" si="10">S11</f>
        <v>Desp. 521/2022</v>
      </c>
      <c r="T12" s="630" t="s">
        <v>301</v>
      </c>
      <c r="U12" s="741" t="s">
        <v>296</v>
      </c>
      <c r="V12" s="630">
        <v>2024</v>
      </c>
      <c r="W12" s="1555">
        <v>2977</v>
      </c>
      <c r="X12" s="1556" t="s">
        <v>2158</v>
      </c>
      <c r="Y12" s="1557">
        <v>1.15E-2</v>
      </c>
      <c r="Z12" s="1558">
        <v>-0.02</v>
      </c>
      <c r="AA12" s="1558" t="s">
        <v>302</v>
      </c>
      <c r="AB12" s="1560">
        <v>45.63</v>
      </c>
      <c r="AC12" s="1561">
        <v>532.64</v>
      </c>
      <c r="AD12" s="1561">
        <v>5694629.8099999996</v>
      </c>
      <c r="AE12" s="741">
        <v>43739</v>
      </c>
      <c r="AF12" s="741">
        <v>43739</v>
      </c>
      <c r="AG12" s="1560">
        <v>0</v>
      </c>
      <c r="AH12" s="630"/>
      <c r="AI12" s="741">
        <v>41472</v>
      </c>
      <c r="AJ12" s="741">
        <v>42673</v>
      </c>
      <c r="AK12" s="741" t="s">
        <v>290</v>
      </c>
      <c r="AL12" s="741"/>
      <c r="AM12" s="741"/>
      <c r="AN12" s="860"/>
      <c r="AO12" s="235"/>
      <c r="AP12" s="17"/>
      <c r="AR12" s="814" t="s">
        <v>187</v>
      </c>
      <c r="AS12" s="235"/>
      <c r="AT12" s="235"/>
      <c r="AX12" s="235"/>
    </row>
    <row r="13" spans="1:50" s="9" customFormat="1" ht="31.5">
      <c r="A13" s="630" t="s">
        <v>303</v>
      </c>
      <c r="B13" s="630" t="s">
        <v>304</v>
      </c>
      <c r="C13" s="630">
        <v>5378</v>
      </c>
      <c r="D13" s="630" t="s">
        <v>305</v>
      </c>
      <c r="E13" s="630" t="s">
        <v>283</v>
      </c>
      <c r="F13" s="630" t="s">
        <v>306</v>
      </c>
      <c r="G13" s="630" t="s">
        <v>285</v>
      </c>
      <c r="H13" s="630">
        <v>9.9699999999999997E-2</v>
      </c>
      <c r="I13" s="630" t="s">
        <v>204</v>
      </c>
      <c r="J13" s="630">
        <v>166</v>
      </c>
      <c r="K13" s="630" t="s">
        <v>164</v>
      </c>
      <c r="L13" s="630">
        <v>145</v>
      </c>
      <c r="M13" s="811">
        <v>0</v>
      </c>
      <c r="N13" s="1560"/>
      <c r="O13" s="1560" t="str">
        <f t="shared" si="9"/>
        <v>ReH 2.995/2021</v>
      </c>
      <c r="P13" s="1569">
        <v>0.1832</v>
      </c>
      <c r="Q13" s="1560">
        <v>51573900.56414932</v>
      </c>
      <c r="R13" s="1568">
        <v>44531</v>
      </c>
      <c r="S13" s="1560" t="str">
        <f t="shared" si="10"/>
        <v>Desp. 521/2022</v>
      </c>
      <c r="T13" s="630" t="s">
        <v>307</v>
      </c>
      <c r="U13" s="741" t="s">
        <v>296</v>
      </c>
      <c r="V13" s="630">
        <v>2024</v>
      </c>
      <c r="W13" s="1555">
        <v>2863</v>
      </c>
      <c r="X13" s="1556" t="s">
        <v>2161</v>
      </c>
      <c r="Y13" s="630"/>
      <c r="AA13" s="1558" t="s">
        <v>308</v>
      </c>
      <c r="AB13" s="1560">
        <v>60.67</v>
      </c>
      <c r="AC13" s="1561">
        <v>128.56</v>
      </c>
      <c r="AD13" s="1561">
        <v>16751978.699999999</v>
      </c>
      <c r="AE13" s="741">
        <v>44256</v>
      </c>
      <c r="AF13" s="741">
        <v>44277</v>
      </c>
      <c r="AG13" s="1560">
        <v>0</v>
      </c>
      <c r="AH13" s="630"/>
      <c r="AI13" s="741">
        <v>41472</v>
      </c>
      <c r="AJ13" s="741">
        <v>42410</v>
      </c>
      <c r="AK13" s="741" t="s">
        <v>290</v>
      </c>
      <c r="AL13" s="741"/>
      <c r="AM13" s="741"/>
      <c r="AN13" s="860"/>
      <c r="AO13" s="235"/>
      <c r="AP13" s="17"/>
      <c r="AR13" s="814" t="s">
        <v>186</v>
      </c>
      <c r="AS13" s="235"/>
      <c r="AT13" s="235"/>
      <c r="AX13" s="235"/>
    </row>
    <row r="14" spans="1:50" s="9" customFormat="1" ht="31.5">
      <c r="A14" s="630" t="s">
        <v>309</v>
      </c>
      <c r="B14" s="630" t="s">
        <v>310</v>
      </c>
      <c r="C14" s="630">
        <v>5382</v>
      </c>
      <c r="D14" s="630" t="s">
        <v>311</v>
      </c>
      <c r="E14" s="630" t="s">
        <v>283</v>
      </c>
      <c r="F14" s="630" t="s">
        <v>312</v>
      </c>
      <c r="G14" s="630" t="s">
        <v>285</v>
      </c>
      <c r="H14" s="630">
        <v>3.7699999999999997E-2</v>
      </c>
      <c r="I14" s="630" t="s">
        <v>313</v>
      </c>
      <c r="J14" s="630">
        <v>148</v>
      </c>
      <c r="K14" s="630"/>
      <c r="L14" s="630"/>
      <c r="M14" s="811">
        <v>0</v>
      </c>
      <c r="N14" s="1560"/>
      <c r="O14" s="1560" t="str">
        <f t="shared" si="9"/>
        <v>ReH 2.995/2021</v>
      </c>
      <c r="P14" s="1569">
        <v>8.9499999999999996E-2</v>
      </c>
      <c r="Q14" s="1570">
        <v>8419443.0538159572</v>
      </c>
      <c r="R14" s="1568">
        <v>44531</v>
      </c>
      <c r="S14" s="1560" t="str">
        <f t="shared" si="10"/>
        <v>Desp. 521/2022</v>
      </c>
      <c r="T14" s="630" t="s">
        <v>314</v>
      </c>
      <c r="U14" s="741" t="s">
        <v>296</v>
      </c>
      <c r="V14" s="630">
        <v>2024</v>
      </c>
      <c r="W14" s="1555">
        <v>2910</v>
      </c>
      <c r="X14" s="1556" t="s">
        <v>2160</v>
      </c>
      <c r="Y14" s="1557">
        <v>1.15E-2</v>
      </c>
      <c r="Z14" s="1558">
        <v>0</v>
      </c>
      <c r="AA14" s="1558" t="s">
        <v>313</v>
      </c>
      <c r="AB14" s="1560">
        <v>33.24</v>
      </c>
      <c r="AC14" s="1561">
        <v>986.44</v>
      </c>
      <c r="AD14" s="1561">
        <v>2124774.87</v>
      </c>
      <c r="AE14" s="741">
        <v>43647</v>
      </c>
      <c r="AF14" s="741">
        <v>43647</v>
      </c>
      <c r="AG14" s="1560">
        <v>0</v>
      </c>
      <c r="AH14" s="630"/>
      <c r="AI14" s="741">
        <v>41472</v>
      </c>
      <c r="AJ14" s="741">
        <v>42562</v>
      </c>
      <c r="AK14" s="741" t="s">
        <v>290</v>
      </c>
      <c r="AL14" s="741"/>
      <c r="AM14" s="741"/>
      <c r="AN14" s="860"/>
      <c r="AO14" s="235"/>
      <c r="AP14" s="17"/>
      <c r="AR14" s="814" t="s">
        <v>315</v>
      </c>
      <c r="AS14" s="235"/>
      <c r="AT14" s="235"/>
      <c r="AX14" s="235"/>
    </row>
    <row r="15" spans="1:50" s="9" customFormat="1" ht="31.5">
      <c r="A15" s="630" t="s">
        <v>316</v>
      </c>
      <c r="B15" s="630" t="s">
        <v>317</v>
      </c>
      <c r="C15" s="630">
        <v>6610</v>
      </c>
      <c r="D15" s="630" t="s">
        <v>318</v>
      </c>
      <c r="E15" s="630" t="s">
        <v>283</v>
      </c>
      <c r="F15" s="630" t="s">
        <v>319</v>
      </c>
      <c r="G15" s="630" t="s">
        <v>285</v>
      </c>
      <c r="H15" s="630">
        <v>9.9699999999999997E-2</v>
      </c>
      <c r="I15" s="630" t="s">
        <v>286</v>
      </c>
      <c r="J15" s="630">
        <v>104</v>
      </c>
      <c r="K15" s="630"/>
      <c r="L15" s="630"/>
      <c r="M15" s="811">
        <v>0</v>
      </c>
      <c r="N15" s="1560"/>
      <c r="O15" s="1560" t="str">
        <f t="shared" si="9"/>
        <v>ReH 2.995/2021</v>
      </c>
      <c r="P15" s="1569">
        <v>0.14800000000000002</v>
      </c>
      <c r="Q15" s="1570">
        <v>5024282.8201926984</v>
      </c>
      <c r="R15" s="1568">
        <v>44531</v>
      </c>
      <c r="S15" s="1560" t="str">
        <f t="shared" si="10"/>
        <v>Desp. 521/2022</v>
      </c>
      <c r="T15" s="630" t="s">
        <v>320</v>
      </c>
      <c r="U15" s="741" t="s">
        <v>288</v>
      </c>
      <c r="V15" s="630">
        <v>2024</v>
      </c>
      <c r="W15" s="1555">
        <v>2978</v>
      </c>
      <c r="X15" s="1556" t="s">
        <v>2158</v>
      </c>
      <c r="Y15" s="630"/>
      <c r="AA15" s="1558" t="s">
        <v>289</v>
      </c>
      <c r="AB15" s="1560">
        <v>98.54</v>
      </c>
      <c r="AC15" s="1561">
        <v>492.16</v>
      </c>
      <c r="AD15" s="1561">
        <v>607256.85</v>
      </c>
      <c r="AE15" s="741">
        <v>43739</v>
      </c>
      <c r="AF15" s="741">
        <v>43739</v>
      </c>
      <c r="AG15" s="1560">
        <v>0</v>
      </c>
      <c r="AH15" s="630"/>
      <c r="AI15" s="741">
        <v>41472</v>
      </c>
      <c r="AJ15" s="741">
        <v>42673</v>
      </c>
      <c r="AK15" s="741" t="s">
        <v>290</v>
      </c>
      <c r="AL15" s="741"/>
      <c r="AM15" s="741"/>
      <c r="AN15" s="860"/>
      <c r="AO15" s="235"/>
      <c r="AP15" s="17"/>
      <c r="AR15" s="814" t="s">
        <v>321</v>
      </c>
      <c r="AS15" s="235"/>
      <c r="AT15" s="235"/>
      <c r="AX15" s="235"/>
    </row>
    <row r="16" spans="1:50" s="9" customFormat="1" ht="31.5">
      <c r="A16" s="630" t="s">
        <v>322</v>
      </c>
      <c r="B16" s="630" t="s">
        <v>323</v>
      </c>
      <c r="C16" s="630">
        <v>6609</v>
      </c>
      <c r="D16" s="630" t="s">
        <v>324</v>
      </c>
      <c r="E16" s="630" t="s">
        <v>283</v>
      </c>
      <c r="F16" s="630" t="s">
        <v>325</v>
      </c>
      <c r="G16" s="630" t="s">
        <v>285</v>
      </c>
      <c r="H16" s="630">
        <v>3.7699999999999997E-2</v>
      </c>
      <c r="I16" s="630" t="s">
        <v>125</v>
      </c>
      <c r="J16" s="630">
        <v>165</v>
      </c>
      <c r="K16" s="630"/>
      <c r="L16" s="630"/>
      <c r="M16" s="811">
        <v>0</v>
      </c>
      <c r="N16" s="1560"/>
      <c r="O16" s="1560" t="str">
        <f t="shared" si="9"/>
        <v>ReH 2.995/2021</v>
      </c>
      <c r="P16" s="1569">
        <v>0.1585</v>
      </c>
      <c r="Q16" s="1560">
        <v>13523024.849047249</v>
      </c>
      <c r="R16" s="1568">
        <v>44531</v>
      </c>
      <c r="S16" s="1560" t="str">
        <f t="shared" si="10"/>
        <v>Desp. 521/2022</v>
      </c>
      <c r="T16" s="630" t="s">
        <v>326</v>
      </c>
      <c r="U16" s="741" t="s">
        <v>327</v>
      </c>
      <c r="V16" s="630">
        <v>2024</v>
      </c>
      <c r="W16" s="1555">
        <v>2903</v>
      </c>
      <c r="X16" s="1556" t="s">
        <v>2160</v>
      </c>
      <c r="Y16" s="1557">
        <v>1.15E-2</v>
      </c>
      <c r="Z16" s="488">
        <v>0</v>
      </c>
      <c r="AA16" s="488" t="s">
        <v>125</v>
      </c>
      <c r="AB16" s="1560">
        <v>23.817216620837154</v>
      </c>
      <c r="AC16" s="1561">
        <v>102.39004092957872</v>
      </c>
      <c r="AD16" s="1561">
        <v>8424461.6320540309</v>
      </c>
      <c r="AE16" s="741">
        <v>44389</v>
      </c>
      <c r="AF16" s="741">
        <v>44389</v>
      </c>
      <c r="AG16" s="1560">
        <v>0</v>
      </c>
      <c r="AH16" s="630"/>
      <c r="AI16" s="741">
        <v>41472</v>
      </c>
      <c r="AJ16" s="741">
        <v>42507</v>
      </c>
      <c r="AK16" s="741" t="s">
        <v>290</v>
      </c>
      <c r="AL16" s="741"/>
      <c r="AM16" s="741"/>
      <c r="AN16" s="860"/>
      <c r="AO16" s="235"/>
      <c r="AP16" s="17"/>
      <c r="AR16" s="814" t="s">
        <v>328</v>
      </c>
      <c r="AS16" s="235"/>
      <c r="AT16" s="235"/>
      <c r="AX16" s="235"/>
    </row>
    <row r="17" spans="1:50" s="9" customFormat="1" ht="31.5">
      <c r="A17" s="630" t="s">
        <v>329</v>
      </c>
      <c r="B17" s="630" t="s">
        <v>330</v>
      </c>
      <c r="C17" s="630">
        <v>5384</v>
      </c>
      <c r="D17" s="630" t="s">
        <v>331</v>
      </c>
      <c r="E17" s="630" t="s">
        <v>283</v>
      </c>
      <c r="F17" s="630" t="s">
        <v>332</v>
      </c>
      <c r="G17" s="630" t="s">
        <v>285</v>
      </c>
      <c r="H17" s="630">
        <v>9.9699999999999997E-2</v>
      </c>
      <c r="I17" s="630" t="s">
        <v>150</v>
      </c>
      <c r="J17" s="630">
        <v>136</v>
      </c>
      <c r="K17" s="630"/>
      <c r="L17" s="630"/>
      <c r="M17" s="811">
        <v>0</v>
      </c>
      <c r="N17" s="1560"/>
      <c r="O17" s="1560" t="str">
        <f t="shared" si="9"/>
        <v>ReH 2.995/2021</v>
      </c>
      <c r="P17" s="1569">
        <v>0.36620000000000003</v>
      </c>
      <c r="Q17" s="1560">
        <v>10580562.183376934</v>
      </c>
      <c r="R17" s="1568">
        <v>44531</v>
      </c>
      <c r="S17" s="1560" t="str">
        <f t="shared" si="10"/>
        <v>Desp. 521/2022</v>
      </c>
      <c r="T17" s="630" t="s">
        <v>333</v>
      </c>
      <c r="U17" s="741" t="s">
        <v>296</v>
      </c>
      <c r="V17" s="630">
        <v>2024</v>
      </c>
      <c r="W17" s="1555">
        <v>2873</v>
      </c>
      <c r="X17" s="1556" t="s">
        <v>2159</v>
      </c>
      <c r="Y17" s="630"/>
      <c r="AA17" s="1558" t="s">
        <v>150</v>
      </c>
      <c r="AB17" s="1560">
        <v>90.43</v>
      </c>
      <c r="AC17" s="1561">
        <v>237.88</v>
      </c>
      <c r="AD17" s="1561">
        <v>1254128.21</v>
      </c>
      <c r="AE17" s="741">
        <v>43198</v>
      </c>
      <c r="AF17" s="741">
        <v>43198</v>
      </c>
      <c r="AG17" s="1560">
        <v>0</v>
      </c>
      <c r="AH17" s="630"/>
      <c r="AI17" s="741">
        <v>41472</v>
      </c>
      <c r="AJ17" s="741">
        <v>42475</v>
      </c>
      <c r="AK17" s="741" t="s">
        <v>290</v>
      </c>
      <c r="AL17" s="741"/>
      <c r="AM17" s="741"/>
      <c r="AN17" s="860"/>
      <c r="AO17" s="235"/>
      <c r="AP17" s="17"/>
      <c r="AR17" s="814" t="s">
        <v>9</v>
      </c>
      <c r="AS17" s="235"/>
      <c r="AT17" s="235"/>
      <c r="AX17" s="235"/>
    </row>
    <row r="18" spans="1:50" s="9" customFormat="1" ht="31.5">
      <c r="A18" s="630" t="s">
        <v>334</v>
      </c>
      <c r="B18" s="630" t="s">
        <v>335</v>
      </c>
      <c r="C18" s="630">
        <v>5385</v>
      </c>
      <c r="D18" s="630" t="s">
        <v>336</v>
      </c>
      <c r="E18" s="630" t="s">
        <v>283</v>
      </c>
      <c r="F18" s="630" t="s">
        <v>337</v>
      </c>
      <c r="G18" s="630" t="s">
        <v>285</v>
      </c>
      <c r="H18" s="630">
        <v>3.7699999999999997E-2</v>
      </c>
      <c r="I18" s="630" t="s">
        <v>150</v>
      </c>
      <c r="J18" s="630">
        <v>136</v>
      </c>
      <c r="K18" s="630" t="s">
        <v>125</v>
      </c>
      <c r="L18" s="630">
        <v>165</v>
      </c>
      <c r="M18" s="811">
        <v>0</v>
      </c>
      <c r="N18" s="1560"/>
      <c r="O18" s="1560" t="str">
        <f t="shared" si="9"/>
        <v>ReH 2.995/2021</v>
      </c>
      <c r="P18" s="1569">
        <v>0.18079999999999999</v>
      </c>
      <c r="Q18" s="1560">
        <v>19362081.83872563</v>
      </c>
      <c r="R18" s="1568">
        <v>44531</v>
      </c>
      <c r="S18" s="1560" t="str">
        <f t="shared" si="10"/>
        <v>Desp. 521/2022</v>
      </c>
      <c r="T18" s="630" t="s">
        <v>338</v>
      </c>
      <c r="U18" s="741" t="s">
        <v>327</v>
      </c>
      <c r="V18" s="630">
        <v>2024</v>
      </c>
      <c r="W18" s="1555">
        <v>2874</v>
      </c>
      <c r="X18" s="1556" t="s">
        <v>2159</v>
      </c>
      <c r="Y18" s="1557">
        <v>1.15E-2</v>
      </c>
      <c r="Z18" s="488">
        <v>-7.9000000000000008E-3</v>
      </c>
      <c r="AA18" s="488" t="s">
        <v>150</v>
      </c>
      <c r="AB18" s="1560">
        <v>70.27</v>
      </c>
      <c r="AC18" s="1561">
        <v>237.88</v>
      </c>
      <c r="AD18" s="1561">
        <v>3687472.37</v>
      </c>
      <c r="AE18" s="741">
        <v>43198</v>
      </c>
      <c r="AF18" s="741">
        <v>43198</v>
      </c>
      <c r="AG18" s="1560">
        <v>0</v>
      </c>
      <c r="AH18" s="630"/>
      <c r="AI18" s="741">
        <v>41472</v>
      </c>
      <c r="AJ18" s="741">
        <v>42475</v>
      </c>
      <c r="AK18" s="741" t="s">
        <v>290</v>
      </c>
      <c r="AL18" s="741"/>
      <c r="AM18" s="741"/>
      <c r="AN18" s="860"/>
      <c r="AO18" s="235"/>
      <c r="AP18" s="17"/>
      <c r="AR18" s="814" t="s">
        <v>339</v>
      </c>
      <c r="AS18" s="235"/>
      <c r="AT18" s="235"/>
      <c r="AX18" s="235"/>
    </row>
    <row r="19" spans="1:50" s="9" customFormat="1" ht="31.5">
      <c r="A19" s="630" t="s">
        <v>340</v>
      </c>
      <c r="B19" s="630" t="s">
        <v>341</v>
      </c>
      <c r="C19" s="630">
        <v>5379</v>
      </c>
      <c r="D19" s="630" t="s">
        <v>342</v>
      </c>
      <c r="E19" s="630" t="s">
        <v>283</v>
      </c>
      <c r="F19" s="630" t="s">
        <v>343</v>
      </c>
      <c r="G19" s="630" t="s">
        <v>285</v>
      </c>
      <c r="H19" s="630">
        <v>3.7699999999999997E-2</v>
      </c>
      <c r="I19" s="630" t="s">
        <v>178</v>
      </c>
      <c r="J19" s="630">
        <v>135</v>
      </c>
      <c r="K19" s="630" t="s">
        <v>164</v>
      </c>
      <c r="L19" s="630">
        <v>145</v>
      </c>
      <c r="M19" s="811">
        <v>0</v>
      </c>
      <c r="N19" s="1560"/>
      <c r="O19" s="1560" t="str">
        <f t="shared" si="9"/>
        <v>ReH 2.995/2021</v>
      </c>
      <c r="P19" s="1569">
        <v>0.1321</v>
      </c>
      <c r="Q19" s="1560">
        <v>39394175.109390005</v>
      </c>
      <c r="R19" s="1568">
        <v>44531</v>
      </c>
      <c r="S19" s="1560" t="str">
        <f t="shared" si="10"/>
        <v>Desp. 521/2022</v>
      </c>
      <c r="T19" s="630" t="s">
        <v>344</v>
      </c>
      <c r="U19" s="741" t="s">
        <v>296</v>
      </c>
      <c r="V19" s="630">
        <v>2024</v>
      </c>
      <c r="W19" s="1555">
        <v>2975</v>
      </c>
      <c r="X19" s="1556" t="s">
        <v>2158</v>
      </c>
      <c r="Y19" s="1557">
        <v>1.15E-2</v>
      </c>
      <c r="Z19" s="488">
        <v>0</v>
      </c>
      <c r="AA19" s="1558" t="s">
        <v>302</v>
      </c>
      <c r="AB19" s="1562">
        <v>39.53</v>
      </c>
      <c r="AC19" s="1561">
        <v>532.64</v>
      </c>
      <c r="AD19" s="1561">
        <v>12412486.630000001</v>
      </c>
      <c r="AE19" s="741">
        <v>43739</v>
      </c>
      <c r="AF19" s="741">
        <v>43739</v>
      </c>
      <c r="AG19" s="1560">
        <v>0</v>
      </c>
      <c r="AH19" s="630"/>
      <c r="AI19" s="741">
        <v>41472</v>
      </c>
      <c r="AJ19" s="741">
        <v>42673</v>
      </c>
      <c r="AK19" s="741" t="s">
        <v>290</v>
      </c>
      <c r="AL19" s="741"/>
      <c r="AM19" s="741"/>
      <c r="AN19" s="860"/>
      <c r="AO19" s="235"/>
      <c r="AP19" s="17"/>
      <c r="AR19" s="814" t="s">
        <v>184</v>
      </c>
      <c r="AS19" s="235"/>
      <c r="AT19" s="235"/>
      <c r="AX19" s="235"/>
    </row>
    <row r="20" spans="1:50" s="9" customFormat="1" ht="31.5">
      <c r="A20" s="630" t="s">
        <v>315</v>
      </c>
      <c r="B20" s="630" t="s">
        <v>345</v>
      </c>
      <c r="C20" s="630">
        <v>5372</v>
      </c>
      <c r="D20" s="630" t="s">
        <v>346</v>
      </c>
      <c r="E20" s="630" t="s">
        <v>283</v>
      </c>
      <c r="F20" s="630" t="s">
        <v>347</v>
      </c>
      <c r="G20" s="630" t="s">
        <v>348</v>
      </c>
      <c r="H20" s="630">
        <v>9.9699999999999997E-2</v>
      </c>
      <c r="I20" s="630" t="s">
        <v>189</v>
      </c>
      <c r="J20" s="630">
        <v>111</v>
      </c>
      <c r="K20" s="630"/>
      <c r="L20" s="630"/>
      <c r="M20" s="811">
        <v>0</v>
      </c>
      <c r="N20" s="1560"/>
      <c r="O20" s="1560" t="str">
        <f t="shared" si="9"/>
        <v>ReH 2.995/2021</v>
      </c>
      <c r="P20" s="1569">
        <v>0.1079</v>
      </c>
      <c r="Q20" s="1570">
        <v>9742223.1963606756</v>
      </c>
      <c r="R20" s="1568">
        <v>44531</v>
      </c>
      <c r="S20" s="1560" t="str">
        <f t="shared" si="10"/>
        <v>Desp. 521/2022</v>
      </c>
      <c r="T20" s="630" t="s">
        <v>349</v>
      </c>
      <c r="U20" s="741" t="s">
        <v>350</v>
      </c>
      <c r="V20" s="630">
        <v>2024</v>
      </c>
      <c r="W20" s="1555">
        <v>2946</v>
      </c>
      <c r="X20" s="1556" t="s">
        <v>2162</v>
      </c>
      <c r="Y20" s="630"/>
      <c r="AA20" s="1558" t="s">
        <v>189</v>
      </c>
      <c r="AB20" s="1560">
        <v>59.846956156846908</v>
      </c>
      <c r="AC20" s="1561">
        <v>180.36</v>
      </c>
      <c r="AD20" s="1561">
        <v>3290792.2979728933</v>
      </c>
      <c r="AE20" s="741">
        <v>44430</v>
      </c>
      <c r="AF20" s="741">
        <v>44430</v>
      </c>
      <c r="AG20" s="1560">
        <v>0</v>
      </c>
      <c r="AH20" s="630"/>
      <c r="AI20" s="741">
        <v>41472</v>
      </c>
      <c r="AJ20" s="741">
        <v>42641</v>
      </c>
      <c r="AK20" s="741" t="s">
        <v>290</v>
      </c>
      <c r="AL20" s="741"/>
      <c r="AM20" s="741"/>
      <c r="AN20" s="860"/>
      <c r="AO20" s="235"/>
      <c r="AP20" s="17"/>
      <c r="AR20" s="814" t="s">
        <v>196</v>
      </c>
      <c r="AS20" s="235"/>
      <c r="AT20" s="235"/>
      <c r="AX20" s="235"/>
    </row>
    <row r="21" spans="1:50" s="9" customFormat="1" ht="31.5">
      <c r="A21" s="630" t="s">
        <v>9</v>
      </c>
      <c r="B21" s="630" t="s">
        <v>351</v>
      </c>
      <c r="C21" s="630">
        <v>5367</v>
      </c>
      <c r="D21" s="630" t="s">
        <v>352</v>
      </c>
      <c r="E21" s="630" t="s">
        <v>283</v>
      </c>
      <c r="F21" s="630" t="s">
        <v>353</v>
      </c>
      <c r="G21" s="630" t="s">
        <v>348</v>
      </c>
      <c r="H21" s="630">
        <v>9.9699999999999997E-2</v>
      </c>
      <c r="I21" s="630" t="s">
        <v>189</v>
      </c>
      <c r="J21" s="630">
        <v>111</v>
      </c>
      <c r="K21" s="630" t="s">
        <v>354</v>
      </c>
      <c r="L21" s="630">
        <v>110</v>
      </c>
      <c r="M21" s="811">
        <v>0</v>
      </c>
      <c r="N21" s="1560"/>
      <c r="O21" s="1560" t="str">
        <f t="shared" si="9"/>
        <v>ReH 2.995/2021</v>
      </c>
      <c r="P21" s="1569">
        <v>8.7999999999999995E-2</v>
      </c>
      <c r="Q21" s="1560">
        <v>28257854.842311971</v>
      </c>
      <c r="R21" s="1568">
        <v>44531</v>
      </c>
      <c r="S21" s="1560" t="str">
        <f t="shared" si="10"/>
        <v>Desp. 521/2022</v>
      </c>
      <c r="T21" s="630" t="s">
        <v>355</v>
      </c>
      <c r="U21" s="741" t="s">
        <v>356</v>
      </c>
      <c r="V21" s="630">
        <v>2025</v>
      </c>
      <c r="W21" s="1555">
        <v>3000</v>
      </c>
      <c r="X21" s="1556" t="s">
        <v>2157</v>
      </c>
      <c r="Y21" s="630"/>
      <c r="AA21" s="1558" t="s">
        <v>189</v>
      </c>
      <c r="AB21" s="1560">
        <v>46.284812313198138</v>
      </c>
      <c r="AC21" s="1561">
        <v>180.36</v>
      </c>
      <c r="AD21" s="1561">
        <v>11703468.880194727</v>
      </c>
      <c r="AE21" s="741">
        <v>44430</v>
      </c>
      <c r="AF21" s="741">
        <v>44430</v>
      </c>
      <c r="AG21" s="1560">
        <v>0</v>
      </c>
      <c r="AH21" s="630"/>
      <c r="AI21" s="741">
        <v>41365</v>
      </c>
      <c r="AJ21" s="741">
        <v>42641</v>
      </c>
      <c r="AK21" s="741" t="s">
        <v>290</v>
      </c>
      <c r="AL21" s="741"/>
      <c r="AM21" s="741"/>
      <c r="AN21" s="860"/>
      <c r="AO21" s="235"/>
      <c r="AP21" s="17"/>
      <c r="AR21" s="814" t="s">
        <v>357</v>
      </c>
      <c r="AS21" s="235"/>
      <c r="AT21" s="235"/>
      <c r="AX21" s="235"/>
    </row>
    <row r="22" spans="1:50" s="9" customFormat="1" ht="31.5">
      <c r="A22" s="630" t="s">
        <v>339</v>
      </c>
      <c r="B22" s="630" t="s">
        <v>358</v>
      </c>
      <c r="C22" s="630">
        <v>6897</v>
      </c>
      <c r="D22" s="630" t="s">
        <v>359</v>
      </c>
      <c r="E22" s="630" t="s">
        <v>283</v>
      </c>
      <c r="F22" s="630" t="s">
        <v>360</v>
      </c>
      <c r="G22" s="630" t="s">
        <v>348</v>
      </c>
      <c r="H22" s="630">
        <v>9.9699999999999997E-2</v>
      </c>
      <c r="I22" s="630" t="s">
        <v>189</v>
      </c>
      <c r="J22" s="630">
        <v>111</v>
      </c>
      <c r="K22" s="630"/>
      <c r="L22" s="630"/>
      <c r="M22" s="811">
        <v>0</v>
      </c>
      <c r="N22" s="1560"/>
      <c r="O22" s="1560" t="str">
        <f t="shared" si="9"/>
        <v>ReH 2.995/2021</v>
      </c>
      <c r="P22" s="1569">
        <v>0.11210000000000001</v>
      </c>
      <c r="Q22" s="1560">
        <v>25814070.878469311</v>
      </c>
      <c r="R22" s="1568">
        <v>44531</v>
      </c>
      <c r="S22" s="1560" t="str">
        <f t="shared" si="10"/>
        <v>Desp. 521/2022</v>
      </c>
      <c r="T22" s="630" t="s">
        <v>361</v>
      </c>
      <c r="U22" s="741" t="s">
        <v>350</v>
      </c>
      <c r="V22" s="630">
        <v>2024</v>
      </c>
      <c r="W22" s="1555">
        <v>2939</v>
      </c>
      <c r="X22" s="1556" t="s">
        <v>2162</v>
      </c>
      <c r="Y22" s="630"/>
      <c r="AA22" s="1558" t="s">
        <v>189</v>
      </c>
      <c r="AB22" s="1560">
        <v>48.427014093503388</v>
      </c>
      <c r="AC22" s="1561">
        <v>180.36</v>
      </c>
      <c r="AD22" s="1561">
        <v>10692706.342225492</v>
      </c>
      <c r="AE22" s="741">
        <v>44430</v>
      </c>
      <c r="AF22" s="741">
        <v>44430</v>
      </c>
      <c r="AG22" s="1560">
        <v>0</v>
      </c>
      <c r="AH22" s="630"/>
      <c r="AI22" s="741">
        <v>41472</v>
      </c>
      <c r="AJ22" s="741">
        <v>42641</v>
      </c>
      <c r="AK22" s="741" t="s">
        <v>290</v>
      </c>
      <c r="AL22" s="741"/>
      <c r="AM22" s="741"/>
      <c r="AN22" s="860"/>
      <c r="AO22" s="235"/>
      <c r="AP22" s="17"/>
      <c r="AR22" s="814" t="s">
        <v>362</v>
      </c>
      <c r="AS22" s="235"/>
      <c r="AT22" s="235"/>
      <c r="AX22" s="235"/>
    </row>
    <row r="23" spans="1:50" s="9" customFormat="1" ht="31.5">
      <c r="A23" s="630" t="s">
        <v>184</v>
      </c>
      <c r="B23" s="630" t="s">
        <v>363</v>
      </c>
      <c r="C23" s="630">
        <v>5351</v>
      </c>
      <c r="D23" s="630" t="s">
        <v>364</v>
      </c>
      <c r="E23" s="630" t="s">
        <v>283</v>
      </c>
      <c r="F23" s="630" t="s">
        <v>365</v>
      </c>
      <c r="G23" s="630" t="s">
        <v>348</v>
      </c>
      <c r="H23" s="630">
        <v>9.9699999999999997E-2</v>
      </c>
      <c r="I23" s="630" t="s">
        <v>362</v>
      </c>
      <c r="J23" s="630">
        <v>220</v>
      </c>
      <c r="K23" s="630"/>
      <c r="L23" s="630"/>
      <c r="M23" s="811">
        <v>0</v>
      </c>
      <c r="N23" s="1560"/>
      <c r="O23" s="1560" t="str">
        <f t="shared" si="9"/>
        <v>ReH 2.995/2021</v>
      </c>
      <c r="P23" s="1569">
        <v>5.1200000000000002E-2</v>
      </c>
      <c r="Q23" s="1560">
        <v>6592780.5451776758</v>
      </c>
      <c r="R23" s="1568">
        <v>44531</v>
      </c>
      <c r="S23" s="1560" t="str">
        <f t="shared" si="10"/>
        <v>Desp. 521/2022</v>
      </c>
      <c r="T23" s="630" t="s">
        <v>366</v>
      </c>
      <c r="U23" s="741" t="s">
        <v>350</v>
      </c>
      <c r="V23" s="630">
        <v>2024</v>
      </c>
      <c r="W23" s="1555">
        <v>2976</v>
      </c>
      <c r="X23" s="1556" t="s">
        <v>2158</v>
      </c>
      <c r="Y23" s="630"/>
      <c r="AA23" s="1558" t="s">
        <v>189</v>
      </c>
      <c r="AB23" s="1560">
        <v>16.172212694965044</v>
      </c>
      <c r="AC23" s="1561">
        <v>180.36</v>
      </c>
      <c r="AD23" s="1561">
        <v>3766690.3356666476</v>
      </c>
      <c r="AE23" s="741">
        <v>44430</v>
      </c>
      <c r="AF23" s="741">
        <v>44430</v>
      </c>
      <c r="AG23" s="1560">
        <v>0</v>
      </c>
      <c r="AH23" s="630"/>
      <c r="AI23" s="741">
        <v>41472</v>
      </c>
      <c r="AJ23" s="741">
        <v>42641</v>
      </c>
      <c r="AK23" s="741" t="s">
        <v>290</v>
      </c>
      <c r="AL23" s="741"/>
      <c r="AM23" s="741"/>
      <c r="AN23" s="860">
        <v>415113.21</v>
      </c>
      <c r="AO23" s="235"/>
      <c r="AP23" s="17"/>
      <c r="AR23" s="814" t="s">
        <v>367</v>
      </c>
      <c r="AS23" s="235"/>
      <c r="AT23" s="235"/>
      <c r="AX23" s="235"/>
    </row>
    <row r="24" spans="1:50" s="9" customFormat="1" ht="31.5">
      <c r="A24" s="630" t="s">
        <v>362</v>
      </c>
      <c r="B24" s="630" t="s">
        <v>368</v>
      </c>
      <c r="C24" s="630">
        <v>6898</v>
      </c>
      <c r="D24" s="630" t="s">
        <v>369</v>
      </c>
      <c r="E24" s="630" t="s">
        <v>283</v>
      </c>
      <c r="F24" s="630" t="s">
        <v>370</v>
      </c>
      <c r="G24" s="630" t="s">
        <v>348</v>
      </c>
      <c r="H24" s="630">
        <v>9.9699999999999997E-2</v>
      </c>
      <c r="I24" s="630" t="s">
        <v>189</v>
      </c>
      <c r="J24" s="630">
        <v>111</v>
      </c>
      <c r="K24" s="630"/>
      <c r="L24" s="630"/>
      <c r="M24" s="811">
        <v>0</v>
      </c>
      <c r="N24" s="1560"/>
      <c r="O24" s="1560" t="str">
        <f t="shared" si="9"/>
        <v>ReH 2.995/2021</v>
      </c>
      <c r="P24" s="1569">
        <v>7.1800000000000003E-2</v>
      </c>
      <c r="Q24" s="1560">
        <v>32515799.777980469</v>
      </c>
      <c r="R24" s="1568">
        <v>44531</v>
      </c>
      <c r="S24" s="1560" t="str">
        <f t="shared" si="10"/>
        <v>Desp. 521/2022</v>
      </c>
      <c r="T24" s="630" t="s">
        <v>371</v>
      </c>
      <c r="U24" s="741" t="s">
        <v>350</v>
      </c>
      <c r="V24" s="630">
        <v>2024</v>
      </c>
      <c r="W24" s="1555">
        <v>2949</v>
      </c>
      <c r="X24" s="1556" t="s">
        <v>2162</v>
      </c>
      <c r="Y24" s="630"/>
      <c r="AA24" s="1558" t="s">
        <v>189</v>
      </c>
      <c r="AB24" s="1560">
        <v>77.349128723029523</v>
      </c>
      <c r="AC24" s="1561">
        <v>180.36</v>
      </c>
      <c r="AD24" s="1561">
        <v>9354913.9292200413</v>
      </c>
      <c r="AE24" s="741">
        <v>44430</v>
      </c>
      <c r="AF24" s="741">
        <v>44430</v>
      </c>
      <c r="AG24" s="1560">
        <v>0</v>
      </c>
      <c r="AH24" s="630"/>
      <c r="AI24" s="741">
        <v>41472</v>
      </c>
      <c r="AJ24" s="741">
        <v>42641</v>
      </c>
      <c r="AK24" s="741" t="s">
        <v>290</v>
      </c>
      <c r="AL24" s="741"/>
      <c r="AM24" s="741"/>
      <c r="AN24" s="860"/>
      <c r="AO24" s="235"/>
      <c r="AP24" s="17"/>
      <c r="AR24" s="814" t="s">
        <v>372</v>
      </c>
      <c r="AS24" s="235"/>
      <c r="AT24" s="235"/>
      <c r="AX24" s="235"/>
    </row>
    <row r="25" spans="1:50" s="9" customFormat="1" ht="31.5">
      <c r="A25" s="630" t="s">
        <v>373</v>
      </c>
      <c r="B25" s="630" t="s">
        <v>374</v>
      </c>
      <c r="C25" s="630">
        <v>5352</v>
      </c>
      <c r="D25" s="630" t="s">
        <v>375</v>
      </c>
      <c r="E25" s="630" t="s">
        <v>283</v>
      </c>
      <c r="F25" s="630" t="s">
        <v>376</v>
      </c>
      <c r="G25" s="630" t="s">
        <v>348</v>
      </c>
      <c r="H25" s="630">
        <v>9.9699999999999997E-2</v>
      </c>
      <c r="I25" s="630" t="s">
        <v>189</v>
      </c>
      <c r="J25" s="630">
        <v>111</v>
      </c>
      <c r="K25" s="630"/>
      <c r="L25" s="630"/>
      <c r="M25" s="811">
        <v>0</v>
      </c>
      <c r="N25" s="1560"/>
      <c r="O25" s="1560" t="str">
        <f t="shared" si="9"/>
        <v>ReH 2.995/2021</v>
      </c>
      <c r="P25" s="1569">
        <v>8.72E-2</v>
      </c>
      <c r="Q25" s="1560">
        <v>27692113.474028908</v>
      </c>
      <c r="R25" s="1568">
        <v>44531</v>
      </c>
      <c r="S25" s="1560" t="str">
        <f t="shared" si="10"/>
        <v>Desp. 521/2022</v>
      </c>
      <c r="T25" s="630" t="s">
        <v>377</v>
      </c>
      <c r="U25" s="741" t="s">
        <v>378</v>
      </c>
      <c r="V25" s="630">
        <v>2024</v>
      </c>
      <c r="W25" s="1555">
        <v>2940</v>
      </c>
      <c r="X25" s="1556" t="s">
        <v>2162</v>
      </c>
      <c r="Y25" s="630"/>
      <c r="AA25" s="1558" t="s">
        <v>189</v>
      </c>
      <c r="AB25" s="1560">
        <v>22.580552842543515</v>
      </c>
      <c r="AC25" s="1561">
        <v>180.36</v>
      </c>
      <c r="AD25" s="1561">
        <v>16232843.86472071</v>
      </c>
      <c r="AE25" s="741">
        <v>44430</v>
      </c>
      <c r="AF25" s="741">
        <v>44430</v>
      </c>
      <c r="AG25" s="1560">
        <v>0</v>
      </c>
      <c r="AH25" s="630"/>
      <c r="AI25" s="741">
        <v>41472</v>
      </c>
      <c r="AJ25" s="741">
        <v>42641</v>
      </c>
      <c r="AK25" s="741" t="s">
        <v>290</v>
      </c>
      <c r="AL25" s="741"/>
      <c r="AM25" s="741"/>
      <c r="AN25" s="860"/>
      <c r="AO25" s="235"/>
      <c r="AP25" s="17"/>
      <c r="AR25" s="814" t="s">
        <v>373</v>
      </c>
      <c r="AS25" s="235"/>
      <c r="AT25" s="235"/>
      <c r="AX25" s="235"/>
    </row>
    <row r="26" spans="1:50" s="9" customFormat="1" ht="31.5">
      <c r="A26" s="630" t="s">
        <v>185</v>
      </c>
      <c r="B26" s="630" t="s">
        <v>379</v>
      </c>
      <c r="C26" s="630">
        <v>5353</v>
      </c>
      <c r="D26" s="630" t="s">
        <v>380</v>
      </c>
      <c r="E26" s="630" t="s">
        <v>283</v>
      </c>
      <c r="F26" s="630" t="s">
        <v>381</v>
      </c>
      <c r="G26" s="630" t="s">
        <v>348</v>
      </c>
      <c r="H26" s="630">
        <v>9.9699999999999997E-2</v>
      </c>
      <c r="I26" s="630" t="s">
        <v>189</v>
      </c>
      <c r="J26" s="630">
        <v>111</v>
      </c>
      <c r="K26" s="630"/>
      <c r="L26" s="630"/>
      <c r="M26" s="811">
        <v>0</v>
      </c>
      <c r="N26" s="1560"/>
      <c r="O26" s="1560" t="str">
        <f t="shared" si="9"/>
        <v>ReH 2.995/2021</v>
      </c>
      <c r="P26" s="1569">
        <v>5.5899999999999998E-2</v>
      </c>
      <c r="Q26" s="1570">
        <v>21470201.670165978</v>
      </c>
      <c r="R26" s="1568">
        <v>44531</v>
      </c>
      <c r="S26" s="1560" t="str">
        <f t="shared" si="10"/>
        <v>Desp. 521/2022</v>
      </c>
      <c r="T26" s="630" t="s">
        <v>382</v>
      </c>
      <c r="U26" s="741" t="s">
        <v>383</v>
      </c>
      <c r="V26" s="630">
        <v>2024</v>
      </c>
      <c r="W26" s="1555">
        <v>2950</v>
      </c>
      <c r="X26" s="1556" t="s">
        <v>2162</v>
      </c>
      <c r="Y26" s="630"/>
      <c r="AA26" s="1558" t="s">
        <v>189</v>
      </c>
      <c r="AB26" s="1560">
        <v>133.2436333697292</v>
      </c>
      <c r="AC26" s="1561">
        <v>180.36</v>
      </c>
      <c r="AD26" s="1561">
        <v>755772.02907041553</v>
      </c>
      <c r="AE26" s="741">
        <v>44430</v>
      </c>
      <c r="AF26" s="741">
        <v>44430</v>
      </c>
      <c r="AG26" s="1560">
        <v>0</v>
      </c>
      <c r="AH26" s="630"/>
      <c r="AI26" s="741">
        <v>41472</v>
      </c>
      <c r="AJ26" s="741">
        <v>42641</v>
      </c>
      <c r="AK26" s="741" t="s">
        <v>290</v>
      </c>
      <c r="AL26" s="741"/>
      <c r="AM26" s="741"/>
      <c r="AN26" s="860">
        <v>1175911.3899999999</v>
      </c>
      <c r="AO26" s="235"/>
      <c r="AP26" s="17"/>
      <c r="AR26" s="814" t="s">
        <v>182</v>
      </c>
      <c r="AS26" s="235"/>
      <c r="AT26" s="235"/>
      <c r="AX26" s="235"/>
    </row>
    <row r="27" spans="1:50" s="9" customFormat="1" ht="31.5">
      <c r="A27" s="630" t="s">
        <v>384</v>
      </c>
      <c r="B27" s="630" t="s">
        <v>385</v>
      </c>
      <c r="C27" s="630">
        <v>5355</v>
      </c>
      <c r="D27" s="630" t="s">
        <v>386</v>
      </c>
      <c r="E27" s="630" t="s">
        <v>283</v>
      </c>
      <c r="F27" s="630" t="s">
        <v>387</v>
      </c>
      <c r="G27" s="630" t="s">
        <v>348</v>
      </c>
      <c r="H27" s="630">
        <v>9.9699999999999997E-2</v>
      </c>
      <c r="I27" s="630" t="s">
        <v>189</v>
      </c>
      <c r="J27" s="630">
        <v>111</v>
      </c>
      <c r="K27" s="630"/>
      <c r="L27" s="630"/>
      <c r="M27" s="811">
        <v>0</v>
      </c>
      <c r="N27" s="1560"/>
      <c r="O27" s="1560" t="str">
        <f t="shared" si="9"/>
        <v>ReH 2.995/2021</v>
      </c>
      <c r="P27" s="1569">
        <v>9.4600000000000004E-2</v>
      </c>
      <c r="Q27" s="1560">
        <v>8199512.497046981</v>
      </c>
      <c r="R27" s="1568">
        <v>44531</v>
      </c>
      <c r="S27" s="1560" t="str">
        <f t="shared" si="10"/>
        <v>Desp. 521/2022</v>
      </c>
      <c r="T27" s="630" t="s">
        <v>388</v>
      </c>
      <c r="U27" s="741" t="s">
        <v>389</v>
      </c>
      <c r="V27" s="630">
        <v>2025</v>
      </c>
      <c r="W27" s="1555">
        <v>2957</v>
      </c>
      <c r="X27" s="1556" t="s">
        <v>2162</v>
      </c>
      <c r="Y27" s="630"/>
      <c r="AA27" s="1558" t="s">
        <v>189</v>
      </c>
      <c r="AB27" s="1560">
        <v>52.855625463016914</v>
      </c>
      <c r="AC27" s="1561">
        <v>180.36</v>
      </c>
      <c r="AD27" s="1561">
        <v>3264076.527192608</v>
      </c>
      <c r="AE27" s="741">
        <v>44430</v>
      </c>
      <c r="AF27" s="741">
        <v>44430</v>
      </c>
      <c r="AG27" s="1560">
        <v>0</v>
      </c>
      <c r="AH27" s="630"/>
      <c r="AI27" s="741">
        <v>41365</v>
      </c>
      <c r="AJ27" s="741">
        <v>42641</v>
      </c>
      <c r="AK27" s="741" t="s">
        <v>290</v>
      </c>
      <c r="AL27" s="741"/>
      <c r="AM27" s="741"/>
      <c r="AN27" s="860"/>
      <c r="AO27" s="235"/>
      <c r="AP27" s="17"/>
      <c r="AR27" s="814" t="s">
        <v>390</v>
      </c>
      <c r="AS27" s="235"/>
      <c r="AT27" s="235"/>
      <c r="AX27" s="235"/>
    </row>
    <row r="28" spans="1:50" s="9" customFormat="1" ht="31.5">
      <c r="A28" s="630" t="s">
        <v>391</v>
      </c>
      <c r="B28" s="630" t="s">
        <v>392</v>
      </c>
      <c r="C28" s="630">
        <v>5363</v>
      </c>
      <c r="D28" s="630" t="s">
        <v>393</v>
      </c>
      <c r="E28" s="630" t="s">
        <v>283</v>
      </c>
      <c r="F28" s="630" t="s">
        <v>394</v>
      </c>
      <c r="G28" s="630" t="s">
        <v>348</v>
      </c>
      <c r="H28" s="630">
        <v>9.9699999999999997E-2</v>
      </c>
      <c r="I28" s="630" t="s">
        <v>189</v>
      </c>
      <c r="J28" s="630">
        <v>111</v>
      </c>
      <c r="K28" s="630"/>
      <c r="L28" s="630"/>
      <c r="M28" s="811">
        <v>0</v>
      </c>
      <c r="N28" s="1560"/>
      <c r="O28" s="1560" t="str">
        <f t="shared" si="9"/>
        <v>ReH 2.995/2021</v>
      </c>
      <c r="P28" s="1569">
        <v>8.7799999999999989E-2</v>
      </c>
      <c r="Q28" s="1560">
        <v>9453809.4927214365</v>
      </c>
      <c r="R28" s="1568">
        <v>44531</v>
      </c>
      <c r="S28" s="1560" t="str">
        <f t="shared" si="10"/>
        <v>Desp. 521/2022</v>
      </c>
      <c r="T28" s="630" t="s">
        <v>395</v>
      </c>
      <c r="U28" s="741" t="s">
        <v>350</v>
      </c>
      <c r="V28" s="630">
        <v>2024</v>
      </c>
      <c r="W28" s="1555">
        <v>2947</v>
      </c>
      <c r="X28" s="1556" t="s">
        <v>2162</v>
      </c>
      <c r="Y28" s="630"/>
      <c r="AA28" s="1558" t="s">
        <v>189</v>
      </c>
      <c r="AB28" s="1560">
        <v>58.247314361695402</v>
      </c>
      <c r="AC28" s="1561">
        <v>180.36</v>
      </c>
      <c r="AD28" s="1561">
        <v>2499952.1881573107</v>
      </c>
      <c r="AE28" s="741">
        <v>44430</v>
      </c>
      <c r="AF28" s="741">
        <v>44430</v>
      </c>
      <c r="AG28" s="1560">
        <v>0</v>
      </c>
      <c r="AH28" s="630"/>
      <c r="AI28" s="741">
        <v>41472</v>
      </c>
      <c r="AJ28" s="741">
        <v>42641</v>
      </c>
      <c r="AK28" s="741" t="s">
        <v>290</v>
      </c>
      <c r="AL28" s="741"/>
      <c r="AM28" s="741"/>
      <c r="AN28" s="860"/>
      <c r="AO28" s="235"/>
      <c r="AP28" s="17"/>
      <c r="AR28" s="814" t="s">
        <v>185</v>
      </c>
      <c r="AS28" s="235"/>
      <c r="AT28" s="235"/>
      <c r="AX28" s="235"/>
    </row>
    <row r="29" spans="1:50" s="9" customFormat="1" ht="31.5">
      <c r="A29" s="630" t="s">
        <v>396</v>
      </c>
      <c r="B29" s="630" t="s">
        <v>397</v>
      </c>
      <c r="C29" s="630">
        <v>5364</v>
      </c>
      <c r="D29" s="630" t="s">
        <v>398</v>
      </c>
      <c r="E29" s="630" t="s">
        <v>283</v>
      </c>
      <c r="F29" s="630" t="s">
        <v>399</v>
      </c>
      <c r="G29" s="630" t="s">
        <v>348</v>
      </c>
      <c r="H29" s="630">
        <v>9.9699999999999997E-2</v>
      </c>
      <c r="I29" s="630" t="s">
        <v>189</v>
      </c>
      <c r="J29" s="630">
        <v>111</v>
      </c>
      <c r="K29" s="630"/>
      <c r="L29" s="630"/>
      <c r="M29" s="811">
        <v>0</v>
      </c>
      <c r="N29" s="1560"/>
      <c r="O29" s="1560" t="str">
        <f t="shared" si="9"/>
        <v>ReH 2.995/2021</v>
      </c>
      <c r="P29" s="1569">
        <v>8.8100000000000012E-2</v>
      </c>
      <c r="Q29" s="1560">
        <v>28651980.425397582</v>
      </c>
      <c r="R29" s="1568">
        <v>44531</v>
      </c>
      <c r="S29" s="1560" t="str">
        <f t="shared" si="10"/>
        <v>Desp. 521/2022</v>
      </c>
      <c r="T29" s="630" t="s">
        <v>400</v>
      </c>
      <c r="U29" s="741" t="s">
        <v>401</v>
      </c>
      <c r="V29" s="630">
        <v>2022</v>
      </c>
      <c r="W29" s="1555">
        <v>2951</v>
      </c>
      <c r="X29" s="1556" t="s">
        <v>2162</v>
      </c>
      <c r="Y29" s="630"/>
      <c r="AA29" s="1558" t="s">
        <v>189</v>
      </c>
      <c r="AB29" s="1560">
        <v>179.67819908532709</v>
      </c>
      <c r="AC29" s="1561">
        <v>180.36</v>
      </c>
      <c r="AD29" s="1561">
        <v>1205667.8282342954</v>
      </c>
      <c r="AE29" s="741">
        <v>44430</v>
      </c>
      <c r="AF29" s="741">
        <v>44430</v>
      </c>
      <c r="AG29" s="1560">
        <v>0</v>
      </c>
      <c r="AH29" s="630"/>
      <c r="AI29" s="741">
        <v>41365</v>
      </c>
      <c r="AJ29" s="741">
        <v>42641</v>
      </c>
      <c r="AK29" s="741" t="s">
        <v>290</v>
      </c>
      <c r="AL29" s="741"/>
      <c r="AM29" s="741"/>
      <c r="AN29" s="860"/>
      <c r="AO29" s="235"/>
      <c r="AP29" s="17"/>
      <c r="AR29" s="814" t="s">
        <v>384</v>
      </c>
      <c r="AS29" s="235"/>
      <c r="AT29" s="235"/>
      <c r="AX29" s="235"/>
    </row>
    <row r="30" spans="1:50" s="9" customFormat="1" ht="31.5">
      <c r="A30" s="630" t="s">
        <v>402</v>
      </c>
      <c r="B30" s="630" t="s">
        <v>403</v>
      </c>
      <c r="C30" s="630">
        <v>5365</v>
      </c>
      <c r="D30" s="630" t="s">
        <v>404</v>
      </c>
      <c r="E30" s="630" t="s">
        <v>283</v>
      </c>
      <c r="F30" s="630" t="s">
        <v>405</v>
      </c>
      <c r="G30" s="630" t="s">
        <v>348</v>
      </c>
      <c r="H30" s="630">
        <v>9.9699999999999997E-2</v>
      </c>
      <c r="I30" s="630" t="s">
        <v>189</v>
      </c>
      <c r="J30" s="630">
        <v>111</v>
      </c>
      <c r="K30" s="630"/>
      <c r="L30" s="630"/>
      <c r="M30" s="811">
        <v>0</v>
      </c>
      <c r="N30" s="1560"/>
      <c r="O30" s="1560" t="str">
        <f t="shared" si="9"/>
        <v>ReH 2.995/2021</v>
      </c>
      <c r="P30" s="1569">
        <v>8.5999999999999993E-2</v>
      </c>
      <c r="Q30" s="1560">
        <v>22196667.859687008</v>
      </c>
      <c r="R30" s="1568">
        <v>44531</v>
      </c>
      <c r="S30" s="1560" t="str">
        <f t="shared" si="10"/>
        <v>Desp. 521/2022</v>
      </c>
      <c r="T30" s="630" t="s">
        <v>406</v>
      </c>
      <c r="U30" s="741" t="s">
        <v>350</v>
      </c>
      <c r="V30" s="630">
        <v>2024</v>
      </c>
      <c r="W30" s="1555">
        <v>2941</v>
      </c>
      <c r="X30" s="1556" t="s">
        <v>2162</v>
      </c>
      <c r="Y30" s="630"/>
      <c r="AA30" s="1558" t="s">
        <v>189</v>
      </c>
      <c r="AB30" s="1560">
        <v>91.699587599428298</v>
      </c>
      <c r="AC30" s="1561">
        <v>180.36</v>
      </c>
      <c r="AD30" s="1561">
        <v>3495955.8527844017</v>
      </c>
      <c r="AE30" s="741">
        <v>44430</v>
      </c>
      <c r="AF30" s="741">
        <v>44430</v>
      </c>
      <c r="AG30" s="1560">
        <v>0</v>
      </c>
      <c r="AH30" s="630"/>
      <c r="AI30" s="741">
        <v>41472</v>
      </c>
      <c r="AJ30" s="741">
        <v>42641</v>
      </c>
      <c r="AK30" s="741" t="s">
        <v>290</v>
      </c>
      <c r="AL30" s="741"/>
      <c r="AM30" s="741"/>
      <c r="AN30" s="860"/>
      <c r="AO30" s="235"/>
      <c r="AP30" s="17"/>
      <c r="AR30" s="814" t="s">
        <v>391</v>
      </c>
      <c r="AS30" s="235"/>
      <c r="AT30" s="235"/>
      <c r="AX30" s="235"/>
    </row>
    <row r="31" spans="1:50" s="9" customFormat="1" ht="31.5">
      <c r="A31" s="630" t="s">
        <v>407</v>
      </c>
      <c r="B31" s="630" t="s">
        <v>408</v>
      </c>
      <c r="C31" s="630">
        <v>5368</v>
      </c>
      <c r="D31" s="630" t="s">
        <v>409</v>
      </c>
      <c r="E31" s="630" t="s">
        <v>283</v>
      </c>
      <c r="F31" s="630" t="s">
        <v>410</v>
      </c>
      <c r="G31" s="630" t="s">
        <v>348</v>
      </c>
      <c r="H31" s="630">
        <v>9.9699999999999997E-2</v>
      </c>
      <c r="I31" s="630" t="s">
        <v>189</v>
      </c>
      <c r="J31" s="630">
        <v>111</v>
      </c>
      <c r="K31" s="630"/>
      <c r="L31" s="630"/>
      <c r="M31" s="811">
        <v>0</v>
      </c>
      <c r="N31" s="1560"/>
      <c r="O31" s="1560" t="str">
        <f t="shared" si="9"/>
        <v>ReH 2.995/2021</v>
      </c>
      <c r="P31" s="1569">
        <v>0.15049999999999999</v>
      </c>
      <c r="Q31" s="1570">
        <v>35954089.405949146</v>
      </c>
      <c r="R31" s="1568">
        <v>44531</v>
      </c>
      <c r="S31" s="1560" t="str">
        <f t="shared" si="10"/>
        <v>Desp. 521/2022</v>
      </c>
      <c r="T31" s="630" t="s">
        <v>411</v>
      </c>
      <c r="U31" s="741" t="s">
        <v>350</v>
      </c>
      <c r="V31" s="630">
        <v>2024</v>
      </c>
      <c r="W31" s="1555">
        <v>2953</v>
      </c>
      <c r="X31" s="1556" t="s">
        <v>2162</v>
      </c>
      <c r="Y31" s="630"/>
      <c r="AA31" s="1558" t="s">
        <v>189</v>
      </c>
      <c r="AB31" s="1560">
        <v>61.746716264073157</v>
      </c>
      <c r="AC31" s="1561">
        <v>180.36</v>
      </c>
      <c r="AD31" s="1561">
        <v>18151717.219335504</v>
      </c>
      <c r="AE31" s="741">
        <v>44430</v>
      </c>
      <c r="AF31" s="741">
        <v>44430</v>
      </c>
      <c r="AG31" s="1560">
        <v>0</v>
      </c>
      <c r="AH31" s="630"/>
      <c r="AI31" s="741">
        <v>41472</v>
      </c>
      <c r="AJ31" s="741">
        <v>42641</v>
      </c>
      <c r="AK31" s="741" t="s">
        <v>290</v>
      </c>
      <c r="AL31" s="741"/>
      <c r="AM31" s="741"/>
      <c r="AN31" s="860"/>
      <c r="AO31" s="235"/>
      <c r="AP31" s="17"/>
      <c r="AR31" s="814" t="s">
        <v>175</v>
      </c>
      <c r="AS31" s="235"/>
      <c r="AT31" s="235"/>
      <c r="AX31" s="235"/>
    </row>
    <row r="32" spans="1:50" s="9" customFormat="1" ht="31.5">
      <c r="A32" s="630" t="s">
        <v>412</v>
      </c>
      <c r="B32" s="630" t="s">
        <v>413</v>
      </c>
      <c r="C32" s="630">
        <v>5369</v>
      </c>
      <c r="D32" s="630" t="s">
        <v>414</v>
      </c>
      <c r="E32" s="630" t="s">
        <v>283</v>
      </c>
      <c r="F32" s="630" t="s">
        <v>415</v>
      </c>
      <c r="G32" s="630" t="s">
        <v>348</v>
      </c>
      <c r="H32" s="630">
        <v>9.9699999999999997E-2</v>
      </c>
      <c r="I32" s="630" t="s">
        <v>189</v>
      </c>
      <c r="J32" s="630">
        <v>111</v>
      </c>
      <c r="K32" s="630"/>
      <c r="L32" s="630"/>
      <c r="M32" s="811">
        <v>0</v>
      </c>
      <c r="N32" s="1560"/>
      <c r="O32" s="1560" t="str">
        <f t="shared" si="9"/>
        <v>ReH 2.995/2021</v>
      </c>
      <c r="P32" s="1569">
        <v>8.4100000000000008E-2</v>
      </c>
      <c r="Q32" s="1570">
        <v>13590865.443045003</v>
      </c>
      <c r="R32" s="1568">
        <v>44531</v>
      </c>
      <c r="S32" s="1560" t="str">
        <f t="shared" si="10"/>
        <v>Desp. 521/2022</v>
      </c>
      <c r="T32" s="630" t="s">
        <v>416</v>
      </c>
      <c r="U32" s="741" t="s">
        <v>389</v>
      </c>
      <c r="V32" s="630">
        <v>2025</v>
      </c>
      <c r="W32" s="1555">
        <v>2943</v>
      </c>
      <c r="X32" s="1556" t="s">
        <v>2162</v>
      </c>
      <c r="Y32" s="630"/>
      <c r="AA32" s="1558" t="s">
        <v>189</v>
      </c>
      <c r="AB32" s="1560">
        <v>81.509152888329083</v>
      </c>
      <c r="AC32" s="1561">
        <v>180.36</v>
      </c>
      <c r="AD32" s="1561">
        <v>2315515.5721165724</v>
      </c>
      <c r="AE32" s="741">
        <v>44430</v>
      </c>
      <c r="AF32" s="741">
        <v>44430</v>
      </c>
      <c r="AG32" s="1560">
        <v>0</v>
      </c>
      <c r="AH32" s="630"/>
      <c r="AI32" s="741">
        <v>41365</v>
      </c>
      <c r="AJ32" s="741">
        <v>42641</v>
      </c>
      <c r="AK32" s="741" t="s">
        <v>290</v>
      </c>
      <c r="AL32" s="741"/>
      <c r="AM32" s="741"/>
      <c r="AN32" s="860"/>
      <c r="AO32" s="235"/>
      <c r="AP32" s="17"/>
      <c r="AR32" s="814" t="s">
        <v>297</v>
      </c>
      <c r="AS32" s="235"/>
      <c r="AT32" s="235"/>
      <c r="AX32" s="235"/>
    </row>
    <row r="33" spans="1:50" s="9" customFormat="1" ht="31.5">
      <c r="A33" s="630" t="s">
        <v>188</v>
      </c>
      <c r="B33" s="630" t="s">
        <v>417</v>
      </c>
      <c r="C33" s="630">
        <v>5370</v>
      </c>
      <c r="D33" s="630" t="s">
        <v>418</v>
      </c>
      <c r="E33" s="630" t="s">
        <v>283</v>
      </c>
      <c r="F33" s="630" t="s">
        <v>419</v>
      </c>
      <c r="G33" s="630" t="s">
        <v>348</v>
      </c>
      <c r="H33" s="630">
        <v>9.9699999999999997E-2</v>
      </c>
      <c r="I33" s="630" t="s">
        <v>189</v>
      </c>
      <c r="J33" s="630">
        <v>111</v>
      </c>
      <c r="K33" s="630"/>
      <c r="L33" s="630"/>
      <c r="M33" s="811">
        <v>0</v>
      </c>
      <c r="N33" s="1560"/>
      <c r="O33" s="1560" t="str">
        <f t="shared" si="9"/>
        <v>ReH 2.995/2021</v>
      </c>
      <c r="P33" s="1569">
        <v>0.1076</v>
      </c>
      <c r="Q33" s="1570">
        <v>60899756.095931061</v>
      </c>
      <c r="R33" s="1568">
        <v>44531</v>
      </c>
      <c r="S33" s="1560" t="str">
        <f t="shared" si="10"/>
        <v>Desp. 521/2022</v>
      </c>
      <c r="T33" s="630" t="s">
        <v>420</v>
      </c>
      <c r="U33" s="741" t="s">
        <v>350</v>
      </c>
      <c r="V33" s="630">
        <v>2024</v>
      </c>
      <c r="W33" s="1555">
        <v>2937</v>
      </c>
      <c r="X33" s="1556" t="s">
        <v>2162</v>
      </c>
      <c r="Y33" s="630"/>
      <c r="AA33" s="1558" t="s">
        <v>189</v>
      </c>
      <c r="AB33" s="1560">
        <v>214.41662426644362</v>
      </c>
      <c r="AC33" s="1561">
        <v>180.36</v>
      </c>
      <c r="AD33" s="1561">
        <v>0</v>
      </c>
      <c r="AE33" s="741">
        <v>44430</v>
      </c>
      <c r="AF33" s="741">
        <v>44430</v>
      </c>
      <c r="AG33" s="1560">
        <v>0</v>
      </c>
      <c r="AH33" s="630"/>
      <c r="AI33" s="741">
        <v>41472</v>
      </c>
      <c r="AJ33" s="741">
        <v>42641</v>
      </c>
      <c r="AK33" s="741" t="s">
        <v>290</v>
      </c>
      <c r="AL33" s="741"/>
      <c r="AM33" s="741"/>
      <c r="AN33" s="860">
        <v>9419991.3800000008</v>
      </c>
      <c r="AO33" s="235"/>
      <c r="AP33" s="17"/>
      <c r="AR33" s="814" t="s">
        <v>303</v>
      </c>
      <c r="AS33" s="235"/>
      <c r="AT33" s="235"/>
      <c r="AX33" s="235"/>
    </row>
    <row r="34" spans="1:50" s="9" customFormat="1" ht="31.5">
      <c r="A34" s="630" t="s">
        <v>421</v>
      </c>
      <c r="B34" s="630" t="s">
        <v>422</v>
      </c>
      <c r="C34" s="630">
        <v>5371</v>
      </c>
      <c r="D34" s="630" t="s">
        <v>423</v>
      </c>
      <c r="E34" s="630" t="s">
        <v>283</v>
      </c>
      <c r="F34" s="630" t="s">
        <v>424</v>
      </c>
      <c r="G34" s="630" t="s">
        <v>348</v>
      </c>
      <c r="H34" s="630">
        <v>9.9699999999999997E-2</v>
      </c>
      <c r="I34" s="630" t="s">
        <v>189</v>
      </c>
      <c r="J34" s="630">
        <v>111</v>
      </c>
      <c r="K34" s="630" t="s">
        <v>425</v>
      </c>
      <c r="L34" s="630">
        <v>144</v>
      </c>
      <c r="M34" s="811">
        <v>0</v>
      </c>
      <c r="N34" s="1560"/>
      <c r="O34" s="1560" t="str">
        <f t="shared" si="9"/>
        <v>ReH 2.995/2021</v>
      </c>
      <c r="P34" s="1569">
        <v>9.5000000000000001E-2</v>
      </c>
      <c r="Q34" s="1560">
        <v>19126030.720523704</v>
      </c>
      <c r="R34" s="1568">
        <v>44531</v>
      </c>
      <c r="S34" s="1560" t="str">
        <f t="shared" si="10"/>
        <v>Desp. 521/2022</v>
      </c>
      <c r="T34" s="630" t="s">
        <v>426</v>
      </c>
      <c r="U34" s="741" t="s">
        <v>427</v>
      </c>
      <c r="V34" s="630">
        <v>2022</v>
      </c>
      <c r="W34" s="1555">
        <v>2948</v>
      </c>
      <c r="X34" s="1556" t="s">
        <v>2162</v>
      </c>
      <c r="Y34" s="630"/>
      <c r="AA34" s="1558" t="s">
        <v>189</v>
      </c>
      <c r="AB34" s="1560">
        <v>144.17854635765113</v>
      </c>
      <c r="AC34" s="1561">
        <v>180.36</v>
      </c>
      <c r="AD34" s="1561">
        <v>3162343.6648914311</v>
      </c>
      <c r="AE34" s="741">
        <v>44430</v>
      </c>
      <c r="AF34" s="741">
        <v>44430</v>
      </c>
      <c r="AG34" s="1560">
        <v>0</v>
      </c>
      <c r="AH34" s="630"/>
      <c r="AI34" s="741">
        <v>41365</v>
      </c>
      <c r="AJ34" s="741">
        <v>42641</v>
      </c>
      <c r="AK34" s="741" t="s">
        <v>290</v>
      </c>
      <c r="AL34" s="741"/>
      <c r="AM34" s="741"/>
      <c r="AN34" s="860"/>
      <c r="AO34" s="235"/>
      <c r="AP34" s="17"/>
      <c r="AR34" s="814" t="s">
        <v>309</v>
      </c>
      <c r="AS34" s="235"/>
      <c r="AT34" s="235"/>
      <c r="AX34" s="235"/>
    </row>
    <row r="35" spans="1:50" s="9" customFormat="1" ht="31.5">
      <c r="A35" s="630" t="s">
        <v>428</v>
      </c>
      <c r="B35" s="630" t="s">
        <v>429</v>
      </c>
      <c r="C35" s="630">
        <v>5373</v>
      </c>
      <c r="D35" s="630" t="s">
        <v>430</v>
      </c>
      <c r="E35" s="630" t="s">
        <v>283</v>
      </c>
      <c r="F35" s="630" t="s">
        <v>431</v>
      </c>
      <c r="G35" s="630" t="s">
        <v>348</v>
      </c>
      <c r="H35" s="630">
        <v>9.9699999999999997E-2</v>
      </c>
      <c r="I35" s="630" t="s">
        <v>189</v>
      </c>
      <c r="J35" s="630">
        <v>111</v>
      </c>
      <c r="K35" s="630"/>
      <c r="L35" s="630"/>
      <c r="M35" s="811">
        <v>0</v>
      </c>
      <c r="N35" s="1560"/>
      <c r="O35" s="1560" t="str">
        <f t="shared" si="9"/>
        <v>ReH 2.995/2021</v>
      </c>
      <c r="P35" s="1569">
        <v>0.1487</v>
      </c>
      <c r="Q35" s="1560">
        <v>2738505.6826723199</v>
      </c>
      <c r="R35" s="1568">
        <v>44531</v>
      </c>
      <c r="S35" s="1560" t="str">
        <f t="shared" si="10"/>
        <v>Desp. 521/2022</v>
      </c>
      <c r="T35" s="630" t="s">
        <v>432</v>
      </c>
      <c r="U35" s="741" t="s">
        <v>383</v>
      </c>
      <c r="V35" s="630">
        <v>2024</v>
      </c>
      <c r="W35" s="1555">
        <v>2942</v>
      </c>
      <c r="X35" s="1556" t="s">
        <v>2162</v>
      </c>
      <c r="Y35" s="630"/>
      <c r="AA35" s="1558" t="s">
        <v>189</v>
      </c>
      <c r="AB35" s="1560">
        <v>63.276120153090822</v>
      </c>
      <c r="AC35" s="1561">
        <v>180.36</v>
      </c>
      <c r="AD35" s="1561">
        <v>1357439.1316492993</v>
      </c>
      <c r="AE35" s="741">
        <v>44430</v>
      </c>
      <c r="AF35" s="741">
        <v>44430</v>
      </c>
      <c r="AG35" s="1560">
        <v>0</v>
      </c>
      <c r="AH35" s="630"/>
      <c r="AI35" s="741">
        <v>41472</v>
      </c>
      <c r="AJ35" s="741">
        <v>42641</v>
      </c>
      <c r="AK35" s="741" t="s">
        <v>290</v>
      </c>
      <c r="AL35" s="741"/>
      <c r="AM35" s="741"/>
      <c r="AN35" s="860"/>
      <c r="AO35" s="235"/>
      <c r="AP35" s="17"/>
      <c r="AR35" s="814" t="s">
        <v>316</v>
      </c>
      <c r="AS35" s="235"/>
      <c r="AT35" s="235"/>
      <c r="AX35" s="235"/>
    </row>
    <row r="36" spans="1:50" s="9" customFormat="1" ht="31.5">
      <c r="A36" s="630" t="s">
        <v>433</v>
      </c>
      <c r="B36" s="630" t="s">
        <v>434</v>
      </c>
      <c r="C36" s="630">
        <v>7016</v>
      </c>
      <c r="D36" s="630" t="s">
        <v>435</v>
      </c>
      <c r="E36" s="630" t="s">
        <v>283</v>
      </c>
      <c r="F36" s="630" t="s">
        <v>436</v>
      </c>
      <c r="G36" s="630" t="s">
        <v>348</v>
      </c>
      <c r="H36" s="630">
        <v>9.9699999999999997E-2</v>
      </c>
      <c r="I36" s="630" t="s">
        <v>189</v>
      </c>
      <c r="J36" s="630">
        <v>111</v>
      </c>
      <c r="K36" s="630"/>
      <c r="L36" s="630"/>
      <c r="M36" s="811">
        <v>0</v>
      </c>
      <c r="N36" s="1560"/>
      <c r="O36" s="1560" t="str">
        <f t="shared" si="9"/>
        <v>ReH 2.995/2021</v>
      </c>
      <c r="P36" s="1569">
        <v>0.14050000000000001</v>
      </c>
      <c r="Q36" s="1570">
        <v>17300202.805932775</v>
      </c>
      <c r="R36" s="1568">
        <v>44531</v>
      </c>
      <c r="S36" s="1560" t="str">
        <f t="shared" si="10"/>
        <v>Desp. 521/2022</v>
      </c>
      <c r="T36" s="630" t="s">
        <v>437</v>
      </c>
      <c r="U36" s="741" t="s">
        <v>350</v>
      </c>
      <c r="V36" s="630">
        <v>2024</v>
      </c>
      <c r="W36" s="1555">
        <v>2956</v>
      </c>
      <c r="X36" s="1556" t="s">
        <v>2162</v>
      </c>
      <c r="Y36" s="630"/>
      <c r="AA36" s="1558" t="s">
        <v>189</v>
      </c>
      <c r="AB36" s="1560">
        <v>49.410527393388534</v>
      </c>
      <c r="AC36" s="1561">
        <v>180.36</v>
      </c>
      <c r="AD36" s="1561">
        <v>6872759.7273220662</v>
      </c>
      <c r="AE36" s="741">
        <v>44430</v>
      </c>
      <c r="AF36" s="741">
        <v>44430</v>
      </c>
      <c r="AG36" s="1560">
        <v>0</v>
      </c>
      <c r="AH36" s="630"/>
      <c r="AI36" s="741">
        <v>41472</v>
      </c>
      <c r="AJ36" s="741">
        <v>42641</v>
      </c>
      <c r="AK36" s="741" t="s">
        <v>290</v>
      </c>
      <c r="AL36" s="741"/>
      <c r="AM36" s="741"/>
      <c r="AN36" s="860"/>
      <c r="AO36" s="235"/>
      <c r="AP36" s="17"/>
      <c r="AR36" s="814" t="s">
        <v>438</v>
      </c>
      <c r="AS36" s="235"/>
      <c r="AT36" s="235"/>
      <c r="AX36" s="235"/>
    </row>
    <row r="37" spans="1:50" s="9" customFormat="1" ht="31.5">
      <c r="A37" s="630" t="s">
        <v>175</v>
      </c>
      <c r="B37" s="630" t="s">
        <v>439</v>
      </c>
      <c r="C37" s="630">
        <v>2763</v>
      </c>
      <c r="D37" s="630" t="s">
        <v>440</v>
      </c>
      <c r="E37" s="630" t="s">
        <v>283</v>
      </c>
      <c r="F37" s="630" t="s">
        <v>441</v>
      </c>
      <c r="G37" s="630" t="s">
        <v>442</v>
      </c>
      <c r="H37" s="630">
        <v>9.9699999999999997E-2</v>
      </c>
      <c r="I37" s="630" t="s">
        <v>206</v>
      </c>
      <c r="J37" s="630">
        <v>167</v>
      </c>
      <c r="K37" s="630"/>
      <c r="L37" s="630"/>
      <c r="M37" s="811">
        <v>0</v>
      </c>
      <c r="N37" s="1560"/>
      <c r="O37" s="1560" t="str">
        <f t="shared" si="9"/>
        <v>ReH 2.995/2021</v>
      </c>
      <c r="P37" s="1569">
        <v>0.21060000000000001</v>
      </c>
      <c r="Q37" s="1560">
        <v>40296212.128956385</v>
      </c>
      <c r="R37" s="1568">
        <v>44531</v>
      </c>
      <c r="S37" s="1560" t="str">
        <f t="shared" si="10"/>
        <v>Desp. 521/2022</v>
      </c>
      <c r="T37" s="630" t="s">
        <v>443</v>
      </c>
      <c r="U37" s="741" t="s">
        <v>444</v>
      </c>
      <c r="V37" s="630">
        <v>2022</v>
      </c>
      <c r="W37" s="1555">
        <v>2917</v>
      </c>
      <c r="X37" s="1556" t="s">
        <v>2160</v>
      </c>
      <c r="Y37" s="630"/>
      <c r="AA37" s="1558" t="s">
        <v>206</v>
      </c>
      <c r="AB37" s="1560">
        <v>29.55</v>
      </c>
      <c r="AC37" s="1561">
        <v>108.15</v>
      </c>
      <c r="AD37" s="1561">
        <v>14515437.369999999</v>
      </c>
      <c r="AE37" s="741">
        <v>43270</v>
      </c>
      <c r="AF37" s="741">
        <v>43270</v>
      </c>
      <c r="AG37" s="1560">
        <v>0</v>
      </c>
      <c r="AH37" s="630"/>
      <c r="AI37" s="741">
        <v>41365</v>
      </c>
      <c r="AJ37" s="741">
        <v>42551</v>
      </c>
      <c r="AK37" s="741" t="s">
        <v>290</v>
      </c>
      <c r="AL37" s="741"/>
      <c r="AM37" s="741"/>
      <c r="AN37" s="860">
        <v>2202975.46</v>
      </c>
      <c r="AO37" s="235"/>
      <c r="AP37" s="17"/>
      <c r="AR37" s="814" t="s">
        <v>396</v>
      </c>
      <c r="AS37" s="235"/>
      <c r="AT37" s="235"/>
      <c r="AX37" s="235"/>
    </row>
    <row r="38" spans="1:50" s="9" customFormat="1" ht="31.5">
      <c r="A38" s="630" t="s">
        <v>438</v>
      </c>
      <c r="B38" s="630" t="s">
        <v>445</v>
      </c>
      <c r="C38" s="630">
        <v>2381</v>
      </c>
      <c r="D38" s="630" t="s">
        <v>446</v>
      </c>
      <c r="E38" s="630" t="s">
        <v>283</v>
      </c>
      <c r="F38" s="630" t="s">
        <v>447</v>
      </c>
      <c r="G38" s="630" t="s">
        <v>442</v>
      </c>
      <c r="H38" s="630">
        <v>9.9699999999999997E-2</v>
      </c>
      <c r="I38" s="630" t="s">
        <v>206</v>
      </c>
      <c r="J38" s="630">
        <v>167</v>
      </c>
      <c r="K38" s="630"/>
      <c r="L38" s="630"/>
      <c r="M38" s="811">
        <v>0</v>
      </c>
      <c r="N38" s="1560"/>
      <c r="O38" s="1560" t="str">
        <f t="shared" si="9"/>
        <v>ReH 2.995/2021</v>
      </c>
      <c r="P38" s="1569">
        <v>0.1535</v>
      </c>
      <c r="Q38" s="1560">
        <v>57163108.857696883</v>
      </c>
      <c r="R38" s="1568">
        <v>44531</v>
      </c>
      <c r="S38" s="1560" t="str">
        <f t="shared" si="10"/>
        <v>Desp. 521/2022</v>
      </c>
      <c r="T38" s="630" t="s">
        <v>448</v>
      </c>
      <c r="U38" s="741" t="s">
        <v>449</v>
      </c>
      <c r="V38" s="630">
        <v>2025</v>
      </c>
      <c r="W38" s="1555">
        <v>2904</v>
      </c>
      <c r="X38" s="1556" t="s">
        <v>2160</v>
      </c>
      <c r="Y38" s="630"/>
      <c r="AA38" s="1558" t="s">
        <v>206</v>
      </c>
      <c r="AB38" s="1560">
        <v>18.75</v>
      </c>
      <c r="AC38" s="1561">
        <v>108.15</v>
      </c>
      <c r="AD38" s="1561">
        <v>22607799.66</v>
      </c>
      <c r="AE38" s="741">
        <v>43270</v>
      </c>
      <c r="AF38" s="741">
        <v>43270</v>
      </c>
      <c r="AG38" s="1560">
        <v>69.23</v>
      </c>
      <c r="AH38" s="741">
        <v>42917</v>
      </c>
      <c r="AI38" s="741">
        <v>41365</v>
      </c>
      <c r="AJ38" s="741">
        <v>42551</v>
      </c>
      <c r="AK38" s="741" t="s">
        <v>290</v>
      </c>
      <c r="AL38" s="741"/>
      <c r="AM38" s="741"/>
      <c r="AN38" s="860"/>
      <c r="AO38" s="235"/>
      <c r="AP38" s="17"/>
      <c r="AR38" s="814" t="s">
        <v>322</v>
      </c>
      <c r="AS38" s="235"/>
      <c r="AT38" s="235"/>
      <c r="AX38" s="235"/>
    </row>
    <row r="39" spans="1:50" s="9" customFormat="1" ht="31.5">
      <c r="A39" s="630" t="s">
        <v>450</v>
      </c>
      <c r="B39" s="630" t="s">
        <v>451</v>
      </c>
      <c r="C39" s="630">
        <v>3223</v>
      </c>
      <c r="D39" s="630" t="s">
        <v>452</v>
      </c>
      <c r="E39" s="630" t="s">
        <v>283</v>
      </c>
      <c r="F39" s="630" t="s">
        <v>453</v>
      </c>
      <c r="G39" s="630" t="s">
        <v>442</v>
      </c>
      <c r="H39" s="630">
        <v>9.9699999999999997E-2</v>
      </c>
      <c r="I39" s="630" t="s">
        <v>206</v>
      </c>
      <c r="J39" s="630">
        <v>167</v>
      </c>
      <c r="K39" s="630" t="s">
        <v>354</v>
      </c>
      <c r="L39" s="630">
        <v>110</v>
      </c>
      <c r="M39" s="811">
        <v>0</v>
      </c>
      <c r="N39" s="1560"/>
      <c r="O39" s="1560" t="str">
        <f t="shared" si="9"/>
        <v>ReH 2.995/2021</v>
      </c>
      <c r="P39" s="1569">
        <v>0.1507</v>
      </c>
      <c r="Q39" s="1560">
        <v>44907656.56835518</v>
      </c>
      <c r="R39" s="1568">
        <v>44531</v>
      </c>
      <c r="S39" s="1560" t="str">
        <f t="shared" si="10"/>
        <v>Desp. 521/2022</v>
      </c>
      <c r="T39" s="630" t="s">
        <v>454</v>
      </c>
      <c r="U39" s="741" t="s">
        <v>455</v>
      </c>
      <c r="V39" s="630">
        <v>2025</v>
      </c>
      <c r="W39" s="1555">
        <v>2914</v>
      </c>
      <c r="X39" s="1556" t="s">
        <v>2160</v>
      </c>
      <c r="Y39" s="630"/>
      <c r="AA39" s="1558" t="s">
        <v>206</v>
      </c>
      <c r="AB39" s="1560">
        <v>23.94</v>
      </c>
      <c r="AC39" s="1561">
        <v>131.34</v>
      </c>
      <c r="AD39" s="1561">
        <v>17583006.989999998</v>
      </c>
      <c r="AE39" s="741">
        <v>43209</v>
      </c>
      <c r="AF39" s="741">
        <v>43270</v>
      </c>
      <c r="AG39" s="1560">
        <v>0</v>
      </c>
      <c r="AH39" s="630"/>
      <c r="AI39" s="741">
        <v>41472</v>
      </c>
      <c r="AJ39" s="741">
        <v>42486</v>
      </c>
      <c r="AK39" s="741" t="s">
        <v>290</v>
      </c>
      <c r="AL39" s="741"/>
      <c r="AM39" s="741"/>
      <c r="AN39" s="860"/>
      <c r="AO39" s="235"/>
      <c r="AP39" s="17"/>
      <c r="AR39" s="814" t="s">
        <v>402</v>
      </c>
      <c r="AS39" s="235"/>
      <c r="AT39" s="235"/>
      <c r="AX39" s="235"/>
    </row>
    <row r="40" spans="1:50" s="9" customFormat="1" ht="31.5">
      <c r="A40" s="630" t="s">
        <v>201</v>
      </c>
      <c r="B40" s="630" t="s">
        <v>456</v>
      </c>
      <c r="C40" s="630">
        <v>7371</v>
      </c>
      <c r="D40" s="630" t="s">
        <v>457</v>
      </c>
      <c r="E40" s="630" t="s">
        <v>283</v>
      </c>
      <c r="F40" s="630" t="s">
        <v>458</v>
      </c>
      <c r="G40" s="630" t="s">
        <v>442</v>
      </c>
      <c r="H40" s="630">
        <v>9.9699999999999997E-2</v>
      </c>
      <c r="I40" s="630" t="s">
        <v>206</v>
      </c>
      <c r="J40" s="630">
        <v>167</v>
      </c>
      <c r="K40" s="630"/>
      <c r="L40" s="630"/>
      <c r="M40" s="811">
        <v>0</v>
      </c>
      <c r="N40" s="1560"/>
      <c r="O40" s="1560" t="str">
        <f t="shared" si="9"/>
        <v>ReH 2.995/2021</v>
      </c>
      <c r="P40" s="1569">
        <v>0.15609999999999999</v>
      </c>
      <c r="Q40" s="1560">
        <v>93567555.592848957</v>
      </c>
      <c r="R40" s="1568">
        <v>44531</v>
      </c>
      <c r="S40" s="1560" t="str">
        <f t="shared" si="10"/>
        <v>Desp. 521/2022</v>
      </c>
      <c r="T40" s="630" t="s">
        <v>459</v>
      </c>
      <c r="U40" s="741" t="s">
        <v>460</v>
      </c>
      <c r="V40" s="630">
        <v>2022</v>
      </c>
      <c r="W40" s="1555">
        <v>2916</v>
      </c>
      <c r="X40" s="1556" t="s">
        <v>2160</v>
      </c>
      <c r="Y40" s="630"/>
      <c r="AA40" s="1558" t="s">
        <v>206</v>
      </c>
      <c r="AB40" s="1560">
        <v>68.319999999999993</v>
      </c>
      <c r="AC40" s="1561">
        <v>131.34</v>
      </c>
      <c r="AD40" s="1561">
        <v>13728441.029999999</v>
      </c>
      <c r="AE40" s="741">
        <v>43209</v>
      </c>
      <c r="AF40" s="741">
        <v>43270</v>
      </c>
      <c r="AG40" s="1560">
        <v>0</v>
      </c>
      <c r="AH40" s="630"/>
      <c r="AI40" s="741">
        <v>41365</v>
      </c>
      <c r="AJ40" s="741">
        <v>42547</v>
      </c>
      <c r="AK40" s="741" t="s">
        <v>290</v>
      </c>
      <c r="AL40" s="741"/>
      <c r="AM40" s="741"/>
      <c r="AN40" s="860">
        <v>6350526.4100000001</v>
      </c>
      <c r="AO40" s="235"/>
      <c r="AP40" s="17"/>
      <c r="AR40" s="814" t="s">
        <v>329</v>
      </c>
      <c r="AS40" s="235"/>
      <c r="AT40" s="235"/>
      <c r="AX40" s="235"/>
    </row>
    <row r="41" spans="1:50" s="9" customFormat="1" ht="31.5">
      <c r="A41" s="630" t="s">
        <v>461</v>
      </c>
      <c r="B41" s="630" t="s">
        <v>462</v>
      </c>
      <c r="C41" s="630">
        <v>3627</v>
      </c>
      <c r="D41" s="630" t="s">
        <v>463</v>
      </c>
      <c r="E41" s="630" t="s">
        <v>283</v>
      </c>
      <c r="F41" s="630" t="s">
        <v>464</v>
      </c>
      <c r="G41" s="630" t="s">
        <v>442</v>
      </c>
      <c r="H41" s="630">
        <v>9.9699999999999997E-2</v>
      </c>
      <c r="I41" s="630" t="s">
        <v>206</v>
      </c>
      <c r="J41" s="630">
        <v>167</v>
      </c>
      <c r="K41" s="630"/>
      <c r="L41" s="630"/>
      <c r="M41" s="811">
        <v>0</v>
      </c>
      <c r="N41" s="1560"/>
      <c r="O41" s="1560" t="str">
        <f t="shared" si="9"/>
        <v>ReH 2.995/2021</v>
      </c>
      <c r="P41" s="1569">
        <v>0.1338</v>
      </c>
      <c r="Q41" s="1560">
        <v>35123897.452622667</v>
      </c>
      <c r="R41" s="1568">
        <v>44531</v>
      </c>
      <c r="S41" s="1560" t="str">
        <f t="shared" si="10"/>
        <v>Desp. 521/2022</v>
      </c>
      <c r="T41" s="630" t="s">
        <v>465</v>
      </c>
      <c r="U41" s="741" t="s">
        <v>460</v>
      </c>
      <c r="V41" s="630">
        <v>2025</v>
      </c>
      <c r="W41" s="1555">
        <v>2909</v>
      </c>
      <c r="X41" s="1556" t="s">
        <v>2160</v>
      </c>
      <c r="Y41" s="630"/>
      <c r="AA41" s="1558" t="s">
        <v>206</v>
      </c>
      <c r="AB41" s="1560">
        <v>13.93</v>
      </c>
      <c r="AC41" s="1561">
        <v>108.15</v>
      </c>
      <c r="AD41" s="1561">
        <v>18556964.23</v>
      </c>
      <c r="AE41" s="741">
        <v>43270</v>
      </c>
      <c r="AF41" s="741">
        <v>43270</v>
      </c>
      <c r="AG41" s="1560">
        <v>0</v>
      </c>
      <c r="AH41" s="630"/>
      <c r="AI41" s="741">
        <v>41365</v>
      </c>
      <c r="AJ41" s="741">
        <v>42551</v>
      </c>
      <c r="AK41" s="741" t="s">
        <v>290</v>
      </c>
      <c r="AL41" s="741"/>
      <c r="AM41" s="741"/>
      <c r="AN41" s="860"/>
      <c r="AO41" s="235"/>
      <c r="AP41" s="17"/>
      <c r="AR41" s="814" t="s">
        <v>334</v>
      </c>
      <c r="AS41" s="235"/>
      <c r="AT41" s="235"/>
      <c r="AX41" s="235"/>
    </row>
    <row r="42" spans="1:50" s="9" customFormat="1" ht="31.5">
      <c r="A42" s="630" t="s">
        <v>466</v>
      </c>
      <c r="B42" s="630" t="s">
        <v>467</v>
      </c>
      <c r="C42" s="630">
        <v>2351</v>
      </c>
      <c r="D42" s="630" t="s">
        <v>468</v>
      </c>
      <c r="E42" s="630" t="s">
        <v>283</v>
      </c>
      <c r="F42" s="630" t="s">
        <v>469</v>
      </c>
      <c r="G42" s="630" t="s">
        <v>442</v>
      </c>
      <c r="H42" s="630">
        <v>9.9699999999999997E-2</v>
      </c>
      <c r="I42" s="630" t="s">
        <v>206</v>
      </c>
      <c r="J42" s="630">
        <v>167</v>
      </c>
      <c r="K42" s="630"/>
      <c r="L42" s="630"/>
      <c r="M42" s="811">
        <v>0</v>
      </c>
      <c r="N42" s="1560"/>
      <c r="O42" s="1560" t="str">
        <f t="shared" si="9"/>
        <v>ReH 2.995/2021</v>
      </c>
      <c r="P42" s="1569">
        <v>0.1832</v>
      </c>
      <c r="Q42" s="1560">
        <v>118984269.89510354</v>
      </c>
      <c r="R42" s="1568">
        <v>44531</v>
      </c>
      <c r="S42" s="1560" t="str">
        <f t="shared" si="10"/>
        <v>Desp. 521/2022</v>
      </c>
      <c r="T42" s="630" t="s">
        <v>470</v>
      </c>
      <c r="U42" s="741" t="s">
        <v>471</v>
      </c>
      <c r="V42" s="630">
        <v>2025</v>
      </c>
      <c r="W42" s="1555">
        <v>2912</v>
      </c>
      <c r="X42" s="1556" t="s">
        <v>2160</v>
      </c>
      <c r="Y42" s="630"/>
      <c r="AA42" s="1558" t="s">
        <v>206</v>
      </c>
      <c r="AB42" s="1560">
        <v>22.64</v>
      </c>
      <c r="AC42" s="1561">
        <v>108.15</v>
      </c>
      <c r="AD42" s="1561">
        <v>55770868.960000001</v>
      </c>
      <c r="AE42" s="741">
        <v>43270</v>
      </c>
      <c r="AF42" s="741">
        <v>43270</v>
      </c>
      <c r="AG42" s="1560">
        <v>0</v>
      </c>
      <c r="AH42" s="630"/>
      <c r="AI42" s="741">
        <v>41365</v>
      </c>
      <c r="AJ42" s="741">
        <v>42551</v>
      </c>
      <c r="AK42" s="741" t="s">
        <v>290</v>
      </c>
      <c r="AL42" s="741"/>
      <c r="AM42" s="741"/>
      <c r="AN42" s="860"/>
      <c r="AO42" s="235"/>
      <c r="AP42" s="17"/>
      <c r="AR42" s="814" t="s">
        <v>472</v>
      </c>
      <c r="AS42" s="235"/>
      <c r="AT42" s="235"/>
      <c r="AX42" s="235"/>
    </row>
    <row r="43" spans="1:50" s="9" customFormat="1" ht="31.5">
      <c r="A43" s="630" t="s">
        <v>174</v>
      </c>
      <c r="B43" s="630" t="s">
        <v>473</v>
      </c>
      <c r="C43" s="630">
        <v>598</v>
      </c>
      <c r="D43" s="630" t="s">
        <v>474</v>
      </c>
      <c r="E43" s="630" t="s">
        <v>283</v>
      </c>
      <c r="F43" s="630" t="s">
        <v>475</v>
      </c>
      <c r="G43" s="630" t="s">
        <v>442</v>
      </c>
      <c r="H43" s="630">
        <v>9.9699999999999997E-2</v>
      </c>
      <c r="I43" s="630" t="s">
        <v>206</v>
      </c>
      <c r="J43" s="630">
        <v>167</v>
      </c>
      <c r="K43" s="630"/>
      <c r="L43" s="630"/>
      <c r="M43" s="811">
        <v>0</v>
      </c>
      <c r="N43" s="1560"/>
      <c r="O43" s="1560" t="str">
        <f t="shared" si="9"/>
        <v>ReH 2.995/2021</v>
      </c>
      <c r="P43" s="1569">
        <v>0.4078</v>
      </c>
      <c r="Q43" s="1560">
        <v>48668444.767228298</v>
      </c>
      <c r="R43" s="1568">
        <v>44531</v>
      </c>
      <c r="S43" s="1560" t="str">
        <f t="shared" si="10"/>
        <v>Desp. 521/2022</v>
      </c>
      <c r="T43" s="630" t="s">
        <v>476</v>
      </c>
      <c r="U43" s="741" t="s">
        <v>460</v>
      </c>
      <c r="V43" s="630">
        <v>2022</v>
      </c>
      <c r="W43" s="1555">
        <v>2917</v>
      </c>
      <c r="X43" s="1556" t="s">
        <v>2160</v>
      </c>
      <c r="Y43" s="630"/>
      <c r="AA43" s="1558" t="s">
        <v>206</v>
      </c>
      <c r="AB43" s="1560">
        <v>20.55</v>
      </c>
      <c r="AC43" s="1561">
        <v>108.15</v>
      </c>
      <c r="AD43" s="1561">
        <v>16127887.460000001</v>
      </c>
      <c r="AE43" s="741">
        <v>43270</v>
      </c>
      <c r="AF43" s="741">
        <v>43270</v>
      </c>
      <c r="AG43" s="1560">
        <v>0</v>
      </c>
      <c r="AH43" s="630"/>
      <c r="AI43" s="741">
        <v>41365</v>
      </c>
      <c r="AJ43" s="741">
        <v>42551</v>
      </c>
      <c r="AK43" s="741" t="s">
        <v>290</v>
      </c>
      <c r="AL43" s="741"/>
      <c r="AM43" s="741"/>
      <c r="AN43" s="860">
        <v>3110206.14</v>
      </c>
      <c r="AO43" s="235"/>
      <c r="AP43" s="17"/>
      <c r="AR43" s="814" t="s">
        <v>407</v>
      </c>
      <c r="AS43" s="235"/>
      <c r="AT43" s="235"/>
      <c r="AX43" s="235"/>
    </row>
    <row r="44" spans="1:50" s="9" customFormat="1" ht="31.5">
      <c r="A44" s="630" t="s">
        <v>477</v>
      </c>
      <c r="B44" s="630" t="s">
        <v>478</v>
      </c>
      <c r="C44" s="630">
        <v>2783</v>
      </c>
      <c r="D44" s="630" t="s">
        <v>479</v>
      </c>
      <c r="E44" s="630" t="s">
        <v>283</v>
      </c>
      <c r="F44" s="630" t="s">
        <v>480</v>
      </c>
      <c r="G44" s="630" t="s">
        <v>442</v>
      </c>
      <c r="H44" s="630">
        <v>9.9699999999999997E-2</v>
      </c>
      <c r="I44" s="630" t="s">
        <v>206</v>
      </c>
      <c r="J44" s="630">
        <v>167</v>
      </c>
      <c r="K44" s="630"/>
      <c r="L44" s="630"/>
      <c r="M44" s="811">
        <v>0</v>
      </c>
      <c r="N44" s="1560"/>
      <c r="O44" s="1560" t="str">
        <f t="shared" si="9"/>
        <v>ReH 2.995/2021</v>
      </c>
      <c r="P44" s="1569">
        <v>0.17430000000000001</v>
      </c>
      <c r="Q44" s="1560">
        <v>23632870.756335247</v>
      </c>
      <c r="R44" s="1568">
        <v>44531</v>
      </c>
      <c r="S44" s="1560" t="str">
        <f t="shared" si="10"/>
        <v>Desp. 521/2022</v>
      </c>
      <c r="T44" s="630" t="s">
        <v>481</v>
      </c>
      <c r="U44" s="741" t="s">
        <v>460</v>
      </c>
      <c r="V44" s="630">
        <v>2022</v>
      </c>
      <c r="W44" s="1555">
        <v>2911</v>
      </c>
      <c r="X44" s="1556" t="s">
        <v>2160</v>
      </c>
      <c r="Y44" s="630"/>
      <c r="AA44" s="1558" t="s">
        <v>206</v>
      </c>
      <c r="AB44" s="1560">
        <v>26.42</v>
      </c>
      <c r="AC44" s="1561">
        <v>108.15</v>
      </c>
      <c r="AD44" s="1561">
        <v>7627285.8200000003</v>
      </c>
      <c r="AE44" s="741">
        <v>43270</v>
      </c>
      <c r="AF44" s="741">
        <v>43270</v>
      </c>
      <c r="AG44" s="1560">
        <v>0</v>
      </c>
      <c r="AH44" s="630"/>
      <c r="AI44" s="741">
        <v>41365</v>
      </c>
      <c r="AJ44" s="741">
        <v>42551</v>
      </c>
      <c r="AK44" s="741" t="s">
        <v>290</v>
      </c>
      <c r="AL44" s="741"/>
      <c r="AM44" s="741"/>
      <c r="AN44" s="860"/>
      <c r="AO44" s="235"/>
      <c r="AP44" s="17"/>
      <c r="AR44" s="814" t="s">
        <v>450</v>
      </c>
      <c r="AS44" s="235"/>
      <c r="AT44" s="235"/>
      <c r="AX44" s="235"/>
    </row>
    <row r="45" spans="1:50" s="9" customFormat="1" ht="31.5">
      <c r="A45" s="630" t="s">
        <v>357</v>
      </c>
      <c r="B45" s="630" t="s">
        <v>482</v>
      </c>
      <c r="C45" s="630">
        <v>4248</v>
      </c>
      <c r="D45" s="630" t="s">
        <v>483</v>
      </c>
      <c r="E45" s="630" t="s">
        <v>283</v>
      </c>
      <c r="F45" s="630" t="s">
        <v>484</v>
      </c>
      <c r="G45" s="630" t="s">
        <v>485</v>
      </c>
      <c r="H45" s="630">
        <v>9.9699999999999997E-2</v>
      </c>
      <c r="I45" s="630" t="s">
        <v>486</v>
      </c>
      <c r="J45" s="630">
        <v>132</v>
      </c>
      <c r="K45" s="630"/>
      <c r="L45" s="630"/>
      <c r="M45" s="811">
        <v>0</v>
      </c>
      <c r="N45" s="1560"/>
      <c r="O45" s="1560" t="str">
        <f t="shared" si="9"/>
        <v>ReH 2.995/2021</v>
      </c>
      <c r="P45" s="1569">
        <v>0.2072</v>
      </c>
      <c r="Q45" s="1560">
        <v>5741724.6974191396</v>
      </c>
      <c r="R45" s="1568">
        <v>44531</v>
      </c>
      <c r="S45" s="1560" t="str">
        <f t="shared" si="10"/>
        <v>Desp. 521/2022</v>
      </c>
      <c r="T45" s="630" t="s">
        <v>487</v>
      </c>
      <c r="U45" s="741" t="s">
        <v>350</v>
      </c>
      <c r="V45" s="630">
        <v>2024</v>
      </c>
      <c r="W45" s="1555">
        <v>2908</v>
      </c>
      <c r="X45" s="1556" t="s">
        <v>2160</v>
      </c>
      <c r="Y45" s="630"/>
      <c r="AA45" s="1558" t="s">
        <v>486</v>
      </c>
      <c r="AB45" s="1560">
        <v>58.392923981821539</v>
      </c>
      <c r="AC45" s="1561">
        <v>117.43916412021785</v>
      </c>
      <c r="AD45" s="1561">
        <v>1371216.9263933776</v>
      </c>
      <c r="AE45" s="741">
        <v>44371</v>
      </c>
      <c r="AF45" s="741">
        <v>44371</v>
      </c>
      <c r="AG45" s="1560">
        <v>0</v>
      </c>
      <c r="AH45" s="630"/>
      <c r="AI45" s="741">
        <v>41472</v>
      </c>
      <c r="AJ45" s="741">
        <v>42551</v>
      </c>
      <c r="AK45" s="741" t="s">
        <v>290</v>
      </c>
      <c r="AL45" s="741"/>
      <c r="AM45" s="741"/>
      <c r="AN45" s="860"/>
      <c r="AO45" s="235"/>
      <c r="AP45" s="17"/>
      <c r="AR45" s="814" t="s">
        <v>201</v>
      </c>
      <c r="AS45" s="235"/>
      <c r="AT45" s="235"/>
      <c r="AX45" s="235"/>
    </row>
    <row r="46" spans="1:50" s="9" customFormat="1" ht="31.5">
      <c r="A46" s="630" t="s">
        <v>182</v>
      </c>
      <c r="B46" s="630" t="s">
        <v>488</v>
      </c>
      <c r="C46" s="630">
        <v>5274</v>
      </c>
      <c r="D46" s="630" t="s">
        <v>489</v>
      </c>
      <c r="E46" s="630" t="s">
        <v>283</v>
      </c>
      <c r="F46" s="630" t="s">
        <v>490</v>
      </c>
      <c r="G46" s="630" t="s">
        <v>491</v>
      </c>
      <c r="H46" s="630">
        <v>9.9699999999999997E-2</v>
      </c>
      <c r="I46" s="630" t="s">
        <v>163</v>
      </c>
      <c r="J46" s="630">
        <v>103</v>
      </c>
      <c r="K46" s="630"/>
      <c r="L46" s="630"/>
      <c r="M46" s="811">
        <v>0.128</v>
      </c>
      <c r="N46" s="1560"/>
      <c r="O46" s="1560" t="str">
        <f t="shared" si="9"/>
        <v>ReH 2.995/2021</v>
      </c>
      <c r="P46" s="1569">
        <v>7.9699999999999993E-2</v>
      </c>
      <c r="Q46" s="1570">
        <v>9559924.0871568415</v>
      </c>
      <c r="R46" s="1568">
        <v>44531</v>
      </c>
      <c r="S46" s="1560" t="str">
        <f t="shared" si="10"/>
        <v>Desp. 521/2022</v>
      </c>
      <c r="T46" s="630" t="s">
        <v>493</v>
      </c>
      <c r="U46" s="741" t="s">
        <v>288</v>
      </c>
      <c r="V46" s="630">
        <v>2024</v>
      </c>
      <c r="W46" s="1555">
        <v>2865</v>
      </c>
      <c r="X46" s="1556" t="s">
        <v>2161</v>
      </c>
      <c r="Y46" s="630"/>
      <c r="AA46" s="1558" t="s">
        <v>507</v>
      </c>
      <c r="AB46" s="1560">
        <v>49.06</v>
      </c>
      <c r="AC46" s="1561">
        <v>187.05</v>
      </c>
      <c r="AD46" s="1561">
        <v>95315.39</v>
      </c>
      <c r="AE46" s="741">
        <v>43174</v>
      </c>
      <c r="AF46" s="741">
        <v>43174</v>
      </c>
      <c r="AG46" s="1560">
        <v>0</v>
      </c>
      <c r="AH46" s="630"/>
      <c r="AI46" s="741">
        <v>41472</v>
      </c>
      <c r="AJ46" s="741">
        <v>42451</v>
      </c>
      <c r="AK46" s="741" t="s">
        <v>290</v>
      </c>
      <c r="AL46" s="741"/>
      <c r="AM46" s="741"/>
      <c r="AN46" s="860">
        <v>940401.96</v>
      </c>
      <c r="AO46" s="235"/>
      <c r="AP46" s="17"/>
      <c r="AR46" s="814" t="s">
        <v>494</v>
      </c>
      <c r="AS46" s="235"/>
      <c r="AT46" s="235"/>
      <c r="AX46" s="235"/>
    </row>
    <row r="47" spans="1:50" s="9" customFormat="1" ht="31.5">
      <c r="A47" s="630" t="s">
        <v>372</v>
      </c>
      <c r="B47" s="630" t="s">
        <v>495</v>
      </c>
      <c r="C47" s="630">
        <v>5377</v>
      </c>
      <c r="D47" s="630" t="s">
        <v>496</v>
      </c>
      <c r="E47" s="630" t="s">
        <v>283</v>
      </c>
      <c r="F47" s="630" t="s">
        <v>497</v>
      </c>
      <c r="G47" s="630" t="s">
        <v>498</v>
      </c>
      <c r="H47" s="630">
        <v>3.7699999999999997E-2</v>
      </c>
      <c r="I47" s="630" t="s">
        <v>499</v>
      </c>
      <c r="J47" s="630">
        <v>155</v>
      </c>
      <c r="K47" s="630"/>
      <c r="L47" s="630"/>
      <c r="M47" s="811">
        <v>0</v>
      </c>
      <c r="N47" s="1560"/>
      <c r="O47" s="1560" t="str">
        <f t="shared" si="9"/>
        <v>ReH 2.995/2021</v>
      </c>
      <c r="P47" s="1569">
        <v>6.2799999999999995E-2</v>
      </c>
      <c r="Q47" s="1560">
        <v>5170019.3743311316</v>
      </c>
      <c r="R47" s="1568">
        <v>44531</v>
      </c>
      <c r="S47" s="1560" t="str">
        <f t="shared" si="10"/>
        <v>Desp. 521/2022</v>
      </c>
      <c r="T47" s="630" t="s">
        <v>500</v>
      </c>
      <c r="U47" s="741" t="s">
        <v>501</v>
      </c>
      <c r="V47" s="630">
        <v>2024</v>
      </c>
      <c r="W47" s="1555">
        <v>2872</v>
      </c>
      <c r="X47" s="1556" t="s">
        <v>2159</v>
      </c>
      <c r="Y47" s="1557">
        <v>1.15E-2</v>
      </c>
      <c r="Z47" s="1558">
        <v>-0.02</v>
      </c>
      <c r="AA47" s="1558" t="s">
        <v>194</v>
      </c>
      <c r="AB47" s="1560">
        <v>43</v>
      </c>
      <c r="AC47" s="1561">
        <v>122.01</v>
      </c>
      <c r="AD47" s="1561">
        <v>807332.96</v>
      </c>
      <c r="AE47" s="741">
        <v>43212</v>
      </c>
      <c r="AF47" s="741">
        <v>43212</v>
      </c>
      <c r="AG47" s="1560">
        <v>0</v>
      </c>
      <c r="AH47" s="630"/>
      <c r="AI47" s="741">
        <v>41472</v>
      </c>
      <c r="AJ47" s="741">
        <v>42489</v>
      </c>
      <c r="AK47" s="741" t="s">
        <v>290</v>
      </c>
      <c r="AL47" s="741"/>
      <c r="AM47" s="741"/>
      <c r="AN47" s="860"/>
      <c r="AO47" s="235"/>
      <c r="AP47" s="17"/>
      <c r="AR47" s="814" t="s">
        <v>412</v>
      </c>
      <c r="AS47" s="235"/>
      <c r="AT47" s="235"/>
      <c r="AX47" s="235"/>
    </row>
    <row r="48" spans="1:50" s="9" customFormat="1" ht="31.5">
      <c r="A48" s="630" t="s">
        <v>367</v>
      </c>
      <c r="B48" s="630" t="s">
        <v>502</v>
      </c>
      <c r="C48" s="630">
        <v>5279</v>
      </c>
      <c r="D48" s="630" t="s">
        <v>503</v>
      </c>
      <c r="E48" s="630" t="s">
        <v>283</v>
      </c>
      <c r="F48" s="630" t="s">
        <v>504</v>
      </c>
      <c r="G48" s="630" t="s">
        <v>491</v>
      </c>
      <c r="H48" s="630">
        <v>9.9699999999999997E-2</v>
      </c>
      <c r="I48" s="630" t="s">
        <v>163</v>
      </c>
      <c r="J48" s="630">
        <v>103</v>
      </c>
      <c r="K48" s="630"/>
      <c r="L48" s="630"/>
      <c r="M48" s="811">
        <v>0.1166</v>
      </c>
      <c r="N48" s="1560"/>
      <c r="O48" s="1560" t="str">
        <f t="shared" si="9"/>
        <v>ReH 2.995/2021</v>
      </c>
      <c r="P48" s="1557">
        <v>0.4052</v>
      </c>
      <c r="Q48" s="1560">
        <v>25601019.68723011</v>
      </c>
      <c r="R48" s="1568">
        <v>44531</v>
      </c>
      <c r="S48" s="1560" t="str">
        <f t="shared" si="10"/>
        <v>Desp. 521/2022</v>
      </c>
      <c r="T48" s="1571" t="s">
        <v>505</v>
      </c>
      <c r="U48" s="741" t="s">
        <v>506</v>
      </c>
      <c r="V48" s="630">
        <v>2022</v>
      </c>
      <c r="W48" s="1555">
        <v>2866</v>
      </c>
      <c r="X48" s="1556" t="s">
        <v>2161</v>
      </c>
      <c r="Y48" s="1557"/>
      <c r="AA48" s="1558" t="s">
        <v>507</v>
      </c>
      <c r="AB48" s="1562">
        <v>29.23</v>
      </c>
      <c r="AC48" s="1561">
        <v>183.67</v>
      </c>
      <c r="AD48" s="1561">
        <v>3906806.73</v>
      </c>
      <c r="AE48" s="741">
        <v>42809</v>
      </c>
      <c r="AF48" s="741">
        <v>42809</v>
      </c>
      <c r="AG48" s="741" t="s">
        <v>508</v>
      </c>
      <c r="AH48" s="630"/>
      <c r="AI48" s="741"/>
      <c r="AJ48" s="741"/>
      <c r="AK48" s="741" t="s">
        <v>509</v>
      </c>
      <c r="AL48" s="741">
        <v>43374</v>
      </c>
      <c r="AM48" s="1557">
        <v>0.2465</v>
      </c>
      <c r="AN48" s="860">
        <v>939575.3</v>
      </c>
      <c r="AO48" s="235"/>
      <c r="AP48" s="17"/>
      <c r="AR48" s="814" t="s">
        <v>510</v>
      </c>
      <c r="AS48" s="235"/>
      <c r="AT48" s="235"/>
      <c r="AX48" s="235"/>
    </row>
    <row r="49" spans="1:50" s="9" customFormat="1" ht="31.5">
      <c r="A49" s="630" t="s">
        <v>196</v>
      </c>
      <c r="B49" s="630" t="s">
        <v>511</v>
      </c>
      <c r="C49" s="630">
        <v>6603</v>
      </c>
      <c r="D49" s="630" t="s">
        <v>512</v>
      </c>
      <c r="E49" s="630" t="s">
        <v>283</v>
      </c>
      <c r="F49" s="630" t="s">
        <v>513</v>
      </c>
      <c r="G49" s="630" t="s">
        <v>491</v>
      </c>
      <c r="H49" s="630">
        <v>9.9699999999999997E-2</v>
      </c>
      <c r="I49" s="630" t="s">
        <v>163</v>
      </c>
      <c r="J49" s="630">
        <v>103</v>
      </c>
      <c r="K49" s="630"/>
      <c r="L49" s="630"/>
      <c r="M49" s="811">
        <v>0</v>
      </c>
      <c r="N49" s="1560"/>
      <c r="O49" s="1560" t="str">
        <f t="shared" si="9"/>
        <v>ReH 2.995/2021</v>
      </c>
      <c r="P49" s="1557">
        <v>0.4052</v>
      </c>
      <c r="Q49" s="1560">
        <v>10809195.059114244</v>
      </c>
      <c r="R49" s="1568">
        <v>44531</v>
      </c>
      <c r="S49" s="1560" t="str">
        <f t="shared" si="10"/>
        <v>Desp. 521/2022</v>
      </c>
      <c r="T49" s="1571" t="s">
        <v>514</v>
      </c>
      <c r="U49" s="741" t="s">
        <v>515</v>
      </c>
      <c r="V49" s="630">
        <v>2022</v>
      </c>
      <c r="W49" s="1555">
        <v>2867</v>
      </c>
      <c r="X49" s="1556" t="s">
        <v>2161</v>
      </c>
      <c r="Y49" s="1557"/>
      <c r="AA49" s="1558" t="s">
        <v>507</v>
      </c>
      <c r="AB49" s="1562">
        <v>30.78</v>
      </c>
      <c r="AC49" s="1561">
        <v>183.67</v>
      </c>
      <c r="AD49" s="1561">
        <v>1224360.38437886</v>
      </c>
      <c r="AE49" s="741">
        <v>42809</v>
      </c>
      <c r="AF49" s="741">
        <v>42809</v>
      </c>
      <c r="AG49" s="741" t="s">
        <v>508</v>
      </c>
      <c r="AH49" s="630"/>
      <c r="AI49" s="741"/>
      <c r="AJ49" s="741"/>
      <c r="AK49" s="741" t="s">
        <v>509</v>
      </c>
      <c r="AL49" s="741">
        <v>43405</v>
      </c>
      <c r="AM49" s="1563">
        <v>0</v>
      </c>
      <c r="AN49" s="860">
        <v>234949.9</v>
      </c>
      <c r="AO49" s="235"/>
      <c r="AP49" s="17"/>
      <c r="AR49" s="814" t="s">
        <v>340</v>
      </c>
      <c r="AS49" s="235"/>
      <c r="AT49" s="235"/>
      <c r="AX49" s="235"/>
    </row>
    <row r="50" spans="1:50" s="9" customFormat="1" ht="31.5">
      <c r="A50" s="630" t="s">
        <v>390</v>
      </c>
      <c r="B50" s="630" t="s">
        <v>516</v>
      </c>
      <c r="C50" s="630">
        <v>504</v>
      </c>
      <c r="D50" s="630" t="s">
        <v>517</v>
      </c>
      <c r="E50" s="630" t="s">
        <v>283</v>
      </c>
      <c r="F50" s="630" t="s">
        <v>518</v>
      </c>
      <c r="G50" s="630" t="s">
        <v>442</v>
      </c>
      <c r="H50" s="630">
        <v>9.9699999999999997E-2</v>
      </c>
      <c r="I50" s="630" t="s">
        <v>206</v>
      </c>
      <c r="J50" s="630">
        <v>167</v>
      </c>
      <c r="K50" s="630"/>
      <c r="L50" s="630"/>
      <c r="M50" s="811">
        <v>0</v>
      </c>
      <c r="N50" s="1560"/>
      <c r="O50" s="1560" t="str">
        <f t="shared" si="9"/>
        <v>ReH 2.995/2021</v>
      </c>
      <c r="P50" s="1557">
        <v>0.36820000000000003</v>
      </c>
      <c r="Q50" s="1560">
        <v>34114621.739632338</v>
      </c>
      <c r="R50" s="1568">
        <v>44531</v>
      </c>
      <c r="S50" s="1560" t="str">
        <f t="shared" si="10"/>
        <v>Desp. 521/2022</v>
      </c>
      <c r="T50" s="1571" t="s">
        <v>519</v>
      </c>
      <c r="U50" s="741" t="s">
        <v>520</v>
      </c>
      <c r="V50" s="630">
        <v>2022</v>
      </c>
      <c r="W50" s="1555">
        <v>2906</v>
      </c>
      <c r="X50" s="1556" t="s">
        <v>2160</v>
      </c>
      <c r="Y50" s="1557"/>
      <c r="AA50" s="1558" t="s">
        <v>206</v>
      </c>
      <c r="AB50" s="1562">
        <v>13.9</v>
      </c>
      <c r="AC50" s="1561">
        <v>108.15</v>
      </c>
      <c r="AD50" s="1561">
        <v>16697250.359999999</v>
      </c>
      <c r="AE50" s="741">
        <v>43270</v>
      </c>
      <c r="AF50" s="741">
        <v>43270</v>
      </c>
      <c r="AG50" s="741" t="s">
        <v>508</v>
      </c>
      <c r="AH50" s="630"/>
      <c r="AI50" s="741"/>
      <c r="AJ50" s="741"/>
      <c r="AK50" s="741" t="s">
        <v>509</v>
      </c>
      <c r="AL50" s="741">
        <v>43405</v>
      </c>
      <c r="AM50" s="741"/>
      <c r="AN50" s="860"/>
      <c r="AO50" s="235"/>
      <c r="AP50" s="17"/>
      <c r="AR50" s="814" t="s">
        <v>521</v>
      </c>
      <c r="AS50" s="235"/>
      <c r="AT50" s="235"/>
      <c r="AX50" s="235"/>
    </row>
    <row r="51" spans="1:50" s="9" customFormat="1" ht="31.5">
      <c r="A51" s="630" t="s">
        <v>494</v>
      </c>
      <c r="B51" s="630" t="s">
        <v>522</v>
      </c>
      <c r="C51" s="630">
        <v>527</v>
      </c>
      <c r="D51" s="630" t="s">
        <v>523</v>
      </c>
      <c r="E51" s="630" t="s">
        <v>283</v>
      </c>
      <c r="F51" s="630" t="s">
        <v>524</v>
      </c>
      <c r="G51" s="630" t="s">
        <v>442</v>
      </c>
      <c r="H51" s="630">
        <v>3.7699999999999997E-2</v>
      </c>
      <c r="I51" s="630" t="s">
        <v>206</v>
      </c>
      <c r="J51" s="630">
        <v>167</v>
      </c>
      <c r="K51" s="630"/>
      <c r="L51" s="630"/>
      <c r="M51" s="811">
        <v>0</v>
      </c>
      <c r="N51" s="1560"/>
      <c r="O51" s="1560" t="str">
        <f t="shared" si="9"/>
        <v>ReH 2.995/2021</v>
      </c>
      <c r="P51" s="1557">
        <v>0.36820000000000003</v>
      </c>
      <c r="Q51" s="1560">
        <v>19676334.273381419</v>
      </c>
      <c r="R51" s="1568">
        <v>44531</v>
      </c>
      <c r="S51" s="1560" t="str">
        <f t="shared" si="10"/>
        <v>Desp. 521/2022</v>
      </c>
      <c r="T51" s="1571" t="s">
        <v>525</v>
      </c>
      <c r="U51" s="741" t="s">
        <v>526</v>
      </c>
      <c r="V51" s="630">
        <v>2022</v>
      </c>
      <c r="W51" s="1555">
        <v>2907</v>
      </c>
      <c r="X51" s="1556" t="s">
        <v>2160</v>
      </c>
      <c r="Y51" s="1557"/>
      <c r="AA51" s="1558" t="s">
        <v>206</v>
      </c>
      <c r="AB51" s="1562">
        <v>17.5</v>
      </c>
      <c r="AC51" s="1561">
        <v>108.15</v>
      </c>
      <c r="AD51" s="1561">
        <v>8473358.1899999995</v>
      </c>
      <c r="AE51" s="741">
        <v>43270</v>
      </c>
      <c r="AF51" s="741">
        <v>43270</v>
      </c>
      <c r="AG51" s="741" t="s">
        <v>508</v>
      </c>
      <c r="AH51" s="630"/>
      <c r="AI51" s="741"/>
      <c r="AJ51" s="741"/>
      <c r="AK51" s="741" t="s">
        <v>509</v>
      </c>
      <c r="AL51" s="741">
        <v>43405</v>
      </c>
      <c r="AM51" s="741"/>
      <c r="AN51" s="860"/>
      <c r="AO51" s="235"/>
      <c r="AP51" s="17"/>
      <c r="AR51" s="814" t="s">
        <v>188</v>
      </c>
      <c r="AS51" s="235"/>
      <c r="AT51" s="235"/>
      <c r="AX51" s="235"/>
    </row>
    <row r="52" spans="1:50" s="9" customFormat="1" ht="31.5">
      <c r="A52" s="630" t="s">
        <v>291</v>
      </c>
      <c r="B52" s="630" t="s">
        <v>527</v>
      </c>
      <c r="C52" s="630">
        <v>11825</v>
      </c>
      <c r="D52" s="630" t="s">
        <v>528</v>
      </c>
      <c r="E52" s="630" t="s">
        <v>283</v>
      </c>
      <c r="F52" s="630" t="s">
        <v>529</v>
      </c>
      <c r="G52" s="630" t="s">
        <v>485</v>
      </c>
      <c r="H52" s="630">
        <v>9.9699999999999997E-2</v>
      </c>
      <c r="I52" s="630" t="s">
        <v>530</v>
      </c>
      <c r="J52" s="630">
        <v>132</v>
      </c>
      <c r="K52" s="630"/>
      <c r="L52" s="630"/>
      <c r="M52" s="813">
        <v>0</v>
      </c>
      <c r="N52" s="1560"/>
      <c r="O52" s="1560" t="str">
        <f t="shared" si="9"/>
        <v>ReH 2.995/2021</v>
      </c>
      <c r="P52" s="1557">
        <v>0.30030000000000001</v>
      </c>
      <c r="Q52" s="1560">
        <v>3990174.7268110593</v>
      </c>
      <c r="R52" s="1568">
        <v>44531</v>
      </c>
      <c r="S52" s="1560" t="str">
        <f t="shared" si="10"/>
        <v>Desp. 521/2022</v>
      </c>
      <c r="T52" s="1571" t="s">
        <v>531</v>
      </c>
      <c r="U52" s="741" t="s">
        <v>532</v>
      </c>
      <c r="V52" s="630">
        <v>2022</v>
      </c>
      <c r="W52" s="1555">
        <v>2905</v>
      </c>
      <c r="X52" s="1556" t="s">
        <v>2160</v>
      </c>
      <c r="Y52" s="1557"/>
      <c r="AA52" s="1558" t="s">
        <v>486</v>
      </c>
      <c r="AB52" s="1562">
        <v>108.32837360722637</v>
      </c>
      <c r="AC52" s="1561">
        <v>117.43916412021785</v>
      </c>
      <c r="AD52" s="1561">
        <v>0</v>
      </c>
      <c r="AE52" s="741">
        <v>44371</v>
      </c>
      <c r="AF52" s="741">
        <v>44371</v>
      </c>
      <c r="AG52" s="741" t="s">
        <v>508</v>
      </c>
      <c r="AH52" s="630"/>
      <c r="AI52" s="741"/>
      <c r="AJ52" s="741"/>
      <c r="AK52" s="741" t="s">
        <v>509</v>
      </c>
      <c r="AL52" s="741">
        <v>43405</v>
      </c>
      <c r="AM52" s="741"/>
      <c r="AN52" s="860"/>
      <c r="AO52" s="235"/>
      <c r="AP52" s="17"/>
      <c r="AR52" s="814" t="s">
        <v>421</v>
      </c>
      <c r="AS52" s="235"/>
      <c r="AT52" s="235"/>
      <c r="AX52" s="235"/>
    </row>
    <row r="53" spans="1:50" s="9" customFormat="1" ht="31.5">
      <c r="A53" s="630" t="s">
        <v>510</v>
      </c>
      <c r="B53" s="630" t="s">
        <v>533</v>
      </c>
      <c r="C53" s="630">
        <v>5375</v>
      </c>
      <c r="D53" s="630" t="s">
        <v>534</v>
      </c>
      <c r="E53" s="630" t="s">
        <v>283</v>
      </c>
      <c r="F53" s="630" t="s">
        <v>535</v>
      </c>
      <c r="G53" s="630" t="s">
        <v>285</v>
      </c>
      <c r="H53" s="630">
        <v>9.9699999999999997E-2</v>
      </c>
      <c r="I53" s="630" t="s">
        <v>536</v>
      </c>
      <c r="J53" s="630">
        <v>145</v>
      </c>
      <c r="K53" s="630" t="s">
        <v>537</v>
      </c>
      <c r="L53" s="630">
        <v>136</v>
      </c>
      <c r="M53" s="813">
        <v>0</v>
      </c>
      <c r="N53" s="1560"/>
      <c r="O53" s="1560" t="str">
        <f t="shared" si="9"/>
        <v>ReH 2.995/2021</v>
      </c>
      <c r="P53" s="1557">
        <v>0.26960000000000001</v>
      </c>
      <c r="Q53" s="1560">
        <v>9179104.7891964447</v>
      </c>
      <c r="R53" s="1568">
        <v>44531</v>
      </c>
      <c r="S53" s="1560" t="str">
        <f t="shared" si="10"/>
        <v>Desp. 521/2022</v>
      </c>
      <c r="T53" s="1571" t="s">
        <v>538</v>
      </c>
      <c r="U53" s="741" t="s">
        <v>539</v>
      </c>
      <c r="V53" s="630">
        <v>2022</v>
      </c>
      <c r="W53" s="1555">
        <v>2945</v>
      </c>
      <c r="X53" s="1556" t="s">
        <v>2162</v>
      </c>
      <c r="Y53" s="1557"/>
      <c r="AA53" s="1558" t="s">
        <v>536</v>
      </c>
      <c r="AB53" s="1562">
        <v>56.75</v>
      </c>
      <c r="AC53" s="1561">
        <v>133.91999999999999</v>
      </c>
      <c r="AD53" s="1561">
        <v>1818143.6</v>
      </c>
      <c r="AE53" s="741">
        <v>43678</v>
      </c>
      <c r="AF53" s="741">
        <v>43678</v>
      </c>
      <c r="AG53" s="741" t="s">
        <v>508</v>
      </c>
      <c r="AH53" s="630"/>
      <c r="AI53" s="741"/>
      <c r="AJ53" s="741"/>
      <c r="AK53" s="741" t="s">
        <v>509</v>
      </c>
      <c r="AL53" s="741">
        <v>43466</v>
      </c>
      <c r="AM53" s="741"/>
      <c r="AN53" s="860"/>
      <c r="AO53" s="235"/>
      <c r="AP53" s="17"/>
      <c r="AR53" s="814" t="s">
        <v>461</v>
      </c>
      <c r="AS53" s="235"/>
      <c r="AT53" s="235"/>
      <c r="AX53" s="235"/>
    </row>
    <row r="54" spans="1:50" s="9" customFormat="1" ht="31.5">
      <c r="A54" s="630" t="s">
        <v>186</v>
      </c>
      <c r="B54" s="630" t="s">
        <v>540</v>
      </c>
      <c r="C54" s="630">
        <v>5356</v>
      </c>
      <c r="D54" s="630" t="s">
        <v>541</v>
      </c>
      <c r="E54" s="630" t="s">
        <v>283</v>
      </c>
      <c r="F54" s="630" t="s">
        <v>542</v>
      </c>
      <c r="G54" s="630" t="s">
        <v>348</v>
      </c>
      <c r="H54" s="630">
        <v>9.9699999999999997E-2</v>
      </c>
      <c r="I54" s="630" t="s">
        <v>543</v>
      </c>
      <c r="J54" s="630">
        <v>111</v>
      </c>
      <c r="K54" s="630"/>
      <c r="L54" s="630"/>
      <c r="M54" s="813">
        <v>0</v>
      </c>
      <c r="N54" s="1560"/>
      <c r="O54" s="1560" t="str">
        <f t="shared" si="9"/>
        <v>ReH 2.995/2021</v>
      </c>
      <c r="P54" s="1557">
        <v>0.26719999999999999</v>
      </c>
      <c r="Q54" s="1560">
        <v>12311896.529185077</v>
      </c>
      <c r="R54" s="1568">
        <v>44531</v>
      </c>
      <c r="S54" s="1560" t="str">
        <f t="shared" si="10"/>
        <v>Desp. 521/2022</v>
      </c>
      <c r="T54" s="1571" t="s">
        <v>544</v>
      </c>
      <c r="U54" s="741" t="s">
        <v>545</v>
      </c>
      <c r="V54" s="630">
        <v>2022</v>
      </c>
      <c r="W54" s="1555">
        <v>2938</v>
      </c>
      <c r="X54" s="1556" t="s">
        <v>2162</v>
      </c>
      <c r="Y54" s="1557"/>
      <c r="AA54" s="1558" t="s">
        <v>543</v>
      </c>
      <c r="AB54" s="1562">
        <v>349.3569320960537</v>
      </c>
      <c r="AC54" s="1561">
        <v>180.36</v>
      </c>
      <c r="AD54" s="1561">
        <v>0</v>
      </c>
      <c r="AE54" s="741">
        <v>44430</v>
      </c>
      <c r="AF54" s="741">
        <v>44430</v>
      </c>
      <c r="AG54" s="741" t="s">
        <v>508</v>
      </c>
      <c r="AH54" s="630"/>
      <c r="AI54" s="741"/>
      <c r="AJ54" s="741"/>
      <c r="AK54" s="741" t="s">
        <v>509</v>
      </c>
      <c r="AL54" s="741">
        <v>43435</v>
      </c>
      <c r="AM54" s="741"/>
      <c r="AN54" s="860"/>
      <c r="AO54" s="235"/>
      <c r="AP54" s="17"/>
      <c r="AR54" s="814" t="s">
        <v>428</v>
      </c>
      <c r="AS54" s="235"/>
      <c r="AT54" s="235"/>
      <c r="AX54" s="235"/>
    </row>
    <row r="55" spans="1:50" s="9" customFormat="1" ht="31.5">
      <c r="A55" s="630" t="s">
        <v>472</v>
      </c>
      <c r="B55" s="630" t="s">
        <v>546</v>
      </c>
      <c r="C55" s="630">
        <v>7883</v>
      </c>
      <c r="D55" s="630" t="s">
        <v>547</v>
      </c>
      <c r="E55" s="630" t="s">
        <v>283</v>
      </c>
      <c r="F55" s="630" t="s">
        <v>548</v>
      </c>
      <c r="G55" s="630" t="s">
        <v>348</v>
      </c>
      <c r="H55" s="630">
        <v>9.9699999999999997E-2</v>
      </c>
      <c r="I55" s="630" t="s">
        <v>543</v>
      </c>
      <c r="J55" s="630">
        <v>111</v>
      </c>
      <c r="K55" s="630"/>
      <c r="L55" s="630"/>
      <c r="M55" s="813">
        <v>0</v>
      </c>
      <c r="N55" s="1560"/>
      <c r="O55" s="1560" t="str">
        <f t="shared" si="9"/>
        <v>ReH 2.995/2021</v>
      </c>
      <c r="P55" s="1557">
        <v>0.26719999999999999</v>
      </c>
      <c r="Q55" s="1560">
        <v>2747645.1312338929</v>
      </c>
      <c r="R55" s="1568">
        <v>44531</v>
      </c>
      <c r="S55" s="1560" t="str">
        <f t="shared" si="10"/>
        <v>Desp. 521/2022</v>
      </c>
      <c r="T55" s="1571" t="s">
        <v>549</v>
      </c>
      <c r="U55" s="741" t="s">
        <v>550</v>
      </c>
      <c r="V55" s="630">
        <v>2022</v>
      </c>
      <c r="W55" s="1555">
        <v>2952</v>
      </c>
      <c r="X55" s="1556" t="s">
        <v>2162</v>
      </c>
      <c r="Y55" s="1557"/>
      <c r="AA55" s="1558" t="s">
        <v>543</v>
      </c>
      <c r="AB55" s="1562">
        <v>66.75041888804266</v>
      </c>
      <c r="AC55" s="1561">
        <v>180.36</v>
      </c>
      <c r="AD55" s="1561">
        <v>1128622.9917918474</v>
      </c>
      <c r="AE55" s="741">
        <v>44430</v>
      </c>
      <c r="AF55" s="741">
        <v>44430</v>
      </c>
      <c r="AG55" s="741" t="s">
        <v>508</v>
      </c>
      <c r="AH55" s="630"/>
      <c r="AI55" s="741"/>
      <c r="AJ55" s="741"/>
      <c r="AK55" s="741" t="s">
        <v>509</v>
      </c>
      <c r="AL55" s="741">
        <v>43435</v>
      </c>
      <c r="AM55" s="741"/>
      <c r="AN55" s="860"/>
      <c r="AO55" s="235"/>
      <c r="AP55" s="17"/>
      <c r="AR55" s="814" t="s">
        <v>11</v>
      </c>
      <c r="AS55" s="235"/>
      <c r="AT55" s="235"/>
      <c r="AX55" s="235"/>
    </row>
    <row r="56" spans="1:50" s="9" customFormat="1" ht="31.5">
      <c r="A56" s="630" t="s">
        <v>521</v>
      </c>
      <c r="B56" s="630" t="s">
        <v>551</v>
      </c>
      <c r="C56" s="630">
        <v>11763</v>
      </c>
      <c r="D56" s="630" t="s">
        <v>552</v>
      </c>
      <c r="E56" s="630" t="s">
        <v>283</v>
      </c>
      <c r="F56" s="630" t="s">
        <v>553</v>
      </c>
      <c r="G56" s="630" t="s">
        <v>348</v>
      </c>
      <c r="H56" s="630">
        <v>9.9699999999999997E-2</v>
      </c>
      <c r="I56" s="630" t="s">
        <v>543</v>
      </c>
      <c r="J56" s="630">
        <v>111</v>
      </c>
      <c r="K56" s="630"/>
      <c r="L56" s="630"/>
      <c r="M56" s="813">
        <v>0</v>
      </c>
      <c r="N56" s="1560"/>
      <c r="O56" s="1560" t="str">
        <f t="shared" si="9"/>
        <v>ReH 2.995/2021</v>
      </c>
      <c r="P56" s="1557">
        <v>0.26719999999999999</v>
      </c>
      <c r="Q56" s="1560">
        <v>4273903.2129018996</v>
      </c>
      <c r="R56" s="1568">
        <v>44531</v>
      </c>
      <c r="S56" s="1560" t="str">
        <f t="shared" si="10"/>
        <v>Desp. 521/2022</v>
      </c>
      <c r="T56" s="1571" t="s">
        <v>554</v>
      </c>
      <c r="U56" s="741" t="s">
        <v>555</v>
      </c>
      <c r="V56" s="630">
        <v>2022</v>
      </c>
      <c r="W56" s="1555">
        <v>2954</v>
      </c>
      <c r="X56" s="1556" t="s">
        <v>2162</v>
      </c>
      <c r="Y56" s="1557"/>
      <c r="AA56" s="1558" t="s">
        <v>543</v>
      </c>
      <c r="AB56" s="1562">
        <v>340.16724180581309</v>
      </c>
      <c r="AC56" s="1561">
        <v>180.36</v>
      </c>
      <c r="AD56" s="1561">
        <v>0</v>
      </c>
      <c r="AE56" s="741">
        <v>44430</v>
      </c>
      <c r="AF56" s="741">
        <v>44430</v>
      </c>
      <c r="AG56" s="741" t="s">
        <v>508</v>
      </c>
      <c r="AH56" s="630"/>
      <c r="AI56" s="741"/>
      <c r="AJ56" s="741"/>
      <c r="AK56" s="741" t="s">
        <v>509</v>
      </c>
      <c r="AL56" s="741">
        <v>43466</v>
      </c>
      <c r="AM56" s="741"/>
      <c r="AN56" s="860"/>
      <c r="AO56" s="235"/>
      <c r="AP56" s="17"/>
      <c r="AR56" s="630" t="s">
        <v>10</v>
      </c>
      <c r="AS56" s="235"/>
      <c r="AT56" s="235"/>
      <c r="AX56" s="235"/>
    </row>
    <row r="57" spans="1:50" s="9" customFormat="1" ht="31.5">
      <c r="A57" s="630" t="s">
        <v>556</v>
      </c>
      <c r="B57" s="630" t="s">
        <v>557</v>
      </c>
      <c r="C57" s="630">
        <v>5374</v>
      </c>
      <c r="D57" s="630" t="s">
        <v>558</v>
      </c>
      <c r="E57" s="630" t="s">
        <v>283</v>
      </c>
      <c r="F57" s="630" t="s">
        <v>559</v>
      </c>
      <c r="G57" s="630" t="s">
        <v>348</v>
      </c>
      <c r="H57" s="630">
        <v>9.9699999999999997E-2</v>
      </c>
      <c r="I57" s="630" t="s">
        <v>543</v>
      </c>
      <c r="J57" s="630">
        <v>111</v>
      </c>
      <c r="K57" s="630"/>
      <c r="L57" s="630"/>
      <c r="M57" s="813">
        <v>0</v>
      </c>
      <c r="N57" s="1560"/>
      <c r="O57" s="1560" t="str">
        <f t="shared" si="9"/>
        <v>ReH 2.995/2021</v>
      </c>
      <c r="P57" s="1557">
        <v>0.26719999999999999</v>
      </c>
      <c r="Q57" s="1560">
        <v>14887159.462181535</v>
      </c>
      <c r="R57" s="1568">
        <v>44531</v>
      </c>
      <c r="S57" s="1560" t="str">
        <f t="shared" si="10"/>
        <v>Desp. 521/2022</v>
      </c>
      <c r="T57" s="1571" t="s">
        <v>560</v>
      </c>
      <c r="U57" s="741" t="s">
        <v>561</v>
      </c>
      <c r="V57" s="630">
        <v>2022</v>
      </c>
      <c r="W57" s="1555">
        <v>2955</v>
      </c>
      <c r="X57" s="1556" t="s">
        <v>2162</v>
      </c>
      <c r="Y57" s="1557"/>
      <c r="AA57" s="1558" t="s">
        <v>543</v>
      </c>
      <c r="AB57" s="1562">
        <v>42.479589945809131</v>
      </c>
      <c r="AC57" s="1561">
        <v>180.36</v>
      </c>
      <c r="AD57" s="1561">
        <v>4958818.1676888634</v>
      </c>
      <c r="AE57" s="741">
        <v>44430</v>
      </c>
      <c r="AF57" s="741">
        <v>44430</v>
      </c>
      <c r="AG57" s="741" t="s">
        <v>508</v>
      </c>
      <c r="AH57" s="630"/>
      <c r="AI57" s="741"/>
      <c r="AJ57" s="741"/>
      <c r="AK57" s="741" t="s">
        <v>509</v>
      </c>
      <c r="AL57" s="741">
        <v>43435</v>
      </c>
      <c r="AM57" s="741"/>
      <c r="AN57" s="860"/>
      <c r="AO57" s="235"/>
      <c r="AP57" s="17"/>
      <c r="AR57" s="888" t="s">
        <v>562</v>
      </c>
      <c r="AS57" s="235"/>
      <c r="AT57" s="235"/>
      <c r="AX57" s="235"/>
    </row>
    <row r="58" spans="1:50" s="9" customFormat="1" ht="31.5">
      <c r="A58" s="630" t="s">
        <v>10</v>
      </c>
      <c r="B58" s="630" t="s">
        <v>563</v>
      </c>
      <c r="C58" s="630">
        <v>5346</v>
      </c>
      <c r="D58" s="630" t="s">
        <v>564</v>
      </c>
      <c r="E58" s="630" t="s">
        <v>283</v>
      </c>
      <c r="F58" s="630" t="s">
        <v>565</v>
      </c>
      <c r="G58" s="630" t="s">
        <v>442</v>
      </c>
      <c r="H58" s="630">
        <v>9.9699999999999997E-2</v>
      </c>
      <c r="I58" s="630" t="s">
        <v>354</v>
      </c>
      <c r="J58" s="630">
        <v>110</v>
      </c>
      <c r="K58" s="630"/>
      <c r="L58" s="630"/>
      <c r="M58" s="813">
        <v>0</v>
      </c>
      <c r="N58" s="1560"/>
      <c r="O58" s="1560" t="str">
        <f t="shared" si="9"/>
        <v>ReH 2.995/2021</v>
      </c>
      <c r="P58" s="1557">
        <v>0.29220000000000002</v>
      </c>
      <c r="Q58" s="1560">
        <v>12150493.896013878</v>
      </c>
      <c r="R58" s="1568">
        <v>44531</v>
      </c>
      <c r="S58" s="1560" t="str">
        <f t="shared" si="10"/>
        <v>Desp. 521/2022</v>
      </c>
      <c r="T58" s="630" t="s">
        <v>566</v>
      </c>
      <c r="U58" s="741" t="s">
        <v>567</v>
      </c>
      <c r="V58" s="630">
        <v>2022</v>
      </c>
      <c r="W58" s="1555">
        <v>2993</v>
      </c>
      <c r="X58" s="1556" t="s">
        <v>2157</v>
      </c>
      <c r="Y58" s="630"/>
      <c r="AA58" s="1558" t="s">
        <v>354</v>
      </c>
      <c r="AB58" s="1560">
        <v>12.14</v>
      </c>
      <c r="AC58" s="1561">
        <v>127.47</v>
      </c>
      <c r="AD58" s="1561">
        <v>10002090.66</v>
      </c>
      <c r="AE58" s="741">
        <v>44501</v>
      </c>
      <c r="AF58" s="741">
        <v>44522</v>
      </c>
      <c r="AG58" s="741"/>
      <c r="AH58" s="630"/>
      <c r="AI58" s="741"/>
      <c r="AJ58" s="741"/>
      <c r="AK58" s="741" t="s">
        <v>509</v>
      </c>
      <c r="AL58" s="741">
        <v>43525</v>
      </c>
      <c r="AM58" s="741"/>
      <c r="AN58" s="860"/>
      <c r="AO58" s="235"/>
      <c r="AP58" s="17"/>
      <c r="AR58" s="814" t="s">
        <v>433</v>
      </c>
      <c r="AS58" s="235"/>
      <c r="AT58" s="235"/>
      <c r="AX58" s="235"/>
    </row>
    <row r="59" spans="1:50" s="9" customFormat="1" ht="31.5">
      <c r="A59" s="630" t="s">
        <v>11</v>
      </c>
      <c r="B59" s="630" t="s">
        <v>568</v>
      </c>
      <c r="C59" s="630">
        <v>5345</v>
      </c>
      <c r="D59" s="630" t="s">
        <v>569</v>
      </c>
      <c r="E59" s="630" t="s">
        <v>283</v>
      </c>
      <c r="F59" s="630" t="s">
        <v>570</v>
      </c>
      <c r="G59" s="630" t="s">
        <v>442</v>
      </c>
      <c r="H59" s="630">
        <v>9.9699999999999997E-2</v>
      </c>
      <c r="I59" s="630" t="s">
        <v>354</v>
      </c>
      <c r="J59" s="630">
        <v>110</v>
      </c>
      <c r="K59" s="630"/>
      <c r="L59" s="630"/>
      <c r="M59" s="813">
        <v>0</v>
      </c>
      <c r="N59" s="1560"/>
      <c r="O59" s="1560" t="str">
        <f t="shared" si="9"/>
        <v>ReH 2.995/2021</v>
      </c>
      <c r="P59" s="1557">
        <v>0.29220000000000002</v>
      </c>
      <c r="Q59" s="1560">
        <v>12126674.039789611</v>
      </c>
      <c r="R59" s="1568">
        <v>44531</v>
      </c>
      <c r="S59" s="1560" t="str">
        <f t="shared" si="10"/>
        <v>Desp. 521/2022</v>
      </c>
      <c r="T59" s="630" t="s">
        <v>571</v>
      </c>
      <c r="U59" s="741" t="s">
        <v>572</v>
      </c>
      <c r="V59" s="630">
        <v>2022</v>
      </c>
      <c r="W59" s="1555">
        <v>2999</v>
      </c>
      <c r="X59" s="1556" t="s">
        <v>2157</v>
      </c>
      <c r="Y59" s="630"/>
      <c r="AA59" s="1558" t="s">
        <v>354</v>
      </c>
      <c r="AB59" s="1560">
        <v>24.63</v>
      </c>
      <c r="AC59" s="1561">
        <v>127.47</v>
      </c>
      <c r="AD59" s="1561">
        <v>5510422.0099999998</v>
      </c>
      <c r="AE59" s="741">
        <v>44197</v>
      </c>
      <c r="AF59" s="741">
        <v>44522</v>
      </c>
      <c r="AG59" s="741"/>
      <c r="AH59" s="630"/>
      <c r="AI59" s="741"/>
      <c r="AJ59" s="741"/>
      <c r="AK59" s="741" t="s">
        <v>509</v>
      </c>
      <c r="AL59" s="741">
        <v>43525</v>
      </c>
      <c r="AM59" s="741"/>
      <c r="AN59" s="860"/>
      <c r="AO59" s="235"/>
      <c r="AP59" s="17"/>
      <c r="AR59" s="814" t="s">
        <v>466</v>
      </c>
      <c r="AS59" s="235"/>
      <c r="AT59" s="235"/>
      <c r="AX59" s="235"/>
    </row>
    <row r="60" spans="1:50" s="9" customFormat="1" ht="31.5">
      <c r="A60" s="630" t="s">
        <v>328</v>
      </c>
      <c r="B60" s="630" t="s">
        <v>573</v>
      </c>
      <c r="C60" s="630">
        <v>7467</v>
      </c>
      <c r="D60" s="630" t="s">
        <v>574</v>
      </c>
      <c r="E60" s="630" t="s">
        <v>283</v>
      </c>
      <c r="F60" s="630" t="s">
        <v>575</v>
      </c>
      <c r="G60" s="630" t="s">
        <v>285</v>
      </c>
      <c r="H60" s="630">
        <v>9.9699999999999997E-2</v>
      </c>
      <c r="I60" s="630" t="s">
        <v>150</v>
      </c>
      <c r="J60" s="630">
        <v>136</v>
      </c>
      <c r="K60" s="630" t="s">
        <v>164</v>
      </c>
      <c r="L60" s="630">
        <v>145</v>
      </c>
      <c r="M60" s="813">
        <v>0</v>
      </c>
      <c r="N60" s="1560"/>
      <c r="O60" s="1560" t="str">
        <f t="shared" si="9"/>
        <v>ReH 2.995/2021</v>
      </c>
      <c r="P60" s="1557">
        <v>0.31130000000000002</v>
      </c>
      <c r="Q60" s="1560">
        <v>26138615.684229702</v>
      </c>
      <c r="R60" s="1568">
        <v>44531</v>
      </c>
      <c r="S60" s="1560" t="str">
        <f t="shared" si="10"/>
        <v>Desp. 521/2022</v>
      </c>
      <c r="T60" s="630" t="s">
        <v>576</v>
      </c>
      <c r="U60" s="741" t="s">
        <v>577</v>
      </c>
      <c r="V60" s="630">
        <v>2023</v>
      </c>
      <c r="W60" s="1555">
        <v>2871</v>
      </c>
      <c r="X60" s="1556" t="s">
        <v>2159</v>
      </c>
      <c r="Y60" s="630"/>
      <c r="AA60" s="1558" t="s">
        <v>150</v>
      </c>
      <c r="AB60" s="1560">
        <v>109.7</v>
      </c>
      <c r="AC60" s="1561">
        <v>237.88</v>
      </c>
      <c r="AD60" s="1561">
        <v>7537395.7800000003</v>
      </c>
      <c r="AE60" s="741">
        <v>43198</v>
      </c>
      <c r="AF60" s="741">
        <v>43198</v>
      </c>
      <c r="AG60" s="741"/>
      <c r="AH60" s="630"/>
      <c r="AI60" s="741"/>
      <c r="AJ60" s="741"/>
      <c r="AK60" s="741" t="s">
        <v>509</v>
      </c>
      <c r="AL60" s="741">
        <v>43614</v>
      </c>
      <c r="AM60" s="1564">
        <v>0</v>
      </c>
      <c r="AN60" s="860"/>
      <c r="AR60" s="814" t="s">
        <v>174</v>
      </c>
      <c r="AS60" s="235"/>
      <c r="AT60" s="235"/>
      <c r="AX60" s="235"/>
    </row>
    <row r="61" spans="1:50" ht="31.5">
      <c r="A61" s="509" t="s">
        <v>321</v>
      </c>
      <c r="B61" s="509" t="s">
        <v>578</v>
      </c>
      <c r="C61" s="509">
        <v>5343</v>
      </c>
      <c r="D61" s="630" t="s">
        <v>579</v>
      </c>
      <c r="E61" s="509" t="s">
        <v>283</v>
      </c>
      <c r="F61" s="509" t="s">
        <v>580</v>
      </c>
      <c r="G61" s="509" t="s">
        <v>442</v>
      </c>
      <c r="H61" s="509">
        <v>9.9699999999999997E-2</v>
      </c>
      <c r="I61" s="509" t="s">
        <v>206</v>
      </c>
      <c r="J61" s="509">
        <v>167</v>
      </c>
      <c r="K61" s="509" t="s">
        <v>581</v>
      </c>
      <c r="L61" s="509">
        <v>164</v>
      </c>
      <c r="M61" s="861">
        <v>0</v>
      </c>
      <c r="N61" s="860"/>
      <c r="O61" s="1560" t="str">
        <f t="shared" si="9"/>
        <v>ReH 2.995/2021</v>
      </c>
      <c r="P61" s="1572">
        <v>0.3589</v>
      </c>
      <c r="Q61" s="860">
        <v>45272621.042895459</v>
      </c>
      <c r="R61" s="1568">
        <v>44531</v>
      </c>
      <c r="S61" s="1560" t="str">
        <f t="shared" si="10"/>
        <v>Desp. 521/2022</v>
      </c>
      <c r="T61" s="741">
        <v>43831</v>
      </c>
      <c r="U61" s="862" t="s">
        <v>582</v>
      </c>
      <c r="V61" s="509">
        <v>2022</v>
      </c>
      <c r="W61" s="1565">
        <v>2913</v>
      </c>
      <c r="X61" s="509" t="s">
        <v>2160</v>
      </c>
      <c r="Y61" s="509"/>
      <c r="AA61" s="1566" t="s">
        <v>206</v>
      </c>
      <c r="AB61" s="860">
        <v>16.32</v>
      </c>
      <c r="AC61" s="1567">
        <v>131.34</v>
      </c>
      <c r="AD61" s="1567">
        <v>22619960.88284716</v>
      </c>
      <c r="AE61" s="862">
        <v>43209</v>
      </c>
      <c r="AF61" s="862">
        <v>43270</v>
      </c>
      <c r="AG61" s="509"/>
      <c r="AH61" s="862"/>
      <c r="AI61" s="862"/>
      <c r="AJ61" s="862"/>
      <c r="AK61" s="741" t="s">
        <v>583</v>
      </c>
      <c r="AL61" s="862">
        <v>44105</v>
      </c>
      <c r="AM61" s="862"/>
      <c r="AN61" s="860"/>
      <c r="AR61" s="630" t="s">
        <v>477</v>
      </c>
      <c r="AS61" s="855"/>
      <c r="AX61" s="855"/>
    </row>
    <row r="62" spans="1:50">
      <c r="AD62" s="782"/>
    </row>
    <row r="64" spans="1:50">
      <c r="B64">
        <v>6896</v>
      </c>
    </row>
    <row r="66" spans="1:14">
      <c r="A66" s="656" t="s">
        <v>584</v>
      </c>
    </row>
    <row r="68" spans="1:14">
      <c r="A68" s="510" t="s">
        <v>585</v>
      </c>
      <c r="B68" s="510" t="s">
        <v>27</v>
      </c>
      <c r="C68" s="510" t="s">
        <v>586</v>
      </c>
      <c r="D68" s="510" t="s">
        <v>587</v>
      </c>
      <c r="E68" s="510" t="s">
        <v>588</v>
      </c>
      <c r="F68" s="510" t="s">
        <v>589</v>
      </c>
      <c r="G68" s="510" t="s">
        <v>590</v>
      </c>
      <c r="H68" s="510" t="s">
        <v>591</v>
      </c>
      <c r="I68" s="510" t="s">
        <v>592</v>
      </c>
      <c r="J68" s="510" t="s">
        <v>593</v>
      </c>
      <c r="K68" s="516" t="s">
        <v>594</v>
      </c>
      <c r="L68" s="510" t="s">
        <v>595</v>
      </c>
      <c r="M68" s="516" t="s">
        <v>596</v>
      </c>
      <c r="N68" s="516" t="s">
        <v>2168</v>
      </c>
    </row>
    <row r="69" spans="1:14">
      <c r="A69" s="481" t="s">
        <v>280</v>
      </c>
      <c r="B69" s="630" t="s">
        <v>286</v>
      </c>
      <c r="C69" s="481">
        <v>104</v>
      </c>
      <c r="D69" s="481">
        <v>391</v>
      </c>
      <c r="E69" s="481" t="s">
        <v>597</v>
      </c>
      <c r="F69" s="481" t="str">
        <f>CONCATENATE(DescontosTE[[#This Row],[Permissionária]],DescontosTE[[#This Row],[codsariSUP]],DescontosTE[[#This Row],[Classe]])</f>
        <v>Cedrap391A4</v>
      </c>
      <c r="G69" s="511">
        <v>0.85740000000000005</v>
      </c>
      <c r="H69" s="511">
        <v>0.64305000000000001</v>
      </c>
      <c r="I69" s="511">
        <v>0.33069999999999999</v>
      </c>
      <c r="J69" s="513">
        <v>0.33069999999999999</v>
      </c>
      <c r="K69" s="683">
        <v>0.26350000000000001</v>
      </c>
      <c r="L69" s="863">
        <v>0</v>
      </c>
      <c r="M69" s="863">
        <v>0</v>
      </c>
    </row>
    <row r="70" spans="1:14">
      <c r="A70" s="481" t="s">
        <v>280</v>
      </c>
      <c r="B70" s="481" t="s">
        <v>164</v>
      </c>
      <c r="C70" s="481">
        <v>145</v>
      </c>
      <c r="D70" s="481">
        <v>385</v>
      </c>
      <c r="E70" s="481" t="s">
        <v>597</v>
      </c>
      <c r="F70" s="481" t="str">
        <f>CONCATENATE(DescontosTE[[#This Row],[Permissionária]],DescontosTE[[#This Row],[codsariSUP]],DescontosTE[[#This Row],[Classe]])</f>
        <v>Cedrap385A4</v>
      </c>
      <c r="G70" s="511">
        <v>0.81920000000000004</v>
      </c>
      <c r="H70" s="511">
        <v>0.61440000000000006</v>
      </c>
      <c r="I70" s="511">
        <v>0.33069999999999999</v>
      </c>
      <c r="J70" s="513">
        <v>0.33069999999999999</v>
      </c>
      <c r="K70" s="683">
        <v>0.26350000000000001</v>
      </c>
      <c r="L70" s="863">
        <v>0</v>
      </c>
      <c r="M70" s="863">
        <v>0</v>
      </c>
    </row>
    <row r="71" spans="1:14">
      <c r="A71" s="481" t="s">
        <v>187</v>
      </c>
      <c r="B71" s="481" t="s">
        <v>164</v>
      </c>
      <c r="C71" s="481">
        <v>145</v>
      </c>
      <c r="D71" s="481">
        <v>385</v>
      </c>
      <c r="E71" s="481" t="s">
        <v>597</v>
      </c>
      <c r="F71" s="481" t="str">
        <f>CONCATENATE(DescontosTE[[#This Row],[Permissionária]],DescontosTE[[#This Row],[codsariSUP]],DescontosTE[[#This Row],[Classe]])</f>
        <v>Cedri385A4</v>
      </c>
      <c r="G71" s="511">
        <v>0.62490000000000001</v>
      </c>
      <c r="H71" s="511">
        <v>0.46867500000000001</v>
      </c>
      <c r="I71" s="511">
        <v>0.45379999999999998</v>
      </c>
      <c r="J71" s="513">
        <v>0.45379999999999998</v>
      </c>
      <c r="K71" s="683">
        <v>0</v>
      </c>
      <c r="L71" s="863">
        <v>0</v>
      </c>
      <c r="M71" s="863">
        <v>0</v>
      </c>
    </row>
    <row r="72" spans="1:14">
      <c r="A72" s="481" t="s">
        <v>315</v>
      </c>
      <c r="B72" s="481" t="s">
        <v>189</v>
      </c>
      <c r="C72" s="481">
        <v>111</v>
      </c>
      <c r="D72" s="481">
        <v>5697</v>
      </c>
      <c r="E72" s="481" t="s">
        <v>597</v>
      </c>
      <c r="F72" s="481" t="str">
        <f>CONCATENATE(DescontosTE[[#This Row],[Permissionária]],DescontosTE[[#This Row],[codsariSUP]],DescontosTE[[#This Row],[Classe]])</f>
        <v>Cejama5697A4</v>
      </c>
      <c r="G72" s="511">
        <v>0.53426551936078681</v>
      </c>
      <c r="H72" s="511">
        <v>0.40069913952059011</v>
      </c>
      <c r="I72" s="511">
        <v>0.40069913952059011</v>
      </c>
      <c r="J72" s="513">
        <v>0.4007</v>
      </c>
      <c r="K72" s="683">
        <v>0.22989999999999999</v>
      </c>
      <c r="L72" s="863">
        <v>0</v>
      </c>
      <c r="M72" s="863">
        <v>0</v>
      </c>
    </row>
    <row r="73" spans="1:14">
      <c r="A73" s="481" t="s">
        <v>315</v>
      </c>
      <c r="B73" s="487" t="s">
        <v>407</v>
      </c>
      <c r="C73" s="481">
        <v>228</v>
      </c>
      <c r="D73" s="481">
        <v>5368</v>
      </c>
      <c r="E73" s="481" t="s">
        <v>597</v>
      </c>
      <c r="F73" s="481" t="str">
        <f>CONCATENATE(DescontosTE[[#This Row],[Permissionária]],DescontosTE[[#This Row],[codsariSUP]],DescontosTE[[#This Row],[Classe]])</f>
        <v>Cejama5368A4</v>
      </c>
      <c r="G73" s="683">
        <v>0</v>
      </c>
      <c r="H73" s="683">
        <v>0</v>
      </c>
      <c r="I73" s="683">
        <v>0</v>
      </c>
      <c r="J73" s="512">
        <v>0</v>
      </c>
      <c r="K73" s="683">
        <v>0</v>
      </c>
      <c r="L73" s="863">
        <v>0</v>
      </c>
      <c r="M73" s="863">
        <v>0</v>
      </c>
    </row>
    <row r="74" spans="1:14">
      <c r="A74" s="481" t="s">
        <v>9</v>
      </c>
      <c r="B74" s="481" t="s">
        <v>598</v>
      </c>
      <c r="C74" s="481">
        <v>110</v>
      </c>
      <c r="D74" s="481">
        <v>5707</v>
      </c>
      <c r="E74" s="481" t="s">
        <v>597</v>
      </c>
      <c r="F74" s="481" t="str">
        <f>CONCATENATE(DescontosTE[[#This Row],[Permissionária]],DescontosTE[[#This Row],[codsariSUP]],DescontosTE[[#This Row],[Classe]])</f>
        <v>Ceprag5707A4</v>
      </c>
      <c r="G74" s="511">
        <v>0.57969814099024475</v>
      </c>
      <c r="H74" s="511">
        <v>0.57969814099024475</v>
      </c>
      <c r="I74" s="511">
        <v>0.57969814099024475</v>
      </c>
      <c r="J74" s="511">
        <v>0.57969814099024475</v>
      </c>
      <c r="K74" s="683">
        <v>0.30859999999999999</v>
      </c>
      <c r="L74" s="863">
        <v>0</v>
      </c>
      <c r="M74" s="1531">
        <v>0</v>
      </c>
    </row>
    <row r="75" spans="1:14">
      <c r="A75" s="481" t="s">
        <v>9</v>
      </c>
      <c r="B75" s="481" t="s">
        <v>189</v>
      </c>
      <c r="C75" s="481">
        <v>111</v>
      </c>
      <c r="D75" s="481">
        <v>5697</v>
      </c>
      <c r="E75" s="481" t="s">
        <v>599</v>
      </c>
      <c r="F75" s="481" t="str">
        <f>CONCATENATE(DescontosTE[[#This Row],[Permissionária]],DescontosTE[[#This Row],[codsariSUP]],DescontosTE[[#This Row],[Classe]])</f>
        <v>Ceprag5697A3</v>
      </c>
      <c r="G75" s="511">
        <v>0.54564975934838955</v>
      </c>
      <c r="H75" s="511">
        <v>0.54564975934838955</v>
      </c>
      <c r="I75" s="511">
        <v>0.54564975934838955</v>
      </c>
      <c r="J75" s="511">
        <v>0.54564975934838955</v>
      </c>
      <c r="K75" s="683">
        <v>0.30859999999999999</v>
      </c>
      <c r="L75" s="863">
        <v>0.29099999999999998</v>
      </c>
      <c r="M75" s="1532">
        <v>0</v>
      </c>
    </row>
    <row r="76" spans="1:14">
      <c r="A76" s="481" t="s">
        <v>339</v>
      </c>
      <c r="B76" s="481" t="s">
        <v>189</v>
      </c>
      <c r="C76" s="481">
        <v>111</v>
      </c>
      <c r="D76" s="481">
        <v>5697</v>
      </c>
      <c r="E76" s="481" t="s">
        <v>597</v>
      </c>
      <c r="F76" s="481" t="str">
        <f>CONCATENATE(DescontosTE[[#This Row],[Permissionária]],DescontosTE[[#This Row],[codsariSUP]],DescontosTE[[#This Row],[Classe]])</f>
        <v>Ceraçá5697A4</v>
      </c>
      <c r="G76" s="511">
        <v>0.89512907191149349</v>
      </c>
      <c r="H76" s="511">
        <v>0.67134680393362012</v>
      </c>
      <c r="I76" s="511">
        <v>0.67134680393362012</v>
      </c>
      <c r="J76" s="513">
        <v>0.65039999999999998</v>
      </c>
      <c r="K76" s="683">
        <v>0.57469999999999999</v>
      </c>
      <c r="L76" s="863">
        <v>0.56379999999999997</v>
      </c>
      <c r="M76" s="1532">
        <v>0.54410000000000003</v>
      </c>
    </row>
    <row r="77" spans="1:14">
      <c r="A77" s="481" t="s">
        <v>184</v>
      </c>
      <c r="B77" s="481" t="s">
        <v>362</v>
      </c>
      <c r="C77" s="481">
        <v>220</v>
      </c>
      <c r="D77" s="481">
        <v>6898</v>
      </c>
      <c r="E77" s="481" t="s">
        <v>597</v>
      </c>
      <c r="F77" s="481" t="str">
        <f>CONCATENATE(DescontosTE[[#This Row],[Permissionária]],DescontosTE[[#This Row],[codsariSUP]],DescontosTE[[#This Row],[Classe]])</f>
        <v>Ceral Anitápolis6898A4</v>
      </c>
      <c r="G77" s="511">
        <v>0.90610167159661548</v>
      </c>
      <c r="H77" s="511">
        <v>0.67957625369746166</v>
      </c>
      <c r="I77" s="511">
        <v>0.222</v>
      </c>
      <c r="J77" s="513">
        <v>0.1933</v>
      </c>
      <c r="K77" s="683">
        <v>0.1933</v>
      </c>
      <c r="L77" s="863">
        <v>0</v>
      </c>
      <c r="M77" s="863">
        <v>0</v>
      </c>
    </row>
    <row r="78" spans="1:14">
      <c r="A78" s="481" t="s">
        <v>357</v>
      </c>
      <c r="B78" s="481" t="s">
        <v>600</v>
      </c>
      <c r="C78" s="481">
        <v>132</v>
      </c>
      <c r="D78" s="481">
        <v>2866</v>
      </c>
      <c r="E78" s="481" t="s">
        <v>597</v>
      </c>
      <c r="F78" s="481" t="str">
        <f>CONCATENATE(DescontosTE[[#This Row],[Permissionária]],DescontosTE[[#This Row],[codsariSUP]],DescontosTE[[#This Row],[Classe]])</f>
        <v>Ceral Dis2866A4</v>
      </c>
      <c r="G78" s="511">
        <v>0.73094654242275625</v>
      </c>
      <c r="H78" s="511">
        <v>0.54820990681706716</v>
      </c>
      <c r="I78" s="511">
        <v>0.40820000000000001</v>
      </c>
      <c r="J78" s="513">
        <v>0.40816629218792566</v>
      </c>
      <c r="K78" s="683">
        <v>0.38150000000000001</v>
      </c>
      <c r="L78" s="863">
        <v>0.2326</v>
      </c>
      <c r="M78" s="1532">
        <v>0.2326</v>
      </c>
    </row>
    <row r="79" spans="1:14">
      <c r="A79" s="481" t="s">
        <v>357</v>
      </c>
      <c r="B79" s="481" t="s">
        <v>600</v>
      </c>
      <c r="C79" s="481">
        <v>132</v>
      </c>
      <c r="D79" s="481">
        <v>2866</v>
      </c>
      <c r="E79" s="481" t="s">
        <v>601</v>
      </c>
      <c r="F79" s="481" t="str">
        <f>CONCATENATE(DescontosTE[[#This Row],[Permissionária]],DescontosTE[[#This Row],[codsariSUP]],DescontosTE[[#This Row],[Classe]])</f>
        <v>Ceral Dis2866A3a</v>
      </c>
      <c r="G79" s="511">
        <v>0.73094654242275625</v>
      </c>
      <c r="H79" s="511">
        <v>0.54820990681706716</v>
      </c>
      <c r="I79" s="511">
        <v>0.40820000000000001</v>
      </c>
      <c r="J79" s="513">
        <v>0.40816629218792566</v>
      </c>
      <c r="K79" s="683">
        <v>0.38150000000000001</v>
      </c>
      <c r="L79" s="863">
        <v>0.2326</v>
      </c>
      <c r="M79" s="1532">
        <v>0.2326</v>
      </c>
    </row>
    <row r="80" spans="1:14">
      <c r="A80" s="481" t="s">
        <v>362</v>
      </c>
      <c r="B80" s="481" t="s">
        <v>189</v>
      </c>
      <c r="C80" s="481">
        <v>111</v>
      </c>
      <c r="D80" s="481">
        <v>5697</v>
      </c>
      <c r="E80" s="481" t="s">
        <v>602</v>
      </c>
      <c r="F80" s="481" t="str">
        <f>CONCATENATE(DescontosTE[[#This Row],[Permissionária]],DescontosTE[[#This Row],[codsariSUP]],DescontosTE[[#This Row],[Classe]])</f>
        <v>Cerbranorte5697A2</v>
      </c>
      <c r="G80" s="511">
        <v>0.47579901659496004</v>
      </c>
      <c r="H80" s="511">
        <v>0.35684926244622006</v>
      </c>
      <c r="I80" s="511">
        <v>0.35684926244622006</v>
      </c>
      <c r="J80" s="513">
        <v>0.34470000000000001</v>
      </c>
      <c r="K80" s="683">
        <v>0.1027</v>
      </c>
      <c r="L80" s="863">
        <v>9.9400000000000002E-2</v>
      </c>
      <c r="M80" s="1532">
        <v>0</v>
      </c>
    </row>
    <row r="81" spans="1:14">
      <c r="A81" s="481" t="s">
        <v>362</v>
      </c>
      <c r="B81" s="481" t="s">
        <v>189</v>
      </c>
      <c r="C81" s="481">
        <v>111</v>
      </c>
      <c r="D81" s="481">
        <v>5697</v>
      </c>
      <c r="E81" s="481" t="s">
        <v>597</v>
      </c>
      <c r="F81" s="481" t="str">
        <f>CONCATENATE(DescontosTE[[#This Row],[Permissionária]],DescontosTE[[#This Row],[codsariSUP]],DescontosTE[[#This Row],[Classe]])</f>
        <v>Cerbranorte5697A4</v>
      </c>
      <c r="G81" s="511">
        <v>0.47579901659496004</v>
      </c>
      <c r="H81" s="511">
        <v>0.35684926244622006</v>
      </c>
      <c r="I81" s="511">
        <v>0.35684926244622006</v>
      </c>
      <c r="J81" s="513">
        <v>0.34470000000000001</v>
      </c>
      <c r="K81" s="683">
        <v>0.1027</v>
      </c>
      <c r="L81" s="863">
        <v>9.9400000000000002E-2</v>
      </c>
      <c r="M81" s="1532">
        <v>0</v>
      </c>
    </row>
    <row r="82" spans="1:14">
      <c r="A82" s="481" t="s">
        <v>372</v>
      </c>
      <c r="B82" s="481" t="s">
        <v>603</v>
      </c>
      <c r="C82" s="481">
        <v>155</v>
      </c>
      <c r="D82" s="481">
        <v>6587</v>
      </c>
      <c r="E82" s="481" t="s">
        <v>597</v>
      </c>
      <c r="F82" s="481" t="str">
        <f>CONCATENATE(DescontosTE[[#This Row],[Permissionária]],DescontosTE[[#This Row],[codsariSUP]],DescontosTE[[#This Row],[Classe]])</f>
        <v>Cercos6587A4</v>
      </c>
      <c r="G82" s="511">
        <v>0.71649852236828693</v>
      </c>
      <c r="H82" s="511">
        <v>0.5373738917762152</v>
      </c>
      <c r="I82" s="511">
        <v>0.35820000000000002</v>
      </c>
      <c r="J82" s="513">
        <v>0</v>
      </c>
      <c r="K82" s="683">
        <v>0</v>
      </c>
      <c r="L82" s="863">
        <v>0</v>
      </c>
      <c r="M82" s="863">
        <v>0</v>
      </c>
    </row>
    <row r="83" spans="1:14">
      <c r="A83" s="481" t="s">
        <v>373</v>
      </c>
      <c r="B83" s="481" t="s">
        <v>189</v>
      </c>
      <c r="C83" s="481">
        <v>111</v>
      </c>
      <c r="D83" s="481">
        <v>5697</v>
      </c>
      <c r="E83" s="481" t="s">
        <v>597</v>
      </c>
      <c r="F83" s="481" t="str">
        <f>CONCATENATE(DescontosTE[[#This Row],[Permissionária]],DescontosTE[[#This Row],[codsariSUP]],DescontosTE[[#This Row],[Classe]])</f>
        <v>Cerej5697A4</v>
      </c>
      <c r="G83" s="511">
        <v>0.89474492931776273</v>
      </c>
      <c r="H83" s="511">
        <v>0.6710586969883221</v>
      </c>
      <c r="I83" s="511">
        <v>0.6710586969883221</v>
      </c>
      <c r="J83" s="513">
        <v>0.67110000000000003</v>
      </c>
      <c r="K83" s="683">
        <v>0.67110000000000003</v>
      </c>
      <c r="L83" s="863">
        <v>0.63749999999999996</v>
      </c>
      <c r="M83" s="1532">
        <v>0.41699999999999998</v>
      </c>
    </row>
    <row r="84" spans="1:14">
      <c r="A84" s="481" t="s">
        <v>182</v>
      </c>
      <c r="B84" s="487" t="s">
        <v>163</v>
      </c>
      <c r="C84" s="481">
        <v>103</v>
      </c>
      <c r="D84" s="481">
        <v>383</v>
      </c>
      <c r="E84" s="481" t="s">
        <v>597</v>
      </c>
      <c r="F84" s="481" t="str">
        <f>CONCATENATE(DescontosTE[[#This Row],[Permissionária]],DescontosTE[[#This Row],[codsariSUP]],DescontosTE[[#This Row],[Classe]])</f>
        <v>Ceres383A4</v>
      </c>
      <c r="G84" s="511">
        <v>0.87464280342908707</v>
      </c>
      <c r="H84" s="511">
        <v>0.65598210257181533</v>
      </c>
      <c r="I84" s="511">
        <v>0.43730000000000002</v>
      </c>
      <c r="J84" s="511">
        <v>0.43730000000000002</v>
      </c>
      <c r="K84" s="683">
        <v>0.43730000000000002</v>
      </c>
      <c r="L84" s="863">
        <f>DescontosTE[[#This Row],[2019]]</f>
        <v>0.43730000000000002</v>
      </c>
      <c r="M84" s="1533">
        <f>DescontosTE[[#This Row],[2020]]</f>
        <v>0.43730000000000002</v>
      </c>
      <c r="N84" s="1533">
        <f>DescontosTE[[#This Row],[2020]]</f>
        <v>0.43730000000000002</v>
      </c>
    </row>
    <row r="85" spans="1:14">
      <c r="A85" s="481" t="s">
        <v>185</v>
      </c>
      <c r="B85" s="481" t="s">
        <v>189</v>
      </c>
      <c r="C85" s="481">
        <v>111</v>
      </c>
      <c r="D85" s="481">
        <v>5697</v>
      </c>
      <c r="E85" s="481" t="s">
        <v>597</v>
      </c>
      <c r="F85" s="481" t="str">
        <f>CONCATENATE(DescontosTE[[#This Row],[Permissionária]],DescontosTE[[#This Row],[codsariSUP]],DescontosTE[[#This Row],[Classe]])</f>
        <v>Cergal5697A4</v>
      </c>
      <c r="G85" s="511">
        <v>0.72464658881376764</v>
      </c>
      <c r="H85" s="511">
        <v>0.54348494161032579</v>
      </c>
      <c r="I85" s="511">
        <v>0.54348494161032579</v>
      </c>
      <c r="J85" s="513">
        <v>0.54349999999999998</v>
      </c>
      <c r="K85" s="683">
        <v>0.33379999999999999</v>
      </c>
      <c r="L85" s="863">
        <v>0.25619999999999998</v>
      </c>
      <c r="M85" s="1532">
        <v>0.25619999999999998</v>
      </c>
    </row>
    <row r="86" spans="1:14">
      <c r="A86" s="481" t="s">
        <v>384</v>
      </c>
      <c r="B86" s="481" t="s">
        <v>189</v>
      </c>
      <c r="C86" s="481">
        <v>111</v>
      </c>
      <c r="D86" s="481">
        <v>5697</v>
      </c>
      <c r="E86" s="481" t="s">
        <v>597</v>
      </c>
      <c r="F86" s="481" t="str">
        <f>CONCATENATE(DescontosTE[[#This Row],[Permissionária]],DescontosTE[[#This Row],[codsariSUP]],DescontosTE[[#This Row],[Classe]])</f>
        <v>Cergapa5697A4</v>
      </c>
      <c r="G86" s="511">
        <v>0.69825990373935576</v>
      </c>
      <c r="H86" s="511">
        <v>0.69825990373935576</v>
      </c>
      <c r="I86" s="511">
        <v>0.54749999999999999</v>
      </c>
      <c r="J86" s="513">
        <v>0.48209999999999997</v>
      </c>
      <c r="K86" s="683">
        <v>0.42549999999999999</v>
      </c>
      <c r="L86" s="863">
        <v>0.37969999999999998</v>
      </c>
      <c r="M86" s="1532">
        <v>0.36749999999999999</v>
      </c>
    </row>
    <row r="87" spans="1:14">
      <c r="A87" s="481" t="s">
        <v>391</v>
      </c>
      <c r="B87" s="481" t="s">
        <v>189</v>
      </c>
      <c r="C87" s="481">
        <v>111</v>
      </c>
      <c r="D87" s="481">
        <v>5697</v>
      </c>
      <c r="E87" s="481" t="s">
        <v>597</v>
      </c>
      <c r="F87" s="481" t="str">
        <f>CONCATENATE(DescontosTE[[#This Row],[Permissionária]],DescontosTE[[#This Row],[codsariSUP]],DescontosTE[[#This Row],[Classe]])</f>
        <v>Cergral5697A4</v>
      </c>
      <c r="G87" s="511">
        <v>0.7833435771358328</v>
      </c>
      <c r="H87" s="511">
        <v>0.5875076828518746</v>
      </c>
      <c r="I87" s="511">
        <v>0.5875076828518746</v>
      </c>
      <c r="J87" s="513">
        <v>0.58750000000000002</v>
      </c>
      <c r="K87" s="683">
        <v>0.56830000000000003</v>
      </c>
      <c r="L87" s="863">
        <v>0.55110000000000003</v>
      </c>
      <c r="M87" s="1532">
        <v>0.48010000000000003</v>
      </c>
    </row>
    <row r="88" spans="1:14">
      <c r="A88" s="481" t="s">
        <v>175</v>
      </c>
      <c r="B88" s="481" t="s">
        <v>206</v>
      </c>
      <c r="C88" s="608">
        <v>167</v>
      </c>
      <c r="D88" s="608">
        <v>396</v>
      </c>
      <c r="E88" s="481" t="s">
        <v>599</v>
      </c>
      <c r="F88" s="481" t="str">
        <f>CONCATENATE(DescontosTE[[#This Row],[Permissionária]],DescontosTE[[#This Row],[codsariSUP]],DescontosTE[[#This Row],[Classe]])</f>
        <v>Ceriluz396A3</v>
      </c>
      <c r="G88" s="511">
        <v>0.82731282784930849</v>
      </c>
      <c r="H88" s="511">
        <v>0.82731282784930849</v>
      </c>
      <c r="I88" s="511">
        <v>0.82731282784930849</v>
      </c>
      <c r="J88" s="513">
        <v>0.2782</v>
      </c>
      <c r="K88" s="683">
        <v>0.2782</v>
      </c>
      <c r="L88" s="863">
        <v>0.2132</v>
      </c>
      <c r="M88" s="1532">
        <v>0.2132</v>
      </c>
    </row>
    <row r="89" spans="1:14">
      <c r="A89" s="481" t="s">
        <v>175</v>
      </c>
      <c r="B89" s="481" t="s">
        <v>206</v>
      </c>
      <c r="C89" s="608">
        <v>167</v>
      </c>
      <c r="D89" s="608">
        <v>396</v>
      </c>
      <c r="E89" s="481" t="s">
        <v>597</v>
      </c>
      <c r="F89" s="481" t="str">
        <f>CONCATENATE(DescontosTE[[#This Row],[Permissionária]],DescontosTE[[#This Row],[codsariSUP]],DescontosTE[[#This Row],[Classe]])</f>
        <v>Ceriluz396A4</v>
      </c>
      <c r="G89" s="511">
        <v>0.73575345731998087</v>
      </c>
      <c r="H89" s="511">
        <v>0.73575345731998087</v>
      </c>
      <c r="I89" s="511">
        <v>0.73575345731998087</v>
      </c>
      <c r="J89" s="513">
        <v>0.2782</v>
      </c>
      <c r="K89" s="683">
        <v>0.2782</v>
      </c>
      <c r="L89" s="863">
        <v>0.2132</v>
      </c>
      <c r="M89" s="1532">
        <v>0.2132</v>
      </c>
    </row>
    <row r="90" spans="1:14">
      <c r="A90" s="481" t="s">
        <v>175</v>
      </c>
      <c r="B90" s="481" t="s">
        <v>206</v>
      </c>
      <c r="C90" s="608">
        <v>167</v>
      </c>
      <c r="D90" s="608">
        <v>396</v>
      </c>
      <c r="E90" s="481" t="s">
        <v>604</v>
      </c>
      <c r="F90" s="481" t="str">
        <f>CONCATENATE(DescontosTE[[#This Row],[Permissionária]],DescontosTE[[#This Row],[codsariSUP]],DescontosTE[[#This Row],[Classe]])</f>
        <v>Ceriluz396B</v>
      </c>
      <c r="G90" s="511">
        <v>0.73033677201026148</v>
      </c>
      <c r="H90" s="511">
        <v>0.73033677201026148</v>
      </c>
      <c r="I90" s="511">
        <v>0.73033677201026148</v>
      </c>
      <c r="J90" s="513">
        <v>0.2782</v>
      </c>
      <c r="K90" s="683">
        <v>0.2782</v>
      </c>
      <c r="L90" s="863">
        <v>0.2132</v>
      </c>
      <c r="M90" s="1532">
        <v>0.2132</v>
      </c>
    </row>
    <row r="91" spans="1:14">
      <c r="A91" s="481" t="s">
        <v>297</v>
      </c>
      <c r="B91" s="481" t="s">
        <v>178</v>
      </c>
      <c r="C91" s="481">
        <v>135</v>
      </c>
      <c r="D91" s="481">
        <v>2937</v>
      </c>
      <c r="E91" s="481" t="s">
        <v>597</v>
      </c>
      <c r="F91" s="481" t="str">
        <f>CONCATENATE(DescontosTE[[#This Row],[Permissionária]],DescontosTE[[#This Row],[codsariSUP]],DescontosTE[[#This Row],[Classe]])</f>
        <v>Cerim2937A4</v>
      </c>
      <c r="G91" s="511">
        <v>0.63275249814187795</v>
      </c>
      <c r="H91" s="511">
        <v>0.47456437360640846</v>
      </c>
      <c r="I91" s="511">
        <v>0.3463</v>
      </c>
      <c r="J91" s="513">
        <v>0.33600000000000002</v>
      </c>
      <c r="K91" s="807">
        <v>5.0599999999999999E-2</v>
      </c>
      <c r="L91" s="863">
        <v>0</v>
      </c>
      <c r="M91" s="863">
        <v>0</v>
      </c>
    </row>
    <row r="92" spans="1:14">
      <c r="A92" s="481" t="s">
        <v>303</v>
      </c>
      <c r="B92" s="481" t="s">
        <v>164</v>
      </c>
      <c r="C92" s="481">
        <v>145</v>
      </c>
      <c r="D92" s="481">
        <v>385</v>
      </c>
      <c r="E92" s="481" t="s">
        <v>601</v>
      </c>
      <c r="F92" s="481" t="str">
        <f>CONCATENATE(DescontosTE[[#This Row],[Permissionária]],DescontosTE[[#This Row],[codsariSUP]],DescontosTE[[#This Row],[Classe]])</f>
        <v>Ceripa385A3a</v>
      </c>
      <c r="G92" s="511">
        <v>0.76371671876684266</v>
      </c>
      <c r="H92" s="511">
        <v>0.57278753907513202</v>
      </c>
      <c r="I92" s="511">
        <v>0.38190000000000002</v>
      </c>
      <c r="J92" s="513">
        <v>1.2E-2</v>
      </c>
      <c r="K92" s="812">
        <v>1.2E-2</v>
      </c>
      <c r="L92" s="863">
        <f>DescontosTE[[#This Row],[2019]]</f>
        <v>1.2E-2</v>
      </c>
      <c r="M92" s="513">
        <f>DescontosTE[[#This Row],[2020]]</f>
        <v>1.2E-2</v>
      </c>
      <c r="N92" s="249">
        <v>1.2E-2</v>
      </c>
    </row>
    <row r="93" spans="1:14">
      <c r="A93" s="481" t="s">
        <v>303</v>
      </c>
      <c r="B93" s="481" t="s">
        <v>164</v>
      </c>
      <c r="C93" s="481">
        <v>145</v>
      </c>
      <c r="D93" s="481">
        <v>385</v>
      </c>
      <c r="E93" s="481" t="s">
        <v>597</v>
      </c>
      <c r="F93" s="481" t="str">
        <f>CONCATENATE(DescontosTE[[#This Row],[Permissionária]],DescontosTE[[#This Row],[codsariSUP]],DescontosTE[[#This Row],[Classe]])</f>
        <v>Ceripa385A4</v>
      </c>
      <c r="G93" s="511">
        <v>0.76627856834842611</v>
      </c>
      <c r="H93" s="511">
        <v>0.57470892626131964</v>
      </c>
      <c r="I93" s="511">
        <v>0.3831</v>
      </c>
      <c r="J93" s="513">
        <v>1.2E-2</v>
      </c>
      <c r="K93" s="812">
        <v>1.2E-2</v>
      </c>
      <c r="L93" s="863">
        <f>DescontosTE[[#This Row],[2019]]</f>
        <v>1.2E-2</v>
      </c>
      <c r="M93" s="513">
        <f>DescontosTE[[#This Row],[2020]]</f>
        <v>1.2E-2</v>
      </c>
      <c r="N93" s="249">
        <v>1.2E-2</v>
      </c>
    </row>
    <row r="94" spans="1:14">
      <c r="A94" s="481" t="s">
        <v>303</v>
      </c>
      <c r="B94" s="481" t="s">
        <v>204</v>
      </c>
      <c r="C94" s="481">
        <v>166</v>
      </c>
      <c r="D94" s="481">
        <v>72</v>
      </c>
      <c r="E94" s="481" t="s">
        <v>599</v>
      </c>
      <c r="F94" s="481" t="str">
        <f>CONCATENATE(DescontosTE[[#This Row],[Permissionária]],DescontosTE[[#This Row],[codsariSUP]],DescontosTE[[#This Row],[Classe]])</f>
        <v>Ceripa72A3</v>
      </c>
      <c r="G94" s="511">
        <v>0.85982875805455028</v>
      </c>
      <c r="H94" s="511">
        <v>0.64487156854091277</v>
      </c>
      <c r="I94" s="511">
        <v>0.4299</v>
      </c>
      <c r="J94" s="513">
        <v>1.2E-2</v>
      </c>
      <c r="K94" s="812">
        <v>1.2E-2</v>
      </c>
      <c r="L94" s="863">
        <f>DescontosTE[[#This Row],[2019]]</f>
        <v>1.2E-2</v>
      </c>
      <c r="M94" s="513">
        <f>DescontosTE[[#This Row],[2020]]</f>
        <v>1.2E-2</v>
      </c>
      <c r="N94" s="249">
        <v>1.2E-2</v>
      </c>
    </row>
    <row r="95" spans="1:14">
      <c r="A95" s="481" t="s">
        <v>303</v>
      </c>
      <c r="B95" s="481" t="s">
        <v>204</v>
      </c>
      <c r="C95" s="481">
        <v>166</v>
      </c>
      <c r="D95" s="481">
        <v>72</v>
      </c>
      <c r="E95" s="481" t="s">
        <v>601</v>
      </c>
      <c r="F95" s="481" t="str">
        <f>CONCATENATE(DescontosTE[[#This Row],[Permissionária]],DescontosTE[[#This Row],[codsariSUP]],DescontosTE[[#This Row],[Classe]])</f>
        <v>Ceripa72A3a</v>
      </c>
      <c r="G95" s="511">
        <v>0.72071674463765556</v>
      </c>
      <c r="H95" s="511">
        <v>0.5405375584782417</v>
      </c>
      <c r="I95" s="511">
        <v>0.3604</v>
      </c>
      <c r="J95" s="513">
        <v>1.2E-2</v>
      </c>
      <c r="K95" s="812">
        <v>1.2E-2</v>
      </c>
      <c r="L95" s="863">
        <f>DescontosTE[[#This Row],[2019]]</f>
        <v>1.2E-2</v>
      </c>
      <c r="M95" s="513">
        <f>DescontosTE[[#This Row],[2020]]</f>
        <v>1.2E-2</v>
      </c>
      <c r="N95" s="249">
        <v>1.2E-2</v>
      </c>
    </row>
    <row r="96" spans="1:14">
      <c r="A96" s="481" t="s">
        <v>303</v>
      </c>
      <c r="B96" s="481" t="s">
        <v>204</v>
      </c>
      <c r="C96" s="481">
        <v>166</v>
      </c>
      <c r="D96" s="481">
        <v>72</v>
      </c>
      <c r="E96" s="481" t="s">
        <v>597</v>
      </c>
      <c r="F96" s="481" t="str">
        <f>CONCATENATE(DescontosTE[[#This Row],[Permissionária]],DescontosTE[[#This Row],[codsariSUP]],DescontosTE[[#This Row],[Classe]])</f>
        <v>Ceripa72A4</v>
      </c>
      <c r="G96" s="511">
        <v>0.69352987907140973</v>
      </c>
      <c r="H96" s="511">
        <v>0.5201474093035573</v>
      </c>
      <c r="I96" s="511">
        <v>0.3468</v>
      </c>
      <c r="J96" s="513">
        <v>1.2E-2</v>
      </c>
      <c r="K96" s="812">
        <v>1.2E-2</v>
      </c>
      <c r="L96" s="863">
        <f>DescontosTE[[#This Row],[2019]]</f>
        <v>1.2E-2</v>
      </c>
      <c r="M96" s="513">
        <f>DescontosTE[[#This Row],[2020]]</f>
        <v>1.2E-2</v>
      </c>
      <c r="N96" s="249">
        <v>1.2E-2</v>
      </c>
    </row>
    <row r="97" spans="1:13">
      <c r="A97" s="481" t="s">
        <v>309</v>
      </c>
      <c r="B97" s="481" t="s">
        <v>313</v>
      </c>
      <c r="C97" s="481">
        <v>148</v>
      </c>
      <c r="D97" s="481">
        <v>390</v>
      </c>
      <c r="E97" s="481" t="s">
        <v>597</v>
      </c>
      <c r="F97" s="481" t="str">
        <f>CONCATENATE(DescontosTE[[#This Row],[Permissionária]],DescontosTE[[#This Row],[codsariSUP]],DescontosTE[[#This Row],[Classe]])</f>
        <v>Ceris390A4</v>
      </c>
      <c r="G97" s="511">
        <v>0.88419999999999999</v>
      </c>
      <c r="H97" s="511">
        <v>0.66315000000000002</v>
      </c>
      <c r="I97" s="511">
        <v>0.61850000000000005</v>
      </c>
      <c r="J97" s="513">
        <v>0.59560000000000002</v>
      </c>
      <c r="K97" s="683">
        <v>0.58150000000000002</v>
      </c>
      <c r="L97" s="863">
        <v>0.58150000000000002</v>
      </c>
      <c r="M97" s="1532">
        <v>0.58150000000000002</v>
      </c>
    </row>
    <row r="98" spans="1:13">
      <c r="A98" s="481" t="s">
        <v>605</v>
      </c>
      <c r="B98" s="630" t="s">
        <v>286</v>
      </c>
      <c r="C98" s="481">
        <v>104</v>
      </c>
      <c r="D98" s="481">
        <v>391</v>
      </c>
      <c r="E98" s="481" t="s">
        <v>597</v>
      </c>
      <c r="F98" s="481" t="str">
        <f>CONCATENATE(DescontosTE[[#This Row],[Permissionária]],DescontosTE[[#This Row],[codsariSUP]],DescontosTE[[#This Row],[Classe]])</f>
        <v>Cermc391A4</v>
      </c>
      <c r="G98" s="511">
        <v>0.36708496982469596</v>
      </c>
      <c r="H98" s="511">
        <v>0.275313727368522</v>
      </c>
      <c r="I98" s="511">
        <v>0.275313727368522</v>
      </c>
      <c r="J98" s="513">
        <v>0.22059999999999999</v>
      </c>
      <c r="K98" s="683">
        <v>0</v>
      </c>
      <c r="L98" s="863">
        <v>0</v>
      </c>
      <c r="M98" s="863">
        <v>0</v>
      </c>
    </row>
    <row r="99" spans="1:13">
      <c r="A99" s="481" t="s">
        <v>438</v>
      </c>
      <c r="B99" s="481" t="s">
        <v>206</v>
      </c>
      <c r="C99" s="608">
        <v>167</v>
      </c>
      <c r="D99" s="608">
        <v>396</v>
      </c>
      <c r="E99" s="481" t="s">
        <v>599</v>
      </c>
      <c r="F99" s="481" t="str">
        <f>CONCATENATE(DescontosTE[[#This Row],[Permissionária]],DescontosTE[[#This Row],[codsariSUP]],DescontosTE[[#This Row],[Classe]])</f>
        <v>Cermissões396A3</v>
      </c>
      <c r="G99" s="511">
        <v>0.5923752369117381</v>
      </c>
      <c r="H99" s="511">
        <v>0.5923752369117381</v>
      </c>
      <c r="I99" s="511">
        <v>0.44429999999999997</v>
      </c>
      <c r="J99" s="513">
        <v>0</v>
      </c>
      <c r="K99" s="683">
        <v>0</v>
      </c>
      <c r="L99" s="863">
        <v>0</v>
      </c>
      <c r="M99" s="863">
        <v>0</v>
      </c>
    </row>
    <row r="100" spans="1:13">
      <c r="A100" s="481" t="s">
        <v>438</v>
      </c>
      <c r="B100" s="481" t="s">
        <v>206</v>
      </c>
      <c r="C100" s="608">
        <v>167</v>
      </c>
      <c r="D100" s="608">
        <v>396</v>
      </c>
      <c r="E100" s="481" t="s">
        <v>597</v>
      </c>
      <c r="F100" s="481" t="str">
        <f>CONCATENATE(DescontosTE[[#This Row],[Permissionária]],DescontosTE[[#This Row],[codsariSUP]],DescontosTE[[#This Row],[Classe]])</f>
        <v>Cermissões396A4</v>
      </c>
      <c r="G100" s="511">
        <v>0.5923752369117381</v>
      </c>
      <c r="H100" s="511">
        <v>0.5923752369117381</v>
      </c>
      <c r="I100" s="511">
        <v>0.44429999999999997</v>
      </c>
      <c r="J100" s="513">
        <v>0</v>
      </c>
      <c r="K100" s="683">
        <v>0</v>
      </c>
      <c r="L100" s="863">
        <v>0</v>
      </c>
      <c r="M100" s="863">
        <v>0</v>
      </c>
    </row>
    <row r="101" spans="1:13">
      <c r="A101" s="481" t="s">
        <v>438</v>
      </c>
      <c r="B101" s="481" t="s">
        <v>206</v>
      </c>
      <c r="C101" s="608">
        <v>167</v>
      </c>
      <c r="D101" s="608">
        <v>396</v>
      </c>
      <c r="E101" s="481" t="s">
        <v>604</v>
      </c>
      <c r="F101" s="481" t="str">
        <f>CONCATENATE(DescontosTE[[#This Row],[Permissionária]],DescontosTE[[#This Row],[codsariSUP]],DescontosTE[[#This Row],[Classe]])</f>
        <v>Cermissões396B</v>
      </c>
      <c r="G101" s="511">
        <v>8.6300000000000002E-2</v>
      </c>
      <c r="H101" s="511">
        <v>8.6300000000000002E-2</v>
      </c>
      <c r="I101" s="511">
        <v>6.4699999999999994E-2</v>
      </c>
      <c r="J101" s="513">
        <v>0</v>
      </c>
      <c r="K101" s="683">
        <v>0</v>
      </c>
      <c r="L101" s="863">
        <v>0</v>
      </c>
      <c r="M101" s="863">
        <v>0</v>
      </c>
    </row>
    <row r="102" spans="1:13">
      <c r="A102" s="481" t="s">
        <v>396</v>
      </c>
      <c r="B102" s="481" t="s">
        <v>189</v>
      </c>
      <c r="C102" s="481">
        <v>111</v>
      </c>
      <c r="D102" s="481">
        <v>5697</v>
      </c>
      <c r="E102" s="481" t="s">
        <v>599</v>
      </c>
      <c r="F102" s="481" t="str">
        <f>CONCATENATE(DescontosTE[[#This Row],[Permissionária]],DescontosTE[[#This Row],[codsariSUP]],DescontosTE[[#This Row],[Classe]])</f>
        <v>Cermoful5697A3</v>
      </c>
      <c r="G102" s="511">
        <v>0.71025546094039238</v>
      </c>
      <c r="H102" s="511">
        <v>0.71025546094039238</v>
      </c>
      <c r="I102" s="511">
        <v>0.71025546094039238</v>
      </c>
      <c r="J102" s="513">
        <v>0.67859999999999998</v>
      </c>
      <c r="K102" s="683">
        <v>0.61480000000000001</v>
      </c>
      <c r="L102" s="863">
        <v>0.55579999999999996</v>
      </c>
      <c r="M102" s="1532">
        <v>0.53969999999999996</v>
      </c>
    </row>
    <row r="103" spans="1:13">
      <c r="A103" s="481" t="s">
        <v>396</v>
      </c>
      <c r="B103" s="481" t="s">
        <v>189</v>
      </c>
      <c r="C103" s="481">
        <v>111</v>
      </c>
      <c r="D103" s="481">
        <v>5697</v>
      </c>
      <c r="E103" s="481" t="s">
        <v>597</v>
      </c>
      <c r="F103" s="481" t="str">
        <f>CONCATENATE(DescontosTE[[#This Row],[Permissionária]],DescontosTE[[#This Row],[codsariSUP]],DescontosTE[[#This Row],[Classe]])</f>
        <v>Cermoful5697A4</v>
      </c>
      <c r="G103" s="511">
        <v>0.71025546094039238</v>
      </c>
      <c r="H103" s="511">
        <v>0.71025546094039238</v>
      </c>
      <c r="I103" s="511">
        <v>0.71025546094039238</v>
      </c>
      <c r="J103" s="513">
        <v>0.67859999999999998</v>
      </c>
      <c r="K103" s="683">
        <v>0.61480000000000001</v>
      </c>
      <c r="L103" s="863">
        <v>0.55579999999999996</v>
      </c>
      <c r="M103" s="1532">
        <v>0.53969999999999996</v>
      </c>
    </row>
    <row r="104" spans="1:13">
      <c r="A104" s="481" t="s">
        <v>322</v>
      </c>
      <c r="B104" s="487" t="s">
        <v>125</v>
      </c>
      <c r="C104" s="481">
        <v>165</v>
      </c>
      <c r="D104" s="481">
        <v>5216</v>
      </c>
      <c r="E104" s="481" t="s">
        <v>597</v>
      </c>
      <c r="F104" s="481" t="str">
        <f>CONCATENATE(DescontosTE[[#This Row],[Permissionária]],DescontosTE[[#This Row],[codsariSUP]],DescontosTE[[#This Row],[Classe]])</f>
        <v>Cernhe5216A4</v>
      </c>
      <c r="G104" s="511">
        <v>0.90173092774063557</v>
      </c>
      <c r="H104" s="511">
        <v>0.67629819580547668</v>
      </c>
      <c r="I104" s="511">
        <v>0.45090000000000002</v>
      </c>
      <c r="J104" s="513">
        <v>0</v>
      </c>
      <c r="K104" s="683">
        <v>0</v>
      </c>
      <c r="L104" s="863">
        <v>0</v>
      </c>
      <c r="M104" s="863">
        <v>0</v>
      </c>
    </row>
    <row r="105" spans="1:13">
      <c r="A105" s="481" t="s">
        <v>402</v>
      </c>
      <c r="B105" s="481" t="s">
        <v>189</v>
      </c>
      <c r="C105" s="481">
        <v>111</v>
      </c>
      <c r="D105" s="481">
        <v>5697</v>
      </c>
      <c r="E105" s="481" t="s">
        <v>601</v>
      </c>
      <c r="F105" s="481" t="str">
        <f>CONCATENATE(DescontosTE[[#This Row],[Permissionária]],DescontosTE[[#This Row],[codsariSUP]],DescontosTE[[#This Row],[Classe]])</f>
        <v>Cerpalo5697A3a</v>
      </c>
      <c r="G105" s="511">
        <v>0.89981561155500922</v>
      </c>
      <c r="H105" s="511">
        <v>0.67486170866625694</v>
      </c>
      <c r="I105" s="511">
        <v>0.59530000000000005</v>
      </c>
      <c r="J105" s="513">
        <v>0.59530000000000005</v>
      </c>
      <c r="K105" s="683">
        <v>0.44540000000000002</v>
      </c>
      <c r="L105" s="863">
        <v>0.44540000000000002</v>
      </c>
      <c r="M105" s="1532">
        <v>0.31740000000000002</v>
      </c>
    </row>
    <row r="106" spans="1:13">
      <c r="A106" s="481" t="s">
        <v>329</v>
      </c>
      <c r="B106" s="481" t="s">
        <v>150</v>
      </c>
      <c r="C106" s="481">
        <v>136</v>
      </c>
      <c r="D106" s="481">
        <v>63</v>
      </c>
      <c r="E106" s="481" t="s">
        <v>597</v>
      </c>
      <c r="F106" s="481" t="str">
        <f>CONCATENATE(DescontosTE[[#This Row],[Permissionária]],DescontosTE[[#This Row],[codsariSUP]],DescontosTE[[#This Row],[Classe]])</f>
        <v>Cerpro63A4</v>
      </c>
      <c r="G106" s="511">
        <v>0.90147665925690701</v>
      </c>
      <c r="H106" s="511">
        <v>0.67610749444268026</v>
      </c>
      <c r="I106" s="511">
        <v>0.45069999999999999</v>
      </c>
      <c r="J106" s="740">
        <v>0</v>
      </c>
      <c r="K106" s="683">
        <v>0</v>
      </c>
      <c r="L106" s="863">
        <v>0</v>
      </c>
      <c r="M106" s="863">
        <v>0</v>
      </c>
    </row>
    <row r="107" spans="1:13">
      <c r="A107" s="481" t="s">
        <v>606</v>
      </c>
      <c r="B107" s="487" t="s">
        <v>125</v>
      </c>
      <c r="C107" s="481">
        <v>165</v>
      </c>
      <c r="D107" s="481">
        <v>5216</v>
      </c>
      <c r="E107" s="487" t="s">
        <v>597</v>
      </c>
      <c r="F107" s="481" t="str">
        <f>CONCATENATE(DescontosTE[[#This Row],[Permissionária]],DescontosTE[[#This Row],[codsariSUP]],DescontosTE[[#This Row],[Classe]])</f>
        <v>Cerrp5216A4</v>
      </c>
      <c r="G107" s="511">
        <v>0.74668009891015652</v>
      </c>
      <c r="H107" s="511">
        <v>0.56001007418261739</v>
      </c>
      <c r="I107" s="511">
        <v>0.37330000000000002</v>
      </c>
      <c r="J107" s="740">
        <v>0.31390000000000001</v>
      </c>
      <c r="K107" s="683">
        <v>0.31390000000000001</v>
      </c>
      <c r="L107" s="863">
        <v>7.5600000000000001E-2</v>
      </c>
      <c r="M107" s="1532">
        <v>6.0199999999999997E-2</v>
      </c>
    </row>
    <row r="108" spans="1:13">
      <c r="A108" s="481" t="s">
        <v>606</v>
      </c>
      <c r="B108" s="481" t="s">
        <v>150</v>
      </c>
      <c r="C108" s="481">
        <v>136</v>
      </c>
      <c r="D108" s="481">
        <v>63</v>
      </c>
      <c r="E108" s="481" t="s">
        <v>597</v>
      </c>
      <c r="F108" s="481" t="str">
        <f>CONCATENATE(DescontosTE[[#This Row],[Permissionária]],DescontosTE[[#This Row],[codsariSUP]],DescontosTE[[#This Row],[Classe]])</f>
        <v>Cerrp63A4</v>
      </c>
      <c r="G108" s="511">
        <v>0.7457129247380121</v>
      </c>
      <c r="H108" s="511">
        <v>0.55928469355350907</v>
      </c>
      <c r="I108" s="511">
        <v>0.37290000000000001</v>
      </c>
      <c r="J108" s="740">
        <v>0.31390000000000001</v>
      </c>
      <c r="K108" s="683">
        <v>0.31390000000000001</v>
      </c>
      <c r="L108" s="863">
        <v>7.5600000000000001E-2</v>
      </c>
      <c r="M108" s="1532">
        <v>6.0199999999999997E-2</v>
      </c>
    </row>
    <row r="109" spans="1:13">
      <c r="A109" s="481" t="s">
        <v>407</v>
      </c>
      <c r="B109" s="481" t="s">
        <v>189</v>
      </c>
      <c r="C109" s="481">
        <v>111</v>
      </c>
      <c r="D109" s="481">
        <v>5697</v>
      </c>
      <c r="E109" s="481" t="s">
        <v>597</v>
      </c>
      <c r="F109" s="481" t="str">
        <f>CONCATENATE(DescontosTE[[#This Row],[Permissionária]],DescontosTE[[#This Row],[codsariSUP]],DescontosTE[[#This Row],[Classe]])</f>
        <v>Cersul5697A4</v>
      </c>
      <c r="G109" s="511">
        <v>0.6419022741241549</v>
      </c>
      <c r="H109" s="511">
        <v>0.48142670559311618</v>
      </c>
      <c r="I109" s="511">
        <v>0.48139999999999999</v>
      </c>
      <c r="J109" s="513">
        <v>0.48139999999999999</v>
      </c>
      <c r="K109" s="683">
        <v>0.48139999999999999</v>
      </c>
      <c r="L109" s="863">
        <v>0.48139999999999999</v>
      </c>
      <c r="M109" s="1532">
        <v>0.48139999999999999</v>
      </c>
    </row>
    <row r="110" spans="1:13">
      <c r="A110" s="481" t="s">
        <v>407</v>
      </c>
      <c r="B110" s="481" t="s">
        <v>189</v>
      </c>
      <c r="C110" s="481">
        <v>111</v>
      </c>
      <c r="D110" s="481">
        <v>5697</v>
      </c>
      <c r="E110" s="481" t="s">
        <v>599</v>
      </c>
      <c r="F110" s="481" t="str">
        <f>CONCATENATE(DescontosTE[[#This Row],[Permissionária]],DescontosTE[[#This Row],[codsariSUP]],DescontosTE[[#This Row],[Classe]])</f>
        <v>Cersul5697A3</v>
      </c>
      <c r="G110" s="511">
        <v>0.83597111247695144</v>
      </c>
      <c r="H110" s="511">
        <v>0.62697833435771355</v>
      </c>
      <c r="I110" s="511">
        <v>0.59899999999999998</v>
      </c>
      <c r="J110" s="513">
        <v>0.59009999999999996</v>
      </c>
      <c r="K110" s="683">
        <v>0.59009999999999996</v>
      </c>
      <c r="L110" s="863">
        <v>0.55869999999999997</v>
      </c>
      <c r="M110" s="1532">
        <v>0.55869999999999997</v>
      </c>
    </row>
    <row r="111" spans="1:13">
      <c r="A111" s="481" t="s">
        <v>450</v>
      </c>
      <c r="B111" s="481" t="s">
        <v>206</v>
      </c>
      <c r="C111" s="608">
        <v>167</v>
      </c>
      <c r="D111" s="481">
        <v>396</v>
      </c>
      <c r="E111" s="481" t="s">
        <v>599</v>
      </c>
      <c r="F111" s="481" t="str">
        <f>CONCATENATE(DescontosTE[[#This Row],[Permissionária]],DescontosTE[[#This Row],[codsariSUP]],DescontosTE[[#This Row],[Classe]])</f>
        <v>Certaja396A3</v>
      </c>
      <c r="G111" s="511">
        <v>0.8415330252786084</v>
      </c>
      <c r="H111" s="511">
        <v>0.63114976895895625</v>
      </c>
      <c r="I111" s="511">
        <v>0.42080000000000001</v>
      </c>
      <c r="J111" s="513">
        <v>0.21149999999999999</v>
      </c>
      <c r="K111" s="683">
        <v>0</v>
      </c>
      <c r="L111" s="863">
        <v>0</v>
      </c>
      <c r="M111" s="863">
        <v>0</v>
      </c>
    </row>
    <row r="112" spans="1:13">
      <c r="A112" s="481" t="s">
        <v>450</v>
      </c>
      <c r="B112" s="481" t="s">
        <v>206</v>
      </c>
      <c r="C112" s="608">
        <v>167</v>
      </c>
      <c r="D112" s="481">
        <v>396</v>
      </c>
      <c r="E112" s="481" t="s">
        <v>597</v>
      </c>
      <c r="F112" s="481" t="str">
        <f>CONCATENATE(DescontosTE[[#This Row],[Permissionária]],DescontosTE[[#This Row],[codsariSUP]],DescontosTE[[#This Row],[Classe]])</f>
        <v>Certaja396A4</v>
      </c>
      <c r="G112" s="511">
        <v>0.8415330252786084</v>
      </c>
      <c r="H112" s="511">
        <v>0.63114976895895625</v>
      </c>
      <c r="I112" s="511">
        <v>0.42080000000000001</v>
      </c>
      <c r="J112" s="513">
        <v>0.21149999999999999</v>
      </c>
      <c r="K112" s="683">
        <v>0</v>
      </c>
      <c r="L112" s="863">
        <v>0</v>
      </c>
      <c r="M112" s="863">
        <v>0</v>
      </c>
    </row>
    <row r="113" spans="1:13">
      <c r="A113" s="481" t="s">
        <v>450</v>
      </c>
      <c r="B113" s="481" t="s">
        <v>354</v>
      </c>
      <c r="C113" s="481">
        <v>110</v>
      </c>
      <c r="D113" s="481">
        <v>5707</v>
      </c>
      <c r="E113" s="481" t="s">
        <v>597</v>
      </c>
      <c r="F113" s="481" t="str">
        <f>CONCATENATE(DescontosTE[[#This Row],[Permissionária]],DescontosTE[[#This Row],[codsariSUP]],DescontosTE[[#This Row],[Classe]])</f>
        <v>Certaja5707A4</v>
      </c>
      <c r="G113" s="511">
        <v>0.8239405071230177</v>
      </c>
      <c r="H113" s="511">
        <v>0.61795538034226327</v>
      </c>
      <c r="I113" s="511">
        <v>0.41199999999999998</v>
      </c>
      <c r="J113" s="513">
        <v>0.21149999999999999</v>
      </c>
      <c r="K113" s="683">
        <v>0</v>
      </c>
      <c r="L113" s="863">
        <v>0</v>
      </c>
      <c r="M113" s="863">
        <v>0</v>
      </c>
    </row>
    <row r="114" spans="1:13">
      <c r="A114" s="481" t="s">
        <v>201</v>
      </c>
      <c r="B114" s="481" t="s">
        <v>206</v>
      </c>
      <c r="C114" s="608">
        <v>167</v>
      </c>
      <c r="D114" s="481">
        <v>396</v>
      </c>
      <c r="E114" s="481" t="s">
        <v>599</v>
      </c>
      <c r="F114" s="481" t="str">
        <f>CONCATENATE(DescontosTE[[#This Row],[Permissionária]],DescontosTE[[#This Row],[codsariSUP]],DescontosTE[[#This Row],[Classe]])</f>
        <v>Certel396A3</v>
      </c>
      <c r="G114" s="511">
        <v>0.60488390712570062</v>
      </c>
      <c r="H114" s="511">
        <v>0.60488390712570062</v>
      </c>
      <c r="I114" s="511">
        <v>0.60488390712570062</v>
      </c>
      <c r="J114" s="513">
        <v>0.58309999999999995</v>
      </c>
      <c r="K114" s="683">
        <v>0.48330000000000001</v>
      </c>
      <c r="L114" s="863">
        <v>0.35730000000000001</v>
      </c>
      <c r="M114" s="1532">
        <v>0.32969999999999999</v>
      </c>
    </row>
    <row r="115" spans="1:13">
      <c r="A115" s="481" t="s">
        <v>201</v>
      </c>
      <c r="B115" s="481" t="s">
        <v>206</v>
      </c>
      <c r="C115" s="608">
        <v>167</v>
      </c>
      <c r="D115" s="608">
        <v>396</v>
      </c>
      <c r="E115" s="481" t="s">
        <v>597</v>
      </c>
      <c r="F115" s="481" t="str">
        <f>CONCATENATE(DescontosTE[[#This Row],[Permissionária]],DescontosTE[[#This Row],[codsariSUP]],DescontosTE[[#This Row],[Classe]])</f>
        <v>Certel396A4</v>
      </c>
      <c r="G115" s="511">
        <v>0.54613733905579398</v>
      </c>
      <c r="H115" s="511">
        <v>0.54613733905579398</v>
      </c>
      <c r="I115" s="511">
        <v>0.54613733905579398</v>
      </c>
      <c r="J115" s="513">
        <v>0.54610000000000003</v>
      </c>
      <c r="K115" s="683">
        <v>0.48330000000000001</v>
      </c>
      <c r="L115" s="863">
        <v>0.35730000000000001</v>
      </c>
      <c r="M115" s="1532">
        <v>0.32969999999999999</v>
      </c>
    </row>
    <row r="116" spans="1:13">
      <c r="A116" s="481" t="s">
        <v>412</v>
      </c>
      <c r="B116" s="481" t="s">
        <v>189</v>
      </c>
      <c r="C116" s="481">
        <v>111</v>
      </c>
      <c r="D116" s="481">
        <v>5697</v>
      </c>
      <c r="E116" s="481" t="s">
        <v>597</v>
      </c>
      <c r="F116" s="481" t="str">
        <f>CONCATENATE(DescontosTE[[#This Row],[Permissionária]],DescontosTE[[#This Row],[codsariSUP]],DescontosTE[[#This Row],[Classe]])</f>
        <v>Certrel5697A4</v>
      </c>
      <c r="G116" s="511">
        <v>0.88707885968159939</v>
      </c>
      <c r="H116" s="511">
        <v>0.88707885968159939</v>
      </c>
      <c r="I116" s="511">
        <v>0.88707885968159939</v>
      </c>
      <c r="J116" s="513">
        <v>0.81359999999999999</v>
      </c>
      <c r="K116" s="683">
        <v>0.81359999999999999</v>
      </c>
      <c r="L116" s="863">
        <v>0.81359999999999999</v>
      </c>
      <c r="M116" s="1532">
        <v>0.61460000000000004</v>
      </c>
    </row>
    <row r="117" spans="1:13">
      <c r="A117" s="481" t="s">
        <v>340</v>
      </c>
      <c r="B117" s="481" t="s">
        <v>178</v>
      </c>
      <c r="C117" s="481">
        <v>135</v>
      </c>
      <c r="D117" s="481">
        <v>2937</v>
      </c>
      <c r="E117" s="481" t="s">
        <v>597</v>
      </c>
      <c r="F117" s="481" t="str">
        <f>CONCATENATE(DescontosTE[[#This Row],[Permissionária]],DescontosTE[[#This Row],[codsariSUP]],DescontosTE[[#This Row],[Classe]])</f>
        <v>Cetril2937A4</v>
      </c>
      <c r="G117" s="511">
        <v>0.50648278140226277</v>
      </c>
      <c r="H117" s="511">
        <v>0.37986208605169708</v>
      </c>
      <c r="I117" s="511">
        <v>0.1396</v>
      </c>
      <c r="J117" s="513">
        <v>0.1396</v>
      </c>
      <c r="K117" s="683">
        <v>0</v>
      </c>
      <c r="L117" s="863">
        <v>0</v>
      </c>
      <c r="M117" s="863">
        <v>0</v>
      </c>
    </row>
    <row r="118" spans="1:13">
      <c r="A118" s="481" t="s">
        <v>340</v>
      </c>
      <c r="B118" s="481" t="s">
        <v>164</v>
      </c>
      <c r="C118" s="481">
        <v>145</v>
      </c>
      <c r="D118" s="481">
        <v>385</v>
      </c>
      <c r="E118" s="481" t="s">
        <v>597</v>
      </c>
      <c r="F118" s="481" t="str">
        <f>CONCATENATE(DescontosTE[[#This Row],[Permissionária]],DescontosTE[[#This Row],[codsariSUP]],DescontosTE[[#This Row],[Classe]])</f>
        <v>Cetril385A4</v>
      </c>
      <c r="G118" s="511">
        <v>0.66580422595946531</v>
      </c>
      <c r="H118" s="511">
        <v>0.49935316946959896</v>
      </c>
      <c r="I118" s="511">
        <v>0.1396</v>
      </c>
      <c r="J118" s="513">
        <v>0.1396</v>
      </c>
      <c r="K118" s="683">
        <v>0</v>
      </c>
      <c r="L118" s="863">
        <v>0</v>
      </c>
      <c r="M118" s="863">
        <v>0</v>
      </c>
    </row>
    <row r="119" spans="1:13">
      <c r="A119" s="481" t="s">
        <v>188</v>
      </c>
      <c r="B119" s="481" t="s">
        <v>189</v>
      </c>
      <c r="C119" s="481">
        <v>111</v>
      </c>
      <c r="D119" s="481">
        <v>5697</v>
      </c>
      <c r="E119" s="481" t="s">
        <v>599</v>
      </c>
      <c r="F119" s="481" t="str">
        <f>CONCATENATE(DescontosTE[[#This Row],[Permissionária]],DescontosTE[[#This Row],[codsariSUP]],DescontosTE[[#This Row],[Classe]])</f>
        <v>Coopera5697A3</v>
      </c>
      <c r="G119" s="511">
        <v>0.78664720344191763</v>
      </c>
      <c r="H119" s="511">
        <v>0.58998540258143817</v>
      </c>
      <c r="I119" s="511">
        <v>0.58998540258143817</v>
      </c>
      <c r="J119" s="513">
        <v>0.59</v>
      </c>
      <c r="K119" s="683">
        <v>0.59</v>
      </c>
      <c r="L119" s="863">
        <v>0.59</v>
      </c>
      <c r="M119" s="1532">
        <v>0.59</v>
      </c>
    </row>
    <row r="120" spans="1:13">
      <c r="A120" s="481" t="s">
        <v>421</v>
      </c>
      <c r="B120" s="481" t="s">
        <v>189</v>
      </c>
      <c r="C120" s="481">
        <v>111</v>
      </c>
      <c r="D120" s="481">
        <v>5697</v>
      </c>
      <c r="E120" s="481" t="s">
        <v>597</v>
      </c>
      <c r="F120" s="481" t="str">
        <f>CONCATENATE(DescontosTE[[#This Row],[Permissionária]],DescontosTE[[#This Row],[codsariSUP]],DescontosTE[[#This Row],[Classe]])</f>
        <v>Coopercocal5697A4</v>
      </c>
      <c r="G120" s="511">
        <v>0.43784572833435764</v>
      </c>
      <c r="H120" s="511">
        <v>0.43784572833435764</v>
      </c>
      <c r="I120" s="511">
        <v>0.43780000000000002</v>
      </c>
      <c r="J120" s="513">
        <v>0.43780000000000002</v>
      </c>
      <c r="K120" s="683">
        <v>0.43780000000000002</v>
      </c>
      <c r="L120" s="863">
        <v>0.42730000000000001</v>
      </c>
      <c r="M120" s="1532">
        <v>0.42730000000000001</v>
      </c>
    </row>
    <row r="121" spans="1:13">
      <c r="A121" s="481" t="s">
        <v>421</v>
      </c>
      <c r="B121" s="481" t="s">
        <v>189</v>
      </c>
      <c r="C121" s="481">
        <v>111</v>
      </c>
      <c r="D121" s="481">
        <v>5697</v>
      </c>
      <c r="E121" s="481" t="s">
        <v>599</v>
      </c>
      <c r="F121" s="481" t="str">
        <f>CONCATENATE(DescontosTE[[#This Row],[Permissionária]],DescontosTE[[#This Row],[codsariSUP]],DescontosTE[[#This Row],[Classe]])</f>
        <v>Coopercocal5697A3</v>
      </c>
      <c r="G121" s="511">
        <v>0.74423786109403811</v>
      </c>
      <c r="H121" s="511">
        <v>0.74423786109403811</v>
      </c>
      <c r="I121" s="511">
        <v>0.66139999999999999</v>
      </c>
      <c r="J121" s="513">
        <v>0.6452</v>
      </c>
      <c r="K121" s="683">
        <v>0.4995</v>
      </c>
      <c r="L121" s="863">
        <v>0.42730000000000001</v>
      </c>
      <c r="M121" s="1532">
        <v>0.42730000000000001</v>
      </c>
    </row>
    <row r="122" spans="1:13">
      <c r="A122" s="481" t="s">
        <v>421</v>
      </c>
      <c r="B122" s="509" t="s">
        <v>425</v>
      </c>
      <c r="C122" s="509">
        <v>144</v>
      </c>
      <c r="D122" s="509">
        <v>86</v>
      </c>
      <c r="E122" s="481" t="s">
        <v>597</v>
      </c>
      <c r="F122" s="481" t="str">
        <f>CONCATENATE(DescontosTE[[#This Row],[Permissionária]],DescontosTE[[#This Row],[codsariSUP]],DescontosTE[[#This Row],[Classe]])</f>
        <v>Coopercocal86A4</v>
      </c>
      <c r="G122" s="511">
        <v>0.75887474882786332</v>
      </c>
      <c r="H122" s="511">
        <v>0.75887474882786332</v>
      </c>
      <c r="I122" s="511">
        <v>0.66139999999999999</v>
      </c>
      <c r="J122" s="513">
        <v>0.6452</v>
      </c>
      <c r="K122" s="683">
        <v>0.4995</v>
      </c>
      <c r="L122" s="863">
        <v>0.42730000000000001</v>
      </c>
      <c r="M122" s="1532">
        <v>0.42730000000000001</v>
      </c>
    </row>
    <row r="123" spans="1:13">
      <c r="A123" s="481" t="s">
        <v>461</v>
      </c>
      <c r="B123" s="481" t="s">
        <v>206</v>
      </c>
      <c r="C123" s="608">
        <v>167</v>
      </c>
      <c r="D123" s="608">
        <v>396</v>
      </c>
      <c r="E123" s="481" t="s">
        <v>597</v>
      </c>
      <c r="F123" s="481" t="str">
        <f>CONCATENATE(DescontosTE[[#This Row],[Permissionária]],DescontosTE[[#This Row],[codsariSUP]],DescontosTE[[#This Row],[Classe]])</f>
        <v>Cooperluz396A4</v>
      </c>
      <c r="G123" s="511">
        <v>0.81789999999999996</v>
      </c>
      <c r="H123" s="511">
        <v>0.81789999999999996</v>
      </c>
      <c r="I123" s="511">
        <v>0.65900000000000003</v>
      </c>
      <c r="J123" s="513">
        <v>0</v>
      </c>
      <c r="K123" s="683">
        <v>0</v>
      </c>
      <c r="L123" s="863">
        <v>0</v>
      </c>
      <c r="M123" s="863">
        <v>0</v>
      </c>
    </row>
    <row r="124" spans="1:13">
      <c r="A124" s="481" t="s">
        <v>461</v>
      </c>
      <c r="B124" s="481" t="s">
        <v>206</v>
      </c>
      <c r="C124" s="608">
        <v>167</v>
      </c>
      <c r="D124" s="608">
        <v>396</v>
      </c>
      <c r="E124" s="481" t="s">
        <v>599</v>
      </c>
      <c r="F124" s="481" t="str">
        <f>CONCATENATE(DescontosTE[[#This Row],[Permissionária]],DescontosTE[[#This Row],[codsariSUP]],DescontosTE[[#This Row],[Classe]])</f>
        <v>Cooperluz396A3</v>
      </c>
      <c r="G124" s="511">
        <v>0.81789999999999996</v>
      </c>
      <c r="H124" s="511">
        <v>0.81789999999999996</v>
      </c>
      <c r="I124" s="511">
        <v>0.65900000000000003</v>
      </c>
      <c r="J124" s="513">
        <v>0</v>
      </c>
      <c r="K124" s="683">
        <v>0</v>
      </c>
      <c r="L124" s="863">
        <v>0</v>
      </c>
      <c r="M124" s="863">
        <v>0</v>
      </c>
    </row>
    <row r="125" spans="1:13">
      <c r="A125" s="481" t="s">
        <v>428</v>
      </c>
      <c r="B125" s="481" t="s">
        <v>189</v>
      </c>
      <c r="C125" s="481">
        <v>111</v>
      </c>
      <c r="D125" s="481">
        <v>5697</v>
      </c>
      <c r="E125" s="481" t="s">
        <v>597</v>
      </c>
      <c r="F125" s="481" t="str">
        <f>CONCATENATE(DescontosTE[[#This Row],[Permissionária]],DescontosTE[[#This Row],[codsariSUP]],DescontosTE[[#This Row],[Classe]])</f>
        <v>Coopermila5697A4</v>
      </c>
      <c r="G125" s="511">
        <v>0.53672403196066387</v>
      </c>
      <c r="H125" s="511">
        <v>0.4025430239704979</v>
      </c>
      <c r="I125" s="511">
        <v>0.38200000000000001</v>
      </c>
      <c r="J125" s="513">
        <v>0.35849999999999999</v>
      </c>
      <c r="K125" s="683">
        <v>4.9599999999999998E-2</v>
      </c>
      <c r="L125" s="863">
        <v>3.3399999999999999E-2</v>
      </c>
      <c r="M125" s="1532">
        <v>3.3399999999999999E-2</v>
      </c>
    </row>
    <row r="126" spans="1:13">
      <c r="A126" s="481" t="s">
        <v>433</v>
      </c>
      <c r="B126" s="481" t="s">
        <v>189</v>
      </c>
      <c r="C126" s="481">
        <v>111</v>
      </c>
      <c r="D126" s="481">
        <v>5697</v>
      </c>
      <c r="E126" s="481" t="s">
        <v>597</v>
      </c>
      <c r="F126" s="481" t="str">
        <f>CONCATENATE(DescontosTE[[#This Row],[Permissionária]],DescontosTE[[#This Row],[codsariSUP]],DescontosTE[[#This Row],[Classe]])</f>
        <v>Coorsel5697A4</v>
      </c>
      <c r="G126" s="511">
        <v>0.88667793484941604</v>
      </c>
      <c r="H126" s="511">
        <v>0.66500845113706197</v>
      </c>
      <c r="I126" s="511">
        <v>0.36559999999999998</v>
      </c>
      <c r="J126" s="513">
        <v>0.29060000000000002</v>
      </c>
      <c r="K126" s="683">
        <v>2.6599999999999999E-2</v>
      </c>
      <c r="L126" s="863">
        <v>0</v>
      </c>
      <c r="M126" s="863">
        <v>0</v>
      </c>
    </row>
    <row r="127" spans="1:13">
      <c r="A127" s="481" t="s">
        <v>466</v>
      </c>
      <c r="B127" s="481" t="s">
        <v>206</v>
      </c>
      <c r="C127" s="608">
        <v>167</v>
      </c>
      <c r="D127" s="608">
        <v>396</v>
      </c>
      <c r="E127" s="481" t="s">
        <v>602</v>
      </c>
      <c r="F127" s="481" t="str">
        <f>CONCATENATE(DescontosTE[[#This Row],[Permissionária]],DescontosTE[[#This Row],[codsariSUP]],DescontosTE[[#This Row],[Classe]])</f>
        <v>Coprel396A2</v>
      </c>
      <c r="G127" s="511">
        <v>0.63819999999999999</v>
      </c>
      <c r="H127" s="511">
        <v>0.63819999999999999</v>
      </c>
      <c r="I127" s="511">
        <v>0.44450000000000001</v>
      </c>
      <c r="J127" s="513">
        <v>0</v>
      </c>
      <c r="K127" s="683">
        <v>0</v>
      </c>
      <c r="L127" s="863">
        <v>0</v>
      </c>
      <c r="M127" s="863">
        <v>0</v>
      </c>
    </row>
    <row r="128" spans="1:13">
      <c r="A128" s="481" t="s">
        <v>466</v>
      </c>
      <c r="B128" s="481" t="s">
        <v>206</v>
      </c>
      <c r="C128" s="608">
        <v>167</v>
      </c>
      <c r="D128" s="608">
        <v>396</v>
      </c>
      <c r="E128" s="481" t="s">
        <v>599</v>
      </c>
      <c r="F128" s="481" t="str">
        <f>CONCATENATE(DescontosTE[[#This Row],[Permissionária]],DescontosTE[[#This Row],[codsariSUP]],DescontosTE[[#This Row],[Classe]])</f>
        <v>Coprel396A3</v>
      </c>
      <c r="G128" s="511">
        <v>0.63819999999999999</v>
      </c>
      <c r="H128" s="511">
        <v>0.63819999999999999</v>
      </c>
      <c r="I128" s="511">
        <v>0.47870000000000001</v>
      </c>
      <c r="J128" s="513">
        <v>0</v>
      </c>
      <c r="K128" s="683">
        <v>0</v>
      </c>
      <c r="L128" s="863">
        <v>0</v>
      </c>
      <c r="M128" s="863">
        <v>0</v>
      </c>
    </row>
    <row r="129" spans="1:14">
      <c r="A129" s="481" t="s">
        <v>466</v>
      </c>
      <c r="B129" s="481" t="s">
        <v>206</v>
      </c>
      <c r="C129" s="608">
        <v>167</v>
      </c>
      <c r="D129" s="608">
        <v>396</v>
      </c>
      <c r="E129" s="481" t="s">
        <v>597</v>
      </c>
      <c r="F129" s="481" t="str">
        <f>CONCATENATE(DescontosTE[[#This Row],[Permissionária]],DescontosTE[[#This Row],[codsariSUP]],DescontosTE[[#This Row],[Classe]])</f>
        <v>Coprel396A4</v>
      </c>
      <c r="G129" s="511">
        <v>0.53600000000000003</v>
      </c>
      <c r="H129" s="511">
        <v>0.53600000000000003</v>
      </c>
      <c r="I129" s="511">
        <v>0.40200000000000002</v>
      </c>
      <c r="J129" s="513">
        <v>0</v>
      </c>
      <c r="K129" s="683">
        <v>0</v>
      </c>
      <c r="L129" s="863">
        <v>0</v>
      </c>
      <c r="M129" s="863">
        <v>0</v>
      </c>
    </row>
    <row r="130" spans="1:14">
      <c r="A130" s="481" t="s">
        <v>174</v>
      </c>
      <c r="B130" s="481" t="s">
        <v>206</v>
      </c>
      <c r="C130" s="608">
        <v>167</v>
      </c>
      <c r="D130" s="608">
        <v>396</v>
      </c>
      <c r="E130" s="481" t="s">
        <v>597</v>
      </c>
      <c r="F130" s="481" t="str">
        <f>CONCATENATE(DescontosTE[[#This Row],[Permissionária]],DescontosTE[[#This Row],[codsariSUP]],DescontosTE[[#This Row],[Classe]])</f>
        <v>Creluz396A4</v>
      </c>
      <c r="G130" s="511">
        <v>0.83053171196948017</v>
      </c>
      <c r="H130" s="511">
        <v>0.83053171196948017</v>
      </c>
      <c r="I130" s="511">
        <v>0.83053171196948017</v>
      </c>
      <c r="J130" s="513">
        <v>0.34849999999999998</v>
      </c>
      <c r="K130" s="683">
        <v>0.34849999999999998</v>
      </c>
      <c r="L130" s="863">
        <v>0.28499999999999998</v>
      </c>
      <c r="M130" s="1532">
        <v>0.28499999999999998</v>
      </c>
    </row>
    <row r="131" spans="1:14">
      <c r="A131" s="481" t="s">
        <v>477</v>
      </c>
      <c r="B131" s="481" t="s">
        <v>206</v>
      </c>
      <c r="C131" s="608">
        <v>167</v>
      </c>
      <c r="D131" s="608">
        <v>396</v>
      </c>
      <c r="E131" s="481" t="s">
        <v>597</v>
      </c>
      <c r="F131" s="481" t="str">
        <f>CONCATENATE(DescontosTE[[#This Row],[Permissionária]],DescontosTE[[#This Row],[codsariSUP]],DescontosTE[[#This Row],[Classe]])</f>
        <v>Creral396A4</v>
      </c>
      <c r="G131" s="511">
        <v>0.76871721506914636</v>
      </c>
      <c r="H131" s="511">
        <v>0.76871721506914636</v>
      </c>
      <c r="I131" s="511">
        <v>0.76871721506914636</v>
      </c>
      <c r="J131" s="513">
        <v>0.46889999999999998</v>
      </c>
      <c r="K131" s="683">
        <v>0.46889999999999998</v>
      </c>
      <c r="L131" s="863">
        <v>0.214</v>
      </c>
      <c r="M131" s="1532">
        <v>0.214</v>
      </c>
    </row>
    <row r="132" spans="1:14">
      <c r="A132" s="481" t="s">
        <v>477</v>
      </c>
      <c r="B132" s="481" t="s">
        <v>206</v>
      </c>
      <c r="C132" s="608">
        <v>167</v>
      </c>
      <c r="D132" s="608">
        <v>396</v>
      </c>
      <c r="E132" s="481" t="s">
        <v>604</v>
      </c>
      <c r="F132" s="481" t="str">
        <f>CONCATENATE(DescontosTE[[#This Row],[Permissionária]],DescontosTE[[#This Row],[codsariSUP]],DescontosTE[[#This Row],[Classe]])</f>
        <v>Creral396B</v>
      </c>
      <c r="G132" s="511">
        <v>2.0743919885550688E-2</v>
      </c>
      <c r="H132" s="511">
        <v>2.0743919885550688E-2</v>
      </c>
      <c r="I132" s="511">
        <v>2.0743919885550688E-2</v>
      </c>
      <c r="J132" s="513">
        <v>2.07E-2</v>
      </c>
      <c r="K132" s="683">
        <v>2.07E-2</v>
      </c>
      <c r="L132" s="863">
        <v>2.07E-2</v>
      </c>
      <c r="M132" s="1532">
        <v>2.07E-2</v>
      </c>
    </row>
    <row r="133" spans="1:14">
      <c r="A133" s="481" t="s">
        <v>367</v>
      </c>
      <c r="B133" s="487" t="s">
        <v>163</v>
      </c>
      <c r="C133" s="481">
        <v>103</v>
      </c>
      <c r="D133" s="481">
        <v>383</v>
      </c>
      <c r="E133" s="481" t="s">
        <v>597</v>
      </c>
      <c r="F133" s="481" t="str">
        <f>CONCATENATE(DescontosTE[[#This Row],[Permissionária]],DescontosTE[[#This Row],[codsariSUP]],DescontosTE[[#This Row],[Classe]])</f>
        <v>Cerci383A4</v>
      </c>
      <c r="G133" s="511"/>
      <c r="H133" s="511"/>
      <c r="I133" s="511"/>
      <c r="J133" s="513">
        <v>0.38529999999999998</v>
      </c>
      <c r="K133" s="812">
        <v>0.38529999999999998</v>
      </c>
      <c r="L133" s="863">
        <f>DescontosTE[[#This Row],[2019]]</f>
        <v>0.38529999999999998</v>
      </c>
      <c r="M133" s="513">
        <f>DescontosTE[[#This Row],[2020]]</f>
        <v>0.38529999999999998</v>
      </c>
      <c r="N133" s="513">
        <f>DescontosTE[[#This Row],[2020]]</f>
        <v>0.38529999999999998</v>
      </c>
    </row>
    <row r="134" spans="1:14">
      <c r="A134" s="481" t="s">
        <v>196</v>
      </c>
      <c r="B134" s="487" t="s">
        <v>163</v>
      </c>
      <c r="C134" s="481">
        <v>103</v>
      </c>
      <c r="D134" s="481">
        <v>383</v>
      </c>
      <c r="E134" s="481" t="s">
        <v>597</v>
      </c>
      <c r="F134" s="481" t="str">
        <f>CONCATENATE(DescontosTE[[#This Row],[Permissionária]],DescontosTE[[#This Row],[codsariSUP]],DescontosTE[[#This Row],[Classe]])</f>
        <v>Ceral Araruama383A4</v>
      </c>
      <c r="G134" s="511"/>
      <c r="H134" s="511"/>
      <c r="I134" s="511"/>
      <c r="J134" s="513">
        <v>0.38529999999999998</v>
      </c>
      <c r="K134" s="812">
        <v>0.38030000000000003</v>
      </c>
      <c r="L134" s="863">
        <f>DescontosTE[[#This Row],[2019]]</f>
        <v>0.38030000000000003</v>
      </c>
      <c r="M134" s="511">
        <v>0.26430999999999999</v>
      </c>
      <c r="N134" s="511">
        <v>0.26430999999999999</v>
      </c>
    </row>
    <row r="135" spans="1:14">
      <c r="A135" s="481" t="s">
        <v>390</v>
      </c>
      <c r="B135" s="481" t="s">
        <v>206</v>
      </c>
      <c r="C135" s="608">
        <v>167</v>
      </c>
      <c r="D135" s="608">
        <v>396</v>
      </c>
      <c r="E135" s="481" t="s">
        <v>597</v>
      </c>
      <c r="F135" s="481" t="str">
        <f>CONCATENATE(DescontosTE[[#This Row],[Permissionária]],DescontosTE[[#This Row],[codsariSUP]],DescontosTE[[#This Row],[Classe]])</f>
        <v>Cerfox396A4</v>
      </c>
      <c r="G135" s="511"/>
      <c r="H135" s="511"/>
      <c r="I135" s="511"/>
      <c r="J135" s="513">
        <v>0.1401</v>
      </c>
      <c r="K135" s="812">
        <v>0.1401</v>
      </c>
      <c r="L135" s="863">
        <v>0.1401</v>
      </c>
      <c r="M135" s="1532">
        <v>0.1401</v>
      </c>
    </row>
    <row r="136" spans="1:14">
      <c r="A136" s="481" t="s">
        <v>494</v>
      </c>
      <c r="B136" s="481" t="s">
        <v>206</v>
      </c>
      <c r="C136" s="608">
        <v>167</v>
      </c>
      <c r="D136" s="608">
        <v>396</v>
      </c>
      <c r="E136" s="481" t="s">
        <v>597</v>
      </c>
      <c r="F136" s="481" t="str">
        <f>CONCATENATE(DescontosTE[[#This Row],[Permissionária]],DescontosTE[[#This Row],[codsariSUP]],DescontosTE[[#This Row],[Classe]])</f>
        <v>Certhil396A4</v>
      </c>
      <c r="G136" s="511"/>
      <c r="H136" s="511"/>
      <c r="I136" s="511"/>
      <c r="J136" s="513">
        <v>0.25359999999999999</v>
      </c>
      <c r="K136" s="812">
        <v>0.22370000000000001</v>
      </c>
      <c r="L136" s="863">
        <v>0.1273</v>
      </c>
      <c r="M136" s="1532">
        <v>0</v>
      </c>
    </row>
    <row r="137" spans="1:14">
      <c r="A137" s="481" t="s">
        <v>291</v>
      </c>
      <c r="B137" s="481" t="s">
        <v>607</v>
      </c>
      <c r="C137" s="481">
        <v>132</v>
      </c>
      <c r="D137" s="481">
        <v>2866</v>
      </c>
      <c r="E137" s="481" t="s">
        <v>601</v>
      </c>
      <c r="F137" s="481" t="str">
        <f>CONCATENATE(DescontosTE[[#This Row],[Permissionária]],DescontosTE[[#This Row],[codsariSUP]],DescontosTE[[#This Row],[Classe]])</f>
        <v>Castro Dis2866A3a</v>
      </c>
      <c r="G137" s="511"/>
      <c r="H137" s="511"/>
      <c r="I137" s="511"/>
      <c r="J137" s="513">
        <v>0.42030000000000001</v>
      </c>
      <c r="K137" s="812">
        <v>0.42030000000000001</v>
      </c>
      <c r="L137" s="863">
        <v>0.33839999999999998</v>
      </c>
      <c r="M137" s="1532">
        <v>0.33839999999999998</v>
      </c>
    </row>
    <row r="138" spans="1:14">
      <c r="A138" s="481" t="s">
        <v>291</v>
      </c>
      <c r="B138" s="481" t="s">
        <v>607</v>
      </c>
      <c r="C138" s="481">
        <v>132</v>
      </c>
      <c r="D138" s="481">
        <v>2866</v>
      </c>
      <c r="E138" s="481" t="s">
        <v>597</v>
      </c>
      <c r="F138" s="481" t="str">
        <f>CONCATENATE(DescontosTE[[#This Row],[Permissionária]],DescontosTE[[#This Row],[codsariSUP]],DescontosTE[[#This Row],[Classe]])</f>
        <v>Castro Dis2866A4</v>
      </c>
      <c r="G138" s="511"/>
      <c r="H138" s="511"/>
      <c r="I138" s="511"/>
      <c r="J138" s="513">
        <v>0.4153</v>
      </c>
      <c r="K138" s="812">
        <v>0.4153</v>
      </c>
      <c r="L138" s="863">
        <v>0.33839999999999998</v>
      </c>
      <c r="M138" s="1532">
        <v>0.33839999999999998</v>
      </c>
    </row>
    <row r="139" spans="1:14">
      <c r="A139" s="481" t="s">
        <v>510</v>
      </c>
      <c r="B139" s="481" t="s">
        <v>608</v>
      </c>
      <c r="C139" s="481">
        <v>145</v>
      </c>
      <c r="D139" s="481">
        <v>385</v>
      </c>
      <c r="E139" s="481" t="s">
        <v>597</v>
      </c>
      <c r="F139" s="481" t="str">
        <f>CONCATENATE(DescontosTE[[#This Row],[Permissionária]],DescontosTE[[#This Row],[codsariSUP]],DescontosTE[[#This Row],[Classe]])</f>
        <v>Cervam385A4</v>
      </c>
      <c r="G139" s="511"/>
      <c r="H139" s="511"/>
      <c r="I139" s="511"/>
      <c r="J139" s="513">
        <v>0.40989999999999999</v>
      </c>
      <c r="K139" s="812">
        <v>4.3299999999999998E-2</v>
      </c>
      <c r="L139" s="863">
        <v>0</v>
      </c>
      <c r="M139" s="863">
        <v>0</v>
      </c>
    </row>
    <row r="140" spans="1:14">
      <c r="A140" s="481" t="s">
        <v>510</v>
      </c>
      <c r="B140" s="481" t="s">
        <v>150</v>
      </c>
      <c r="C140" s="481">
        <v>136</v>
      </c>
      <c r="D140" s="481">
        <v>63</v>
      </c>
      <c r="E140" s="481" t="s">
        <v>597</v>
      </c>
      <c r="F140" s="481" t="str">
        <f>CONCATENATE(DescontosTE[[#This Row],[Permissionária]],DescontosTE[[#This Row],[codsariSUP]],DescontosTE[[#This Row],[Classe]])</f>
        <v>Cervam63A4</v>
      </c>
      <c r="G140" s="511"/>
      <c r="H140" s="511"/>
      <c r="I140" s="511"/>
      <c r="J140" s="513">
        <v>0.4103</v>
      </c>
      <c r="K140" s="812">
        <v>4.3299999999999998E-2</v>
      </c>
      <c r="L140" s="863">
        <v>0</v>
      </c>
      <c r="M140" s="863">
        <v>0</v>
      </c>
    </row>
    <row r="141" spans="1:14">
      <c r="A141" s="481" t="s">
        <v>186</v>
      </c>
      <c r="B141" s="481" t="s">
        <v>189</v>
      </c>
      <c r="C141" s="481">
        <v>111</v>
      </c>
      <c r="D141" s="481">
        <v>5697</v>
      </c>
      <c r="E141" s="481" t="s">
        <v>602</v>
      </c>
      <c r="F141" s="481" t="str">
        <f>CONCATENATE(DescontosTE[[#This Row],[Permissionária]],DescontosTE[[#This Row],[codsariSUP]],DescontosTE[[#This Row],[Classe]])</f>
        <v>Cegero5697A2</v>
      </c>
      <c r="G141" s="511"/>
      <c r="H141" s="511"/>
      <c r="I141" s="511"/>
      <c r="J141" s="513">
        <v>0.44009999999999999</v>
      </c>
      <c r="K141" s="812">
        <v>0.3735</v>
      </c>
      <c r="L141" s="863">
        <v>0.29289999999999999</v>
      </c>
      <c r="M141" s="1532">
        <v>0.29289999999999999</v>
      </c>
    </row>
    <row r="142" spans="1:14">
      <c r="A142" s="481" t="s">
        <v>472</v>
      </c>
      <c r="B142" s="481" t="s">
        <v>189</v>
      </c>
      <c r="C142" s="481">
        <v>111</v>
      </c>
      <c r="D142" s="481">
        <v>5697</v>
      </c>
      <c r="E142" s="481" t="s">
        <v>597</v>
      </c>
      <c r="F142" s="481" t="str">
        <f>CONCATENATE(DescontosTE[[#This Row],[Permissionária]],DescontosTE[[#This Row],[codsariSUP]],DescontosTE[[#This Row],[Classe]])</f>
        <v>Cersad5697A4</v>
      </c>
      <c r="G142" s="511"/>
      <c r="H142" s="511"/>
      <c r="I142" s="511"/>
      <c r="J142" s="513">
        <v>0.41320000000000001</v>
      </c>
      <c r="K142" s="812">
        <v>0.34079999999999999</v>
      </c>
      <c r="L142" s="863">
        <v>0.25679999999999997</v>
      </c>
      <c r="M142" s="1532">
        <v>0</v>
      </c>
    </row>
    <row r="143" spans="1:14">
      <c r="A143" s="481" t="s">
        <v>521</v>
      </c>
      <c r="B143" s="481" t="s">
        <v>189</v>
      </c>
      <c r="C143" s="481">
        <v>111</v>
      </c>
      <c r="D143" s="481">
        <v>5697</v>
      </c>
      <c r="E143" s="481" t="s">
        <v>602</v>
      </c>
      <c r="F143" s="481" t="str">
        <f>CONCATENATE(DescontosTE[[#This Row],[Permissionária]],DescontosTE[[#This Row],[codsariSUP]],DescontosTE[[#This Row],[Classe]])</f>
        <v>Codesam5697A2</v>
      </c>
      <c r="G143" s="511"/>
      <c r="H143" s="511"/>
      <c r="I143" s="511"/>
      <c r="J143" s="513">
        <v>0.44009999999999999</v>
      </c>
      <c r="K143" s="812">
        <v>0.28170000000000001</v>
      </c>
      <c r="L143" s="863">
        <v>0.25019999999999998</v>
      </c>
      <c r="M143" s="1532">
        <v>0.25019999999999998</v>
      </c>
    </row>
    <row r="144" spans="1:14">
      <c r="A144" s="481" t="s">
        <v>556</v>
      </c>
      <c r="B144" s="481" t="s">
        <v>189</v>
      </c>
      <c r="C144" s="481">
        <v>111</v>
      </c>
      <c r="D144" s="481">
        <v>5697</v>
      </c>
      <c r="E144" s="481" t="s">
        <v>597</v>
      </c>
      <c r="F144" s="481" t="str">
        <f>CONCATENATE(DescontosTE[[#This Row],[Permissionária]],DescontosTE[[#This Row],[codsariSUP]],DescontosTE[[#This Row],[Classe]])</f>
        <v>Cooperzem5697A4</v>
      </c>
      <c r="G144" s="511"/>
      <c r="H144" s="511"/>
      <c r="I144" s="511"/>
      <c r="J144" s="513">
        <v>0.41320000000000001</v>
      </c>
      <c r="K144" s="812">
        <v>0.16650000000000001</v>
      </c>
      <c r="L144" s="863">
        <v>0.1057</v>
      </c>
      <c r="M144" s="1532">
        <v>0.1057</v>
      </c>
    </row>
    <row r="145" spans="1:50">
      <c r="A145" s="481" t="s">
        <v>10</v>
      </c>
      <c r="B145" s="481" t="s">
        <v>354</v>
      </c>
      <c r="C145" s="481">
        <v>110</v>
      </c>
      <c r="D145" s="481">
        <v>5707</v>
      </c>
      <c r="E145" s="481" t="s">
        <v>597</v>
      </c>
      <c r="F145" s="481" t="str">
        <f>CONCATENATE(DescontosTE[[#This Row],[Permissionária]],DescontosTE[[#This Row],[codsariSUP]],DescontosTE[[#This Row],[Classe]])</f>
        <v>Coopersul5707A4</v>
      </c>
      <c r="G145" s="511"/>
      <c r="H145" s="511"/>
      <c r="I145" s="511"/>
      <c r="J145" s="513">
        <v>0.33779999999999999</v>
      </c>
      <c r="K145" s="812">
        <v>0.33779999999999999</v>
      </c>
      <c r="L145" s="863">
        <v>0.20419999999999999</v>
      </c>
      <c r="M145" s="1532">
        <v>9.0499999999999997E-2</v>
      </c>
    </row>
    <row r="146" spans="1:50">
      <c r="A146" s="481" t="s">
        <v>11</v>
      </c>
      <c r="B146" s="481" t="s">
        <v>354</v>
      </c>
      <c r="C146" s="481">
        <v>110</v>
      </c>
      <c r="D146" s="481">
        <v>5707</v>
      </c>
      <c r="E146" s="481" t="s">
        <v>597</v>
      </c>
      <c r="F146" s="481" t="str">
        <f>CONCATENATE(DescontosTE[[#This Row],[Permissionária]],DescontosTE[[#This Row],[codsariSUP]],DescontosTE[[#This Row],[Classe]])</f>
        <v>Coopernorte5707A4</v>
      </c>
      <c r="G146" s="511"/>
      <c r="H146" s="511"/>
      <c r="I146" s="511"/>
      <c r="J146" s="513">
        <v>0.49409999999999998</v>
      </c>
      <c r="K146" s="812">
        <v>0.48630000000000001</v>
      </c>
      <c r="L146" s="863">
        <v>0.37609999999999999</v>
      </c>
      <c r="M146" s="1532">
        <v>0.37609999999999999</v>
      </c>
    </row>
    <row r="147" spans="1:50">
      <c r="A147" s="481" t="s">
        <v>328</v>
      </c>
      <c r="B147" s="481" t="s">
        <v>150</v>
      </c>
      <c r="C147" s="481">
        <v>136</v>
      </c>
      <c r="D147" s="481">
        <v>63</v>
      </c>
      <c r="E147" s="481" t="s">
        <v>602</v>
      </c>
      <c r="F147" s="481" t="str">
        <f>CONCATENATE(DescontosTE[[#This Row],[Permissionária]],DescontosTE[[#This Row],[codsariSUP]],DescontosTE[[#This Row],[Classe]])</f>
        <v>Cemirim63A2</v>
      </c>
      <c r="G147" s="511"/>
      <c r="H147" s="511"/>
      <c r="I147" s="511"/>
      <c r="J147" s="513"/>
      <c r="K147" s="812">
        <v>0.18690000000000001</v>
      </c>
      <c r="L147" s="863">
        <v>0.1603</v>
      </c>
      <c r="M147" s="511">
        <v>0</v>
      </c>
    </row>
    <row r="148" spans="1:50">
      <c r="A148" s="481" t="s">
        <v>328</v>
      </c>
      <c r="B148" s="481" t="s">
        <v>164</v>
      </c>
      <c r="C148" s="481">
        <v>145</v>
      </c>
      <c r="D148" s="481">
        <v>385</v>
      </c>
      <c r="E148" s="481" t="s">
        <v>597</v>
      </c>
      <c r="F148" s="481" t="str">
        <f>CONCATENATE(DescontosTE[[#This Row],[Permissionária]],DescontosTE[[#This Row],[codsariSUP]],DescontosTE[[#This Row],[Classe]])</f>
        <v>Cemirim385A4</v>
      </c>
      <c r="G148" s="511"/>
      <c r="H148" s="511"/>
      <c r="I148" s="511"/>
      <c r="J148" s="513"/>
      <c r="K148" s="812">
        <v>0.18690000000000001</v>
      </c>
      <c r="L148" s="863">
        <v>0.1603</v>
      </c>
      <c r="M148" s="511">
        <v>0</v>
      </c>
    </row>
    <row r="149" spans="1:50">
      <c r="A149" s="481" t="s">
        <v>321</v>
      </c>
      <c r="B149" s="481" t="s">
        <v>206</v>
      </c>
      <c r="C149" s="481">
        <v>167</v>
      </c>
      <c r="D149" s="481">
        <v>396</v>
      </c>
      <c r="E149" s="481" t="s">
        <v>597</v>
      </c>
      <c r="F149" s="481" t="str">
        <f>CONCATENATE(DescontosTE[[#This Row],[Permissionária]],DescontosTE[[#This Row],[codsariSUP]],DescontosTE[[#This Row],[Classe]])</f>
        <v>Celetro396A4</v>
      </c>
      <c r="G149" s="864"/>
      <c r="H149" s="864"/>
      <c r="I149" s="864"/>
      <c r="J149" s="513"/>
      <c r="K149" s="812"/>
      <c r="L149" s="863">
        <v>0.1426</v>
      </c>
      <c r="M149" s="1532">
        <v>0.1426</v>
      </c>
      <c r="AS149" s="855"/>
      <c r="AX149" s="855"/>
    </row>
    <row r="150" spans="1:50">
      <c r="A150" s="481" t="s">
        <v>321</v>
      </c>
      <c r="B150" s="481" t="s">
        <v>609</v>
      </c>
      <c r="C150" s="481">
        <v>164</v>
      </c>
      <c r="D150" s="481">
        <v>400</v>
      </c>
      <c r="E150" s="481" t="s">
        <v>597</v>
      </c>
      <c r="F150" s="481" t="str">
        <f>CONCATENATE(DescontosTE[[#This Row],[Permissionária]],DescontosTE[[#This Row],[codsariSUP]],DescontosTE[[#This Row],[Classe]])</f>
        <v>Celetro400A4</v>
      </c>
      <c r="L150" s="513">
        <v>0.1426</v>
      </c>
      <c r="M150" s="1532">
        <v>0.1426</v>
      </c>
      <c r="AS150" s="855"/>
      <c r="AX150" s="855"/>
    </row>
    <row r="154" spans="1:50">
      <c r="A154" s="656" t="s">
        <v>610</v>
      </c>
    </row>
    <row r="156" spans="1:50">
      <c r="A156" s="9" t="s">
        <v>22</v>
      </c>
      <c r="B156" s="657" t="s">
        <v>239</v>
      </c>
      <c r="C156" t="s">
        <v>611</v>
      </c>
      <c r="D156" s="9" t="s">
        <v>612</v>
      </c>
      <c r="E156" s="9" t="s">
        <v>613</v>
      </c>
      <c r="F156" t="s">
        <v>614</v>
      </c>
      <c r="G156" t="s">
        <v>590</v>
      </c>
      <c r="H156" t="s">
        <v>591</v>
      </c>
      <c r="I156" t="s">
        <v>592</v>
      </c>
      <c r="J156" t="s">
        <v>593</v>
      </c>
      <c r="K156" t="s">
        <v>594</v>
      </c>
      <c r="L156" t="s">
        <v>595</v>
      </c>
      <c r="M156" t="s">
        <v>596</v>
      </c>
      <c r="N156" t="s">
        <v>2168</v>
      </c>
    </row>
    <row r="157" spans="1:50">
      <c r="A157" s="9" t="s">
        <v>585</v>
      </c>
      <c r="B157" s="658" t="s">
        <v>280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10">
        <v>585.49</v>
      </c>
      <c r="L157">
        <v>716.79000000000008</v>
      </c>
      <c r="M157" s="417">
        <v>802.08</v>
      </c>
    </row>
    <row r="158" spans="1:50">
      <c r="A158" s="9" t="s">
        <v>585</v>
      </c>
      <c r="B158" s="659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10">
        <v>750.67</v>
      </c>
      <c r="L158">
        <v>694.52</v>
      </c>
      <c r="M158" s="417">
        <v>683.87</v>
      </c>
    </row>
    <row r="159" spans="1:50">
      <c r="A159" s="9" t="s">
        <v>585</v>
      </c>
      <c r="B159" s="658" t="s">
        <v>297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10">
        <v>687.25</v>
      </c>
      <c r="L159">
        <v>653.32000000000005</v>
      </c>
      <c r="M159" s="417">
        <v>636.51</v>
      </c>
    </row>
    <row r="160" spans="1:50">
      <c r="A160" s="9" t="s">
        <v>585</v>
      </c>
      <c r="B160" s="659" t="s">
        <v>303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10">
        <v>521.09</v>
      </c>
      <c r="L160">
        <v>586.86</v>
      </c>
      <c r="M160">
        <v>663.81999999999994</v>
      </c>
    </row>
    <row r="161" spans="1:13">
      <c r="A161" s="9" t="s">
        <v>585</v>
      </c>
      <c r="B161" s="658" t="s">
        <v>309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10">
        <v>531.81000000000006</v>
      </c>
      <c r="L161">
        <v>604.55999999999995</v>
      </c>
      <c r="M161" s="417">
        <v>688.71</v>
      </c>
    </row>
    <row r="162" spans="1:13">
      <c r="A162" s="9" t="s">
        <v>585</v>
      </c>
      <c r="B162" s="659" t="s">
        <v>316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10">
        <v>627.79</v>
      </c>
      <c r="L162">
        <f>419.13+242.86</f>
        <v>661.99</v>
      </c>
      <c r="M162" s="417">
        <v>820.92</v>
      </c>
    </row>
    <row r="163" spans="1:13">
      <c r="A163" s="9" t="s">
        <v>585</v>
      </c>
      <c r="B163" s="658" t="s">
        <v>322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10">
        <v>550.73</v>
      </c>
      <c r="L163">
        <f>343.12+245.73</f>
        <v>588.85</v>
      </c>
      <c r="M163" s="417">
        <v>603.04999999999995</v>
      </c>
    </row>
    <row r="164" spans="1:13">
      <c r="A164" s="9" t="s">
        <v>585</v>
      </c>
      <c r="B164" s="659" t="s">
        <v>329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10">
        <v>601.67000000000007</v>
      </c>
      <c r="L164">
        <f>319.9+262.18</f>
        <v>582.07999999999993</v>
      </c>
      <c r="M164" s="417">
        <v>613.14</v>
      </c>
    </row>
    <row r="165" spans="1:13">
      <c r="A165" s="9" t="s">
        <v>585</v>
      </c>
      <c r="B165" s="658" t="s">
        <v>334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10">
        <v>589.30000000000007</v>
      </c>
      <c r="L165">
        <v>631.75</v>
      </c>
      <c r="M165" s="417">
        <v>678.01</v>
      </c>
    </row>
    <row r="166" spans="1:13">
      <c r="A166" s="9" t="s">
        <v>585</v>
      </c>
      <c r="B166" s="659" t="s">
        <v>340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10">
        <v>697.1</v>
      </c>
      <c r="L166">
        <f>452.4+266.08</f>
        <v>718.48</v>
      </c>
      <c r="M166" s="417">
        <v>711.11</v>
      </c>
    </row>
    <row r="167" spans="1:13">
      <c r="A167" s="9" t="s">
        <v>585</v>
      </c>
      <c r="B167" s="658" t="s">
        <v>315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10">
        <v>616.29</v>
      </c>
      <c r="L167">
        <v>657.39</v>
      </c>
      <c r="M167" s="417">
        <v>548.54000000000008</v>
      </c>
    </row>
    <row r="168" spans="1:13">
      <c r="A168" s="9" t="s">
        <v>585</v>
      </c>
      <c r="B168" s="659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10">
        <v>682.83</v>
      </c>
      <c r="L168">
        <v>725.14</v>
      </c>
      <c r="M168" s="417">
        <v>632.80000000000007</v>
      </c>
    </row>
    <row r="169" spans="1:13">
      <c r="A169" s="9" t="s">
        <v>585</v>
      </c>
      <c r="B169" s="658" t="s">
        <v>339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10">
        <v>496.86</v>
      </c>
      <c r="L169">
        <v>511.66</v>
      </c>
      <c r="M169" s="417">
        <v>518.32999999999993</v>
      </c>
    </row>
    <row r="170" spans="1:13">
      <c r="A170" s="9" t="s">
        <v>585</v>
      </c>
      <c r="B170" s="659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10">
        <v>663.57999999999993</v>
      </c>
      <c r="L170">
        <v>677.53</v>
      </c>
      <c r="M170" s="417">
        <v>632.93999999999994</v>
      </c>
    </row>
    <row r="171" spans="1:13">
      <c r="A171" s="9" t="s">
        <v>585</v>
      </c>
      <c r="B171" s="658" t="s">
        <v>362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10">
        <v>544.1</v>
      </c>
      <c r="L171">
        <v>589.07999999999993</v>
      </c>
      <c r="M171" s="661">
        <v>561.9</v>
      </c>
    </row>
    <row r="172" spans="1:13">
      <c r="A172" s="9" t="s">
        <v>585</v>
      </c>
      <c r="B172" s="659" t="s">
        <v>373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10">
        <v>580.39</v>
      </c>
      <c r="L172">
        <v>610.34</v>
      </c>
      <c r="M172" s="417">
        <v>628.70000000000005</v>
      </c>
    </row>
    <row r="173" spans="1:13">
      <c r="A173" s="9" t="s">
        <v>585</v>
      </c>
      <c r="B173" s="658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10">
        <v>655.47</v>
      </c>
      <c r="L173">
        <v>654.13</v>
      </c>
      <c r="M173" s="417">
        <v>721.68</v>
      </c>
    </row>
    <row r="174" spans="1:13">
      <c r="A174" s="9" t="s">
        <v>585</v>
      </c>
      <c r="B174" s="659" t="s">
        <v>384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10">
        <v>523.83000000000004</v>
      </c>
      <c r="L174">
        <v>545.07000000000005</v>
      </c>
      <c r="M174" s="417">
        <v>563.88</v>
      </c>
    </row>
    <row r="175" spans="1:13">
      <c r="A175" s="9" t="s">
        <v>585</v>
      </c>
      <c r="B175" s="658" t="s">
        <v>391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10">
        <v>559.04</v>
      </c>
      <c r="L175">
        <v>605.22</v>
      </c>
      <c r="M175" s="417">
        <v>641.27</v>
      </c>
    </row>
    <row r="176" spans="1:13">
      <c r="A176" s="9" t="s">
        <v>585</v>
      </c>
      <c r="B176" s="659" t="s">
        <v>396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10">
        <v>562.51</v>
      </c>
      <c r="L176">
        <v>608.16999999999996</v>
      </c>
      <c r="M176" s="417">
        <v>651.74</v>
      </c>
    </row>
    <row r="177" spans="1:13">
      <c r="A177" s="9" t="s">
        <v>585</v>
      </c>
      <c r="B177" s="658" t="s">
        <v>402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10">
        <v>633.44000000000005</v>
      </c>
      <c r="L177">
        <v>707.06999999999994</v>
      </c>
      <c r="M177" s="417">
        <v>705.72</v>
      </c>
    </row>
    <row r="178" spans="1:13">
      <c r="A178" s="9" t="s">
        <v>585</v>
      </c>
      <c r="B178" s="659" t="s">
        <v>407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10">
        <v>419.84</v>
      </c>
      <c r="L178">
        <v>440.52000000000004</v>
      </c>
      <c r="M178" s="417">
        <v>466</v>
      </c>
    </row>
    <row r="179" spans="1:13">
      <c r="A179" s="9" t="s">
        <v>585</v>
      </c>
      <c r="B179" s="658" t="s">
        <v>412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10">
        <v>620.12</v>
      </c>
      <c r="L179">
        <v>691.03000000000009</v>
      </c>
      <c r="M179" s="417">
        <v>729.03</v>
      </c>
    </row>
    <row r="180" spans="1:13">
      <c r="A180" s="9" t="s">
        <v>585</v>
      </c>
      <c r="B180" s="659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10">
        <v>387.09</v>
      </c>
      <c r="L180">
        <v>395.17</v>
      </c>
      <c r="M180" s="417">
        <v>403.03</v>
      </c>
    </row>
    <row r="181" spans="1:13">
      <c r="A181" s="9" t="s">
        <v>585</v>
      </c>
      <c r="B181" s="658" t="s">
        <v>421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10">
        <v>468.2</v>
      </c>
      <c r="L181">
        <v>502.33000000000004</v>
      </c>
      <c r="M181" s="417">
        <v>550.72</v>
      </c>
    </row>
    <row r="182" spans="1:13">
      <c r="A182" s="9" t="s">
        <v>585</v>
      </c>
      <c r="B182" s="659" t="s">
        <v>428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10">
        <v>506.32999999999993</v>
      </c>
      <c r="L182">
        <v>538.1</v>
      </c>
      <c r="M182" s="417">
        <v>614.15</v>
      </c>
    </row>
    <row r="183" spans="1:13">
      <c r="A183" s="9" t="s">
        <v>585</v>
      </c>
      <c r="B183" s="658" t="s">
        <v>433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10">
        <v>592.26</v>
      </c>
      <c r="L183">
        <v>622.27</v>
      </c>
      <c r="M183" s="417">
        <v>648.42999999999995</v>
      </c>
    </row>
    <row r="184" spans="1:13">
      <c r="A184" s="9" t="s">
        <v>585</v>
      </c>
      <c r="B184" s="659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10">
        <v>514.23</v>
      </c>
      <c r="L184">
        <v>496.95</v>
      </c>
      <c r="M184" s="417">
        <v>539.69000000000005</v>
      </c>
    </row>
    <row r="185" spans="1:13">
      <c r="A185" s="9" t="s">
        <v>585</v>
      </c>
      <c r="B185" s="658" t="s">
        <v>438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10">
        <v>666.96</v>
      </c>
      <c r="L185">
        <v>631.15</v>
      </c>
      <c r="M185" s="417">
        <v>604.07000000000005</v>
      </c>
    </row>
    <row r="186" spans="1:13">
      <c r="A186" s="9" t="s">
        <v>585</v>
      </c>
      <c r="B186" s="659" t="s">
        <v>450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10">
        <v>616.19999999999993</v>
      </c>
      <c r="L186">
        <f>357.43+226.05</f>
        <v>583.48</v>
      </c>
      <c r="M186" s="417">
        <v>521.44999999999993</v>
      </c>
    </row>
    <row r="187" spans="1:13">
      <c r="A187" s="9" t="s">
        <v>585</v>
      </c>
      <c r="B187" s="658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10">
        <v>458.66</v>
      </c>
      <c r="L187">
        <v>484.06</v>
      </c>
      <c r="M187" s="417">
        <v>508.88999999999993</v>
      </c>
    </row>
    <row r="188" spans="1:13">
      <c r="A188" s="9" t="s">
        <v>585</v>
      </c>
      <c r="B188" s="659" t="s">
        <v>461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10">
        <v>503.84</v>
      </c>
      <c r="L188">
        <v>506.04</v>
      </c>
      <c r="M188" s="417">
        <v>514.01</v>
      </c>
    </row>
    <row r="189" spans="1:13">
      <c r="A189" s="9" t="s">
        <v>585</v>
      </c>
      <c r="B189" s="658" t="s">
        <v>466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10">
        <v>571.18000000000006</v>
      </c>
      <c r="L189">
        <f>279.82+218.08</f>
        <v>497.9</v>
      </c>
      <c r="M189" s="417">
        <v>458.09</v>
      </c>
    </row>
    <row r="190" spans="1:13">
      <c r="A190" s="9" t="s">
        <v>585</v>
      </c>
      <c r="B190" s="659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10">
        <v>592.31999999999994</v>
      </c>
      <c r="L190">
        <v>573.04999999999995</v>
      </c>
      <c r="M190" s="417">
        <v>611.82000000000005</v>
      </c>
    </row>
    <row r="191" spans="1:13">
      <c r="A191" s="9" t="s">
        <v>585</v>
      </c>
      <c r="B191" s="658" t="s">
        <v>477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10">
        <v>607.33000000000004</v>
      </c>
      <c r="L191">
        <v>642.19000000000005</v>
      </c>
      <c r="M191" s="417">
        <v>700.57</v>
      </c>
    </row>
    <row r="192" spans="1:13">
      <c r="A192" s="9" t="s">
        <v>585</v>
      </c>
      <c r="B192" s="659" t="s">
        <v>357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10">
        <v>469.96</v>
      </c>
      <c r="L192">
        <v>496.82</v>
      </c>
      <c r="M192" s="417">
        <v>587.54</v>
      </c>
    </row>
    <row r="193" spans="1:16">
      <c r="A193" s="9" t="s">
        <v>585</v>
      </c>
      <c r="B193" s="658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10">
        <v>884.76</v>
      </c>
      <c r="L193">
        <f>763.76+204.91</f>
        <v>968.67</v>
      </c>
      <c r="M193">
        <v>1025.47</v>
      </c>
    </row>
    <row r="194" spans="1:16">
      <c r="A194" s="9" t="s">
        <v>585</v>
      </c>
      <c r="B194" s="660" t="s">
        <v>372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10">
        <v>782.78000000000009</v>
      </c>
      <c r="L194">
        <f>513.49+240.36</f>
        <v>753.85</v>
      </c>
      <c r="M194" s="417">
        <v>761.28</v>
      </c>
    </row>
    <row r="195" spans="1:16">
      <c r="A195" s="9" t="s">
        <v>585</v>
      </c>
      <c r="B195" s="509" t="s">
        <v>367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10">
        <v>894.62</v>
      </c>
      <c r="L195">
        <f>765.89+213.34</f>
        <v>979.23</v>
      </c>
      <c r="M195">
        <v>1023.74</v>
      </c>
    </row>
    <row r="196" spans="1:16">
      <c r="A196" s="9" t="s">
        <v>585</v>
      </c>
      <c r="B196" s="509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10">
        <v>950.33</v>
      </c>
      <c r="L196">
        <v>1054.05</v>
      </c>
      <c r="M196">
        <v>1107.67</v>
      </c>
      <c r="N196" s="234"/>
    </row>
    <row r="197" spans="1:16">
      <c r="A197" s="9" t="s">
        <v>585</v>
      </c>
      <c r="B197" s="509" t="s">
        <v>390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10">
        <v>562.08000000000004</v>
      </c>
      <c r="L197">
        <v>611.43999999999994</v>
      </c>
      <c r="M197" s="417">
        <v>660.43</v>
      </c>
      <c r="N197" s="8"/>
    </row>
    <row r="198" spans="1:16">
      <c r="A198" s="9" t="s">
        <v>585</v>
      </c>
      <c r="B198" s="509" t="s">
        <v>494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10">
        <v>528.30999999999995</v>
      </c>
      <c r="L198">
        <v>564.45999999999992</v>
      </c>
      <c r="M198" s="417">
        <v>597.03</v>
      </c>
      <c r="N198" s="8"/>
    </row>
    <row r="199" spans="1:16">
      <c r="A199" s="9" t="s">
        <v>585</v>
      </c>
      <c r="B199" s="509" t="s">
        <v>291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10">
        <v>350.78999999999996</v>
      </c>
      <c r="L199">
        <v>369.5</v>
      </c>
      <c r="M199" s="417">
        <v>424.29</v>
      </c>
      <c r="N199" s="8"/>
    </row>
    <row r="200" spans="1:16">
      <c r="A200" s="9" t="s">
        <v>585</v>
      </c>
      <c r="B200" s="509" t="s">
        <v>510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10">
        <v>667.26</v>
      </c>
      <c r="L200">
        <v>648.54999999999995</v>
      </c>
      <c r="M200" s="417">
        <v>635.66</v>
      </c>
      <c r="N200" s="8"/>
    </row>
    <row r="201" spans="1:16">
      <c r="A201" s="9" t="s">
        <v>585</v>
      </c>
      <c r="B201" s="509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10">
        <v>374.59</v>
      </c>
      <c r="L201">
        <v>366.5</v>
      </c>
      <c r="M201" s="417">
        <v>409.78999999999996</v>
      </c>
      <c r="N201" s="8"/>
    </row>
    <row r="202" spans="1:16">
      <c r="A202" s="9" t="s">
        <v>585</v>
      </c>
      <c r="B202" s="509" t="s">
        <v>472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10">
        <v>564.18000000000006</v>
      </c>
      <c r="L202">
        <v>604.55000000000007</v>
      </c>
      <c r="M202" s="417">
        <v>472.58</v>
      </c>
      <c r="N202" s="8"/>
    </row>
    <row r="203" spans="1:16">
      <c r="A203" s="9" t="s">
        <v>585</v>
      </c>
      <c r="B203" s="509" t="s">
        <v>521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10">
        <v>386.85</v>
      </c>
      <c r="L203">
        <v>418.26000000000005</v>
      </c>
      <c r="M203" s="417">
        <v>463.75</v>
      </c>
      <c r="N203" s="8"/>
    </row>
    <row r="204" spans="1:16">
      <c r="A204" s="9" t="s">
        <v>585</v>
      </c>
      <c r="B204" s="509" t="s">
        <v>556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10">
        <v>559.9</v>
      </c>
      <c r="L204">
        <f>357.17+229.26</f>
        <v>586.43000000000006</v>
      </c>
      <c r="M204" s="417">
        <v>662.51</v>
      </c>
      <c r="N204" s="8"/>
    </row>
    <row r="205" spans="1:16">
      <c r="A205" s="9" t="s">
        <v>585</v>
      </c>
      <c r="B205" s="509" t="s">
        <v>615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10">
        <v>595.43999999999994</v>
      </c>
      <c r="L205">
        <f>413.48+197.81</f>
        <v>611.29</v>
      </c>
      <c r="M205" s="417">
        <v>640.98</v>
      </c>
    </row>
    <row r="206" spans="1:16">
      <c r="A206" s="9" t="s">
        <v>585</v>
      </c>
      <c r="B206" s="509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10">
        <v>735.09</v>
      </c>
      <c r="L206">
        <f>616.69+148.58</f>
        <v>765.2700000000001</v>
      </c>
      <c r="M206" s="417">
        <v>815.69</v>
      </c>
    </row>
    <row r="207" spans="1:16">
      <c r="A207" s="266" t="s">
        <v>585</v>
      </c>
      <c r="B207" s="806" t="s">
        <v>328</v>
      </c>
      <c r="C207" s="234"/>
      <c r="D207" s="234"/>
      <c r="E207" s="234"/>
      <c r="F207" s="234"/>
      <c r="G207" s="234"/>
      <c r="H207" s="234"/>
      <c r="K207" s="810">
        <v>470.82</v>
      </c>
      <c r="L207">
        <f>281.75+226.45</f>
        <v>508.2</v>
      </c>
      <c r="M207" s="417">
        <v>536.98</v>
      </c>
    </row>
    <row r="208" spans="1:16">
      <c r="A208" s="266" t="s">
        <v>585</v>
      </c>
      <c r="B208" s="806" t="s">
        <v>321</v>
      </c>
      <c r="C208" s="234"/>
      <c r="D208" s="234"/>
      <c r="E208" s="234"/>
      <c r="F208" s="234"/>
      <c r="G208" s="234"/>
      <c r="H208" s="234"/>
      <c r="K208" s="810"/>
      <c r="L208">
        <f>357.76+231.81</f>
        <v>589.56999999999994</v>
      </c>
      <c r="M208" s="417">
        <v>677.96999999999991</v>
      </c>
      <c r="O208" s="850" t="s">
        <v>616</v>
      </c>
      <c r="P208" s="851">
        <v>968.67</v>
      </c>
    </row>
    <row r="209" spans="1:50">
      <c r="A209" s="9" t="s">
        <v>27</v>
      </c>
      <c r="B209" s="487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10">
        <f>397.32+270.9</f>
        <v>668.22</v>
      </c>
      <c r="L209">
        <v>683.67</v>
      </c>
      <c r="M209" s="520">
        <v>714.43999999999994</v>
      </c>
      <c r="N209">
        <v>838.02</v>
      </c>
      <c r="O209" s="850" t="s">
        <v>617</v>
      </c>
      <c r="P209" s="851" t="e">
        <v>#N/A</v>
      </c>
    </row>
    <row r="210" spans="1:50">
      <c r="A210" s="9" t="s">
        <v>27</v>
      </c>
      <c r="B210" s="487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10">
        <v>469.78</v>
      </c>
      <c r="L210">
        <v>505.99000000000007</v>
      </c>
      <c r="M210" s="417">
        <v>532.24</v>
      </c>
      <c r="O210" s="850" t="s">
        <v>618</v>
      </c>
      <c r="P210" s="851" t="e">
        <v>#N/A</v>
      </c>
    </row>
    <row r="211" spans="1:50">
      <c r="A211" s="9" t="s">
        <v>27</v>
      </c>
      <c r="B211" s="487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7">
        <f>252.99+244.36</f>
        <v>497.35</v>
      </c>
      <c r="L211">
        <v>513.89</v>
      </c>
      <c r="M211" s="417">
        <v>572.45999999999992</v>
      </c>
      <c r="O211" s="850" t="s">
        <v>619</v>
      </c>
      <c r="P211" s="851" t="e">
        <v>#N/A</v>
      </c>
    </row>
    <row r="212" spans="1:50">
      <c r="A212" s="9" t="s">
        <v>27</v>
      </c>
      <c r="B212" s="487" t="s">
        <v>600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10">
        <v>517.61</v>
      </c>
      <c r="L212">
        <v>512.77</v>
      </c>
      <c r="M212" s="417">
        <v>558.81000000000006</v>
      </c>
      <c r="O212" s="850" t="s">
        <v>620</v>
      </c>
      <c r="P212" s="851" t="e">
        <v>#N/A</v>
      </c>
    </row>
    <row r="213" spans="1:50">
      <c r="A213" s="9" t="s">
        <v>27</v>
      </c>
      <c r="B213" s="487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10">
        <v>523.02</v>
      </c>
      <c r="L213">
        <v>550.20000000000005</v>
      </c>
      <c r="M213">
        <v>595.66</v>
      </c>
      <c r="N213">
        <v>678.65</v>
      </c>
      <c r="O213" s="850" t="s">
        <v>621</v>
      </c>
      <c r="P213" s="851" t="e">
        <v>#N/A</v>
      </c>
    </row>
    <row r="214" spans="1:50">
      <c r="A214" s="9" t="s">
        <v>27</v>
      </c>
      <c r="B214" s="487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10">
        <v>490.18</v>
      </c>
      <c r="L214">
        <v>533.54999999999995</v>
      </c>
      <c r="M214" s="417">
        <v>619.94000000000005</v>
      </c>
      <c r="O214" s="850" t="s">
        <v>622</v>
      </c>
      <c r="P214" s="851">
        <v>586.86</v>
      </c>
    </row>
    <row r="215" spans="1:50">
      <c r="A215" s="9" t="s">
        <v>27</v>
      </c>
      <c r="B215" s="487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10">
        <f>303.99+243.7</f>
        <v>547.69000000000005</v>
      </c>
      <c r="L215">
        <v>541.15</v>
      </c>
      <c r="M215" s="856">
        <v>564.97</v>
      </c>
      <c r="N215">
        <v>606.77</v>
      </c>
      <c r="O215" s="850" t="s">
        <v>623</v>
      </c>
      <c r="P215" s="851" t="e">
        <v>#N/A</v>
      </c>
    </row>
    <row r="216" spans="1:50">
      <c r="A216" s="9" t="s">
        <v>27</v>
      </c>
      <c r="B216" s="487" t="s">
        <v>286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61">
        <v>487.3</v>
      </c>
      <c r="J216">
        <f>241.74+319.79</f>
        <v>561.53</v>
      </c>
      <c r="K216" s="810">
        <v>525.73</v>
      </c>
      <c r="L216" s="661">
        <v>546.10945347732809</v>
      </c>
      <c r="M216" s="417">
        <v>635.92000000000007</v>
      </c>
      <c r="N216" s="848"/>
      <c r="O216" s="850" t="s">
        <v>624</v>
      </c>
      <c r="P216" s="851" t="e">
        <v>#N/A</v>
      </c>
    </row>
    <row r="217" spans="1:50">
      <c r="A217" s="9" t="s">
        <v>27</v>
      </c>
      <c r="B217" s="487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10">
        <v>531.87</v>
      </c>
      <c r="L217" s="661">
        <v>555.04999999999995</v>
      </c>
      <c r="M217" s="417">
        <v>622.58000000000004</v>
      </c>
      <c r="O217" s="850" t="s">
        <v>625</v>
      </c>
      <c r="P217" s="851" t="e">
        <v>#N/A</v>
      </c>
    </row>
    <row r="218" spans="1:50">
      <c r="A218" s="9" t="s">
        <v>27</v>
      </c>
      <c r="B218" s="487" t="s">
        <v>313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10">
        <v>515.59</v>
      </c>
      <c r="L218" s="661">
        <v>534.19000000000005</v>
      </c>
      <c r="M218" s="417">
        <v>594.49</v>
      </c>
      <c r="O218" s="850" t="s">
        <v>626</v>
      </c>
      <c r="P218" s="851" t="e">
        <v>#N/A</v>
      </c>
    </row>
    <row r="219" spans="1:50">
      <c r="A219" s="9" t="s">
        <v>27</v>
      </c>
      <c r="B219" s="487" t="s">
        <v>603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10">
        <v>530.72</v>
      </c>
      <c r="L219" s="661">
        <v>535.51</v>
      </c>
      <c r="M219" s="234">
        <v>580.43681504518099</v>
      </c>
      <c r="N219">
        <v>677.99</v>
      </c>
      <c r="O219" s="850" t="s">
        <v>627</v>
      </c>
      <c r="P219" s="851" t="e">
        <v>#N/A</v>
      </c>
    </row>
    <row r="220" spans="1:50">
      <c r="A220" s="9" t="s">
        <v>27</v>
      </c>
      <c r="B220" s="487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10">
        <v>560.27</v>
      </c>
      <c r="L220" s="661">
        <v>589.57000000000005</v>
      </c>
      <c r="M220" s="417">
        <v>643.09</v>
      </c>
      <c r="O220" s="850" t="s">
        <v>628</v>
      </c>
      <c r="P220" s="851" t="e">
        <v>#N/A</v>
      </c>
    </row>
    <row r="221" spans="1:50">
      <c r="A221" t="s">
        <v>27</v>
      </c>
      <c r="B221" s="481" t="s">
        <v>354</v>
      </c>
      <c r="J221">
        <v>547.6</v>
      </c>
      <c r="K221" s="810">
        <v>515.07000000000005</v>
      </c>
      <c r="L221">
        <v>548.96999999999991</v>
      </c>
      <c r="M221" s="417">
        <v>629.70000000000005</v>
      </c>
      <c r="O221" s="850" t="s">
        <v>629</v>
      </c>
      <c r="P221" s="851" t="e">
        <v>#N/A</v>
      </c>
    </row>
    <row r="222" spans="1:50">
      <c r="A222" t="s">
        <v>27</v>
      </c>
      <c r="B222" s="481" t="s">
        <v>609</v>
      </c>
      <c r="K222" s="810"/>
      <c r="L222">
        <v>571.71</v>
      </c>
      <c r="M222" s="417">
        <v>605.55000000000007</v>
      </c>
      <c r="O222" s="850" t="s">
        <v>630</v>
      </c>
      <c r="P222" s="865" t="e">
        <v>#N/A</v>
      </c>
      <c r="AS222" s="855"/>
      <c r="AX222" s="855"/>
    </row>
    <row r="223" spans="1:50">
      <c r="O223" s="850" t="s">
        <v>631</v>
      </c>
      <c r="P223" s="851" t="e">
        <v>#N/A</v>
      </c>
    </row>
    <row r="224" spans="1:50">
      <c r="O224" s="850" t="s">
        <v>632</v>
      </c>
      <c r="P224" s="851" t="e">
        <v>#N/A</v>
      </c>
    </row>
    <row r="225" spans="11:16">
      <c r="K225" s="851">
        <v>547.69000000000005</v>
      </c>
      <c r="O225" s="850" t="s">
        <v>633</v>
      </c>
      <c r="P225" s="851" t="e">
        <v>#N/A</v>
      </c>
    </row>
    <row r="226" spans="11:16">
      <c r="O226" s="850" t="s">
        <v>634</v>
      </c>
      <c r="P226" s="851" t="e">
        <v>#N/A</v>
      </c>
    </row>
    <row r="227" spans="11:16">
      <c r="O227" s="850" t="s">
        <v>635</v>
      </c>
      <c r="P227" s="852" t="e">
        <v>#N/A</v>
      </c>
    </row>
    <row r="228" spans="11:16">
      <c r="O228" s="850" t="s">
        <v>636</v>
      </c>
      <c r="P228" s="852" t="e">
        <v>#N/A</v>
      </c>
    </row>
    <row r="229" spans="11:16">
      <c r="O229" s="850" t="s">
        <v>637</v>
      </c>
      <c r="P229" s="852" t="e">
        <v>#N/A</v>
      </c>
    </row>
    <row r="230" spans="11:16">
      <c r="O230" s="850" t="s">
        <v>638</v>
      </c>
      <c r="P230" s="852" t="e">
        <v>#N/A</v>
      </c>
    </row>
    <row r="231" spans="11:16">
      <c r="O231" s="850" t="s">
        <v>639</v>
      </c>
      <c r="P231" s="852" t="e">
        <v>#N/A</v>
      </c>
    </row>
    <row r="232" spans="11:16">
      <c r="O232" s="850" t="s">
        <v>640</v>
      </c>
      <c r="P232" s="852" t="e">
        <v>#N/A</v>
      </c>
    </row>
    <row r="233" spans="11:16">
      <c r="O233" s="850" t="s">
        <v>641</v>
      </c>
      <c r="P233" s="852" t="e">
        <v>#N/A</v>
      </c>
    </row>
    <row r="234" spans="11:16">
      <c r="O234" s="850" t="s">
        <v>642</v>
      </c>
      <c r="P234" s="852" t="e">
        <v>#N/A</v>
      </c>
    </row>
    <row r="235" spans="11:16">
      <c r="O235" s="850" t="s">
        <v>643</v>
      </c>
      <c r="P235" s="852">
        <v>979.23</v>
      </c>
    </row>
    <row r="236" spans="11:16">
      <c r="O236" s="850" t="s">
        <v>644</v>
      </c>
      <c r="P236" s="852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H36" zoomScale="91" zoomScaleNormal="91" workbookViewId="0">
      <selection activeCell="K33" sqref="K33"/>
    </sheetView>
  </sheetViews>
  <sheetFormatPr defaultColWidth="9.140625" defaultRowHeight="15.75"/>
  <cols>
    <col min="1" max="1" width="2.5703125" style="381" customWidth="1"/>
    <col min="2" max="2" width="36.42578125" style="381" customWidth="1"/>
    <col min="3" max="3" width="23.85546875" style="381" customWidth="1"/>
    <col min="4" max="4" width="17.7109375" style="381" customWidth="1"/>
    <col min="5" max="5" width="3.42578125" style="381" customWidth="1"/>
    <col min="6" max="6" width="41.85546875" style="381" customWidth="1"/>
    <col min="7" max="7" width="28" style="546" customWidth="1"/>
    <col min="8" max="8" width="28" style="381" customWidth="1"/>
    <col min="9" max="9" width="14.85546875" style="381" customWidth="1"/>
    <col min="10" max="10" width="32.7109375" style="381" bestFit="1" customWidth="1"/>
    <col min="11" max="11" width="22" style="381" bestFit="1" customWidth="1"/>
    <col min="12" max="12" width="19.140625" style="381" customWidth="1"/>
    <col min="13" max="13" width="18.42578125" style="381" customWidth="1"/>
    <col min="14" max="14" width="37.85546875" style="381" customWidth="1"/>
    <col min="15" max="15" width="19.28515625" style="381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6" customWidth="1"/>
    <col min="67" max="67" width="12.42578125" style="486" customWidth="1"/>
    <col min="68" max="68" width="12" style="486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7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1"/>
  </cols>
  <sheetData>
    <row r="1" spans="1:84" ht="25.5">
      <c r="B1" s="1023" t="s">
        <v>2191</v>
      </c>
      <c r="C1" s="1024"/>
      <c r="D1" s="1024"/>
      <c r="M1" s="547"/>
      <c r="P1" s="888" t="str">
        <f>IF((VLOOKUP(LnkTXTSigla,Informacoes[],5,FALSE))="8.4","VERDADEIRO","FALSO")</f>
        <v>VERDADEIRO</v>
      </c>
      <c r="Q1" s="888" t="s">
        <v>645</v>
      </c>
      <c r="BA1" s="485"/>
      <c r="BB1" s="485"/>
      <c r="BC1" s="485"/>
      <c r="BD1" s="485"/>
    </row>
    <row r="2" spans="1:84" ht="25.5">
      <c r="B2" s="548" t="str">
        <f>CAPA!C9</f>
        <v>Cermissões</v>
      </c>
      <c r="C2" s="638"/>
      <c r="D2" s="549"/>
      <c r="E2" s="589" t="s">
        <v>646</v>
      </c>
      <c r="F2" s="589"/>
      <c r="G2" s="589"/>
      <c r="H2" s="616"/>
      <c r="M2" s="547"/>
      <c r="AK2" s="486"/>
      <c r="AZ2" s="1775" t="s">
        <v>647</v>
      </c>
      <c r="BA2" s="1776"/>
      <c r="BB2" s="1776"/>
      <c r="BC2" s="1776"/>
      <c r="BD2" s="1776"/>
      <c r="BE2" s="1776"/>
      <c r="BF2" s="1776"/>
      <c r="BG2" s="487"/>
      <c r="BM2" s="490"/>
      <c r="BW2" s="421"/>
      <c r="BX2" s="421"/>
      <c r="BY2" s="421"/>
      <c r="BZ2" s="421"/>
      <c r="CA2" s="421"/>
      <c r="CB2" s="421"/>
      <c r="CC2" s="421"/>
      <c r="CD2" s="421"/>
      <c r="CE2" s="421"/>
      <c r="CF2" s="517"/>
    </row>
    <row r="3" spans="1:84">
      <c r="C3" s="561"/>
      <c r="E3" s="584" t="s">
        <v>2165</v>
      </c>
      <c r="F3" s="584"/>
      <c r="G3" s="584"/>
      <c r="H3" s="537"/>
      <c r="M3" s="547"/>
      <c r="O3" s="381">
        <f>VALUE(RIGHT(P3,2))</f>
        <v>38</v>
      </c>
      <c r="P3" s="1025" t="str">
        <f>VLOOKUP($C$9,Informacoes[],4,FALSE)</f>
        <v>C38</v>
      </c>
      <c r="Q3" s="1025" t="str">
        <f>VLOOKUP($C$9,Informacoes[],2,FALSE)</f>
        <v>Cooperativa de Distribuição e Geração de Energia das Missões</v>
      </c>
      <c r="AH3" s="488"/>
      <c r="AI3" s="486"/>
      <c r="BA3" s="485"/>
      <c r="BB3" s="485"/>
      <c r="BC3" s="485"/>
      <c r="BD3" s="485"/>
      <c r="BM3" s="17"/>
      <c r="BQ3" s="489"/>
      <c r="BW3" s="421"/>
      <c r="BX3" s="421"/>
      <c r="BY3" s="421"/>
      <c r="BZ3" s="421"/>
      <c r="CA3" s="421"/>
      <c r="CB3" s="421"/>
      <c r="CC3" s="421"/>
      <c r="CD3" s="421"/>
      <c r="CE3" s="421"/>
      <c r="CF3" s="517"/>
    </row>
    <row r="4" spans="1:84">
      <c r="E4" s="774" t="s">
        <v>2166</v>
      </c>
      <c r="F4" s="774"/>
      <c r="G4" s="774"/>
      <c r="H4" s="801"/>
      <c r="I4" s="550"/>
      <c r="M4" s="547"/>
      <c r="AZ4" s="888"/>
      <c r="BA4" s="1026">
        <v>40940</v>
      </c>
      <c r="BB4" s="1026" t="s">
        <v>612</v>
      </c>
      <c r="BC4" s="1026">
        <v>41306</v>
      </c>
      <c r="BD4" s="1026">
        <v>41671</v>
      </c>
      <c r="BE4" s="1027">
        <v>42036</v>
      </c>
      <c r="BF4" s="1028">
        <v>42401</v>
      </c>
      <c r="BG4" s="1028">
        <v>42767</v>
      </c>
      <c r="BI4" s="1029"/>
      <c r="BJ4" s="1029"/>
      <c r="BK4" s="1029"/>
      <c r="BL4" s="1029"/>
      <c r="BM4" s="1030"/>
      <c r="BN4" s="1030"/>
      <c r="BO4" s="1030"/>
      <c r="BP4" s="1030"/>
      <c r="BQ4" s="1030"/>
      <c r="BR4" s="1030"/>
      <c r="BS4" s="1030"/>
      <c r="BT4" s="1030"/>
      <c r="BU4" s="1030"/>
      <c r="BV4" s="494"/>
      <c r="BW4" s="421"/>
      <c r="BX4" s="421"/>
      <c r="BY4" s="421"/>
      <c r="BZ4" s="421"/>
      <c r="CA4" s="421"/>
      <c r="CB4" s="421"/>
      <c r="CC4" s="421"/>
      <c r="CD4" s="421"/>
      <c r="CE4" s="421"/>
      <c r="CF4" s="421"/>
    </row>
    <row r="5" spans="1:84">
      <c r="E5" s="774" t="s">
        <v>648</v>
      </c>
      <c r="F5" s="774"/>
      <c r="G5" s="774"/>
      <c r="H5" s="774" t="s">
        <v>2311</v>
      </c>
      <c r="I5" s="550"/>
      <c r="M5" s="547"/>
      <c r="O5" s="9"/>
      <c r="R5" s="381"/>
      <c r="S5" s="381"/>
      <c r="T5" s="381"/>
      <c r="U5" s="381"/>
      <c r="V5" s="381"/>
      <c r="W5" s="381"/>
      <c r="X5" s="381"/>
      <c r="Y5" s="381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  <c r="AQ5" s="381"/>
      <c r="AR5" s="381"/>
      <c r="AS5" s="381"/>
      <c r="AT5" s="381"/>
      <c r="AU5" s="381"/>
      <c r="AV5" s="381"/>
      <c r="AW5" s="381"/>
      <c r="AX5" s="381"/>
      <c r="AY5" s="381"/>
      <c r="AZ5" s="381"/>
      <c r="BA5" s="381"/>
      <c r="BB5" s="381"/>
      <c r="BC5" s="381"/>
      <c r="BD5" s="381"/>
      <c r="BE5" s="381"/>
      <c r="BF5" s="381"/>
      <c r="BG5" s="381"/>
      <c r="BH5" s="381"/>
      <c r="BI5" s="381"/>
      <c r="BJ5" s="381"/>
      <c r="BK5" s="381"/>
      <c r="BL5" s="381"/>
      <c r="BM5" s="381"/>
      <c r="BN5" s="381"/>
      <c r="BO5" s="381"/>
      <c r="BP5" s="381"/>
      <c r="BQ5" s="381"/>
      <c r="BR5" s="381"/>
      <c r="BS5" s="381"/>
      <c r="BT5" s="381"/>
      <c r="BU5" s="381"/>
      <c r="BV5" s="381"/>
      <c r="BW5" s="381"/>
      <c r="BX5" s="381"/>
      <c r="BY5" s="381"/>
      <c r="BZ5" s="381"/>
      <c r="CA5" s="381"/>
      <c r="CB5" s="381"/>
      <c r="CC5" s="381"/>
      <c r="CD5" s="381"/>
      <c r="CE5" s="381"/>
      <c r="CF5" s="381"/>
    </row>
    <row r="6" spans="1:84" ht="17.25" customHeight="1" thickBot="1">
      <c r="F6" s="551"/>
      <c r="I6" s="550"/>
      <c r="N6" s="552"/>
      <c r="O6" s="9"/>
      <c r="R6" s="381"/>
      <c r="S6" s="381"/>
      <c r="T6" s="381"/>
      <c r="U6" s="381"/>
      <c r="V6" s="381"/>
      <c r="W6" s="381"/>
      <c r="X6" s="381"/>
      <c r="Y6" s="381"/>
      <c r="Z6" s="381"/>
      <c r="AA6" s="381"/>
      <c r="AB6" s="381"/>
      <c r="AC6" s="381"/>
      <c r="AD6" s="381"/>
      <c r="AE6" s="381"/>
      <c r="AF6" s="381"/>
      <c r="AG6" s="381"/>
      <c r="AH6" s="381"/>
      <c r="AI6" s="381"/>
      <c r="AJ6" s="381"/>
      <c r="AK6" s="381"/>
      <c r="AL6" s="381"/>
      <c r="AM6" s="381"/>
      <c r="AN6" s="381"/>
      <c r="AO6" s="381"/>
      <c r="AP6" s="381"/>
      <c r="AQ6" s="381"/>
      <c r="AR6" s="381"/>
      <c r="AS6" s="381"/>
      <c r="AT6" s="381"/>
      <c r="AU6" s="381"/>
      <c r="AV6" s="381"/>
      <c r="AW6" s="381"/>
      <c r="AX6" s="381"/>
      <c r="AY6" s="381"/>
      <c r="AZ6" s="381"/>
      <c r="BA6" s="381"/>
      <c r="BB6" s="381"/>
      <c r="BC6" s="381"/>
      <c r="BD6" s="381"/>
      <c r="BE6" s="381"/>
      <c r="BF6" s="381"/>
      <c r="BG6" s="381"/>
      <c r="BH6" s="381"/>
      <c r="BI6" s="381"/>
      <c r="BJ6" s="381"/>
      <c r="BK6" s="381"/>
      <c r="BL6" s="381"/>
      <c r="BM6" s="381"/>
      <c r="BN6" s="381"/>
      <c r="BO6" s="381"/>
      <c r="BP6" s="381"/>
      <c r="BQ6" s="381"/>
      <c r="BR6" s="381"/>
      <c r="BS6" s="381"/>
      <c r="BT6" s="381"/>
      <c r="BU6" s="381"/>
      <c r="BV6" s="381"/>
      <c r="BW6" s="381"/>
      <c r="BX6" s="381"/>
      <c r="BY6" s="381"/>
      <c r="BZ6" s="381"/>
      <c r="CA6" s="381"/>
      <c r="CB6" s="381"/>
      <c r="CC6" s="381"/>
      <c r="CD6" s="381"/>
      <c r="CE6" s="381"/>
      <c r="CF6" s="381"/>
    </row>
    <row r="7" spans="1:84" ht="26.25" thickBot="1">
      <c r="A7" s="553"/>
      <c r="B7" s="543" t="s">
        <v>649</v>
      </c>
      <c r="C7" s="554"/>
      <c r="D7" s="554"/>
      <c r="E7" s="555"/>
      <c r="F7" s="555"/>
      <c r="G7" s="555"/>
      <c r="H7" s="535"/>
      <c r="I7" s="536"/>
      <c r="J7" s="555"/>
      <c r="K7" s="556"/>
      <c r="L7" s="557"/>
      <c r="M7" s="558"/>
      <c r="N7" s="559"/>
      <c r="O7" s="9"/>
      <c r="Q7" s="538"/>
      <c r="R7" s="381"/>
      <c r="S7" s="381"/>
      <c r="T7" s="381"/>
      <c r="U7" s="381"/>
      <c r="V7" s="381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1"/>
      <c r="BD7" s="381"/>
      <c r="BE7" s="381"/>
      <c r="BF7" s="381"/>
      <c r="BG7" s="381"/>
      <c r="BH7" s="381"/>
      <c r="BI7" s="381"/>
      <c r="BJ7" s="381"/>
      <c r="BK7" s="381"/>
      <c r="BL7" s="381"/>
      <c r="BM7" s="381"/>
      <c r="BN7" s="381"/>
      <c r="BO7" s="381"/>
      <c r="BP7" s="381"/>
      <c r="BQ7" s="381"/>
      <c r="BR7" s="381"/>
      <c r="BS7" s="381"/>
      <c r="BT7" s="381"/>
      <c r="BU7" s="381"/>
      <c r="BV7" s="381"/>
      <c r="BW7" s="381"/>
      <c r="BX7" s="381"/>
      <c r="BY7" s="381"/>
      <c r="BZ7" s="381"/>
      <c r="CA7" s="381"/>
      <c r="CB7" s="381"/>
      <c r="CC7" s="381"/>
      <c r="CD7" s="381"/>
      <c r="CE7" s="381"/>
      <c r="CF7" s="381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52"/>
      <c r="O8" s="9"/>
      <c r="P8" s="275"/>
      <c r="Q8" s="783"/>
      <c r="R8" s="381"/>
      <c r="S8" s="381"/>
      <c r="T8" s="381"/>
      <c r="U8" s="381"/>
      <c r="V8" s="381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  <c r="AQ8" s="381"/>
      <c r="AR8" s="381"/>
      <c r="AS8" s="381"/>
      <c r="AT8" s="381"/>
      <c r="AU8" s="381"/>
      <c r="AV8" s="381"/>
      <c r="AW8" s="381"/>
      <c r="AX8" s="381"/>
      <c r="AY8" s="381"/>
      <c r="AZ8" s="381"/>
      <c r="BA8" s="381"/>
      <c r="BB8" s="381"/>
      <c r="BC8" s="381"/>
      <c r="BD8" s="381"/>
      <c r="BE8" s="381"/>
      <c r="BF8" s="381"/>
      <c r="BG8" s="381"/>
      <c r="BH8" s="381"/>
      <c r="BI8" s="381"/>
      <c r="BJ8" s="381"/>
      <c r="BK8" s="381"/>
      <c r="BL8" s="381"/>
      <c r="BM8" s="381"/>
      <c r="BN8" s="381"/>
      <c r="BO8" s="381"/>
      <c r="BP8" s="381"/>
      <c r="BQ8" s="381"/>
      <c r="BR8" s="381"/>
      <c r="BS8" s="381"/>
      <c r="BT8" s="381"/>
      <c r="BU8" s="381"/>
      <c r="BV8" s="381"/>
      <c r="BW8" s="381"/>
      <c r="BX8" s="381"/>
      <c r="BY8" s="381"/>
      <c r="BZ8" s="381"/>
      <c r="CA8" s="381"/>
      <c r="CB8" s="381"/>
      <c r="CC8" s="381"/>
      <c r="CD8" s="381"/>
      <c r="CE8" s="381"/>
      <c r="CF8" s="381"/>
    </row>
    <row r="9" spans="1:84" ht="16.5">
      <c r="B9" s="602" t="s">
        <v>114</v>
      </c>
      <c r="C9" s="1031" t="s">
        <v>438</v>
      </c>
      <c r="D9" s="9"/>
      <c r="E9" s="1777" t="s">
        <v>650</v>
      </c>
      <c r="F9" s="1778"/>
      <c r="G9" s="1778"/>
      <c r="H9" s="1778"/>
      <c r="I9" s="607"/>
      <c r="J9" s="493" t="s">
        <v>651</v>
      </c>
      <c r="K9" s="9"/>
      <c r="L9" s="9"/>
      <c r="M9" s="560"/>
      <c r="N9" s="552"/>
      <c r="O9" s="9"/>
      <c r="R9" s="381"/>
      <c r="S9" s="381"/>
      <c r="T9" s="381"/>
      <c r="U9" s="381"/>
      <c r="V9" s="381"/>
      <c r="W9" s="381"/>
      <c r="X9" s="381"/>
      <c r="Y9" s="381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  <c r="AQ9" s="381"/>
      <c r="AR9" s="381"/>
      <c r="AS9" s="381"/>
      <c r="AT9" s="381"/>
      <c r="AU9" s="381"/>
      <c r="AV9" s="381"/>
      <c r="AW9" s="381"/>
      <c r="AX9" s="381"/>
      <c r="AY9" s="381"/>
      <c r="AZ9" s="381"/>
      <c r="BA9" s="381"/>
      <c r="BB9" s="381"/>
      <c r="BC9" s="381"/>
      <c r="BD9" s="381"/>
      <c r="BE9" s="381"/>
      <c r="BF9" s="381"/>
      <c r="BG9" s="381"/>
      <c r="BH9" s="381"/>
      <c r="BI9" s="381"/>
      <c r="BJ9" s="381"/>
      <c r="BK9" s="381"/>
      <c r="BL9" s="381"/>
      <c r="BM9" s="381"/>
      <c r="BN9" s="381"/>
      <c r="BO9" s="381"/>
      <c r="BP9" s="381"/>
      <c r="BQ9" s="381"/>
      <c r="BR9" s="381"/>
      <c r="BS9" s="381"/>
      <c r="BT9" s="381"/>
      <c r="BU9" s="381"/>
      <c r="BV9" s="381"/>
      <c r="BW9" s="381"/>
      <c r="BX9" s="381"/>
      <c r="BY9" s="381"/>
      <c r="BZ9" s="381"/>
      <c r="CA9" s="381"/>
      <c r="CB9" s="381"/>
      <c r="CC9" s="381"/>
      <c r="CD9" s="381"/>
      <c r="CE9" s="381"/>
      <c r="CF9" s="381"/>
    </row>
    <row r="10" spans="1:84" ht="16.5" customHeight="1">
      <c r="B10" s="1032" t="s">
        <v>652</v>
      </c>
      <c r="C10" s="1033" t="str">
        <f>IF(C9="Cercos","N/NE","S/SE/CO")</f>
        <v>S/SE/CO</v>
      </c>
      <c r="D10" s="9"/>
      <c r="E10" s="611"/>
      <c r="F10" s="612" t="s">
        <v>653</v>
      </c>
      <c r="G10" s="613">
        <v>44749.438263888886</v>
      </c>
      <c r="H10" s="1034"/>
      <c r="I10" s="608"/>
      <c r="J10" s="773" t="s">
        <v>654</v>
      </c>
      <c r="K10" s="1035">
        <f>IFERROR(O3+200,0)</f>
        <v>238</v>
      </c>
      <c r="L10" s="597"/>
      <c r="M10" s="560"/>
      <c r="N10" s="552"/>
      <c r="O10" s="9"/>
      <c r="P10" s="9" t="s">
        <v>2310</v>
      </c>
      <c r="Q10" s="538"/>
      <c r="R10" s="381"/>
      <c r="S10" s="381"/>
      <c r="T10" s="381"/>
      <c r="U10" s="381"/>
      <c r="V10" s="381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  <c r="AQ10" s="381"/>
      <c r="AR10" s="381"/>
      <c r="AS10" s="381"/>
      <c r="AT10" s="381"/>
      <c r="AU10" s="381"/>
      <c r="AV10" s="381"/>
      <c r="AW10" s="381"/>
      <c r="AX10" s="381"/>
      <c r="AY10" s="381"/>
      <c r="AZ10" s="381"/>
      <c r="BA10" s="381"/>
      <c r="BB10" s="381"/>
      <c r="BC10" s="381"/>
      <c r="BD10" s="381"/>
      <c r="BE10" s="381"/>
      <c r="BF10" s="381"/>
      <c r="BG10" s="381"/>
      <c r="BH10" s="381"/>
      <c r="BI10" s="381"/>
      <c r="BJ10" s="381"/>
      <c r="BK10" s="381"/>
      <c r="BL10" s="381"/>
      <c r="BM10" s="381"/>
      <c r="BN10" s="381"/>
      <c r="BO10" s="381"/>
      <c r="BP10" s="381"/>
      <c r="BQ10" s="381"/>
      <c r="BR10" s="381"/>
      <c r="BS10" s="381"/>
      <c r="BT10" s="381"/>
      <c r="BU10" s="381"/>
      <c r="BV10" s="381"/>
      <c r="BW10" s="381"/>
      <c r="BX10" s="381"/>
      <c r="BY10" s="381"/>
      <c r="BZ10" s="381"/>
      <c r="CA10" s="381"/>
      <c r="CB10" s="381"/>
      <c r="CC10" s="381"/>
      <c r="CD10" s="381"/>
      <c r="CE10" s="381"/>
      <c r="CF10" s="381"/>
    </row>
    <row r="11" spans="1:84" ht="16.5">
      <c r="B11" s="9"/>
      <c r="C11" s="9"/>
      <c r="D11" s="9"/>
      <c r="E11" s="611"/>
      <c r="F11" s="612" t="s">
        <v>655</v>
      </c>
      <c r="G11" s="613">
        <v>44750.473252314812</v>
      </c>
      <c r="H11" s="609"/>
      <c r="I11" s="610"/>
      <c r="J11" s="584" t="s">
        <v>656</v>
      </c>
      <c r="K11" s="615">
        <v>2381</v>
      </c>
      <c r="L11" s="597"/>
      <c r="M11" s="560"/>
      <c r="N11" s="552"/>
      <c r="O11" s="9"/>
      <c r="P11" s="275">
        <v>238</v>
      </c>
      <c r="Q11" s="783">
        <v>5939</v>
      </c>
      <c r="R11" s="381"/>
      <c r="S11" s="381"/>
      <c r="T11" s="381"/>
      <c r="U11" s="381"/>
      <c r="V11" s="381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  <c r="AQ11" s="381"/>
      <c r="AR11" s="381"/>
      <c r="AS11" s="381"/>
      <c r="AT11" s="381"/>
      <c r="AU11" s="381"/>
      <c r="AV11" s="381"/>
      <c r="AW11" s="381"/>
      <c r="AX11" s="381"/>
      <c r="AY11" s="381"/>
      <c r="AZ11" s="381"/>
      <c r="BA11" s="381"/>
      <c r="BB11" s="381"/>
      <c r="BC11" s="381"/>
      <c r="BD11" s="381"/>
      <c r="BE11" s="381"/>
      <c r="BF11" s="381"/>
      <c r="BG11" s="381"/>
      <c r="BH11" s="381"/>
      <c r="BI11" s="381"/>
      <c r="BJ11" s="381"/>
      <c r="BK11" s="381"/>
      <c r="BL11" s="381"/>
      <c r="BM11" s="381"/>
      <c r="BN11" s="381"/>
      <c r="BO11" s="381"/>
      <c r="BP11" s="381"/>
      <c r="BQ11" s="381"/>
      <c r="BR11" s="381"/>
      <c r="BS11" s="381"/>
      <c r="BT11" s="381"/>
      <c r="BU11" s="381"/>
      <c r="BV11" s="381"/>
      <c r="BW11" s="381"/>
      <c r="BX11" s="381"/>
      <c r="BY11" s="381"/>
      <c r="BZ11" s="381"/>
      <c r="CA11" s="381"/>
      <c r="CB11" s="381"/>
      <c r="CC11" s="381"/>
      <c r="CD11" s="381"/>
      <c r="CE11" s="381"/>
      <c r="CF11" s="381"/>
    </row>
    <row r="12" spans="1:84" ht="16.5">
      <c r="A12" s="561"/>
      <c r="B12" s="493" t="s">
        <v>657</v>
      </c>
      <c r="C12" s="9"/>
      <c r="D12" s="9"/>
      <c r="E12" s="611"/>
      <c r="F12" s="612" t="s">
        <v>825</v>
      </c>
      <c r="G12" s="613">
        <v>44749.440000000002</v>
      </c>
      <c r="H12" s="609"/>
      <c r="I12" s="610"/>
      <c r="J12" s="774" t="s">
        <v>658</v>
      </c>
      <c r="K12" s="784">
        <f>IF(idsreag=P11,Q11,idagente)</f>
        <v>5939</v>
      </c>
      <c r="L12" s="597"/>
      <c r="M12" s="560"/>
      <c r="N12" s="552"/>
      <c r="O12" s="9"/>
      <c r="Q12" s="538"/>
      <c r="R12" s="381"/>
      <c r="S12" s="381"/>
      <c r="T12" s="381"/>
      <c r="U12" s="381"/>
      <c r="V12" s="381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  <c r="AQ12" s="381"/>
      <c r="AR12" s="381"/>
      <c r="AS12" s="381"/>
      <c r="AT12" s="381"/>
      <c r="AU12" s="381"/>
      <c r="AV12" s="381"/>
      <c r="AW12" s="381"/>
      <c r="AX12" s="381"/>
      <c r="AY12" s="381"/>
      <c r="AZ12" s="381"/>
      <c r="BA12" s="381"/>
      <c r="BB12" s="381"/>
      <c r="BC12" s="381"/>
      <c r="BD12" s="381"/>
      <c r="BE12" s="381"/>
      <c r="BF12" s="381"/>
      <c r="BG12" s="381"/>
      <c r="BH12" s="381"/>
      <c r="BI12" s="381"/>
      <c r="BJ12" s="381"/>
      <c r="BK12" s="381"/>
      <c r="BL12" s="381"/>
      <c r="BM12" s="381"/>
      <c r="BN12" s="381"/>
      <c r="BO12" s="381"/>
      <c r="BP12" s="381"/>
      <c r="BQ12" s="381"/>
      <c r="BR12" s="381"/>
      <c r="BS12" s="381"/>
      <c r="BT12" s="381"/>
      <c r="BU12" s="381"/>
      <c r="BV12" s="381"/>
      <c r="BW12" s="381"/>
      <c r="BX12" s="381"/>
      <c r="BY12" s="381"/>
      <c r="BZ12" s="381"/>
      <c r="CA12" s="381"/>
      <c r="CB12" s="381"/>
      <c r="CC12" s="381"/>
      <c r="CD12" s="381"/>
      <c r="CE12" s="381"/>
      <c r="CF12" s="381"/>
    </row>
    <row r="13" spans="1:84">
      <c r="A13" s="561"/>
      <c r="B13" s="602" t="s">
        <v>659</v>
      </c>
      <c r="C13" s="1036">
        <f ca="1">YEAR(TODAY())</f>
        <v>2022</v>
      </c>
      <c r="D13" s="266"/>
      <c r="E13" s="611"/>
      <c r="F13" s="612" t="s">
        <v>660</v>
      </c>
      <c r="G13" s="613">
        <v>44761.687094907407</v>
      </c>
      <c r="H13" s="609"/>
      <c r="I13" s="9"/>
      <c r="J13" s="493" t="s">
        <v>661</v>
      </c>
      <c r="K13" s="9"/>
      <c r="L13" s="597"/>
      <c r="M13" s="562"/>
      <c r="O13" s="9"/>
      <c r="R13" s="381"/>
      <c r="S13" s="381"/>
      <c r="T13" s="381"/>
      <c r="U13" s="381"/>
      <c r="V13" s="381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  <c r="AQ13" s="381"/>
      <c r="AR13" s="381"/>
      <c r="AS13" s="381"/>
      <c r="AT13" s="381"/>
      <c r="AU13" s="381"/>
      <c r="AV13" s="381"/>
      <c r="AW13" s="381"/>
      <c r="AX13" s="381"/>
      <c r="AY13" s="381"/>
      <c r="AZ13" s="381"/>
      <c r="BA13" s="381"/>
      <c r="BB13" s="381"/>
      <c r="BC13" s="381"/>
      <c r="BD13" s="381"/>
      <c r="BE13" s="381"/>
      <c r="BF13" s="381"/>
      <c r="BG13" s="381"/>
      <c r="BH13" s="381"/>
      <c r="BI13" s="381"/>
      <c r="BJ13" s="381"/>
      <c r="BK13" s="381"/>
      <c r="BL13" s="381"/>
      <c r="BM13" s="381"/>
      <c r="BN13" s="381"/>
      <c r="BO13" s="381"/>
      <c r="BP13" s="381"/>
      <c r="BQ13" s="381"/>
      <c r="BR13" s="381"/>
      <c r="BS13" s="381"/>
      <c r="BT13" s="381"/>
      <c r="BU13" s="381"/>
      <c r="BV13" s="381"/>
      <c r="BW13" s="381"/>
      <c r="BX13" s="381"/>
      <c r="BY13" s="381"/>
      <c r="BZ13" s="381"/>
      <c r="CA13" s="381"/>
      <c r="CB13" s="381"/>
      <c r="CC13" s="381"/>
      <c r="CD13" s="381"/>
      <c r="CE13" s="381"/>
      <c r="CF13" s="381"/>
    </row>
    <row r="14" spans="1:84">
      <c r="B14" s="603" t="s">
        <v>662</v>
      </c>
      <c r="C14" s="604">
        <v>44407</v>
      </c>
      <c r="D14" s="266"/>
      <c r="E14" s="611"/>
      <c r="F14" s="612" t="s">
        <v>663</v>
      </c>
      <c r="G14" s="613">
        <v>44761.687361111108</v>
      </c>
      <c r="H14" s="609"/>
      <c r="I14" s="9"/>
      <c r="J14" s="773" t="s">
        <v>664</v>
      </c>
      <c r="K14" s="1035">
        <f>VLOOKUP(SAS_RA0_DataFim,Índices!$B$7:$F$500,2,FALSE)</f>
        <v>1190.8820000000001</v>
      </c>
      <c r="L14" s="597"/>
      <c r="M14" s="562"/>
      <c r="O14" s="9"/>
      <c r="R14" s="381"/>
      <c r="S14" s="381"/>
      <c r="T14" s="381"/>
      <c r="U14" s="381"/>
      <c r="V14" s="381"/>
      <c r="W14" s="381"/>
      <c r="X14" s="381"/>
      <c r="Y14" s="381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  <c r="AQ14" s="381"/>
      <c r="AR14" s="381"/>
      <c r="AS14" s="381"/>
      <c r="AT14" s="381"/>
      <c r="AU14" s="381"/>
      <c r="AV14" s="381"/>
      <c r="AW14" s="381"/>
      <c r="AX14" s="381"/>
      <c r="AY14" s="381"/>
      <c r="AZ14" s="381"/>
      <c r="BA14" s="381"/>
      <c r="BB14" s="381"/>
      <c r="BC14" s="381"/>
      <c r="BD14" s="381"/>
      <c r="BE14" s="381"/>
      <c r="BF14" s="381"/>
      <c r="BG14" s="381"/>
      <c r="BH14" s="381"/>
      <c r="BI14" s="381"/>
      <c r="BJ14" s="381"/>
      <c r="BK14" s="381"/>
      <c r="BL14" s="381"/>
      <c r="BM14" s="381"/>
      <c r="BN14" s="381"/>
      <c r="BO14" s="381"/>
      <c r="BP14" s="381"/>
      <c r="BQ14" s="381"/>
      <c r="BR14" s="381"/>
      <c r="BS14" s="381"/>
      <c r="BT14" s="381"/>
      <c r="BU14" s="381"/>
      <c r="BV14" s="381"/>
      <c r="BW14" s="381"/>
      <c r="BX14" s="381"/>
      <c r="BY14" s="381"/>
      <c r="BZ14" s="381"/>
      <c r="CA14" s="381"/>
      <c r="CB14" s="381"/>
      <c r="CC14" s="381"/>
      <c r="CD14" s="381"/>
      <c r="CE14" s="381"/>
      <c r="CF14" s="381"/>
    </row>
    <row r="15" spans="1:84">
      <c r="B15" s="603" t="s">
        <v>665</v>
      </c>
      <c r="C15" s="605">
        <v>44772</v>
      </c>
      <c r="D15" s="266"/>
      <c r="E15" s="611"/>
      <c r="F15" s="612" t="s">
        <v>666</v>
      </c>
      <c r="G15" s="613">
        <v>44754.644675925927</v>
      </c>
      <c r="H15" s="614"/>
      <c r="I15" s="9"/>
      <c r="J15" s="584" t="s">
        <v>667</v>
      </c>
      <c r="K15" s="615">
        <f>VLOOKUP(SAS_RA0_DataFim,Índices!$B$7:$F$500,3,FALSE)</f>
        <v>6455.85</v>
      </c>
      <c r="L15" s="597"/>
      <c r="M15" s="562"/>
      <c r="O15" s="9"/>
      <c r="R15" s="381"/>
      <c r="S15" s="381"/>
      <c r="T15" s="381"/>
      <c r="U15" s="381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  <c r="AQ15" s="381"/>
      <c r="AR15" s="381"/>
      <c r="AS15" s="381"/>
      <c r="AT15" s="381"/>
      <c r="AU15" s="381"/>
      <c r="AV15" s="381"/>
      <c r="AW15" s="381"/>
      <c r="AX15" s="381"/>
      <c r="AY15" s="381"/>
      <c r="AZ15" s="381"/>
      <c r="BA15" s="381"/>
      <c r="BB15" s="381"/>
      <c r="BC15" s="381"/>
      <c r="BD15" s="381"/>
      <c r="BE15" s="381"/>
      <c r="BF15" s="381"/>
      <c r="BG15" s="381"/>
      <c r="BH15" s="381"/>
      <c r="BI15" s="381"/>
      <c r="BJ15" s="381"/>
      <c r="BK15" s="381"/>
      <c r="BL15" s="381"/>
      <c r="BM15" s="381"/>
      <c r="BN15" s="381"/>
      <c r="BO15" s="381"/>
      <c r="BP15" s="381"/>
      <c r="BQ15" s="381"/>
      <c r="BR15" s="381"/>
      <c r="BS15" s="381"/>
      <c r="BT15" s="381"/>
      <c r="BU15" s="381"/>
      <c r="BV15" s="381"/>
      <c r="BW15" s="381"/>
      <c r="BX15" s="381"/>
      <c r="BY15" s="381"/>
      <c r="BZ15" s="381"/>
      <c r="CA15" s="381"/>
      <c r="CB15" s="381"/>
      <c r="CC15" s="381"/>
      <c r="CD15" s="381"/>
      <c r="CE15" s="381"/>
      <c r="CF15" s="381"/>
    </row>
    <row r="16" spans="1:84">
      <c r="B16" s="603" t="s">
        <v>225</v>
      </c>
      <c r="C16" s="606">
        <f>DATE(YEAR(C14),MONTH(C14),1)</f>
        <v>44378</v>
      </c>
      <c r="D16" s="266"/>
      <c r="E16" s="611"/>
      <c r="F16" s="612" t="s">
        <v>668</v>
      </c>
      <c r="G16" s="613">
        <v>44760.681400462963</v>
      </c>
      <c r="H16" s="1037"/>
      <c r="I16" s="9"/>
      <c r="J16" s="584" t="s">
        <v>669</v>
      </c>
      <c r="K16" s="591">
        <f>K14/VLOOKUP(DATE(YEAR(SAS_RA0_DataInicio),MONTH(SAS_RA0_DataInicio)-1,DAY(SAS_RA0_DataInicio)),Índices!$B$7:$F$500,2,FALSE)-1</f>
        <v>0.10704236088323049</v>
      </c>
      <c r="L16" s="597"/>
      <c r="M16" s="562"/>
      <c r="O16" s="9"/>
      <c r="Q16" s="538"/>
      <c r="R16" s="381"/>
      <c r="S16" s="381"/>
      <c r="T16" s="381"/>
      <c r="U16" s="381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  <c r="AQ16" s="381"/>
      <c r="AR16" s="381"/>
      <c r="AS16" s="381"/>
      <c r="AT16" s="381"/>
      <c r="AU16" s="381"/>
      <c r="AV16" s="381"/>
      <c r="AW16" s="381"/>
      <c r="AX16" s="381"/>
      <c r="AY16" s="381"/>
      <c r="AZ16" s="381"/>
      <c r="BA16" s="381"/>
      <c r="BB16" s="381"/>
      <c r="BC16" s="381"/>
      <c r="BD16" s="381"/>
      <c r="BE16" s="381"/>
      <c r="BF16" s="381"/>
      <c r="BG16" s="381"/>
      <c r="BH16" s="381"/>
      <c r="BI16" s="381"/>
      <c r="BJ16" s="381"/>
      <c r="BK16" s="381"/>
      <c r="BL16" s="381"/>
      <c r="BM16" s="381"/>
      <c r="BN16" s="381"/>
      <c r="BO16" s="381"/>
      <c r="BP16" s="381"/>
      <c r="BQ16" s="381"/>
      <c r="BR16" s="381"/>
      <c r="BS16" s="381"/>
      <c r="BT16" s="381"/>
      <c r="BU16" s="381"/>
      <c r="BV16" s="381"/>
      <c r="BW16" s="381"/>
      <c r="BX16" s="381"/>
      <c r="BY16" s="381"/>
      <c r="BZ16" s="381"/>
      <c r="CA16" s="381"/>
      <c r="CB16" s="381"/>
      <c r="CC16" s="381"/>
      <c r="CD16" s="381"/>
      <c r="CE16" s="381"/>
      <c r="CF16" s="381"/>
    </row>
    <row r="17" spans="1:84">
      <c r="B17" s="603" t="s">
        <v>227</v>
      </c>
      <c r="C17" s="606">
        <f>DATE(YEAR(C15),MONTH(C15)-1,1)</f>
        <v>44713</v>
      </c>
      <c r="D17" s="266"/>
      <c r="E17" s="611"/>
      <c r="F17" s="612" t="s">
        <v>670</v>
      </c>
      <c r="G17" s="613">
        <v>44756.446620370371</v>
      </c>
      <c r="H17" s="9"/>
      <c r="I17" s="375"/>
      <c r="J17" s="584" t="s">
        <v>671</v>
      </c>
      <c r="K17" s="1038">
        <f>K15/VLOOKUP(DATE(YEAR(SAS_RA0_DataInicio),MONTH(SAS_RA0_DataInicio)-1,DAY(SAS_RA0_DataInicio)),Índices!$B$7:$F$500,3,FALSE)-1</f>
        <v>0.11886869625198027</v>
      </c>
      <c r="L17" s="9"/>
      <c r="M17" s="562"/>
      <c r="O17" s="9"/>
      <c r="Q17" s="538"/>
      <c r="R17" s="381"/>
      <c r="S17" s="381"/>
      <c r="T17" s="381"/>
      <c r="U17" s="381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  <c r="BK17" s="381"/>
      <c r="BL17" s="381"/>
      <c r="BM17" s="381"/>
      <c r="BN17" s="381"/>
      <c r="BO17" s="381"/>
      <c r="BP17" s="381"/>
      <c r="BQ17" s="381"/>
      <c r="BR17" s="381"/>
      <c r="BS17" s="381"/>
      <c r="BT17" s="381"/>
      <c r="BU17" s="381"/>
      <c r="BV17" s="381"/>
      <c r="BW17" s="381"/>
      <c r="BX17" s="381"/>
      <c r="BY17" s="381"/>
      <c r="BZ17" s="381"/>
      <c r="CA17" s="381"/>
      <c r="CB17" s="381"/>
      <c r="CC17" s="381"/>
      <c r="CD17" s="381"/>
      <c r="CE17" s="381"/>
      <c r="CF17" s="381"/>
    </row>
    <row r="18" spans="1:84">
      <c r="B18" s="603" t="s">
        <v>672</v>
      </c>
      <c r="C18" s="849" t="str">
        <f ca="1">C110</f>
        <v>REAJUSTE</v>
      </c>
      <c r="D18" s="266"/>
      <c r="E18" s="611"/>
      <c r="F18" s="612" t="s">
        <v>2308</v>
      </c>
      <c r="G18" s="613">
        <v>44762.689675925925</v>
      </c>
      <c r="I18" s="375"/>
      <c r="J18" s="589" t="s">
        <v>673</v>
      </c>
      <c r="K18" s="594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2"/>
      <c r="N18" s="9"/>
      <c r="O18" s="9"/>
      <c r="Q18" s="538"/>
      <c r="R18" s="381"/>
      <c r="S18" s="381"/>
      <c r="T18" s="381"/>
      <c r="U18" s="381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  <c r="AQ18" s="381"/>
      <c r="AR18" s="381"/>
      <c r="AS18" s="381"/>
      <c r="AT18" s="381"/>
      <c r="AU18" s="381"/>
      <c r="AV18" s="381"/>
      <c r="AW18" s="381"/>
      <c r="AX18" s="381"/>
      <c r="AY18" s="381"/>
      <c r="AZ18" s="381"/>
      <c r="BA18" s="381"/>
      <c r="BB18" s="381"/>
      <c r="BC18" s="381"/>
      <c r="BD18" s="381"/>
      <c r="BE18" s="381"/>
      <c r="BF18" s="381"/>
      <c r="BG18" s="381"/>
      <c r="BH18" s="381"/>
      <c r="BI18" s="381"/>
      <c r="BJ18" s="381"/>
      <c r="BK18" s="381"/>
      <c r="BL18" s="381"/>
      <c r="BM18" s="381"/>
      <c r="BN18" s="381"/>
      <c r="BO18" s="381"/>
      <c r="BP18" s="381"/>
      <c r="BQ18" s="381"/>
      <c r="BR18" s="381"/>
      <c r="BS18" s="381"/>
      <c r="BT18" s="381"/>
      <c r="BU18" s="381"/>
      <c r="BV18" s="381"/>
      <c r="BW18" s="381"/>
      <c r="BX18" s="381"/>
      <c r="BY18" s="381"/>
      <c r="BZ18" s="381"/>
      <c r="CA18" s="381"/>
      <c r="CB18" s="381"/>
      <c r="CC18" s="381"/>
      <c r="CD18" s="381"/>
      <c r="CE18" s="381"/>
      <c r="CF18" s="381"/>
    </row>
    <row r="19" spans="1:84">
      <c r="D19" s="9"/>
      <c r="I19" s="375"/>
      <c r="J19" s="275"/>
      <c r="K19" s="591"/>
      <c r="L19" s="17"/>
      <c r="M19" s="562"/>
      <c r="N19" s="9"/>
      <c r="O19" s="9"/>
      <c r="Q19" s="538"/>
      <c r="R19" s="381"/>
      <c r="S19" s="381"/>
      <c r="T19" s="381"/>
      <c r="U19" s="381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  <c r="BK19" s="381"/>
      <c r="BL19" s="381"/>
      <c r="BM19" s="381"/>
      <c r="BN19" s="381"/>
      <c r="BO19" s="381"/>
      <c r="BP19" s="381"/>
      <c r="BQ19" s="381"/>
      <c r="BR19" s="381"/>
      <c r="BS19" s="381"/>
      <c r="BT19" s="381"/>
      <c r="BU19" s="381"/>
      <c r="BV19" s="381"/>
      <c r="BW19" s="381"/>
      <c r="BX19" s="381"/>
      <c r="BY19" s="381"/>
      <c r="BZ19" s="381"/>
      <c r="CA19" s="381"/>
      <c r="CB19" s="381"/>
      <c r="CC19" s="381"/>
      <c r="CD19" s="381"/>
      <c r="CE19" s="381"/>
      <c r="CF19" s="381"/>
    </row>
    <row r="20" spans="1:84">
      <c r="D20" s="9"/>
      <c r="I20" s="375"/>
      <c r="J20" s="275"/>
      <c r="K20" s="783"/>
      <c r="L20" s="17"/>
      <c r="M20" s="562"/>
      <c r="N20" s="9"/>
      <c r="O20" s="9"/>
      <c r="Q20" s="538"/>
      <c r="R20" s="381"/>
      <c r="S20" s="381"/>
      <c r="T20" s="381"/>
      <c r="U20" s="381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81"/>
      <c r="AU20" s="381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  <c r="BK20" s="381"/>
      <c r="BL20" s="381"/>
      <c r="BM20" s="381"/>
      <c r="BN20" s="381"/>
      <c r="BO20" s="381"/>
      <c r="BP20" s="381"/>
      <c r="BQ20" s="381"/>
      <c r="BR20" s="381"/>
      <c r="BS20" s="381"/>
      <c r="BT20" s="381"/>
      <c r="BU20" s="381"/>
      <c r="BV20" s="381"/>
      <c r="BW20" s="381"/>
      <c r="BX20" s="381"/>
      <c r="BY20" s="381"/>
      <c r="BZ20" s="381"/>
      <c r="CA20" s="381"/>
      <c r="CB20" s="381"/>
      <c r="CC20" s="381"/>
      <c r="CD20" s="381"/>
      <c r="CE20" s="381"/>
      <c r="CF20" s="381"/>
    </row>
    <row r="21" spans="1:84">
      <c r="D21" s="9"/>
      <c r="I21" s="375"/>
      <c r="J21" s="275"/>
      <c r="K21" s="591"/>
      <c r="L21" s="17"/>
      <c r="M21" s="562"/>
      <c r="N21" s="9"/>
      <c r="O21" s="9"/>
      <c r="Q21" s="538"/>
      <c r="R21" s="381"/>
      <c r="S21" s="381"/>
      <c r="T21" s="381"/>
      <c r="U21" s="381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81"/>
      <c r="AV21" s="381"/>
      <c r="AW21" s="381"/>
      <c r="AX21" s="381"/>
      <c r="AY21" s="381"/>
      <c r="AZ21" s="381"/>
      <c r="BA21" s="381"/>
      <c r="BB21" s="381"/>
      <c r="BC21" s="381"/>
      <c r="BD21" s="381"/>
      <c r="BE21" s="381"/>
      <c r="BF21" s="381"/>
      <c r="BG21" s="381"/>
      <c r="BH21" s="381"/>
      <c r="BI21" s="381"/>
      <c r="BJ21" s="381"/>
      <c r="BK21" s="381"/>
      <c r="BL21" s="381"/>
      <c r="BM21" s="381"/>
      <c r="BN21" s="381"/>
      <c r="BO21" s="381"/>
      <c r="BP21" s="381"/>
      <c r="BQ21" s="381"/>
      <c r="BR21" s="381"/>
      <c r="BS21" s="381"/>
      <c r="BT21" s="381"/>
      <c r="BU21" s="381"/>
      <c r="BV21" s="381"/>
      <c r="BW21" s="381"/>
      <c r="BX21" s="381"/>
      <c r="BY21" s="381"/>
      <c r="BZ21" s="381"/>
      <c r="CA21" s="381"/>
      <c r="CB21" s="381"/>
      <c r="CC21" s="381"/>
      <c r="CD21" s="381"/>
      <c r="CE21" s="381"/>
      <c r="CF21" s="381"/>
    </row>
    <row r="22" spans="1:84" ht="16.5" thickBot="1">
      <c r="E22" s="49"/>
      <c r="F22" s="49"/>
      <c r="G22" s="49"/>
      <c r="H22" s="534"/>
      <c r="I22" s="375"/>
      <c r="J22" s="49"/>
      <c r="K22" s="563"/>
      <c r="L22" s="564"/>
      <c r="M22" s="562"/>
      <c r="N22" s="9"/>
      <c r="O22" s="9"/>
      <c r="Q22" s="538"/>
      <c r="R22" s="381"/>
      <c r="S22" s="381"/>
      <c r="T22" s="381"/>
      <c r="U22" s="381"/>
      <c r="V22" s="381"/>
      <c r="W22" s="381"/>
      <c r="X22" s="381"/>
      <c r="Y22" s="381"/>
      <c r="Z22" s="381"/>
      <c r="AA22" s="381"/>
      <c r="AB22" s="381"/>
      <c r="AC22" s="381"/>
      <c r="AD22" s="381"/>
      <c r="AE22" s="381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  <c r="BK22" s="381"/>
      <c r="BL22" s="381"/>
      <c r="BM22" s="381"/>
      <c r="BN22" s="381"/>
      <c r="BO22" s="381"/>
      <c r="BP22" s="381"/>
      <c r="BQ22" s="381"/>
      <c r="BR22" s="381"/>
      <c r="BS22" s="381"/>
      <c r="BT22" s="381"/>
      <c r="BU22" s="381"/>
      <c r="BV22" s="381"/>
      <c r="BW22" s="381"/>
      <c r="BX22" s="381"/>
      <c r="BY22" s="381"/>
      <c r="BZ22" s="381"/>
      <c r="CA22" s="381"/>
      <c r="CB22" s="381"/>
      <c r="CC22" s="381"/>
      <c r="CD22" s="381"/>
      <c r="CE22" s="381"/>
      <c r="CF22" s="381"/>
    </row>
    <row r="23" spans="1:84" ht="26.25" thickBot="1">
      <c r="A23" s="553"/>
      <c r="B23" s="543" t="s">
        <v>674</v>
      </c>
      <c r="C23" s="554"/>
      <c r="D23" s="554"/>
      <c r="E23" s="555"/>
      <c r="F23" s="555"/>
      <c r="G23" s="555"/>
      <c r="H23" s="535"/>
      <c r="I23" s="536"/>
      <c r="J23" s="555"/>
      <c r="K23" s="556"/>
      <c r="L23" s="557"/>
      <c r="M23" s="558"/>
      <c r="N23" s="9"/>
      <c r="O23" s="9"/>
      <c r="Q23" s="538"/>
      <c r="R23" s="381"/>
      <c r="S23" s="381"/>
      <c r="T23" s="381"/>
      <c r="U23" s="381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  <c r="BK23" s="381"/>
      <c r="BL23" s="381"/>
      <c r="BM23" s="381"/>
      <c r="BN23" s="381"/>
      <c r="BO23" s="381"/>
      <c r="BP23" s="381"/>
      <c r="BQ23" s="381"/>
      <c r="BR23" s="381"/>
      <c r="BS23" s="381"/>
      <c r="BT23" s="381"/>
      <c r="BU23" s="381"/>
      <c r="BV23" s="381"/>
      <c r="BW23" s="381"/>
      <c r="BX23" s="381"/>
      <c r="BY23" s="381"/>
      <c r="BZ23" s="381"/>
      <c r="CA23" s="381"/>
      <c r="CB23" s="381"/>
      <c r="CC23" s="381"/>
      <c r="CD23" s="381"/>
      <c r="CE23" s="381"/>
      <c r="CF23" s="381"/>
    </row>
    <row r="24" spans="1:84">
      <c r="E24" s="49"/>
      <c r="F24" s="49"/>
      <c r="G24" s="49"/>
      <c r="H24" s="534"/>
      <c r="I24" s="375"/>
      <c r="J24" s="49"/>
      <c r="K24" s="563"/>
      <c r="L24" s="564"/>
      <c r="M24" s="629"/>
      <c r="N24" s="571"/>
      <c r="O24" s="9"/>
      <c r="Q24" s="538"/>
      <c r="R24" s="381"/>
      <c r="S24" s="381"/>
      <c r="T24" s="381"/>
      <c r="U24" s="381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  <c r="BK24" s="381"/>
      <c r="BL24" s="381"/>
      <c r="BM24" s="381"/>
      <c r="BN24" s="381"/>
      <c r="BO24" s="381"/>
      <c r="BP24" s="381"/>
      <c r="BQ24" s="381"/>
      <c r="BR24" s="381"/>
      <c r="BS24" s="381"/>
      <c r="BT24" s="381"/>
      <c r="BU24" s="381"/>
      <c r="BV24" s="381"/>
      <c r="BW24" s="381"/>
      <c r="BX24" s="381"/>
      <c r="BY24" s="381"/>
      <c r="BZ24" s="381"/>
      <c r="CA24" s="381"/>
      <c r="CB24" s="381"/>
      <c r="CC24" s="381"/>
      <c r="CD24" s="381"/>
      <c r="CE24" s="381"/>
      <c r="CF24" s="381"/>
    </row>
    <row r="25" spans="1:84">
      <c r="D25" s="565"/>
      <c r="F25" s="566"/>
      <c r="G25" s="567"/>
      <c r="L25" s="564"/>
      <c r="M25" s="562"/>
      <c r="N25" s="571"/>
      <c r="O25" s="9"/>
      <c r="Q25" s="538"/>
      <c r="R25" s="381"/>
      <c r="S25" s="381"/>
      <c r="T25" s="381"/>
      <c r="U25" s="381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381"/>
      <c r="AH25" s="381"/>
      <c r="AI25" s="381"/>
      <c r="AJ25" s="381"/>
      <c r="AK25" s="381"/>
      <c r="AL25" s="381"/>
      <c r="AM25" s="381"/>
      <c r="AN25" s="381"/>
      <c r="AO25" s="381"/>
      <c r="AP25" s="381"/>
      <c r="AQ25" s="381"/>
      <c r="AR25" s="381"/>
      <c r="AS25" s="381"/>
      <c r="AT25" s="381"/>
      <c r="AU25" s="381"/>
      <c r="AV25" s="381"/>
      <c r="AW25" s="381"/>
      <c r="AX25" s="381"/>
      <c r="AY25" s="381"/>
      <c r="AZ25" s="381"/>
      <c r="BA25" s="381"/>
      <c r="BB25" s="381"/>
      <c r="BC25" s="381"/>
      <c r="BD25" s="381"/>
      <c r="BE25" s="381"/>
      <c r="BF25" s="381"/>
      <c r="BG25" s="381"/>
      <c r="BH25" s="381"/>
      <c r="BI25" s="381"/>
      <c r="BJ25" s="381"/>
      <c r="BK25" s="381"/>
      <c r="BL25" s="381"/>
      <c r="BM25" s="381"/>
      <c r="BN25" s="381"/>
      <c r="BO25" s="381"/>
      <c r="BP25" s="381"/>
      <c r="BQ25" s="381"/>
      <c r="BR25" s="381"/>
      <c r="BS25" s="381"/>
      <c r="BT25" s="381"/>
      <c r="BU25" s="381"/>
      <c r="BV25" s="381"/>
      <c r="BW25" s="381"/>
      <c r="BX25" s="381"/>
      <c r="BY25" s="381"/>
      <c r="BZ25" s="381"/>
      <c r="CA25" s="381"/>
      <c r="CB25" s="381"/>
      <c r="CC25" s="381"/>
      <c r="CD25" s="381"/>
      <c r="CE25" s="381"/>
      <c r="CF25" s="381"/>
    </row>
    <row r="26" spans="1:84" ht="18">
      <c r="B26" s="742" t="s">
        <v>675</v>
      </c>
      <c r="C26" s="596"/>
      <c r="D26" s="1039"/>
      <c r="E26" s="1040"/>
      <c r="F26" s="1041"/>
      <c r="G26" s="1042"/>
      <c r="H26" s="1039"/>
      <c r="I26" s="1039"/>
      <c r="J26" s="1039"/>
      <c r="K26" s="1043"/>
      <c r="L26" s="1044"/>
      <c r="M26" s="562"/>
      <c r="N26" s="571"/>
      <c r="O26" s="9"/>
      <c r="Q26" s="538"/>
      <c r="R26" s="381"/>
      <c r="S26" s="381"/>
      <c r="T26" s="381"/>
      <c r="U26" s="381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381"/>
      <c r="AH26" s="381"/>
      <c r="AI26" s="381"/>
      <c r="AJ26" s="381"/>
      <c r="AK26" s="381"/>
      <c r="AL26" s="381"/>
      <c r="AM26" s="381"/>
      <c r="AN26" s="381"/>
      <c r="AO26" s="381"/>
      <c r="AP26" s="381"/>
      <c r="AQ26" s="381"/>
      <c r="AR26" s="381"/>
      <c r="AS26" s="381"/>
      <c r="AT26" s="381"/>
      <c r="AU26" s="381"/>
      <c r="AV26" s="381"/>
      <c r="AW26" s="381"/>
      <c r="AX26" s="381"/>
      <c r="AY26" s="381"/>
      <c r="AZ26" s="381"/>
      <c r="BA26" s="381"/>
      <c r="BB26" s="381"/>
      <c r="BC26" s="381"/>
      <c r="BD26" s="381"/>
      <c r="BE26" s="381"/>
      <c r="BF26" s="381"/>
      <c r="BG26" s="381"/>
      <c r="BH26" s="381"/>
      <c r="BI26" s="381"/>
      <c r="BJ26" s="381"/>
      <c r="BK26" s="381"/>
      <c r="BL26" s="381"/>
      <c r="BM26" s="381"/>
      <c r="BN26" s="381"/>
      <c r="BO26" s="381"/>
      <c r="BP26" s="381"/>
      <c r="BQ26" s="381"/>
      <c r="BR26" s="381"/>
      <c r="BS26" s="381"/>
      <c r="BT26" s="381"/>
      <c r="BU26" s="381"/>
      <c r="BV26" s="381"/>
      <c r="BW26" s="381"/>
      <c r="BX26" s="381"/>
      <c r="BY26" s="381"/>
      <c r="BZ26" s="381"/>
      <c r="CA26" s="381"/>
      <c r="CB26" s="381"/>
      <c r="CC26" s="381"/>
      <c r="CD26" s="381"/>
      <c r="CE26" s="381"/>
      <c r="CF26" s="381"/>
    </row>
    <row r="27" spans="1:84">
      <c r="L27" s="564"/>
      <c r="M27" s="562"/>
      <c r="N27" s="571"/>
      <c r="O27" s="9"/>
      <c r="R27" s="381"/>
      <c r="S27" s="381"/>
      <c r="T27" s="381"/>
      <c r="U27" s="381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381"/>
      <c r="AH27" s="381"/>
      <c r="AI27" s="381"/>
      <c r="AJ27" s="381"/>
      <c r="AK27" s="381"/>
      <c r="AL27" s="381"/>
      <c r="AM27" s="381"/>
      <c r="AN27" s="381"/>
      <c r="AO27" s="381"/>
      <c r="AP27" s="381"/>
      <c r="AQ27" s="381"/>
      <c r="AR27" s="381"/>
      <c r="AS27" s="381"/>
      <c r="AT27" s="381"/>
      <c r="AU27" s="381"/>
      <c r="AV27" s="381"/>
      <c r="AW27" s="381"/>
      <c r="AX27" s="381"/>
      <c r="AY27" s="381"/>
      <c r="AZ27" s="381"/>
      <c r="BA27" s="381"/>
      <c r="BB27" s="381"/>
      <c r="BC27" s="381"/>
      <c r="BD27" s="381"/>
      <c r="BE27" s="381"/>
      <c r="BF27" s="381"/>
      <c r="BG27" s="381"/>
      <c r="BH27" s="381"/>
      <c r="BI27" s="381"/>
      <c r="BJ27" s="381"/>
      <c r="BK27" s="381"/>
      <c r="BL27" s="381"/>
      <c r="BM27" s="381"/>
      <c r="BN27" s="381"/>
      <c r="BO27" s="381"/>
      <c r="BP27" s="381"/>
      <c r="BQ27" s="381"/>
      <c r="BR27" s="381"/>
      <c r="BS27" s="381"/>
      <c r="BT27" s="381"/>
      <c r="BU27" s="381"/>
      <c r="BV27" s="381"/>
      <c r="BW27" s="381"/>
      <c r="BX27" s="381"/>
      <c r="BY27" s="381"/>
      <c r="BZ27" s="381"/>
      <c r="CA27" s="381"/>
      <c r="CB27" s="381"/>
      <c r="CC27" s="381"/>
      <c r="CD27" s="381"/>
      <c r="CE27" s="381"/>
      <c r="CF27" s="381"/>
    </row>
    <row r="28" spans="1:84">
      <c r="B28" s="589" t="s">
        <v>676</v>
      </c>
      <c r="C28" s="1766" t="s">
        <v>2340</v>
      </c>
      <c r="D28" s="1766"/>
      <c r="E28" s="9"/>
      <c r="F28" s="595" t="s">
        <v>677</v>
      </c>
      <c r="G28" s="596"/>
      <c r="H28" s="596"/>
      <c r="I28" s="9"/>
      <c r="J28" s="595" t="s">
        <v>678</v>
      </c>
      <c r="K28" s="596"/>
      <c r="L28" s="17"/>
      <c r="M28" s="562"/>
      <c r="N28" s="571"/>
      <c r="O28" s="9"/>
      <c r="R28" s="381"/>
      <c r="S28" s="381"/>
      <c r="T28" s="381"/>
      <c r="U28" s="381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1"/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1"/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1"/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1"/>
      <c r="BX28" s="381"/>
      <c r="BY28" s="381"/>
      <c r="BZ28" s="381"/>
      <c r="CA28" s="381"/>
      <c r="CB28" s="381"/>
      <c r="CC28" s="381"/>
      <c r="CD28" s="381"/>
      <c r="CE28" s="381"/>
      <c r="CF28" s="381"/>
    </row>
    <row r="29" spans="1:84">
      <c r="B29" s="9"/>
      <c r="C29" s="9"/>
      <c r="D29" s="9"/>
      <c r="E29" s="9"/>
      <c r="F29" s="773" t="s">
        <v>679</v>
      </c>
      <c r="G29" s="773"/>
      <c r="H29" s="1045">
        <v>0.12509999999999999</v>
      </c>
      <c r="I29" s="9"/>
      <c r="J29" s="773" t="s">
        <v>680</v>
      </c>
      <c r="K29" s="1046">
        <f>BD!C26</f>
        <v>46430708.479999997</v>
      </c>
      <c r="L29" s="17"/>
      <c r="M29" s="562"/>
      <c r="N29" s="571"/>
      <c r="O29" s="9"/>
      <c r="R29" s="381"/>
      <c r="S29" s="381"/>
      <c r="T29" s="381"/>
      <c r="U29" s="381"/>
      <c r="V29" s="381"/>
      <c r="W29" s="381"/>
      <c r="X29" s="381"/>
      <c r="Y29" s="381"/>
      <c r="Z29" s="381"/>
      <c r="AA29" s="381"/>
      <c r="AB29" s="381"/>
      <c r="AC29" s="381"/>
      <c r="AD29" s="381"/>
      <c r="AE29" s="381"/>
      <c r="AF29" s="381"/>
      <c r="AG29" s="381"/>
      <c r="AH29" s="381"/>
      <c r="AI29" s="381"/>
      <c r="AJ29" s="381"/>
      <c r="AK29" s="381"/>
      <c r="AL29" s="381"/>
      <c r="AM29" s="381"/>
      <c r="AN29" s="381"/>
      <c r="AO29" s="381"/>
      <c r="AP29" s="381"/>
      <c r="AQ29" s="381"/>
      <c r="AR29" s="381"/>
      <c r="AS29" s="381"/>
      <c r="AT29" s="381"/>
      <c r="AU29" s="381"/>
      <c r="AV29" s="381"/>
      <c r="AW29" s="381"/>
      <c r="AX29" s="381"/>
      <c r="AY29" s="381"/>
      <c r="AZ29" s="381"/>
      <c r="BA29" s="381"/>
      <c r="BB29" s="381"/>
      <c r="BC29" s="381"/>
      <c r="BD29" s="381"/>
      <c r="BE29" s="381"/>
      <c r="BF29" s="381"/>
      <c r="BG29" s="381"/>
      <c r="BH29" s="381"/>
      <c r="BI29" s="381"/>
      <c r="BJ29" s="381"/>
      <c r="BK29" s="381"/>
      <c r="BL29" s="381"/>
      <c r="BM29" s="381"/>
      <c r="BN29" s="381"/>
      <c r="BO29" s="381"/>
      <c r="BP29" s="381"/>
      <c r="BQ29" s="381"/>
      <c r="BR29" s="381"/>
      <c r="BS29" s="381"/>
      <c r="BT29" s="381"/>
      <c r="BU29" s="381"/>
      <c r="BV29" s="381"/>
      <c r="BW29" s="381"/>
      <c r="BX29" s="381"/>
      <c r="BY29" s="381"/>
      <c r="BZ29" s="381"/>
      <c r="CA29" s="381"/>
      <c r="CB29" s="381"/>
      <c r="CC29" s="381"/>
      <c r="CD29" s="381"/>
      <c r="CE29" s="381"/>
      <c r="CF29" s="381"/>
    </row>
    <row r="30" spans="1:84">
      <c r="B30" s="493" t="s">
        <v>109</v>
      </c>
      <c r="C30" s="9"/>
      <c r="D30" s="9"/>
      <c r="E30" s="9"/>
      <c r="F30" s="774" t="s">
        <v>681</v>
      </c>
      <c r="G30" s="774"/>
      <c r="H30" s="1047"/>
      <c r="I30" s="9"/>
      <c r="J30" s="584" t="s">
        <v>682</v>
      </c>
      <c r="K30" s="598">
        <f>IFERROR(VLOOKUP(LnkTXTSigla,Informacoes[],17,FALSE)*(1+K18),0)</f>
        <v>60335559.834578</v>
      </c>
      <c r="L30" s="17"/>
      <c r="M30" s="562"/>
      <c r="O30" s="57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  <c r="AB30" s="381"/>
      <c r="AC30" s="381"/>
      <c r="AD30" s="381"/>
      <c r="AE30" s="381"/>
      <c r="AF30" s="381"/>
      <c r="AG30" s="381"/>
      <c r="AH30" s="381"/>
      <c r="AI30" s="381"/>
      <c r="AJ30" s="381"/>
      <c r="AK30" s="381"/>
      <c r="AL30" s="381"/>
      <c r="AM30" s="381"/>
      <c r="AN30" s="381"/>
      <c r="AO30" s="381"/>
      <c r="AP30" s="381"/>
      <c r="AQ30" s="381"/>
      <c r="AR30" s="381"/>
      <c r="AS30" s="381"/>
      <c r="AT30" s="381"/>
      <c r="AU30" s="381"/>
      <c r="AV30" s="381"/>
      <c r="AW30" s="381"/>
      <c r="AX30" s="381"/>
      <c r="AY30" s="381"/>
      <c r="AZ30" s="381"/>
      <c r="BA30" s="381"/>
      <c r="BB30" s="381"/>
      <c r="BC30" s="381"/>
      <c r="BD30" s="381"/>
      <c r="BE30" s="381"/>
      <c r="BF30" s="381"/>
      <c r="BG30" s="381"/>
      <c r="BH30" s="381"/>
      <c r="BI30" s="381"/>
      <c r="BJ30" s="381"/>
      <c r="BK30" s="381"/>
      <c r="BL30" s="381"/>
      <c r="BM30" s="381"/>
      <c r="BN30" s="381"/>
      <c r="BO30" s="381"/>
      <c r="BP30" s="381"/>
      <c r="BQ30" s="381"/>
      <c r="BR30" s="381"/>
      <c r="BS30" s="381"/>
      <c r="BT30" s="381"/>
      <c r="BU30" s="381"/>
      <c r="BV30" s="381"/>
      <c r="BW30" s="381"/>
      <c r="BX30" s="381"/>
      <c r="BY30" s="381"/>
      <c r="BZ30" s="381"/>
      <c r="CA30" s="381"/>
      <c r="CB30" s="381"/>
      <c r="CC30" s="381"/>
      <c r="CD30" s="381"/>
      <c r="CE30" s="381"/>
      <c r="CF30" s="381"/>
    </row>
    <row r="31" spans="1:84">
      <c r="B31" s="1771" t="s">
        <v>683</v>
      </c>
      <c r="C31" s="1771"/>
      <c r="D31" s="805"/>
      <c r="E31" s="9"/>
      <c r="F31" s="1048"/>
      <c r="G31" s="1048"/>
      <c r="H31" s="1049"/>
      <c r="I31" s="9"/>
      <c r="J31" s="774" t="s">
        <v>684</v>
      </c>
      <c r="K31" s="1050">
        <f>D32+D33+D34</f>
        <v>60335559.840000004</v>
      </c>
      <c r="L31" s="17" t="s">
        <v>685</v>
      </c>
      <c r="M31" s="562" t="s">
        <v>686</v>
      </c>
      <c r="O31" s="571"/>
      <c r="R31" s="381"/>
      <c r="S31" s="381"/>
      <c r="T31" s="381"/>
      <c r="U31" s="381"/>
      <c r="V31" s="381"/>
      <c r="W31" s="381"/>
      <c r="X31" s="381"/>
      <c r="Y31" s="381"/>
      <c r="Z31" s="381"/>
      <c r="AA31" s="381"/>
      <c r="AB31" s="381"/>
      <c r="AC31" s="381"/>
      <c r="AD31" s="381"/>
      <c r="AE31" s="381"/>
      <c r="AF31" s="381"/>
      <c r="AG31" s="381"/>
      <c r="AH31" s="381"/>
      <c r="AI31" s="381"/>
      <c r="AJ31" s="381"/>
      <c r="AK31" s="381"/>
      <c r="AL31" s="381"/>
      <c r="AM31" s="381"/>
      <c r="AN31" s="381"/>
      <c r="AO31" s="381"/>
      <c r="AP31" s="381"/>
      <c r="AQ31" s="381"/>
      <c r="AR31" s="381"/>
      <c r="AS31" s="381"/>
      <c r="AT31" s="381"/>
      <c r="AU31" s="381"/>
      <c r="AV31" s="381"/>
      <c r="AW31" s="381"/>
      <c r="AX31" s="381"/>
      <c r="AY31" s="381"/>
      <c r="AZ31" s="381"/>
      <c r="BA31" s="381"/>
      <c r="BB31" s="381"/>
      <c r="BC31" s="381"/>
      <c r="BD31" s="381"/>
      <c r="BE31" s="381"/>
      <c r="BF31" s="381"/>
      <c r="BG31" s="381"/>
      <c r="BH31" s="381"/>
      <c r="BI31" s="381"/>
      <c r="BJ31" s="381"/>
      <c r="BK31" s="381"/>
      <c r="BL31" s="381"/>
      <c r="BM31" s="381"/>
      <c r="BN31" s="381"/>
      <c r="BO31" s="381"/>
      <c r="BP31" s="381"/>
      <c r="BQ31" s="381"/>
      <c r="BR31" s="381"/>
      <c r="BS31" s="381"/>
      <c r="BT31" s="381"/>
      <c r="BU31" s="381"/>
      <c r="BV31" s="381"/>
      <c r="BW31" s="381"/>
      <c r="BX31" s="381"/>
      <c r="BY31" s="381"/>
      <c r="BZ31" s="381"/>
      <c r="CA31" s="381"/>
      <c r="CB31" s="381"/>
      <c r="CC31" s="381"/>
      <c r="CD31" s="381"/>
      <c r="CE31" s="381"/>
      <c r="CF31" s="381"/>
    </row>
    <row r="32" spans="1:84">
      <c r="B32" s="1051" t="s">
        <v>687</v>
      </c>
      <c r="C32" s="1051"/>
      <c r="D32" s="816">
        <v>25417469.890000001</v>
      </c>
      <c r="E32" s="9"/>
      <c r="F32" s="1052" t="s">
        <v>688</v>
      </c>
      <c r="G32" s="1053"/>
      <c r="H32" s="1053"/>
      <c r="I32" s="9"/>
      <c r="J32" s="773" t="s">
        <v>689</v>
      </c>
      <c r="K32" s="1054">
        <f ca="1">VLOOKUP(C9,Informacoes[],30,FALSE)*(VLOOKUP(DATE(AnoRefTar,MONTH(M32)-1,1),Índices!B6:F500,3,FALSE)/VLOOKUP(DATE(YEAR(M32),MONTH(L32)-1,1),Índices!B6:F500,3,FALSE))</f>
        <v>29102795.694557633</v>
      </c>
      <c r="L32" s="17">
        <f>VLOOKUP(C9,Informacoes[],31,FALSE)</f>
        <v>43270</v>
      </c>
      <c r="M32" s="846">
        <f>VLOOKUP(C9,Informacoes[],32,FALSE)</f>
        <v>43270</v>
      </c>
      <c r="O32" s="571"/>
      <c r="Q32" s="538"/>
      <c r="R32" s="381"/>
      <c r="S32" s="381"/>
      <c r="T32" s="381"/>
      <c r="U32" s="381"/>
      <c r="V32" s="381"/>
      <c r="W32" s="381"/>
      <c r="X32" s="381"/>
      <c r="Y32" s="381"/>
      <c r="Z32" s="381"/>
      <c r="AA32" s="381"/>
      <c r="AB32" s="381"/>
      <c r="AC32" s="381"/>
      <c r="AD32" s="381"/>
      <c r="AE32" s="381"/>
      <c r="AF32" s="381"/>
      <c r="AG32" s="381"/>
      <c r="AH32" s="381"/>
      <c r="AI32" s="381"/>
      <c r="AJ32" s="381"/>
      <c r="AK32" s="381"/>
      <c r="AL32" s="381"/>
      <c r="AM32" s="381"/>
      <c r="AN32" s="381"/>
      <c r="AO32" s="381"/>
      <c r="AP32" s="381"/>
      <c r="AQ32" s="381"/>
      <c r="AR32" s="381"/>
      <c r="AS32" s="381"/>
      <c r="AT32" s="381"/>
      <c r="AU32" s="381"/>
      <c r="AV32" s="381"/>
      <c r="AW32" s="381"/>
      <c r="AX32" s="381"/>
      <c r="AY32" s="381"/>
      <c r="AZ32" s="381"/>
      <c r="BA32" s="381"/>
      <c r="BB32" s="381"/>
      <c r="BC32" s="381"/>
      <c r="BD32" s="381"/>
      <c r="BE32" s="381"/>
      <c r="BF32" s="381"/>
      <c r="BG32" s="381"/>
      <c r="BH32" s="381"/>
      <c r="BI32" s="381"/>
      <c r="BJ32" s="381"/>
      <c r="BK32" s="381"/>
      <c r="BL32" s="381"/>
      <c r="BM32" s="381"/>
      <c r="BN32" s="381"/>
      <c r="BO32" s="381"/>
      <c r="BP32" s="381"/>
      <c r="BQ32" s="381"/>
      <c r="BR32" s="381"/>
      <c r="BS32" s="381"/>
      <c r="BT32" s="381"/>
      <c r="BU32" s="381"/>
      <c r="BV32" s="381"/>
      <c r="BW32" s="381"/>
      <c r="BX32" s="381"/>
      <c r="BY32" s="381"/>
      <c r="BZ32" s="381"/>
      <c r="CA32" s="381"/>
      <c r="CB32" s="381"/>
      <c r="CC32" s="381"/>
      <c r="CD32" s="381"/>
      <c r="CE32" s="381"/>
      <c r="CF32" s="381"/>
    </row>
    <row r="33" spans="1:84">
      <c r="B33" s="1051" t="s">
        <v>690</v>
      </c>
      <c r="C33" s="1051"/>
      <c r="D33" s="817">
        <v>34918089.950000003</v>
      </c>
      <c r="E33" s="9"/>
      <c r="F33" s="584" t="s">
        <v>691</v>
      </c>
      <c r="G33" s="584"/>
      <c r="H33" s="500"/>
      <c r="I33" s="9"/>
      <c r="J33" s="774" t="s">
        <v>692</v>
      </c>
      <c r="K33" s="1055">
        <f ca="1">LnkTXTISubvencaoPB/12</f>
        <v>2425232.9745464693</v>
      </c>
      <c r="L33" s="17"/>
      <c r="M33" s="547"/>
      <c r="O33" s="9"/>
      <c r="R33" s="381"/>
      <c r="S33" s="381"/>
      <c r="T33" s="381"/>
      <c r="U33" s="381"/>
      <c r="V33" s="381"/>
      <c r="W33" s="381"/>
      <c r="X33" s="381"/>
      <c r="Y33" s="381"/>
      <c r="Z33" s="381"/>
      <c r="AA33" s="381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</row>
    <row r="34" spans="1:84">
      <c r="B34" s="1056"/>
      <c r="C34" s="1056"/>
      <c r="D34" s="1057"/>
      <c r="E34" s="9"/>
      <c r="F34" s="774" t="s">
        <v>693</v>
      </c>
      <c r="G34" s="774"/>
      <c r="H34" s="1058"/>
      <c r="I34" s="9"/>
      <c r="J34" s="773" t="s">
        <v>694</v>
      </c>
      <c r="K34" s="1059">
        <f>LinkTXTPR</f>
        <v>0.12089999999999999</v>
      </c>
      <c r="L34" s="17"/>
      <c r="M34" s="562"/>
      <c r="O34" s="9"/>
      <c r="Q34" s="538"/>
      <c r="R34" s="381"/>
      <c r="S34" s="381"/>
      <c r="T34" s="381"/>
      <c r="U34" s="381"/>
      <c r="V34" s="381"/>
      <c r="W34" s="381"/>
      <c r="X34" s="381"/>
      <c r="Y34" s="381"/>
      <c r="Z34" s="381"/>
      <c r="AA34" s="381"/>
      <c r="AB34" s="381"/>
      <c r="AC34" s="381"/>
      <c r="AD34" s="381"/>
      <c r="AE34" s="381"/>
      <c r="AF34" s="381"/>
      <c r="AG34" s="381"/>
      <c r="AH34" s="381"/>
      <c r="AI34" s="381"/>
      <c r="AJ34" s="381"/>
      <c r="AK34" s="381"/>
      <c r="AL34" s="381"/>
      <c r="AM34" s="381"/>
      <c r="AN34" s="381"/>
      <c r="AO34" s="381"/>
      <c r="AP34" s="381"/>
      <c r="AQ34" s="381"/>
      <c r="AR34" s="381"/>
      <c r="AS34" s="381"/>
      <c r="AT34" s="381"/>
      <c r="AU34" s="381"/>
      <c r="AV34" s="381"/>
      <c r="AW34" s="381"/>
      <c r="AX34" s="381"/>
      <c r="AY34" s="381"/>
      <c r="AZ34" s="381"/>
      <c r="BA34" s="381"/>
      <c r="BB34" s="381"/>
      <c r="BC34" s="381"/>
      <c r="BD34" s="381"/>
      <c r="BE34" s="381"/>
      <c r="BF34" s="381"/>
      <c r="BG34" s="381"/>
      <c r="BH34" s="381"/>
      <c r="BI34" s="381"/>
      <c r="BJ34" s="381"/>
      <c r="BK34" s="381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</row>
    <row r="35" spans="1:84">
      <c r="B35" s="9"/>
      <c r="C35" s="9"/>
      <c r="D35" s="1060"/>
      <c r="E35" s="9"/>
      <c r="F35" s="600"/>
      <c r="G35" s="1061"/>
      <c r="H35" s="475"/>
      <c r="I35" s="9"/>
      <c r="J35" s="584" t="s">
        <v>695</v>
      </c>
      <c r="K35" s="599">
        <f ca="1">IFERROR(Energia!M20/((Energia!M5+Energia!M6-Energia!M7+Energia!N16)+Energia!M20),0)</f>
        <v>8.8799819072053005E-2</v>
      </c>
      <c r="L35" s="17"/>
      <c r="M35" s="562"/>
      <c r="O35" s="9"/>
      <c r="Q35" s="538"/>
      <c r="R35" s="381"/>
      <c r="S35" s="381"/>
      <c r="T35" s="381"/>
      <c r="U35" s="381"/>
      <c r="V35" s="381"/>
      <c r="W35" s="381"/>
      <c r="X35" s="381"/>
      <c r="Y35" s="381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  <c r="BG35" s="381"/>
      <c r="BH35" s="381"/>
      <c r="BI35" s="381"/>
      <c r="BJ35" s="381"/>
      <c r="BK35" s="381"/>
      <c r="BL35" s="381"/>
      <c r="BM35" s="381"/>
      <c r="BN35" s="381"/>
      <c r="BO35" s="381"/>
      <c r="BP35" s="381"/>
      <c r="BQ35" s="381"/>
      <c r="BR35" s="381"/>
      <c r="BS35" s="381"/>
      <c r="BT35" s="381"/>
      <c r="BU35" s="381"/>
      <c r="BV35" s="381"/>
      <c r="BW35" s="381"/>
      <c r="BX35" s="381"/>
      <c r="BY35" s="381"/>
      <c r="BZ35" s="381"/>
      <c r="CA35" s="381"/>
      <c r="CB35" s="381"/>
      <c r="CC35" s="381"/>
      <c r="CD35" s="381"/>
      <c r="CE35" s="381"/>
      <c r="CF35" s="381"/>
    </row>
    <row r="36" spans="1:84">
      <c r="B36" s="9"/>
      <c r="C36" s="786"/>
      <c r="D36" s="818"/>
      <c r="E36" s="9"/>
      <c r="F36" s="600"/>
      <c r="G36" s="600"/>
      <c r="H36" s="475"/>
      <c r="I36" s="9"/>
      <c r="J36" s="774" t="s">
        <v>696</v>
      </c>
      <c r="K36" s="1062">
        <f ca="1">IFERROR(LNKTXTPercperdas,0)</f>
        <v>8.8799819072053005E-2</v>
      </c>
      <c r="L36" s="17"/>
      <c r="M36" s="562"/>
      <c r="O36" s="9"/>
      <c r="Q36" s="538"/>
      <c r="R36" s="381"/>
      <c r="S36" s="381"/>
      <c r="T36" s="381"/>
      <c r="U36" s="381"/>
      <c r="V36" s="381"/>
      <c r="W36" s="381"/>
      <c r="X36" s="381"/>
      <c r="Y36" s="381"/>
      <c r="Z36" s="381"/>
      <c r="AA36" s="381"/>
      <c r="AB36" s="381"/>
      <c r="AC36" s="381"/>
      <c r="AD36" s="381"/>
      <c r="AE36" s="381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381"/>
      <c r="AR36" s="381"/>
      <c r="AS36" s="381"/>
      <c r="AT36" s="381"/>
      <c r="AU36" s="381"/>
      <c r="AV36" s="381"/>
      <c r="AW36" s="381"/>
      <c r="AX36" s="381"/>
      <c r="AY36" s="381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</row>
    <row r="37" spans="1:84" ht="29.25" customHeight="1" thickBot="1">
      <c r="B37" s="9"/>
      <c r="C37" s="9"/>
      <c r="D37" s="601"/>
      <c r="E37" s="9"/>
      <c r="F37" s="600"/>
      <c r="G37" s="600"/>
      <c r="H37" s="475"/>
      <c r="I37" s="9"/>
      <c r="J37" s="275"/>
      <c r="K37" s="475"/>
      <c r="L37" s="788"/>
      <c r="M37" s="570"/>
      <c r="O37" s="9"/>
      <c r="R37" s="381"/>
      <c r="S37" s="381"/>
      <c r="T37" s="381"/>
      <c r="U37" s="381"/>
      <c r="V37" s="381"/>
      <c r="W37" s="381"/>
      <c r="X37" s="381"/>
      <c r="Y37" s="381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</row>
    <row r="38" spans="1:84" ht="26.25" thickBot="1">
      <c r="A38" s="553"/>
      <c r="B38" s="543" t="s">
        <v>697</v>
      </c>
      <c r="C38" s="554"/>
      <c r="D38" s="554"/>
      <c r="E38" s="555"/>
      <c r="F38" s="555"/>
      <c r="G38" s="555"/>
      <c r="H38" s="535"/>
      <c r="I38" s="536"/>
      <c r="J38" s="555"/>
      <c r="K38" s="556"/>
      <c r="L38" s="557"/>
      <c r="M38" s="558"/>
      <c r="O38" s="9"/>
      <c r="Q38" s="538"/>
      <c r="R38" s="381"/>
      <c r="S38" s="381"/>
      <c r="T38" s="381"/>
      <c r="U38" s="381"/>
      <c r="V38" s="381"/>
      <c r="W38" s="381"/>
      <c r="X38" s="381"/>
      <c r="Y38" s="381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</row>
    <row r="39" spans="1:84" ht="18">
      <c r="F39" s="1791" t="s">
        <v>698</v>
      </c>
      <c r="G39" s="1791"/>
      <c r="L39" s="564"/>
      <c r="M39" s="547"/>
      <c r="O39" s="9"/>
      <c r="R39" s="381"/>
      <c r="S39" s="381"/>
      <c r="T39" s="381"/>
      <c r="U39" s="381"/>
      <c r="V39" s="381"/>
      <c r="W39" s="381"/>
      <c r="X39" s="381"/>
      <c r="Y39" s="381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</row>
    <row r="40" spans="1:84">
      <c r="B40" s="493" t="str">
        <f>"Valores de "&amp;YEAR(C14)</f>
        <v>Valores de 2021</v>
      </c>
      <c r="C40" s="9"/>
      <c r="D40" s="9"/>
      <c r="E40" s="9"/>
      <c r="F40" s="1792" t="s">
        <v>699</v>
      </c>
      <c r="G40" s="1792"/>
      <c r="H40" s="592"/>
      <c r="I40" s="9"/>
      <c r="J40" s="1779" t="str">
        <f ca="1">"Variação processo anterior e "&amp;AnoRevRea</f>
        <v>Variação processo anterior e 2022</v>
      </c>
      <c r="K40" s="1779"/>
      <c r="L40" s="564"/>
      <c r="M40" s="547"/>
      <c r="O40" s="9"/>
      <c r="R40" s="381"/>
      <c r="S40" s="381"/>
      <c r="T40" s="381"/>
      <c r="U40" s="381"/>
      <c r="V40" s="381"/>
      <c r="W40" s="381"/>
      <c r="X40" s="381"/>
      <c r="Y40" s="381"/>
      <c r="Z40" s="381"/>
      <c r="AA40" s="381"/>
      <c r="AB40" s="381"/>
      <c r="AC40" s="381"/>
      <c r="AD40" s="381"/>
      <c r="AE40" s="381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381"/>
      <c r="AR40" s="381"/>
      <c r="AS40" s="381"/>
      <c r="AT40" s="381"/>
      <c r="AU40" s="381"/>
      <c r="AV40" s="381"/>
      <c r="AW40" s="381"/>
      <c r="AX40" s="381"/>
      <c r="AY40" s="381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</row>
    <row r="41" spans="1:84">
      <c r="B41" s="589" t="s">
        <v>700</v>
      </c>
      <c r="C41" s="590"/>
      <c r="D41" s="1063">
        <f>BD!C5</f>
        <v>134568.58900000001</v>
      </c>
      <c r="E41" s="9"/>
      <c r="F41" s="1783" t="s">
        <v>701</v>
      </c>
      <c r="G41" s="1783"/>
      <c r="H41" s="1064">
        <f>LinkTXTPR</f>
        <v>0.12089999999999999</v>
      </c>
      <c r="I41" s="9"/>
      <c r="J41" s="589" t="s">
        <v>700</v>
      </c>
      <c r="K41" s="1065">
        <f ca="1">IFERROR(Calc_Mercado!J15,0)</f>
        <v>6.478094230444853E-2</v>
      </c>
      <c r="L41" s="564"/>
      <c r="M41" s="547"/>
      <c r="O41" s="9"/>
      <c r="Q41" s="538"/>
      <c r="R41" s="381"/>
      <c r="S41" s="381"/>
      <c r="T41" s="381"/>
      <c r="U41" s="381"/>
      <c r="V41" s="381"/>
      <c r="W41" s="381"/>
      <c r="X41" s="381"/>
      <c r="Y41" s="381"/>
      <c r="Z41" s="381"/>
      <c r="AA41" s="381"/>
      <c r="AB41" s="381"/>
      <c r="AC41" s="381"/>
      <c r="AD41" s="381"/>
      <c r="AE41" s="381"/>
      <c r="AF41" s="381"/>
      <c r="AG41" s="381"/>
      <c r="AH41" s="381"/>
      <c r="AI41" s="381"/>
      <c r="AJ41" s="381"/>
      <c r="AK41" s="381"/>
      <c r="AL41" s="381"/>
      <c r="AM41" s="381"/>
      <c r="AN41" s="381"/>
      <c r="AO41" s="381"/>
      <c r="AP41" s="381"/>
      <c r="AQ41" s="381"/>
      <c r="AR41" s="381"/>
      <c r="AS41" s="381"/>
      <c r="AT41" s="381"/>
      <c r="AU41" s="381"/>
      <c r="AV41" s="381"/>
      <c r="AW41" s="381"/>
      <c r="AX41" s="381"/>
      <c r="AY41" s="381"/>
      <c r="AZ41" s="381"/>
      <c r="BA41" s="381"/>
      <c r="BB41" s="381"/>
      <c r="BC41" s="381"/>
      <c r="BD41" s="381"/>
      <c r="BE41" s="381"/>
      <c r="BF41" s="381"/>
      <c r="BG41" s="381"/>
      <c r="BH41" s="381"/>
      <c r="BI41" s="381"/>
      <c r="BJ41" s="381"/>
      <c r="BK41" s="381"/>
      <c r="BL41" s="381"/>
      <c r="BM41" s="381"/>
      <c r="BN41" s="381"/>
      <c r="BO41" s="381"/>
      <c r="BP41" s="381"/>
      <c r="BQ41" s="381"/>
      <c r="BR41" s="381"/>
      <c r="BS41" s="381"/>
      <c r="BT41" s="381"/>
      <c r="BU41" s="381"/>
      <c r="BV41" s="381"/>
      <c r="BW41" s="381"/>
      <c r="BX41" s="381"/>
      <c r="BY41" s="381"/>
      <c r="BZ41" s="381"/>
      <c r="CA41" s="381"/>
      <c r="CB41" s="381"/>
      <c r="CC41" s="381"/>
      <c r="CD41" s="381"/>
      <c r="CE41" s="381"/>
      <c r="CF41" s="381"/>
    </row>
    <row r="42" spans="1:84">
      <c r="B42" s="584" t="s">
        <v>40</v>
      </c>
      <c r="C42" s="584"/>
      <c r="D42" s="374">
        <f>IFERROR(VLOOKUP("TFSEE",BD!$B$7:$C$16,2,FALSE),0)</f>
        <v>219625.82160260301</v>
      </c>
      <c r="E42" s="9"/>
      <c r="F42" s="1784" t="s">
        <v>702</v>
      </c>
      <c r="G42" s="1784"/>
      <c r="H42" s="593">
        <f>SUM(H43:H44)</f>
        <v>0</v>
      </c>
      <c r="I42" s="9"/>
      <c r="J42" s="584" t="s">
        <v>40</v>
      </c>
      <c r="K42" s="1065">
        <f ca="1">LnkTxtVarTFSEE</f>
        <v>0.23222365771003717</v>
      </c>
      <c r="L42" s="564"/>
      <c r="M42" s="547"/>
      <c r="O42" s="9"/>
      <c r="R42" s="381"/>
      <c r="S42" s="381"/>
      <c r="T42" s="381"/>
      <c r="U42" s="381"/>
      <c r="V42" s="381"/>
      <c r="W42" s="381"/>
      <c r="X42" s="381"/>
      <c r="Y42" s="381"/>
      <c r="Z42" s="381"/>
      <c r="AA42" s="381"/>
      <c r="AB42" s="381"/>
      <c r="AC42" s="381"/>
      <c r="AD42" s="381"/>
      <c r="AE42" s="381"/>
      <c r="AF42" s="381"/>
      <c r="AG42" s="381"/>
      <c r="AH42" s="381"/>
      <c r="AI42" s="381"/>
      <c r="AJ42" s="381"/>
      <c r="AK42" s="381"/>
      <c r="AL42" s="381"/>
      <c r="AM42" s="381"/>
      <c r="AN42" s="381"/>
      <c r="AO42" s="381"/>
      <c r="AP42" s="381"/>
      <c r="AQ42" s="381"/>
      <c r="AR42" s="381"/>
      <c r="AS42" s="381"/>
      <c r="AT42" s="381"/>
      <c r="AU42" s="381"/>
      <c r="AV42" s="381"/>
      <c r="AW42" s="381"/>
      <c r="AX42" s="381"/>
      <c r="AY42" s="381"/>
      <c r="AZ42" s="381"/>
      <c r="BA42" s="381"/>
      <c r="BB42" s="381"/>
      <c r="BC42" s="381"/>
      <c r="BD42" s="381"/>
      <c r="BE42" s="381"/>
      <c r="BF42" s="381"/>
      <c r="BG42" s="381"/>
      <c r="BH42" s="381"/>
      <c r="BI42" s="381"/>
      <c r="BJ42" s="381"/>
      <c r="BK42" s="381"/>
      <c r="BL42" s="381"/>
      <c r="BM42" s="381"/>
      <c r="BN42" s="381"/>
      <c r="BO42" s="381"/>
      <c r="BP42" s="381"/>
      <c r="BQ42" s="381"/>
      <c r="BR42" s="381"/>
      <c r="BS42" s="381"/>
      <c r="BT42" s="381"/>
      <c r="BU42" s="381"/>
      <c r="BV42" s="381"/>
      <c r="BW42" s="381"/>
      <c r="BX42" s="381"/>
      <c r="BY42" s="381"/>
      <c r="BZ42" s="381"/>
      <c r="CA42" s="381"/>
      <c r="CB42" s="381"/>
      <c r="CC42" s="381"/>
      <c r="CD42" s="381"/>
      <c r="CE42" s="381"/>
      <c r="CF42" s="381"/>
    </row>
    <row r="43" spans="1:84" ht="15" customHeight="1">
      <c r="B43" s="584" t="s">
        <v>41</v>
      </c>
      <c r="C43" s="584"/>
      <c r="D43" s="374">
        <f>IFERROR(VLOOKUP("CDE",BD!$B$7:$C$16,2,FALSE),0)</f>
        <v>7642650.4989</v>
      </c>
      <c r="E43" s="9"/>
      <c r="F43" s="1784" t="s">
        <v>703</v>
      </c>
      <c r="G43" s="1784"/>
      <c r="H43" s="593">
        <f>VLOOKUP(B2,Informacoes[#Data],25,FALSE)</f>
        <v>0</v>
      </c>
      <c r="I43" s="9"/>
      <c r="J43" s="584" t="s">
        <v>41</v>
      </c>
      <c r="K43" s="591">
        <f ca="1">LnkTxtVarCDE</f>
        <v>0.21985453507220054</v>
      </c>
      <c r="L43" s="564"/>
      <c r="M43" s="547"/>
      <c r="O43" s="9"/>
      <c r="Q43" s="538"/>
      <c r="R43" s="381"/>
      <c r="S43" s="381"/>
      <c r="T43" s="381"/>
      <c r="U43" s="381"/>
      <c r="V43" s="381"/>
      <c r="W43" s="381"/>
      <c r="X43" s="381"/>
      <c r="Y43" s="381"/>
      <c r="Z43" s="381"/>
      <c r="AA43" s="381"/>
      <c r="AB43" s="381"/>
      <c r="AC43" s="381"/>
      <c r="AD43" s="381"/>
      <c r="AE43" s="381"/>
      <c r="AF43" s="381"/>
      <c r="AG43" s="381"/>
      <c r="AH43" s="381"/>
      <c r="AI43" s="381"/>
      <c r="AJ43" s="381"/>
      <c r="AK43" s="381"/>
      <c r="AL43" s="381"/>
      <c r="AM43" s="381"/>
      <c r="AN43" s="381"/>
      <c r="AO43" s="381"/>
      <c r="AP43" s="381"/>
      <c r="AQ43" s="381"/>
      <c r="AR43" s="381"/>
      <c r="AS43" s="381"/>
      <c r="AT43" s="381"/>
      <c r="AU43" s="381"/>
      <c r="AV43" s="381"/>
      <c r="AW43" s="381"/>
      <c r="AX43" s="381"/>
      <c r="AY43" s="381"/>
      <c r="AZ43" s="381"/>
      <c r="BA43" s="381"/>
      <c r="BB43" s="381"/>
      <c r="BC43" s="381"/>
      <c r="BD43" s="381"/>
      <c r="BE43" s="381"/>
      <c r="BF43" s="381"/>
      <c r="BG43" s="381"/>
      <c r="BH43" s="381"/>
      <c r="BI43" s="381"/>
      <c r="BJ43" s="381"/>
      <c r="BK43" s="381"/>
      <c r="BL43" s="381"/>
      <c r="BM43" s="381"/>
      <c r="BN43" s="381"/>
      <c r="BO43" s="381"/>
      <c r="BP43" s="381"/>
      <c r="BQ43" s="381"/>
      <c r="BR43" s="381"/>
      <c r="BS43" s="381"/>
      <c r="BT43" s="381"/>
      <c r="BU43" s="381"/>
      <c r="BV43" s="381"/>
      <c r="BW43" s="381"/>
      <c r="BX43" s="381"/>
      <c r="BY43" s="381"/>
      <c r="BZ43" s="381"/>
      <c r="CA43" s="381"/>
      <c r="CB43" s="381"/>
      <c r="CC43" s="381"/>
      <c r="CD43" s="381"/>
      <c r="CE43" s="381"/>
      <c r="CF43" s="381"/>
    </row>
    <row r="44" spans="1:84">
      <c r="B44" s="584" t="s">
        <v>126</v>
      </c>
      <c r="C44" s="584"/>
      <c r="D44" s="374">
        <f>IFERROR(VLOOKUP("CFURH",BD!$B$7:$C$16,2,FALSE),0)</f>
        <v>0</v>
      </c>
      <c r="E44" s="9"/>
      <c r="F44" s="1780" t="s">
        <v>264</v>
      </c>
      <c r="G44" s="1780"/>
      <c r="H44" s="1066">
        <f>VLOOKUP(B2,Informacoes[#Data],26,FALSE)</f>
        <v>0</v>
      </c>
      <c r="I44" s="9"/>
      <c r="J44" s="584" t="s">
        <v>126</v>
      </c>
      <c r="K44" s="475" t="str">
        <f ca="1">Resultado!F19</f>
        <v>-</v>
      </c>
      <c r="L44" s="564"/>
      <c r="M44" s="547"/>
      <c r="N44" s="573"/>
      <c r="O44" s="9"/>
      <c r="R44" s="381"/>
      <c r="S44" s="381"/>
      <c r="T44" s="381"/>
      <c r="U44" s="381"/>
      <c r="V44" s="381"/>
      <c r="W44" s="381"/>
      <c r="X44" s="381"/>
      <c r="Y44" s="381"/>
      <c r="Z44" s="381"/>
      <c r="AA44" s="381"/>
      <c r="AB44" s="381"/>
      <c r="AC44" s="381"/>
      <c r="AD44" s="381"/>
      <c r="AE44" s="381"/>
      <c r="AF44" s="381"/>
      <c r="AG44" s="381"/>
      <c r="AH44" s="381"/>
      <c r="AI44" s="381"/>
      <c r="AJ44" s="381"/>
      <c r="AK44" s="381"/>
      <c r="AL44" s="381"/>
      <c r="AM44" s="381"/>
      <c r="AN44" s="381"/>
      <c r="AO44" s="381"/>
      <c r="AP44" s="381"/>
      <c r="AQ44" s="381"/>
      <c r="AR44" s="381"/>
      <c r="AS44" s="381"/>
      <c r="AT44" s="381"/>
      <c r="AU44" s="381"/>
      <c r="AV44" s="381"/>
      <c r="AW44" s="381"/>
      <c r="AX44" s="381"/>
      <c r="AY44" s="381"/>
      <c r="AZ44" s="381"/>
      <c r="BA44" s="381"/>
      <c r="BB44" s="381"/>
      <c r="BC44" s="381"/>
      <c r="BD44" s="381"/>
      <c r="BE44" s="381"/>
      <c r="BF44" s="381"/>
      <c r="BG44" s="381"/>
      <c r="BH44" s="381"/>
      <c r="BI44" s="381"/>
      <c r="BJ44" s="381"/>
      <c r="BK44" s="381"/>
      <c r="BL44" s="381"/>
      <c r="BM44" s="381"/>
      <c r="BN44" s="381"/>
      <c r="BO44" s="381"/>
      <c r="BP44" s="381"/>
      <c r="BQ44" s="381"/>
      <c r="BR44" s="381"/>
      <c r="BS44" s="381"/>
      <c r="BT44" s="381"/>
      <c r="BU44" s="381"/>
      <c r="BV44" s="381"/>
      <c r="BW44" s="381"/>
      <c r="BX44" s="381"/>
      <c r="BY44" s="381"/>
      <c r="BZ44" s="381"/>
      <c r="CA44" s="381"/>
      <c r="CB44" s="381"/>
      <c r="CC44" s="381"/>
      <c r="CD44" s="381"/>
      <c r="CE44" s="381"/>
      <c r="CF44" s="381"/>
    </row>
    <row r="45" spans="1:84">
      <c r="B45" s="584" t="s">
        <v>46</v>
      </c>
      <c r="C45" s="584"/>
      <c r="D45" s="374">
        <f>IFERROR(VLOOKUP("ESS/ERR",BD!$B$7:$C$16,2,FALSE),0)</f>
        <v>363200.09499999997</v>
      </c>
      <c r="E45" s="9"/>
      <c r="I45" s="376"/>
      <c r="J45" s="584" t="s">
        <v>46</v>
      </c>
      <c r="K45" s="475">
        <f ca="1">Resultado!F20</f>
        <v>11.474726494737737</v>
      </c>
      <c r="L45" s="564"/>
      <c r="M45" s="572"/>
      <c r="N45" s="573"/>
      <c r="O45" s="9"/>
      <c r="Q45" s="538"/>
      <c r="R45" s="381"/>
      <c r="S45" s="381"/>
      <c r="T45" s="381"/>
      <c r="U45" s="381"/>
      <c r="V45" s="381"/>
      <c r="W45" s="381"/>
      <c r="X45" s="381"/>
      <c r="Y45" s="381"/>
      <c r="Z45" s="381"/>
      <c r="AA45" s="381"/>
      <c r="AB45" s="381"/>
      <c r="AC45" s="381"/>
      <c r="AD45" s="381"/>
      <c r="AE45" s="381"/>
      <c r="AF45" s="381"/>
      <c r="AG45" s="381"/>
      <c r="AH45" s="381"/>
      <c r="AI45" s="381"/>
      <c r="AJ45" s="381"/>
      <c r="AK45" s="381"/>
      <c r="AL45" s="381"/>
      <c r="AM45" s="381"/>
      <c r="AN45" s="381"/>
      <c r="AO45" s="381"/>
      <c r="AP45" s="381"/>
      <c r="AQ45" s="381"/>
      <c r="AR45" s="381"/>
      <c r="AS45" s="381"/>
      <c r="AT45" s="381"/>
      <c r="AU45" s="381"/>
      <c r="AV45" s="381"/>
      <c r="AW45" s="381"/>
      <c r="AX45" s="381"/>
      <c r="AY45" s="381"/>
      <c r="AZ45" s="381"/>
      <c r="BA45" s="381"/>
      <c r="BB45" s="381"/>
      <c r="BC45" s="381"/>
      <c r="BD45" s="381"/>
      <c r="BE45" s="381"/>
      <c r="BF45" s="381"/>
      <c r="BG45" s="381"/>
      <c r="BH45" s="381"/>
      <c r="BI45" s="381"/>
      <c r="BJ45" s="381"/>
      <c r="BK45" s="381"/>
      <c r="BL45" s="381"/>
      <c r="BM45" s="381"/>
      <c r="BN45" s="381"/>
      <c r="BO45" s="381"/>
      <c r="BP45" s="381"/>
      <c r="BQ45" s="381"/>
      <c r="BR45" s="381"/>
      <c r="BS45" s="381"/>
      <c r="BT45" s="381"/>
      <c r="BU45" s="381"/>
      <c r="BV45" s="381"/>
      <c r="BW45" s="381"/>
      <c r="BX45" s="381"/>
      <c r="BY45" s="381"/>
      <c r="BZ45" s="381"/>
      <c r="CA45" s="381"/>
      <c r="CB45" s="381"/>
      <c r="CC45" s="381"/>
      <c r="CD45" s="381"/>
      <c r="CE45" s="381"/>
      <c r="CF45" s="381"/>
    </row>
    <row r="46" spans="1:84">
      <c r="B46" s="584" t="s">
        <v>47</v>
      </c>
      <c r="C46" s="584"/>
      <c r="D46" s="374">
        <f>IFERROR(VLOOKUP("PROINFA",BD!$B$7:$C$16,2,FALSE),0)</f>
        <v>1233168.8379599999</v>
      </c>
      <c r="E46" s="9"/>
      <c r="F46" s="9"/>
      <c r="G46" s="9"/>
      <c r="H46" s="9"/>
      <c r="I46" s="400"/>
      <c r="J46" s="584" t="s">
        <v>47</v>
      </c>
      <c r="K46" s="591">
        <f ca="1">Resultado!F21</f>
        <v>0.51490432040091472</v>
      </c>
      <c r="L46" s="564"/>
      <c r="M46" s="574"/>
      <c r="N46" s="573"/>
      <c r="O46" s="9"/>
      <c r="R46" s="381"/>
      <c r="S46" s="381"/>
      <c r="T46" s="381"/>
      <c r="U46" s="381"/>
      <c r="V46" s="381"/>
      <c r="W46" s="381"/>
      <c r="X46" s="381"/>
      <c r="Y46" s="381"/>
      <c r="Z46" s="381"/>
      <c r="AA46" s="381"/>
      <c r="AB46" s="381"/>
      <c r="AC46" s="381"/>
      <c r="AD46" s="381"/>
      <c r="AE46" s="381"/>
      <c r="AF46" s="381"/>
      <c r="AG46" s="381"/>
      <c r="AH46" s="381"/>
      <c r="AI46" s="381"/>
      <c r="AJ46" s="381"/>
      <c r="AK46" s="381"/>
      <c r="AL46" s="381"/>
      <c r="AM46" s="381"/>
      <c r="AN46" s="381"/>
      <c r="AO46" s="381"/>
      <c r="AP46" s="381"/>
      <c r="AQ46" s="381"/>
      <c r="AR46" s="381"/>
      <c r="AS46" s="381"/>
      <c r="AT46" s="381"/>
      <c r="AU46" s="381"/>
      <c r="AV46" s="381"/>
      <c r="AW46" s="381"/>
      <c r="AX46" s="381"/>
      <c r="AY46" s="381"/>
      <c r="AZ46" s="381"/>
      <c r="BA46" s="381"/>
      <c r="BB46" s="381"/>
      <c r="BC46" s="381"/>
      <c r="BD46" s="381"/>
      <c r="BE46" s="381"/>
      <c r="BF46" s="381"/>
      <c r="BG46" s="381"/>
      <c r="BH46" s="381"/>
      <c r="BI46" s="381"/>
      <c r="BJ46" s="381"/>
      <c r="BK46" s="381"/>
      <c r="BL46" s="381"/>
      <c r="BM46" s="381"/>
      <c r="BN46" s="381"/>
      <c r="BO46" s="381"/>
      <c r="BP46" s="381"/>
      <c r="BQ46" s="381"/>
      <c r="BR46" s="381"/>
      <c r="BS46" s="381"/>
      <c r="BT46" s="381"/>
      <c r="BU46" s="381"/>
      <c r="BV46" s="381"/>
      <c r="BW46" s="381"/>
      <c r="BX46" s="381"/>
      <c r="BY46" s="381"/>
      <c r="BZ46" s="381"/>
      <c r="CA46" s="381"/>
      <c r="CB46" s="381"/>
      <c r="CC46" s="381"/>
      <c r="CD46" s="381"/>
      <c r="CE46" s="381"/>
      <c r="CF46" s="381"/>
    </row>
    <row r="47" spans="1:84" ht="17.25" customHeight="1">
      <c r="B47" s="584" t="s">
        <v>2176</v>
      </c>
      <c r="C47" s="584"/>
      <c r="D47" s="374">
        <f>IFERROR(VLOOKUP("CDE Covid TUSD",BD!$B$7:$C$16,2,FALSE),0)</f>
        <v>0</v>
      </c>
      <c r="E47" s="9"/>
      <c r="I47" s="400"/>
      <c r="J47" s="584" t="s">
        <v>48</v>
      </c>
      <c r="K47" s="475" t="str">
        <f ca="1">Resultado!F22</f>
        <v>-</v>
      </c>
      <c r="L47" s="564"/>
      <c r="M47" s="574"/>
      <c r="N47" s="573"/>
      <c r="O47" s="9"/>
      <c r="R47" s="381"/>
      <c r="S47" s="381"/>
      <c r="T47" s="381"/>
      <c r="U47" s="381"/>
      <c r="V47" s="381"/>
      <c r="W47" s="381"/>
      <c r="X47" s="381"/>
      <c r="Y47" s="381"/>
      <c r="Z47" s="381"/>
      <c r="AA47" s="381"/>
      <c r="AB47" s="381"/>
      <c r="AC47" s="381"/>
      <c r="AD47" s="381"/>
      <c r="AE47" s="381"/>
      <c r="AF47" s="381"/>
      <c r="AG47" s="381"/>
      <c r="AH47" s="381"/>
      <c r="AI47" s="381"/>
      <c r="AJ47" s="381"/>
      <c r="AK47" s="381"/>
      <c r="AL47" s="381"/>
      <c r="AM47" s="381"/>
      <c r="AN47" s="381"/>
      <c r="AO47" s="381"/>
      <c r="AP47" s="381"/>
      <c r="AQ47" s="381"/>
      <c r="AR47" s="381"/>
      <c r="AS47" s="381"/>
      <c r="AT47" s="381"/>
      <c r="AU47" s="381"/>
      <c r="AV47" s="381"/>
      <c r="AW47" s="381"/>
      <c r="AX47" s="381"/>
      <c r="AY47" s="381"/>
      <c r="AZ47" s="381"/>
      <c r="BA47" s="381"/>
      <c r="BB47" s="381"/>
      <c r="BC47" s="381"/>
      <c r="BD47" s="381"/>
      <c r="BE47" s="381"/>
      <c r="BF47" s="381"/>
      <c r="BG47" s="381"/>
      <c r="BH47" s="381"/>
      <c r="BI47" s="381"/>
      <c r="BJ47" s="381"/>
      <c r="BK47" s="381"/>
      <c r="BL47" s="381"/>
      <c r="BM47" s="381"/>
      <c r="BN47" s="381"/>
      <c r="BO47" s="381"/>
      <c r="BP47" s="381"/>
      <c r="BQ47" s="381"/>
      <c r="BR47" s="381"/>
      <c r="BS47" s="381"/>
      <c r="BT47" s="381"/>
      <c r="BU47" s="381"/>
      <c r="BV47" s="381"/>
      <c r="BW47" s="381"/>
      <c r="BX47" s="381"/>
      <c r="BY47" s="381"/>
      <c r="BZ47" s="381"/>
      <c r="CA47" s="381"/>
      <c r="CB47" s="381"/>
      <c r="CC47" s="381"/>
      <c r="CD47" s="381"/>
      <c r="CE47" s="381"/>
      <c r="CF47" s="381"/>
    </row>
    <row r="48" spans="1:84">
      <c r="B48" s="584" t="s">
        <v>49</v>
      </c>
      <c r="C48" s="584"/>
      <c r="D48" s="374">
        <f>IFERROR(VLOOKUP("ONS",BD!$B$7:$C$16,2,FALSE),0)</f>
        <v>0</v>
      </c>
      <c r="E48" s="9"/>
      <c r="F48" s="718" t="s">
        <v>704</v>
      </c>
      <c r="G48" s="719"/>
      <c r="I48" s="400"/>
      <c r="J48" s="584" t="s">
        <v>49</v>
      </c>
      <c r="K48" s="475" t="str">
        <f ca="1">Resultado!F23</f>
        <v>-</v>
      </c>
      <c r="L48" s="564"/>
      <c r="M48" s="574"/>
      <c r="N48" s="573"/>
      <c r="O48" s="9"/>
      <c r="Q48" s="538"/>
      <c r="R48" s="381"/>
      <c r="S48" s="381"/>
      <c r="T48" s="381"/>
      <c r="U48" s="381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381"/>
      <c r="AH48" s="381"/>
      <c r="AI48" s="381"/>
      <c r="AJ48" s="381"/>
      <c r="AK48" s="381"/>
      <c r="AL48" s="381"/>
      <c r="AM48" s="381"/>
      <c r="AN48" s="381"/>
      <c r="AO48" s="381"/>
      <c r="AP48" s="381"/>
      <c r="AQ48" s="381"/>
      <c r="AR48" s="381"/>
      <c r="AS48" s="381"/>
      <c r="AT48" s="381"/>
      <c r="AU48" s="381"/>
      <c r="AV48" s="381"/>
      <c r="AW48" s="381"/>
      <c r="AX48" s="381"/>
      <c r="AY48" s="381"/>
      <c r="AZ48" s="381"/>
      <c r="BA48" s="381"/>
      <c r="BB48" s="381"/>
      <c r="BC48" s="381"/>
      <c r="BD48" s="381"/>
      <c r="BE48" s="381"/>
      <c r="BF48" s="381"/>
      <c r="BG48" s="381"/>
      <c r="BH48" s="381"/>
      <c r="BI48" s="381"/>
      <c r="BJ48" s="381"/>
      <c r="BK48" s="381"/>
      <c r="BL48" s="381"/>
      <c r="BM48" s="381"/>
      <c r="BN48" s="381"/>
      <c r="BO48" s="381"/>
      <c r="BP48" s="381"/>
      <c r="BQ48" s="381"/>
      <c r="BR48" s="381"/>
      <c r="BS48" s="381"/>
      <c r="BT48" s="381"/>
      <c r="BU48" s="381"/>
      <c r="BV48" s="381"/>
      <c r="BW48" s="381"/>
      <c r="BX48" s="381"/>
      <c r="BY48" s="381"/>
      <c r="BZ48" s="381"/>
      <c r="CA48" s="381"/>
      <c r="CB48" s="381"/>
      <c r="CC48" s="381"/>
      <c r="CD48" s="381"/>
      <c r="CE48" s="381"/>
      <c r="CF48" s="381"/>
    </row>
    <row r="49" spans="1:84">
      <c r="B49" s="773" t="s">
        <v>705</v>
      </c>
      <c r="C49" s="773"/>
      <c r="D49" s="1067">
        <f>BD!C18</f>
        <v>1372109.9280000001</v>
      </c>
      <c r="E49" s="9"/>
      <c r="F49" s="718" t="s">
        <v>706</v>
      </c>
      <c r="G49" s="720"/>
      <c r="I49" s="400"/>
      <c r="J49" s="773" t="s">
        <v>705</v>
      </c>
      <c r="K49" s="1065"/>
      <c r="L49" s="564"/>
      <c r="M49" s="574"/>
      <c r="N49" s="573"/>
      <c r="O49" s="9"/>
      <c r="R49" s="381"/>
      <c r="S49" s="381"/>
      <c r="T49" s="381"/>
      <c r="U49" s="381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1"/>
      <c r="AS49" s="381"/>
      <c r="AT49" s="381"/>
      <c r="AU49" s="381"/>
      <c r="AV49" s="381"/>
      <c r="AW49" s="381"/>
      <c r="AX49" s="381"/>
      <c r="AY49" s="381"/>
      <c r="AZ49" s="381"/>
      <c r="BA49" s="381"/>
      <c r="BB49" s="381"/>
      <c r="BC49" s="381"/>
      <c r="BD49" s="381"/>
      <c r="BE49" s="381"/>
      <c r="BF49" s="381"/>
      <c r="BG49" s="381"/>
      <c r="BH49" s="381"/>
      <c r="BI49" s="381"/>
      <c r="BJ49" s="381"/>
      <c r="BK49" s="381"/>
      <c r="BL49" s="381"/>
      <c r="BM49" s="381"/>
      <c r="BN49" s="381"/>
      <c r="BO49" s="381"/>
      <c r="BP49" s="381"/>
      <c r="BQ49" s="381"/>
      <c r="BR49" s="381"/>
      <c r="BS49" s="381"/>
      <c r="BT49" s="381"/>
      <c r="BU49" s="381"/>
      <c r="BV49" s="381"/>
      <c r="BW49" s="381"/>
      <c r="BX49" s="381"/>
      <c r="BY49" s="381"/>
      <c r="BZ49" s="381"/>
      <c r="CA49" s="381"/>
      <c r="CB49" s="381"/>
      <c r="CC49" s="381"/>
      <c r="CD49" s="381"/>
      <c r="CE49" s="381"/>
      <c r="CF49" s="381"/>
    </row>
    <row r="50" spans="1:84">
      <c r="B50" s="584" t="s">
        <v>707</v>
      </c>
      <c r="C50" s="584"/>
      <c r="D50" s="374">
        <f>BD!C19</f>
        <v>905337.38399999996</v>
      </c>
      <c r="E50" s="9"/>
      <c r="I50" s="400"/>
      <c r="J50" s="584" t="s">
        <v>707</v>
      </c>
      <c r="K50" s="591"/>
      <c r="L50" s="564"/>
      <c r="M50" s="574"/>
      <c r="N50" s="573"/>
      <c r="O50" s="9"/>
      <c r="R50" s="381"/>
      <c r="S50" s="381"/>
      <c r="T50" s="381"/>
      <c r="U50" s="381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1"/>
      <c r="AS50" s="381"/>
      <c r="AT50" s="381"/>
      <c r="AU50" s="381"/>
      <c r="AV50" s="381"/>
      <c r="AW50" s="381"/>
      <c r="AX50" s="381"/>
      <c r="AY50" s="381"/>
      <c r="AZ50" s="381"/>
      <c r="BA50" s="381"/>
      <c r="BB50" s="381"/>
      <c r="BC50" s="381"/>
      <c r="BD50" s="381"/>
      <c r="BE50" s="381"/>
      <c r="BF50" s="381"/>
      <c r="BG50" s="381"/>
      <c r="BH50" s="381"/>
      <c r="BI50" s="381"/>
      <c r="BJ50" s="381"/>
      <c r="BK50" s="381"/>
      <c r="BL50" s="381"/>
      <c r="BM50" s="381"/>
      <c r="BN50" s="381"/>
      <c r="BO50" s="381"/>
      <c r="BP50" s="381"/>
      <c r="BQ50" s="381"/>
      <c r="BR50" s="381"/>
      <c r="BS50" s="381"/>
      <c r="BT50" s="381"/>
      <c r="BU50" s="381"/>
      <c r="BV50" s="381"/>
      <c r="BW50" s="381"/>
      <c r="BX50" s="381"/>
      <c r="BY50" s="381"/>
      <c r="BZ50" s="381"/>
      <c r="CA50" s="381"/>
      <c r="CB50" s="381"/>
      <c r="CC50" s="381"/>
      <c r="CD50" s="381"/>
      <c r="CE50" s="381"/>
      <c r="CF50" s="381"/>
    </row>
    <row r="51" spans="1:84" ht="17.25" customHeight="1">
      <c r="B51" s="774" t="s">
        <v>708</v>
      </c>
      <c r="C51" s="774"/>
      <c r="D51" s="1068"/>
      <c r="E51" s="9"/>
      <c r="I51" s="9"/>
      <c r="J51" s="774" t="s">
        <v>708</v>
      </c>
      <c r="K51" s="591"/>
      <c r="L51" s="564"/>
      <c r="M51" s="574"/>
      <c r="N51" s="573"/>
      <c r="O51" s="9"/>
      <c r="Q51" s="538"/>
      <c r="R51" s="381"/>
      <c r="S51" s="381"/>
      <c r="T51" s="381"/>
      <c r="U51" s="381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1"/>
      <c r="AS51" s="381"/>
      <c r="AT51" s="381"/>
      <c r="AU51" s="381"/>
      <c r="AV51" s="381"/>
      <c r="AW51" s="381"/>
      <c r="AX51" s="381"/>
      <c r="AY51" s="381"/>
      <c r="AZ51" s="381"/>
      <c r="BA51" s="381"/>
      <c r="BB51" s="381"/>
      <c r="BC51" s="381"/>
      <c r="BD51" s="381"/>
      <c r="BE51" s="381"/>
      <c r="BF51" s="381"/>
      <c r="BG51" s="381"/>
      <c r="BH51" s="381"/>
      <c r="BI51" s="381"/>
      <c r="BJ51" s="381"/>
      <c r="BK51" s="381"/>
      <c r="BL51" s="381"/>
      <c r="BM51" s="381"/>
      <c r="BN51" s="381"/>
      <c r="BO51" s="381"/>
      <c r="BP51" s="381"/>
      <c r="BQ51" s="381"/>
      <c r="BR51" s="381"/>
      <c r="BS51" s="381"/>
      <c r="BT51" s="381"/>
      <c r="BU51" s="381"/>
      <c r="BV51" s="381"/>
      <c r="BW51" s="381"/>
      <c r="BX51" s="381"/>
      <c r="BY51" s="381"/>
      <c r="BZ51" s="381"/>
      <c r="CA51" s="381"/>
      <c r="CB51" s="381"/>
      <c r="CC51" s="381"/>
      <c r="CD51" s="381"/>
      <c r="CE51" s="381"/>
      <c r="CF51" s="381"/>
    </row>
    <row r="52" spans="1:84">
      <c r="B52" s="589" t="s">
        <v>709</v>
      </c>
      <c r="C52" s="589"/>
      <c r="D52" s="1069">
        <f>BD!C25</f>
        <v>11861164.6471947</v>
      </c>
      <c r="E52" s="9"/>
      <c r="F52" s="9"/>
      <c r="G52" s="9"/>
      <c r="H52" s="9"/>
      <c r="I52" s="9"/>
      <c r="J52" s="589" t="s">
        <v>709</v>
      </c>
      <c r="K52" s="594">
        <f ca="1">Resultado!F32</f>
        <v>6.6151911927344154E-2</v>
      </c>
      <c r="L52" s="564"/>
      <c r="M52" s="574"/>
      <c r="N52" s="573"/>
      <c r="O52" s="9"/>
      <c r="Q52" s="491"/>
      <c r="R52" s="381"/>
      <c r="S52" s="381"/>
      <c r="T52" s="381"/>
      <c r="U52" s="381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1"/>
      <c r="AS52" s="381"/>
      <c r="AT52" s="381"/>
      <c r="AU52" s="381"/>
      <c r="AV52" s="381"/>
      <c r="AW52" s="381"/>
      <c r="AX52" s="381"/>
      <c r="AY52" s="381"/>
      <c r="AZ52" s="381"/>
      <c r="BA52" s="381"/>
      <c r="BB52" s="381"/>
      <c r="BC52" s="381"/>
      <c r="BD52" s="381"/>
      <c r="BE52" s="381"/>
      <c r="BF52" s="381"/>
      <c r="BG52" s="381"/>
      <c r="BH52" s="381"/>
      <c r="BI52" s="381"/>
      <c r="BJ52" s="381"/>
      <c r="BK52" s="381"/>
      <c r="BL52" s="381"/>
      <c r="BM52" s="381"/>
      <c r="BN52" s="381"/>
      <c r="BO52" s="381"/>
      <c r="BP52" s="381"/>
      <c r="BQ52" s="381"/>
      <c r="BR52" s="381"/>
      <c r="BS52" s="381"/>
      <c r="BT52" s="381"/>
      <c r="BU52" s="381"/>
      <c r="BV52" s="381"/>
      <c r="BW52" s="381"/>
      <c r="BX52" s="381"/>
      <c r="BY52" s="381"/>
      <c r="BZ52" s="381"/>
      <c r="CA52" s="381"/>
      <c r="CB52" s="381"/>
      <c r="CC52" s="381"/>
      <c r="CD52" s="381"/>
      <c r="CE52" s="381"/>
      <c r="CF52" s="381"/>
    </row>
    <row r="53" spans="1:84">
      <c r="B53" s="589" t="s">
        <v>710</v>
      </c>
      <c r="C53" s="589"/>
      <c r="D53" s="1069">
        <f>BD!C26</f>
        <v>46430708.479999997</v>
      </c>
      <c r="E53" s="9"/>
      <c r="F53" s="9"/>
      <c r="G53" s="9"/>
      <c r="H53" s="9"/>
      <c r="I53" s="9"/>
      <c r="J53" s="9"/>
      <c r="K53" s="9"/>
      <c r="L53" s="564"/>
      <c r="M53" s="574"/>
      <c r="N53" s="573"/>
      <c r="O53" s="9"/>
      <c r="Q53" s="491"/>
      <c r="R53" s="381"/>
      <c r="S53" s="381"/>
      <c r="T53" s="381"/>
      <c r="U53" s="381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1"/>
      <c r="AS53" s="381"/>
      <c r="AT53" s="381"/>
      <c r="AU53" s="381"/>
      <c r="AV53" s="381"/>
      <c r="AW53" s="381"/>
      <c r="AX53" s="381"/>
      <c r="AY53" s="381"/>
      <c r="AZ53" s="381"/>
      <c r="BA53" s="381"/>
      <c r="BB53" s="381"/>
      <c r="BC53" s="381"/>
      <c r="BD53" s="381"/>
      <c r="BE53" s="381"/>
      <c r="BF53" s="381"/>
      <c r="BG53" s="381"/>
      <c r="BH53" s="381"/>
      <c r="BI53" s="381"/>
      <c r="BJ53" s="381"/>
      <c r="BK53" s="381"/>
      <c r="BL53" s="381"/>
      <c r="BM53" s="381"/>
      <c r="BN53" s="381"/>
      <c r="BO53" s="381"/>
      <c r="BP53" s="381"/>
      <c r="BQ53" s="381"/>
      <c r="BR53" s="381"/>
      <c r="BS53" s="381"/>
      <c r="BT53" s="381"/>
      <c r="BU53" s="381"/>
      <c r="BV53" s="381"/>
      <c r="BW53" s="381"/>
      <c r="BX53" s="381"/>
      <c r="BY53" s="381"/>
      <c r="BZ53" s="381"/>
      <c r="CA53" s="381"/>
      <c r="CB53" s="381"/>
      <c r="CC53" s="381"/>
      <c r="CD53" s="381"/>
      <c r="CE53" s="381"/>
      <c r="CF53" s="381"/>
    </row>
    <row r="54" spans="1:84" ht="16.5" thickBot="1">
      <c r="B54" s="275"/>
      <c r="C54" s="275"/>
      <c r="D54" s="544"/>
      <c r="E54" s="9"/>
      <c r="F54" s="9"/>
      <c r="G54" s="9"/>
      <c r="H54" s="9"/>
      <c r="I54" s="9"/>
      <c r="J54" s="9"/>
      <c r="K54" s="9"/>
      <c r="L54" s="564"/>
      <c r="M54" s="574"/>
      <c r="N54" s="573"/>
      <c r="O54" s="9"/>
      <c r="R54" s="381"/>
      <c r="S54" s="381"/>
      <c r="T54" s="381"/>
      <c r="U54" s="381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1"/>
      <c r="AS54" s="381"/>
      <c r="AT54" s="381"/>
      <c r="AU54" s="381"/>
      <c r="AV54" s="381"/>
      <c r="AW54" s="381"/>
      <c r="AX54" s="381"/>
      <c r="AY54" s="381"/>
      <c r="AZ54" s="381"/>
      <c r="BA54" s="381"/>
      <c r="BB54" s="381"/>
      <c r="BC54" s="381"/>
      <c r="BD54" s="381"/>
      <c r="BE54" s="381"/>
      <c r="BF54" s="381"/>
      <c r="BG54" s="381"/>
      <c r="BH54" s="381"/>
      <c r="BI54" s="381"/>
      <c r="BJ54" s="381"/>
      <c r="BK54" s="381"/>
      <c r="BL54" s="381"/>
      <c r="BM54" s="381"/>
      <c r="BN54" s="381"/>
      <c r="BO54" s="381"/>
      <c r="BP54" s="381"/>
      <c r="BQ54" s="381"/>
      <c r="BR54" s="381"/>
      <c r="BS54" s="381"/>
      <c r="BT54" s="381"/>
      <c r="BU54" s="381"/>
      <c r="BV54" s="381"/>
      <c r="BW54" s="381"/>
      <c r="BX54" s="381"/>
      <c r="BY54" s="381"/>
      <c r="BZ54" s="381"/>
      <c r="CA54" s="381"/>
      <c r="CB54" s="381"/>
      <c r="CC54" s="381"/>
      <c r="CD54" s="381"/>
      <c r="CE54" s="381"/>
      <c r="CF54" s="381"/>
    </row>
    <row r="55" spans="1:84" ht="26.25" thickBot="1">
      <c r="A55" s="553"/>
      <c r="B55" s="543" t="s">
        <v>711</v>
      </c>
      <c r="C55" s="554"/>
      <c r="D55" s="554"/>
      <c r="E55" s="555"/>
      <c r="F55" s="555"/>
      <c r="G55" s="555"/>
      <c r="H55" s="535"/>
      <c r="I55" s="536"/>
      <c r="J55" s="555"/>
      <c r="K55" s="556"/>
      <c r="L55" s="557"/>
      <c r="M55" s="558"/>
      <c r="N55" s="573"/>
      <c r="O55" s="9"/>
      <c r="R55" s="381"/>
      <c r="S55" s="381"/>
      <c r="T55" s="381"/>
      <c r="U55" s="381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1"/>
      <c r="AS55" s="381"/>
      <c r="AT55" s="381"/>
      <c r="AU55" s="381"/>
      <c r="AV55" s="381"/>
      <c r="AW55" s="381"/>
      <c r="AX55" s="381"/>
      <c r="AY55" s="381"/>
      <c r="AZ55" s="381"/>
      <c r="BA55" s="381"/>
      <c r="BB55" s="381"/>
      <c r="BC55" s="381"/>
      <c r="BD55" s="381"/>
      <c r="BE55" s="381"/>
      <c r="BF55" s="381"/>
      <c r="BG55" s="381"/>
      <c r="BH55" s="381"/>
      <c r="BI55" s="381"/>
      <c r="BJ55" s="381"/>
      <c r="BK55" s="381"/>
      <c r="BL55" s="381"/>
      <c r="BM55" s="381"/>
      <c r="BN55" s="381"/>
      <c r="BO55" s="381"/>
      <c r="BP55" s="381"/>
      <c r="BQ55" s="381"/>
      <c r="BR55" s="381"/>
      <c r="BS55" s="381"/>
      <c r="BT55" s="381"/>
      <c r="BU55" s="381"/>
      <c r="BV55" s="381"/>
      <c r="BW55" s="381"/>
      <c r="BX55" s="381"/>
      <c r="BY55" s="381"/>
      <c r="BZ55" s="381"/>
      <c r="CA55" s="381"/>
      <c r="CB55" s="381"/>
      <c r="CC55" s="381"/>
      <c r="CD55" s="381"/>
      <c r="CE55" s="381"/>
      <c r="CF55" s="381"/>
    </row>
    <row r="56" spans="1:84" ht="25.5">
      <c r="B56" s="548"/>
      <c r="E56" s="49"/>
      <c r="F56" s="49"/>
      <c r="G56" s="49"/>
      <c r="H56" s="534"/>
      <c r="I56" s="375"/>
      <c r="J56" s="49"/>
      <c r="K56" s="563"/>
      <c r="L56" s="564"/>
      <c r="M56" s="560"/>
      <c r="N56" s="573"/>
      <c r="O56" s="9"/>
      <c r="R56" s="381"/>
      <c r="S56" s="381"/>
      <c r="T56" s="381"/>
      <c r="U56" s="381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1"/>
      <c r="AS56" s="381"/>
      <c r="AT56" s="381"/>
      <c r="AU56" s="381"/>
      <c r="AV56" s="381"/>
      <c r="AW56" s="381"/>
      <c r="AX56" s="381"/>
      <c r="AY56" s="381"/>
      <c r="AZ56" s="381"/>
      <c r="BA56" s="381"/>
      <c r="BB56" s="381"/>
      <c r="BC56" s="381"/>
      <c r="BD56" s="381"/>
      <c r="BE56" s="381"/>
      <c r="BF56" s="381"/>
      <c r="BG56" s="381"/>
      <c r="BH56" s="381"/>
      <c r="BI56" s="381"/>
      <c r="BJ56" s="381"/>
      <c r="BK56" s="381"/>
      <c r="BL56" s="381"/>
      <c r="BM56" s="381"/>
      <c r="BN56" s="381"/>
      <c r="BO56" s="381"/>
      <c r="BP56" s="381"/>
      <c r="BQ56" s="381"/>
      <c r="BR56" s="381"/>
      <c r="BS56" s="381"/>
      <c r="BT56" s="381"/>
      <c r="BU56" s="381"/>
      <c r="BV56" s="381"/>
      <c r="BW56" s="381"/>
      <c r="BX56" s="381"/>
      <c r="BY56" s="381"/>
      <c r="BZ56" s="381"/>
      <c r="CA56" s="381"/>
      <c r="CB56" s="381"/>
      <c r="CC56" s="381"/>
      <c r="CD56" s="381"/>
      <c r="CE56" s="381"/>
      <c r="CF56" s="381"/>
    </row>
    <row r="57" spans="1:84" ht="16.5">
      <c r="B57" s="493"/>
      <c r="C57" s="9"/>
      <c r="D57" s="1070"/>
      <c r="E57" s="587"/>
      <c r="F57" s="588" t="s">
        <v>712</v>
      </c>
      <c r="G57" s="49"/>
      <c r="H57" s="534"/>
      <c r="I57" s="375"/>
      <c r="J57" s="49"/>
      <c r="K57" s="563"/>
      <c r="L57" s="564"/>
      <c r="M57" s="560"/>
      <c r="N57" s="576"/>
      <c r="O57" s="9"/>
      <c r="R57" s="381"/>
      <c r="S57" s="381"/>
      <c r="T57" s="381"/>
      <c r="U57" s="381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1"/>
      <c r="AS57" s="381"/>
      <c r="AT57" s="381"/>
      <c r="AU57" s="381"/>
      <c r="AV57" s="381"/>
      <c r="AW57" s="381"/>
      <c r="AX57" s="381"/>
      <c r="AY57" s="381"/>
      <c r="AZ57" s="381"/>
      <c r="BA57" s="381"/>
      <c r="BB57" s="381"/>
      <c r="BC57" s="381"/>
      <c r="BD57" s="381"/>
      <c r="BE57" s="381"/>
      <c r="BF57" s="381"/>
      <c r="BG57" s="381"/>
      <c r="BH57" s="381"/>
      <c r="BI57" s="381"/>
      <c r="BJ57" s="381"/>
      <c r="BK57" s="381"/>
      <c r="BL57" s="381"/>
      <c r="BM57" s="381"/>
      <c r="BN57" s="381"/>
      <c r="BO57" s="381"/>
      <c r="BP57" s="381"/>
      <c r="BQ57" s="381"/>
      <c r="BR57" s="381"/>
      <c r="BS57" s="381"/>
      <c r="BT57" s="381"/>
      <c r="BU57" s="381"/>
      <c r="BV57" s="381"/>
      <c r="BW57" s="381"/>
      <c r="BX57" s="381"/>
      <c r="BY57" s="381"/>
      <c r="BZ57" s="381"/>
      <c r="CA57" s="381"/>
      <c r="CB57" s="381"/>
      <c r="CC57" s="381"/>
      <c r="CD57" s="381"/>
      <c r="CE57" s="381"/>
      <c r="CF57" s="381"/>
    </row>
    <row r="58" spans="1:84" ht="16.5">
      <c r="B58" s="1071" t="s">
        <v>271</v>
      </c>
      <c r="C58" s="1072"/>
      <c r="D58" s="1627">
        <v>14066.808000000001</v>
      </c>
      <c r="E58" s="1774">
        <f>Indexador!F17</f>
        <v>121.19059799875039</v>
      </c>
      <c r="F58" s="1774"/>
      <c r="G58" s="381"/>
      <c r="L58" s="789"/>
      <c r="M58" s="575"/>
      <c r="N58" s="578"/>
      <c r="O58" s="9"/>
      <c r="R58" s="381"/>
      <c r="S58" s="381"/>
      <c r="T58" s="381"/>
      <c r="U58" s="381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1"/>
      <c r="AS58" s="381"/>
      <c r="AT58" s="381"/>
      <c r="AU58" s="381"/>
      <c r="AV58" s="381"/>
      <c r="AW58" s="381"/>
      <c r="AX58" s="381"/>
      <c r="AY58" s="381"/>
      <c r="AZ58" s="381"/>
      <c r="BA58" s="381"/>
      <c r="BB58" s="381"/>
      <c r="BC58" s="381"/>
      <c r="BD58" s="381"/>
      <c r="BE58" s="381"/>
      <c r="BF58" s="381"/>
      <c r="BG58" s="381"/>
      <c r="BH58" s="381"/>
      <c r="BI58" s="381"/>
      <c r="BJ58" s="381"/>
      <c r="BK58" s="381"/>
      <c r="BL58" s="381"/>
      <c r="BM58" s="381"/>
      <c r="BN58" s="381"/>
      <c r="BO58" s="381"/>
      <c r="BP58" s="381"/>
      <c r="BQ58" s="381"/>
      <c r="BR58" s="381"/>
      <c r="BS58" s="381"/>
      <c r="BT58" s="381"/>
      <c r="BU58" s="381"/>
      <c r="BV58" s="381"/>
      <c r="BW58" s="381"/>
      <c r="BX58" s="381"/>
      <c r="BY58" s="381"/>
      <c r="BZ58" s="381"/>
      <c r="CA58" s="381"/>
      <c r="CB58" s="381"/>
      <c r="CC58" s="381"/>
      <c r="CD58" s="381"/>
      <c r="CE58" s="381"/>
      <c r="CF58" s="381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69.23</v>
      </c>
      <c r="G59" s="381"/>
      <c r="K59" s="577"/>
      <c r="L59" s="564"/>
      <c r="N59" s="581"/>
      <c r="O59" s="9"/>
      <c r="R59" s="381"/>
      <c r="S59" s="381"/>
      <c r="T59" s="381"/>
      <c r="U59" s="381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1"/>
      <c r="AS59" s="381"/>
      <c r="AT59" s="381"/>
      <c r="AU59" s="381"/>
      <c r="AV59" s="381"/>
      <c r="AW59" s="381"/>
      <c r="AX59" s="381"/>
      <c r="AY59" s="381"/>
      <c r="AZ59" s="381"/>
      <c r="BA59" s="381"/>
      <c r="BB59" s="381"/>
      <c r="BC59" s="381"/>
      <c r="BD59" s="381"/>
      <c r="BE59" s="381"/>
      <c r="BF59" s="381"/>
      <c r="BG59" s="381"/>
      <c r="BH59" s="381"/>
      <c r="BI59" s="381"/>
      <c r="BJ59" s="381"/>
      <c r="BK59" s="381"/>
      <c r="BL59" s="381"/>
      <c r="BM59" s="381"/>
      <c r="BN59" s="381"/>
      <c r="BO59" s="381"/>
      <c r="BP59" s="381"/>
      <c r="BQ59" s="381"/>
      <c r="BR59" s="381"/>
      <c r="BS59" s="381"/>
      <c r="BT59" s="381"/>
      <c r="BU59" s="381"/>
      <c r="BV59" s="381"/>
      <c r="BW59" s="381"/>
      <c r="BX59" s="381"/>
      <c r="BY59" s="381"/>
      <c r="BZ59" s="381"/>
      <c r="CA59" s="381"/>
      <c r="CB59" s="381"/>
      <c r="CC59" s="381"/>
      <c r="CD59" s="381"/>
      <c r="CE59" s="381"/>
      <c r="CF59" s="381"/>
    </row>
    <row r="60" spans="1:84" ht="26.25" thickBot="1">
      <c r="A60" s="579"/>
      <c r="B60" s="543" t="s">
        <v>713</v>
      </c>
      <c r="C60" s="554"/>
      <c r="D60" s="555"/>
      <c r="E60" s="555"/>
      <c r="F60" s="555"/>
      <c r="G60" s="535"/>
      <c r="H60" s="536"/>
      <c r="I60" s="555"/>
      <c r="J60" s="556"/>
      <c r="K60" s="557"/>
      <c r="L60" s="790"/>
      <c r="M60" s="580"/>
      <c r="N60" s="581"/>
      <c r="O60" s="9"/>
      <c r="R60" s="381"/>
      <c r="S60" s="381"/>
      <c r="T60" s="381"/>
      <c r="U60" s="381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381"/>
      <c r="AH60" s="381"/>
      <c r="AI60" s="381"/>
      <c r="AJ60" s="381"/>
      <c r="AK60" s="381"/>
      <c r="AL60" s="381"/>
      <c r="AM60" s="381"/>
      <c r="AN60" s="381"/>
      <c r="AO60" s="381"/>
      <c r="AP60" s="381"/>
      <c r="AQ60" s="381"/>
      <c r="AR60" s="381"/>
      <c r="AS60" s="381"/>
      <c r="AT60" s="381"/>
      <c r="AU60" s="381"/>
      <c r="AV60" s="381"/>
      <c r="AW60" s="381"/>
      <c r="AX60" s="381"/>
      <c r="AY60" s="381"/>
      <c r="AZ60" s="381"/>
      <c r="BA60" s="381"/>
      <c r="BB60" s="381"/>
      <c r="BC60" s="381"/>
      <c r="BD60" s="381"/>
      <c r="BE60" s="381"/>
      <c r="BF60" s="381"/>
      <c r="BG60" s="381"/>
      <c r="BH60" s="381"/>
      <c r="BI60" s="381"/>
      <c r="BJ60" s="381"/>
      <c r="BK60" s="381"/>
      <c r="BL60" s="381"/>
      <c r="BM60" s="381"/>
      <c r="BN60" s="381"/>
      <c r="BO60" s="381"/>
      <c r="BP60" s="381"/>
      <c r="BQ60" s="381"/>
      <c r="BR60" s="381"/>
      <c r="BS60" s="381"/>
      <c r="BT60" s="381"/>
      <c r="BU60" s="381"/>
      <c r="BV60" s="381"/>
      <c r="BW60" s="381"/>
      <c r="BX60" s="381"/>
      <c r="BY60" s="381"/>
      <c r="BZ60" s="381"/>
      <c r="CA60" s="381"/>
      <c r="CB60" s="381"/>
      <c r="CC60" s="381"/>
      <c r="CD60" s="381"/>
      <c r="CE60" s="381"/>
      <c r="CF60" s="381"/>
    </row>
    <row r="61" spans="1:84" ht="57" customHeight="1" thickBot="1">
      <c r="B61" s="582" t="s">
        <v>714</v>
      </c>
      <c r="C61" s="582"/>
      <c r="D61" s="582" t="s">
        <v>715</v>
      </c>
      <c r="L61" s="564"/>
      <c r="M61" s="769"/>
      <c r="N61" s="480"/>
      <c r="O61" s="581"/>
      <c r="S61" s="381"/>
      <c r="T61" s="381"/>
      <c r="U61" s="381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381"/>
      <c r="AH61" s="381"/>
      <c r="AI61" s="381"/>
      <c r="AJ61" s="381"/>
      <c r="AK61" s="381"/>
      <c r="AL61" s="381"/>
      <c r="AM61" s="381"/>
      <c r="AN61" s="381"/>
      <c r="AO61" s="381"/>
      <c r="AP61" s="381"/>
      <c r="AQ61" s="381"/>
      <c r="AR61" s="381"/>
      <c r="AS61" s="381"/>
      <c r="AT61" s="381"/>
      <c r="AU61" s="381"/>
      <c r="AV61" s="381"/>
      <c r="AW61" s="381"/>
      <c r="AX61" s="381"/>
      <c r="AY61" s="381"/>
      <c r="AZ61" s="381"/>
      <c r="BA61" s="381"/>
      <c r="BB61" s="381"/>
      <c r="BC61" s="381"/>
      <c r="BD61" s="381"/>
      <c r="BE61" s="381"/>
      <c r="BF61" s="381"/>
      <c r="BG61" s="381"/>
      <c r="BH61" s="381"/>
      <c r="BI61" s="381"/>
      <c r="BJ61" s="381"/>
      <c r="BK61" s="381"/>
      <c r="BL61" s="381"/>
      <c r="BM61" s="381"/>
      <c r="BN61" s="381"/>
      <c r="BO61" s="381"/>
      <c r="BP61" s="381"/>
      <c r="BQ61" s="381"/>
      <c r="BR61" s="381"/>
      <c r="BS61" s="381"/>
      <c r="BT61" s="381"/>
      <c r="BU61" s="381"/>
      <c r="BV61" s="381"/>
      <c r="BW61" s="381"/>
      <c r="BX61" s="381"/>
      <c r="BY61" s="381"/>
      <c r="BZ61" s="381"/>
      <c r="CA61" s="381"/>
      <c r="CB61" s="381"/>
      <c r="CC61" s="381"/>
      <c r="CD61" s="381"/>
      <c r="CE61" s="381"/>
      <c r="CF61" s="381"/>
    </row>
    <row r="62" spans="1:84" ht="17.25" thickBot="1">
      <c r="B62" s="747" t="s">
        <v>716</v>
      </c>
      <c r="C62" s="748" t="s">
        <v>717</v>
      </c>
      <c r="D62" s="748" t="s">
        <v>233</v>
      </c>
      <c r="E62" s="1767" t="s">
        <v>718</v>
      </c>
      <c r="F62" s="1768"/>
      <c r="G62" s="748" t="s">
        <v>719</v>
      </c>
      <c r="H62" s="749" t="s">
        <v>720</v>
      </c>
      <c r="I62" s="9"/>
      <c r="J62" s="9"/>
      <c r="K62" s="9"/>
      <c r="L62" s="17"/>
      <c r="M62" s="569"/>
      <c r="N62" s="480"/>
      <c r="O62" s="581"/>
      <c r="S62" s="381"/>
      <c r="T62" s="381"/>
      <c r="U62" s="381"/>
      <c r="V62" s="381"/>
      <c r="W62" s="381"/>
      <c r="X62" s="381"/>
      <c r="Y62" s="381"/>
      <c r="Z62" s="381"/>
      <c r="AA62" s="381"/>
      <c r="AB62" s="381"/>
      <c r="AC62" s="381"/>
      <c r="AD62" s="381"/>
      <c r="AE62" s="381"/>
      <c r="AF62" s="381"/>
      <c r="AG62" s="381"/>
      <c r="AH62" s="381"/>
      <c r="AI62" s="381"/>
      <c r="AJ62" s="381"/>
      <c r="AK62" s="381"/>
      <c r="AL62" s="381"/>
      <c r="AM62" s="381"/>
      <c r="AN62" s="381"/>
      <c r="AO62" s="381"/>
      <c r="AP62" s="381"/>
      <c r="AQ62" s="381"/>
      <c r="AR62" s="381"/>
      <c r="AS62" s="381"/>
      <c r="AT62" s="381"/>
      <c r="AU62" s="381"/>
      <c r="AV62" s="381"/>
      <c r="AW62" s="381"/>
      <c r="AX62" s="381"/>
      <c r="AY62" s="381"/>
      <c r="AZ62" s="381"/>
      <c r="BA62" s="381"/>
      <c r="BB62" s="381"/>
      <c r="BC62" s="381"/>
      <c r="BD62" s="381"/>
      <c r="BE62" s="381"/>
      <c r="BF62" s="381"/>
      <c r="BG62" s="381"/>
      <c r="BH62" s="381"/>
      <c r="BI62" s="381"/>
      <c r="BJ62" s="381"/>
      <c r="BK62" s="381"/>
      <c r="BL62" s="381"/>
      <c r="BM62" s="381"/>
      <c r="BN62" s="381"/>
      <c r="BO62" s="381"/>
      <c r="BP62" s="381"/>
      <c r="BQ62" s="381"/>
      <c r="BR62" s="381"/>
      <c r="BS62" s="381"/>
      <c r="BT62" s="381"/>
      <c r="BU62" s="381"/>
      <c r="BV62" s="381"/>
      <c r="BW62" s="381"/>
      <c r="BX62" s="381"/>
      <c r="BY62" s="381"/>
      <c r="BZ62" s="381"/>
      <c r="CA62" s="381"/>
      <c r="CB62" s="381"/>
      <c r="CC62" s="381"/>
      <c r="CD62" s="381"/>
      <c r="CE62" s="381"/>
      <c r="CF62" s="381"/>
    </row>
    <row r="63" spans="1:84" ht="16.5">
      <c r="B63" s="743">
        <f>Indexador!B34</f>
        <v>44287</v>
      </c>
      <c r="C63" s="1628"/>
      <c r="D63" s="1628"/>
      <c r="E63" s="1785"/>
      <c r="F63" s="1786"/>
      <c r="G63" s="1628"/>
      <c r="H63" s="759"/>
      <c r="I63" s="9" t="s">
        <v>721</v>
      </c>
      <c r="J63" s="485"/>
      <c r="K63" s="9"/>
      <c r="L63" s="17"/>
      <c r="M63" s="569"/>
      <c r="N63" s="480"/>
      <c r="O63" s="581"/>
      <c r="S63" s="381"/>
      <c r="T63" s="381"/>
      <c r="U63" s="381"/>
      <c r="V63" s="381"/>
      <c r="W63" s="381"/>
      <c r="X63" s="381"/>
      <c r="Y63" s="381"/>
      <c r="Z63" s="381"/>
      <c r="AA63" s="381"/>
      <c r="AB63" s="381"/>
      <c r="AC63" s="381"/>
      <c r="AD63" s="381"/>
      <c r="AE63" s="381"/>
      <c r="AF63" s="381"/>
      <c r="AG63" s="381"/>
      <c r="AH63" s="381"/>
      <c r="AI63" s="381"/>
      <c r="AJ63" s="381"/>
      <c r="AK63" s="381"/>
      <c r="AL63" s="381"/>
      <c r="AM63" s="381"/>
      <c r="AN63" s="381"/>
      <c r="AO63" s="381"/>
      <c r="AP63" s="381"/>
      <c r="AQ63" s="381"/>
      <c r="AR63" s="381"/>
      <c r="AS63" s="381"/>
      <c r="AT63" s="381"/>
      <c r="AU63" s="381"/>
      <c r="AV63" s="381"/>
      <c r="AW63" s="381"/>
      <c r="AX63" s="381"/>
      <c r="AY63" s="381"/>
      <c r="AZ63" s="381"/>
      <c r="BA63" s="381"/>
      <c r="BB63" s="381"/>
      <c r="BC63" s="381"/>
      <c r="BD63" s="381"/>
      <c r="BE63" s="381"/>
      <c r="BF63" s="381"/>
      <c r="BG63" s="381"/>
      <c r="BH63" s="381"/>
      <c r="BI63" s="381"/>
      <c r="BJ63" s="381"/>
      <c r="BK63" s="381"/>
      <c r="BL63" s="381"/>
      <c r="BM63" s="381"/>
      <c r="BN63" s="381"/>
      <c r="BO63" s="381"/>
      <c r="BP63" s="381"/>
      <c r="BQ63" s="381"/>
      <c r="BR63" s="381"/>
      <c r="BS63" s="381"/>
      <c r="BT63" s="381"/>
      <c r="BU63" s="381"/>
      <c r="BV63" s="381"/>
      <c r="BW63" s="381"/>
      <c r="BX63" s="381"/>
      <c r="BY63" s="381"/>
      <c r="BZ63" s="381"/>
      <c r="CA63" s="381"/>
      <c r="CB63" s="381"/>
      <c r="CC63" s="381"/>
      <c r="CD63" s="381"/>
      <c r="CE63" s="381"/>
      <c r="CF63" s="381"/>
    </row>
    <row r="64" spans="1:84" ht="16.5">
      <c r="B64" s="744">
        <f>Indexador!B35</f>
        <v>44317</v>
      </c>
      <c r="C64" s="1629"/>
      <c r="D64" s="1629"/>
      <c r="E64" s="1787"/>
      <c r="F64" s="1788"/>
      <c r="G64" s="1629"/>
      <c r="H64" s="751">
        <f>SUMIF(BD!$A$41:$A$57,B64,BD!$C$41:$C$57)</f>
        <v>0</v>
      </c>
      <c r="I64" s="9" t="s">
        <v>722</v>
      </c>
      <c r="J64" s="586"/>
      <c r="K64" s="9"/>
      <c r="L64" s="17"/>
      <c r="M64" s="569"/>
      <c r="N64" s="480"/>
      <c r="O64" s="581"/>
      <c r="S64" s="381"/>
      <c r="T64" s="381"/>
      <c r="U64" s="381"/>
      <c r="V64" s="381"/>
      <c r="W64" s="381"/>
      <c r="X64" s="381"/>
      <c r="Y64" s="381"/>
      <c r="Z64" s="381"/>
      <c r="AA64" s="381"/>
      <c r="AB64" s="381"/>
      <c r="AC64" s="381"/>
      <c r="AD64" s="381"/>
      <c r="AE64" s="381"/>
      <c r="AF64" s="381"/>
      <c r="AG64" s="381"/>
      <c r="AH64" s="381"/>
      <c r="AI64" s="381"/>
      <c r="AJ64" s="381"/>
      <c r="AK64" s="381"/>
      <c r="AL64" s="381"/>
      <c r="AM64" s="381"/>
      <c r="AN64" s="381"/>
      <c r="AO64" s="381"/>
      <c r="AP64" s="381"/>
      <c r="AQ64" s="381"/>
      <c r="AR64" s="381"/>
      <c r="AS64" s="381"/>
      <c r="AT64" s="381"/>
      <c r="AU64" s="381"/>
      <c r="AV64" s="381"/>
      <c r="AW64" s="381"/>
      <c r="AX64" s="381"/>
      <c r="AY64" s="381"/>
      <c r="AZ64" s="381"/>
      <c r="BA64" s="381"/>
      <c r="BB64" s="381"/>
      <c r="BC64" s="381"/>
      <c r="BD64" s="381"/>
      <c r="BE64" s="381"/>
      <c r="BF64" s="381"/>
      <c r="BG64" s="381"/>
      <c r="BH64" s="381"/>
      <c r="BI64" s="381"/>
      <c r="BJ64" s="381"/>
      <c r="BK64" s="381"/>
      <c r="BL64" s="381"/>
      <c r="BM64" s="381"/>
      <c r="BN64" s="381"/>
      <c r="BO64" s="381"/>
      <c r="BP64" s="381"/>
      <c r="BQ64" s="381"/>
      <c r="BR64" s="381"/>
      <c r="BS64" s="381"/>
      <c r="BT64" s="381"/>
      <c r="BU64" s="381"/>
      <c r="BV64" s="381"/>
      <c r="BW64" s="381"/>
      <c r="BX64" s="381"/>
      <c r="BY64" s="381"/>
      <c r="BZ64" s="381"/>
      <c r="CA64" s="381"/>
      <c r="CB64" s="381"/>
      <c r="CC64" s="381"/>
      <c r="CD64" s="381"/>
      <c r="CE64" s="381"/>
      <c r="CF64" s="381"/>
    </row>
    <row r="65" spans="1:84" ht="17.25" thickBot="1">
      <c r="B65" s="750">
        <f>Indexador!B36</f>
        <v>44348</v>
      </c>
      <c r="C65" s="764">
        <f>IF($C$113="Não",SUMIFS(Faturas!H:H,Faturas!A:A,$K$12,Faturas!G:G,"PisConfins",Faturas!F:F,YEAR(CAPA!B65)*100+MONTH(CAPA!B65)),IF(B65&lt;$C$114,0,SUMIFS(Faturas!H:H,Faturas!A:A,$K$12,Faturas!G:G,"PisConfins",Faturas!F:F,YEAR(CAPA!B65)*100+MONTH(CAPA!B65))))</f>
        <v>146907.83000000002</v>
      </c>
      <c r="D65" s="76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89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0.01</v>
      </c>
      <c r="F65" s="1790"/>
      <c r="G65" s="764">
        <f>IFERROR(VLOOKUP(B65,transmissorapiscofins[#All],2,FALSE),0)</f>
        <v>17301.8</v>
      </c>
      <c r="H65" s="772">
        <f>SUMIF(BD!$A$41:$A$57,B65,BD!$C$41:$C$57)</f>
        <v>0</v>
      </c>
      <c r="I65" s="9"/>
      <c r="J65" s="586"/>
      <c r="K65" s="9"/>
      <c r="L65" s="17"/>
      <c r="M65" s="569"/>
      <c r="N65" s="480"/>
      <c r="O65" s="581"/>
      <c r="S65" s="381"/>
      <c r="T65" s="381"/>
      <c r="U65" s="381"/>
      <c r="V65" s="381"/>
      <c r="W65" s="381"/>
      <c r="X65" s="381"/>
      <c r="Y65" s="381"/>
      <c r="Z65" s="381"/>
      <c r="AA65" s="381"/>
      <c r="AB65" s="381"/>
      <c r="AC65" s="381"/>
      <c r="AD65" s="381"/>
      <c r="AE65" s="381"/>
      <c r="AF65" s="381"/>
      <c r="AG65" s="381"/>
      <c r="AH65" s="381"/>
      <c r="AI65" s="381"/>
      <c r="AJ65" s="381"/>
      <c r="AK65" s="381"/>
      <c r="AL65" s="381"/>
      <c r="AM65" s="381"/>
      <c r="AN65" s="381"/>
      <c r="AO65" s="381"/>
      <c r="AP65" s="381"/>
      <c r="AQ65" s="381"/>
      <c r="AR65" s="381"/>
      <c r="AS65" s="381"/>
      <c r="AT65" s="381"/>
      <c r="AU65" s="381"/>
      <c r="AV65" s="381"/>
      <c r="AW65" s="381"/>
      <c r="AX65" s="381"/>
      <c r="AY65" s="381"/>
      <c r="AZ65" s="381"/>
      <c r="BA65" s="381"/>
      <c r="BB65" s="381"/>
      <c r="BC65" s="381"/>
      <c r="BD65" s="381"/>
      <c r="BE65" s="381"/>
      <c r="BF65" s="381"/>
      <c r="BG65" s="381"/>
      <c r="BH65" s="381"/>
      <c r="BI65" s="381"/>
      <c r="BJ65" s="381"/>
      <c r="BK65" s="381"/>
      <c r="BL65" s="381"/>
      <c r="BM65" s="381"/>
      <c r="BN65" s="381"/>
      <c r="BO65" s="381"/>
      <c r="BP65" s="381"/>
      <c r="BQ65" s="381"/>
      <c r="BR65" s="381"/>
      <c r="BS65" s="381"/>
      <c r="BT65" s="381"/>
      <c r="BU65" s="381"/>
      <c r="BV65" s="381"/>
      <c r="BW65" s="381"/>
      <c r="BX65" s="381"/>
      <c r="BY65" s="381"/>
      <c r="BZ65" s="381"/>
      <c r="CA65" s="381"/>
      <c r="CB65" s="381"/>
      <c r="CC65" s="381"/>
      <c r="CD65" s="381"/>
      <c r="CE65" s="381"/>
      <c r="CF65" s="381"/>
    </row>
    <row r="66" spans="1:84">
      <c r="B66" s="745">
        <f>Indexador!B37</f>
        <v>44378</v>
      </c>
      <c r="C66" s="765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168482.58000000002</v>
      </c>
      <c r="D66" s="76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-37385.160000000003</v>
      </c>
      <c r="F66" s="1782"/>
      <c r="G66" s="766">
        <f>IFERROR(VLOOKUP(B66,transmissorapiscofins[#All],2,FALSE),0)</f>
        <v>16118.62</v>
      </c>
      <c r="H66" s="751">
        <f>SUMIF(BD!$A$41:$A$57,B66,BD!$C$41:$C$57)</f>
        <v>0</v>
      </c>
      <c r="I66" s="9"/>
      <c r="J66" s="9"/>
      <c r="K66" s="9"/>
      <c r="L66" s="17"/>
      <c r="M66" s="569"/>
      <c r="N66" s="480"/>
      <c r="S66" s="381"/>
      <c r="T66" s="381"/>
      <c r="U66" s="381"/>
      <c r="V66" s="381"/>
      <c r="W66" s="381"/>
      <c r="X66" s="381"/>
      <c r="Y66" s="381"/>
      <c r="Z66" s="381"/>
      <c r="AA66" s="381"/>
      <c r="AB66" s="381"/>
      <c r="AC66" s="381"/>
      <c r="AD66" s="381"/>
      <c r="AE66" s="381"/>
      <c r="AF66" s="381"/>
      <c r="AG66" s="381"/>
      <c r="AH66" s="381"/>
      <c r="AI66" s="381"/>
      <c r="AJ66" s="381"/>
      <c r="AK66" s="381"/>
      <c r="AL66" s="381"/>
      <c r="AM66" s="381"/>
      <c r="AN66" s="381"/>
      <c r="AO66" s="381"/>
      <c r="AP66" s="381"/>
      <c r="AQ66" s="381"/>
      <c r="AR66" s="381"/>
      <c r="AS66" s="381"/>
      <c r="AT66" s="381"/>
      <c r="AU66" s="381"/>
      <c r="AV66" s="381"/>
      <c r="AW66" s="381"/>
      <c r="AX66" s="381"/>
      <c r="AY66" s="381"/>
      <c r="AZ66" s="381"/>
      <c r="BA66" s="381"/>
      <c r="BB66" s="381"/>
      <c r="BC66" s="381"/>
      <c r="BD66" s="381"/>
      <c r="BE66" s="381"/>
      <c r="BF66" s="381"/>
      <c r="BG66" s="381"/>
      <c r="BH66" s="381"/>
      <c r="BI66" s="381"/>
      <c r="BJ66" s="381"/>
      <c r="BK66" s="381"/>
      <c r="BL66" s="381"/>
      <c r="BM66" s="381"/>
      <c r="BN66" s="381"/>
      <c r="BO66" s="381"/>
      <c r="BP66" s="381"/>
      <c r="BQ66" s="381"/>
      <c r="BR66" s="381"/>
      <c r="BS66" s="381"/>
      <c r="BT66" s="381"/>
      <c r="BU66" s="381"/>
      <c r="BV66" s="381"/>
      <c r="BW66" s="381"/>
      <c r="BX66" s="381"/>
      <c r="BY66" s="381"/>
      <c r="BZ66" s="381"/>
      <c r="CA66" s="381"/>
      <c r="CB66" s="381"/>
      <c r="CC66" s="381"/>
      <c r="CD66" s="381"/>
      <c r="CE66" s="381"/>
      <c r="CF66" s="381"/>
    </row>
    <row r="67" spans="1:84" ht="16.5" customHeight="1">
      <c r="B67" s="745">
        <f>Indexador!B38</f>
        <v>44409</v>
      </c>
      <c r="C67" s="765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240501.18</v>
      </c>
      <c r="D67" s="76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69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-5197.8900000000003</v>
      </c>
      <c r="F67" s="1770"/>
      <c r="G67" s="765">
        <f>IFERROR(VLOOKUP(B67,transmissorapiscofins[#All],2,FALSE),0)</f>
        <v>16267.07</v>
      </c>
      <c r="H67" s="751">
        <f>SUMIF(BD!$A$41:$A$57,B67,BD!$C$41:$C$57)</f>
        <v>0</v>
      </c>
      <c r="I67" s="9"/>
      <c r="J67" s="9"/>
      <c r="K67" s="9"/>
      <c r="L67" s="17"/>
      <c r="M67" s="569"/>
      <c r="N67" s="771"/>
      <c r="S67" s="381"/>
      <c r="T67" s="381"/>
      <c r="U67" s="381"/>
      <c r="V67" s="381"/>
      <c r="W67" s="381"/>
      <c r="X67" s="381"/>
      <c r="Y67" s="381"/>
      <c r="Z67" s="381"/>
      <c r="AA67" s="381"/>
      <c r="AB67" s="381"/>
      <c r="AC67" s="381"/>
      <c r="AD67" s="381"/>
      <c r="AE67" s="381"/>
      <c r="AF67" s="381"/>
      <c r="AG67" s="381"/>
      <c r="AH67" s="381"/>
      <c r="AI67" s="381"/>
      <c r="AJ67" s="381"/>
      <c r="AK67" s="381"/>
      <c r="AL67" s="381"/>
      <c r="AM67" s="381"/>
      <c r="AN67" s="381"/>
      <c r="AO67" s="381"/>
      <c r="AP67" s="381"/>
      <c r="AQ67" s="381"/>
      <c r="AR67" s="381"/>
      <c r="AS67" s="381"/>
      <c r="AT67" s="381"/>
      <c r="AU67" s="381"/>
      <c r="AV67" s="381"/>
      <c r="AW67" s="381"/>
      <c r="AX67" s="381"/>
      <c r="AY67" s="381"/>
      <c r="AZ67" s="381"/>
      <c r="BA67" s="381"/>
      <c r="BB67" s="381"/>
      <c r="BC67" s="381"/>
      <c r="BD67" s="381"/>
      <c r="BE67" s="381"/>
      <c r="BF67" s="381"/>
      <c r="BG67" s="381"/>
      <c r="BH67" s="381"/>
      <c r="BI67" s="381"/>
      <c r="BJ67" s="381"/>
      <c r="BK67" s="381"/>
      <c r="BL67" s="381"/>
      <c r="BM67" s="381"/>
      <c r="BN67" s="381"/>
      <c r="BO67" s="381"/>
      <c r="BP67" s="381"/>
      <c r="BQ67" s="381"/>
      <c r="BR67" s="381"/>
      <c r="BS67" s="381"/>
      <c r="BT67" s="381"/>
      <c r="BU67" s="381"/>
      <c r="BV67" s="381"/>
      <c r="BW67" s="381"/>
      <c r="BX67" s="381"/>
      <c r="BY67" s="381"/>
      <c r="BZ67" s="381"/>
      <c r="CA67" s="381"/>
      <c r="CB67" s="381"/>
      <c r="CC67" s="381"/>
      <c r="CD67" s="381"/>
      <c r="CE67" s="381"/>
      <c r="CF67" s="381"/>
    </row>
    <row r="68" spans="1:84" ht="16.5" customHeight="1">
      <c r="B68" s="745">
        <f>Indexador!B39</f>
        <v>44440</v>
      </c>
      <c r="C68" s="765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211118.09000000003</v>
      </c>
      <c r="D68" s="76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69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-41114.36</v>
      </c>
      <c r="F68" s="1770"/>
      <c r="G68" s="765">
        <f>IFERROR(VLOOKUP(B68,transmissorapiscofins[#All],2,FALSE),0)</f>
        <v>16067.58</v>
      </c>
      <c r="H68" s="751">
        <f>SUMIF(BD!$A$41:$A$57,B68,BD!$C$41:$C$57)</f>
        <v>0</v>
      </c>
      <c r="I68" s="9"/>
      <c r="J68" s="9"/>
      <c r="K68" s="9"/>
      <c r="L68" s="17"/>
      <c r="M68" s="569"/>
      <c r="N68" s="480"/>
      <c r="S68" s="381"/>
      <c r="T68" s="381"/>
      <c r="U68" s="381"/>
      <c r="V68" s="381"/>
      <c r="W68" s="381"/>
      <c r="X68" s="381"/>
      <c r="Y68" s="381"/>
      <c r="Z68" s="381"/>
      <c r="AA68" s="381"/>
      <c r="AB68" s="381"/>
      <c r="AC68" s="381"/>
      <c r="AD68" s="381"/>
      <c r="AE68" s="381"/>
      <c r="AF68" s="381"/>
      <c r="AG68" s="381"/>
      <c r="AH68" s="381"/>
      <c r="AI68" s="381"/>
      <c r="AJ68" s="381"/>
      <c r="AK68" s="381"/>
      <c r="AL68" s="381"/>
      <c r="AM68" s="381"/>
      <c r="AN68" s="381"/>
      <c r="AO68" s="381"/>
      <c r="AP68" s="381"/>
      <c r="AQ68" s="381"/>
      <c r="AR68" s="381"/>
      <c r="AS68" s="381"/>
      <c r="AT68" s="381"/>
      <c r="AU68" s="381"/>
      <c r="AV68" s="381"/>
      <c r="AW68" s="381"/>
      <c r="AX68" s="381"/>
      <c r="AY68" s="381"/>
      <c r="AZ68" s="381"/>
      <c r="BA68" s="381"/>
      <c r="BB68" s="381"/>
      <c r="BC68" s="381"/>
      <c r="BD68" s="381"/>
      <c r="BE68" s="381"/>
      <c r="BF68" s="381"/>
      <c r="BG68" s="381"/>
      <c r="BH68" s="381"/>
      <c r="BI68" s="381"/>
      <c r="BJ68" s="381"/>
      <c r="BK68" s="381"/>
      <c r="BL68" s="381"/>
      <c r="BM68" s="381"/>
      <c r="BN68" s="381"/>
      <c r="BO68" s="381"/>
      <c r="BP68" s="381"/>
      <c r="BQ68" s="381"/>
      <c r="BR68" s="381"/>
      <c r="BS68" s="381"/>
      <c r="BT68" s="381"/>
      <c r="BU68" s="381"/>
      <c r="BV68" s="381"/>
      <c r="BW68" s="381"/>
      <c r="BX68" s="381"/>
      <c r="BY68" s="381"/>
      <c r="BZ68" s="381"/>
      <c r="CA68" s="381"/>
      <c r="CB68" s="381"/>
      <c r="CC68" s="381"/>
      <c r="CD68" s="381"/>
      <c r="CE68" s="381"/>
      <c r="CF68" s="381"/>
    </row>
    <row r="69" spans="1:84" ht="16.5" customHeight="1">
      <c r="B69" s="745">
        <f>Indexador!B40</f>
        <v>44470</v>
      </c>
      <c r="C69" s="765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237635.8</v>
      </c>
      <c r="D69" s="76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69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-35438.54</v>
      </c>
      <c r="F69" s="1770"/>
      <c r="G69" s="765">
        <f>IFERROR(VLOOKUP(B69,transmissorapiscofins[#All],2,FALSE),0)</f>
        <v>16049.58</v>
      </c>
      <c r="H69" s="751">
        <f>SUMIF(BD!$A$41:$A$57,B69,BD!$C$41:$C$57)</f>
        <v>0</v>
      </c>
      <c r="I69" s="9"/>
      <c r="J69" s="9"/>
      <c r="K69" s="9"/>
      <c r="L69" s="17"/>
      <c r="M69" s="569"/>
      <c r="N69" s="480"/>
      <c r="S69" s="381"/>
      <c r="T69" s="381"/>
      <c r="U69" s="381"/>
      <c r="V69" s="381"/>
      <c r="W69" s="381"/>
      <c r="X69" s="381"/>
      <c r="Y69" s="381"/>
      <c r="Z69" s="381"/>
      <c r="AA69" s="381"/>
      <c r="AB69" s="381"/>
      <c r="AC69" s="381"/>
      <c r="AD69" s="381"/>
      <c r="AE69" s="381"/>
      <c r="AF69" s="381"/>
      <c r="AG69" s="381"/>
      <c r="AH69" s="381"/>
      <c r="AI69" s="381"/>
      <c r="AJ69" s="381"/>
      <c r="AK69" s="381"/>
      <c r="AL69" s="381"/>
      <c r="AM69" s="381"/>
      <c r="AN69" s="381"/>
      <c r="AO69" s="381"/>
      <c r="AP69" s="381"/>
      <c r="AQ69" s="381"/>
      <c r="AR69" s="381"/>
      <c r="AS69" s="381"/>
      <c r="AT69" s="381"/>
      <c r="AU69" s="381"/>
      <c r="AV69" s="381"/>
      <c r="AW69" s="381"/>
      <c r="AX69" s="381"/>
      <c r="AY69" s="381"/>
      <c r="AZ69" s="381"/>
      <c r="BA69" s="381"/>
      <c r="BB69" s="381"/>
      <c r="BC69" s="381"/>
      <c r="BD69" s="381"/>
      <c r="BE69" s="381"/>
      <c r="BF69" s="381"/>
      <c r="BG69" s="381"/>
      <c r="BH69" s="381"/>
      <c r="BI69" s="381"/>
      <c r="BJ69" s="381"/>
      <c r="BK69" s="381"/>
      <c r="BL69" s="381"/>
      <c r="BM69" s="381"/>
      <c r="BN69" s="381"/>
      <c r="BO69" s="381"/>
      <c r="BP69" s="381"/>
      <c r="BQ69" s="381"/>
      <c r="BR69" s="381"/>
      <c r="BS69" s="381"/>
      <c r="BT69" s="381"/>
      <c r="BU69" s="381"/>
      <c r="BV69" s="381"/>
      <c r="BW69" s="381"/>
      <c r="BX69" s="381"/>
      <c r="BY69" s="381"/>
      <c r="BZ69" s="381"/>
      <c r="CA69" s="381"/>
      <c r="CB69" s="381"/>
      <c r="CC69" s="381"/>
      <c r="CD69" s="381"/>
      <c r="CE69" s="381"/>
      <c r="CF69" s="381"/>
    </row>
    <row r="70" spans="1:84" ht="16.5" customHeight="1">
      <c r="B70" s="745">
        <f>Indexador!B41</f>
        <v>44501</v>
      </c>
      <c r="C70" s="765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336246.02</v>
      </c>
      <c r="D70" s="76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69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70"/>
      <c r="G70" s="765">
        <f>IFERROR(VLOOKUP(B70,transmissorapiscofins[#All],2,FALSE),0)</f>
        <v>16092.68</v>
      </c>
      <c r="H70" s="751">
        <f>SUMIF(BD!$A$41:$A$57,B70,BD!$C$41:$C$57)</f>
        <v>0</v>
      </c>
      <c r="I70" s="9"/>
      <c r="J70" s="9"/>
      <c r="K70" s="9"/>
      <c r="L70" s="17"/>
      <c r="M70" s="569"/>
      <c r="N70" s="480"/>
      <c r="S70" s="381"/>
      <c r="T70" s="381"/>
      <c r="U70" s="381"/>
      <c r="V70" s="381"/>
      <c r="W70" s="381"/>
      <c r="X70" s="381"/>
      <c r="Y70" s="381"/>
      <c r="Z70" s="381"/>
      <c r="AA70" s="381"/>
      <c r="AB70" s="381"/>
      <c r="AC70" s="381"/>
      <c r="AD70" s="381"/>
      <c r="AE70" s="381"/>
      <c r="AF70" s="381"/>
      <c r="AG70" s="381"/>
      <c r="AH70" s="381"/>
      <c r="AI70" s="381"/>
      <c r="AJ70" s="381"/>
      <c r="AK70" s="381"/>
      <c r="AL70" s="381"/>
      <c r="AM70" s="381"/>
      <c r="AN70" s="381"/>
      <c r="AO70" s="381"/>
      <c r="AP70" s="381"/>
      <c r="AQ70" s="381"/>
      <c r="AR70" s="381"/>
      <c r="AS70" s="381"/>
      <c r="AT70" s="381"/>
      <c r="AU70" s="381"/>
      <c r="AV70" s="381"/>
      <c r="AW70" s="381"/>
      <c r="AX70" s="381"/>
      <c r="AY70" s="381"/>
      <c r="AZ70" s="381"/>
      <c r="BA70" s="381"/>
      <c r="BB70" s="381"/>
      <c r="BC70" s="381"/>
      <c r="BD70" s="381"/>
      <c r="BE70" s="381"/>
      <c r="BF70" s="381"/>
      <c r="BG70" s="381"/>
      <c r="BH70" s="381"/>
      <c r="BI70" s="381"/>
      <c r="BJ70" s="381"/>
      <c r="BK70" s="381"/>
      <c r="BL70" s="381"/>
      <c r="BM70" s="381"/>
      <c r="BN70" s="381"/>
      <c r="BO70" s="381"/>
      <c r="BP70" s="381"/>
      <c r="BQ70" s="381"/>
      <c r="BR70" s="381"/>
      <c r="BS70" s="381"/>
      <c r="BT70" s="381"/>
      <c r="BU70" s="381"/>
      <c r="BV70" s="381"/>
      <c r="BW70" s="381"/>
      <c r="BX70" s="381"/>
      <c r="BY70" s="381"/>
      <c r="BZ70" s="381"/>
      <c r="CA70" s="381"/>
      <c r="CB70" s="381"/>
      <c r="CC70" s="381"/>
      <c r="CD70" s="381"/>
      <c r="CE70" s="381"/>
      <c r="CF70" s="381"/>
    </row>
    <row r="71" spans="1:84" ht="16.5" customHeight="1">
      <c r="B71" s="745">
        <f>Indexador!B42</f>
        <v>44531</v>
      </c>
      <c r="C71" s="765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202926.74</v>
      </c>
      <c r="D71" s="76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69">
        <f>IF($C$113="Não",SUMIFS(Faturas!H:H,Faturas!A:A,$K$12,Faturas!G:G,"DICFIC",Faturas!F:F,YEAR(CAPA!B71)*100+MONTH(CAPA!B71)),IF(B71&lt;$C$114,0,SUMIFS(Faturas!H:H,Faturas!A:A,$K$12,Faturas!G:G,"DICFIC",Faturas!F:F,YEAR(CAPA!B71)*100+MONTH(CAPA!B71))))</f>
        <v>-0.01</v>
      </c>
      <c r="F71" s="1770"/>
      <c r="G71" s="765">
        <f>IFERROR(VLOOKUP(B71,transmissorapiscofins[#All],2,FALSE),0)</f>
        <v>20562.09</v>
      </c>
      <c r="H71" s="751">
        <f>SUMIF(BD!$A$41:$A$57,B71,BD!$C$41:$C$57)</f>
        <v>0</v>
      </c>
      <c r="I71" s="9"/>
      <c r="J71" s="9"/>
      <c r="K71" s="9"/>
      <c r="L71" s="17"/>
      <c r="M71" s="569"/>
      <c r="N71" s="480"/>
      <c r="S71" s="381"/>
      <c r="T71" s="381"/>
      <c r="U71" s="381"/>
      <c r="V71" s="381"/>
      <c r="W71" s="381"/>
      <c r="X71" s="381"/>
      <c r="Y71" s="381"/>
      <c r="Z71" s="381"/>
      <c r="AA71" s="381"/>
      <c r="AB71" s="381"/>
      <c r="AC71" s="381"/>
      <c r="AD71" s="381"/>
      <c r="AE71" s="381"/>
      <c r="AF71" s="381"/>
      <c r="AG71" s="381"/>
      <c r="AH71" s="381"/>
      <c r="AI71" s="381"/>
      <c r="AJ71" s="381"/>
      <c r="AK71" s="381"/>
      <c r="AL71" s="381"/>
      <c r="AM71" s="381"/>
      <c r="AN71" s="381"/>
      <c r="AO71" s="381"/>
      <c r="AP71" s="381"/>
      <c r="AQ71" s="381"/>
      <c r="AR71" s="381"/>
      <c r="AS71" s="381"/>
      <c r="AT71" s="381"/>
      <c r="AU71" s="381"/>
      <c r="AV71" s="381"/>
      <c r="AW71" s="381"/>
      <c r="AX71" s="381"/>
      <c r="AY71" s="381"/>
      <c r="AZ71" s="381"/>
      <c r="BA71" s="381"/>
      <c r="BB71" s="381"/>
      <c r="BC71" s="381"/>
      <c r="BD71" s="381"/>
      <c r="BE71" s="381"/>
      <c r="BF71" s="381"/>
      <c r="BG71" s="381"/>
      <c r="BH71" s="381"/>
      <c r="BI71" s="381"/>
      <c r="BJ71" s="381"/>
      <c r="BK71" s="381"/>
      <c r="BL71" s="381"/>
      <c r="BM71" s="381"/>
      <c r="BN71" s="381"/>
      <c r="BO71" s="381"/>
      <c r="BP71" s="381"/>
      <c r="BQ71" s="381"/>
      <c r="BR71" s="381"/>
      <c r="BS71" s="381"/>
      <c r="BT71" s="381"/>
      <c r="BU71" s="381"/>
      <c r="BV71" s="381"/>
      <c r="BW71" s="381"/>
      <c r="BX71" s="381"/>
      <c r="BY71" s="381"/>
      <c r="BZ71" s="381"/>
      <c r="CA71" s="381"/>
      <c r="CB71" s="381"/>
      <c r="CC71" s="381"/>
      <c r="CD71" s="381"/>
      <c r="CE71" s="381"/>
      <c r="CF71" s="381"/>
    </row>
    <row r="72" spans="1:84" ht="16.5" customHeight="1">
      <c r="B72" s="745">
        <f>Indexador!B43</f>
        <v>44562</v>
      </c>
      <c r="C72" s="765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2775.5</v>
      </c>
      <c r="D72" s="76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69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-68504.259999999995</v>
      </c>
      <c r="F72" s="1770"/>
      <c r="G72" s="765">
        <f>IFERROR(VLOOKUP(B72,transmissorapiscofins[#All],2,FALSE),0)</f>
        <v>36246.870000000003</v>
      </c>
      <c r="H72" s="751">
        <f>SUMIF(BD!$A$41:$A$57,B72,BD!$C$41:$C$57)</f>
        <v>0</v>
      </c>
      <c r="J72" s="487" t="s">
        <v>723</v>
      </c>
      <c r="K72" s="487" t="s">
        <v>724</v>
      </c>
      <c r="L72" s="607" t="s">
        <v>724</v>
      </c>
      <c r="M72" s="607" t="s">
        <v>725</v>
      </c>
      <c r="N72" s="480"/>
      <c r="S72" s="381"/>
      <c r="T72" s="381"/>
      <c r="U72" s="381"/>
      <c r="V72" s="381"/>
      <c r="W72" s="381"/>
      <c r="X72" s="381"/>
      <c r="Y72" s="381"/>
      <c r="Z72" s="381"/>
      <c r="AA72" s="381"/>
      <c r="AB72" s="381"/>
      <c r="AC72" s="381"/>
      <c r="AD72" s="381"/>
      <c r="AE72" s="381"/>
      <c r="AF72" s="381"/>
      <c r="AG72" s="381"/>
      <c r="AH72" s="381"/>
      <c r="AI72" s="381"/>
      <c r="AJ72" s="381"/>
      <c r="AK72" s="381"/>
      <c r="AL72" s="381"/>
      <c r="AM72" s="381"/>
      <c r="AN72" s="381"/>
      <c r="AO72" s="381"/>
      <c r="AP72" s="381"/>
      <c r="AQ72" s="381"/>
      <c r="AR72" s="381"/>
      <c r="AS72" s="381"/>
      <c r="AT72" s="381"/>
      <c r="AU72" s="381"/>
      <c r="AV72" s="381"/>
      <c r="AW72" s="381"/>
      <c r="AX72" s="381"/>
      <c r="AY72" s="381"/>
      <c r="AZ72" s="381"/>
      <c r="BA72" s="381"/>
      <c r="BB72" s="381"/>
      <c r="BC72" s="381"/>
      <c r="BD72" s="381"/>
      <c r="BE72" s="381"/>
      <c r="BF72" s="381"/>
      <c r="BG72" s="381"/>
      <c r="BH72" s="381"/>
      <c r="BI72" s="381"/>
      <c r="BJ72" s="381"/>
      <c r="BK72" s="381"/>
      <c r="BL72" s="381"/>
      <c r="BM72" s="381"/>
      <c r="BN72" s="381"/>
      <c r="BO72" s="381"/>
      <c r="BP72" s="381"/>
      <c r="BQ72" s="381"/>
      <c r="BR72" s="381"/>
      <c r="BS72" s="381"/>
      <c r="BT72" s="381"/>
      <c r="BU72" s="381"/>
      <c r="BV72" s="381"/>
      <c r="BW72" s="381"/>
      <c r="BX72" s="381"/>
      <c r="BY72" s="381"/>
      <c r="BZ72" s="381"/>
      <c r="CA72" s="381"/>
      <c r="CB72" s="381"/>
      <c r="CC72" s="381"/>
      <c r="CD72" s="381"/>
      <c r="CE72" s="381"/>
      <c r="CF72" s="381"/>
    </row>
    <row r="73" spans="1:84" ht="16.5" customHeight="1">
      <c r="B73" s="745">
        <f>Indexador!B44</f>
        <v>44593</v>
      </c>
      <c r="C73" s="765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14427.57</v>
      </c>
      <c r="D73" s="76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69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-1960.66</v>
      </c>
      <c r="F73" s="1770"/>
      <c r="G73" s="765">
        <f>IFERROR(VLOOKUP(B73,transmissorapiscofins[#All],2,FALSE),0)</f>
        <v>42946.76</v>
      </c>
      <c r="H73" s="751">
        <f>SUMIF(BD!$A$41:$A$57,B73,BD!$C$41:$C$57)</f>
        <v>0</v>
      </c>
      <c r="J73" s="1073" t="str">
        <f ca="1">IFERROR(VLOOKUP(TRUE,BD!D41:F56,3,FALSE),"todos os meses")</f>
        <v>todos os meses</v>
      </c>
      <c r="K73" s="1074" t="s">
        <v>726</v>
      </c>
      <c r="L73" s="1075">
        <f ca="1">IF(Energia!F23*2/3=0,0.0000001,Energia!F23*2/3)</f>
        <v>16493124.982242746</v>
      </c>
      <c r="M73" s="1076">
        <f ca="1">IFERROR(-LnkTXTBandeira/Energia!F23," ")</f>
        <v>0</v>
      </c>
      <c r="N73" s="480"/>
      <c r="S73" s="381"/>
      <c r="T73" s="381"/>
      <c r="U73" s="381"/>
      <c r="V73" s="381"/>
      <c r="W73" s="381"/>
      <c r="X73" s="381"/>
      <c r="Y73" s="381"/>
      <c r="Z73" s="381"/>
      <c r="AA73" s="381"/>
      <c r="AB73" s="381"/>
      <c r="AC73" s="381"/>
      <c r="AD73" s="381"/>
      <c r="AE73" s="381"/>
      <c r="AF73" s="381"/>
      <c r="AG73" s="381"/>
      <c r="AH73" s="381"/>
      <c r="AI73" s="381"/>
      <c r="AJ73" s="381"/>
      <c r="AK73" s="381"/>
      <c r="AL73" s="381"/>
      <c r="AM73" s="381"/>
      <c r="AN73" s="381"/>
      <c r="AO73" s="381"/>
      <c r="AP73" s="381"/>
      <c r="AQ73" s="381"/>
      <c r="AR73" s="381"/>
      <c r="AS73" s="381"/>
      <c r="AT73" s="381"/>
      <c r="AU73" s="381"/>
      <c r="AV73" s="381"/>
      <c r="AW73" s="381"/>
      <c r="AX73" s="381"/>
      <c r="AY73" s="381"/>
      <c r="AZ73" s="381"/>
      <c r="BA73" s="381"/>
      <c r="BB73" s="381"/>
      <c r="BC73" s="381"/>
      <c r="BD73" s="381"/>
      <c r="BE73" s="381"/>
      <c r="BF73" s="381"/>
      <c r="BG73" s="381"/>
      <c r="BH73" s="381"/>
      <c r="BI73" s="381"/>
      <c r="BJ73" s="381"/>
      <c r="BK73" s="381"/>
      <c r="BL73" s="381"/>
      <c r="BM73" s="381"/>
      <c r="BN73" s="381"/>
      <c r="BO73" s="381"/>
      <c r="BP73" s="381"/>
      <c r="BQ73" s="381"/>
      <c r="BR73" s="381"/>
      <c r="BS73" s="381"/>
      <c r="BT73" s="381"/>
      <c r="BU73" s="381"/>
      <c r="BV73" s="381"/>
      <c r="BW73" s="381"/>
      <c r="BX73" s="381"/>
      <c r="BY73" s="381"/>
      <c r="BZ73" s="381"/>
      <c r="CA73" s="381"/>
      <c r="CB73" s="381"/>
      <c r="CC73" s="381"/>
      <c r="CD73" s="381"/>
      <c r="CE73" s="381"/>
      <c r="CF73" s="381"/>
    </row>
    <row r="74" spans="1:84">
      <c r="B74" s="745">
        <f>Indexador!B45</f>
        <v>44621</v>
      </c>
      <c r="C74" s="765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52568.909999999996</v>
      </c>
      <c r="D74" s="76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69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0.02</v>
      </c>
      <c r="F74" s="1770"/>
      <c r="G74" s="765">
        <f>IFERROR(VLOOKUP(B74,transmissorapiscofins[#All],2,FALSE),0)</f>
        <v>39560.519999999997</v>
      </c>
      <c r="H74" s="751">
        <f>SUMIF(BD!$A$41:$A$57,B74,BD!$C$41:$C$57)</f>
        <v>0</v>
      </c>
      <c r="I74" s="9"/>
      <c r="J74" s="9"/>
      <c r="K74" s="9"/>
      <c r="L74" s="17"/>
      <c r="M74" s="569"/>
      <c r="N74" s="480"/>
      <c r="S74" s="381"/>
      <c r="T74" s="381"/>
      <c r="U74" s="381"/>
      <c r="V74" s="381"/>
      <c r="W74" s="381"/>
      <c r="X74" s="381"/>
      <c r="Y74" s="381"/>
      <c r="Z74" s="381"/>
      <c r="AA74" s="381"/>
      <c r="AB74" s="381"/>
      <c r="AC74" s="381"/>
      <c r="AD74" s="381"/>
      <c r="AE74" s="381"/>
      <c r="AF74" s="381"/>
      <c r="AG74" s="381"/>
      <c r="AH74" s="381"/>
      <c r="AI74" s="381"/>
      <c r="AJ74" s="381"/>
      <c r="AK74" s="381"/>
      <c r="AL74" s="381"/>
      <c r="AM74" s="381"/>
      <c r="AN74" s="381"/>
      <c r="AO74" s="381"/>
      <c r="AP74" s="381"/>
      <c r="AQ74" s="381"/>
      <c r="AR74" s="381"/>
      <c r="AS74" s="381"/>
      <c r="AT74" s="381"/>
      <c r="AU74" s="381"/>
      <c r="AV74" s="381"/>
      <c r="AW74" s="381"/>
      <c r="AX74" s="381"/>
      <c r="AY74" s="381"/>
      <c r="AZ74" s="381"/>
      <c r="BA74" s="381"/>
      <c r="BB74" s="381"/>
      <c r="BC74" s="381"/>
      <c r="BD74" s="381"/>
      <c r="BE74" s="381"/>
      <c r="BF74" s="381"/>
      <c r="BG74" s="381"/>
      <c r="BH74" s="381"/>
      <c r="BI74" s="381"/>
      <c r="BJ74" s="381"/>
      <c r="BK74" s="381"/>
      <c r="BL74" s="381"/>
      <c r="BM74" s="381"/>
      <c r="BN74" s="381"/>
      <c r="BO74" s="381"/>
      <c r="BP74" s="381"/>
      <c r="BQ74" s="381"/>
      <c r="BR74" s="381"/>
      <c r="BS74" s="381"/>
      <c r="BT74" s="381"/>
      <c r="BU74" s="381"/>
      <c r="BV74" s="381"/>
      <c r="BW74" s="381"/>
      <c r="BX74" s="381"/>
      <c r="BY74" s="381"/>
      <c r="BZ74" s="381"/>
      <c r="CA74" s="381"/>
      <c r="CB74" s="381"/>
      <c r="CC74" s="381"/>
      <c r="CD74" s="381"/>
      <c r="CE74" s="381"/>
      <c r="CF74" s="381"/>
    </row>
    <row r="75" spans="1:84" ht="16.5" customHeight="1">
      <c r="B75" s="745">
        <f>Indexador!B46</f>
        <v>44652</v>
      </c>
      <c r="C75" s="765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53317.919999999998</v>
      </c>
      <c r="D75" s="76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69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-450.06</v>
      </c>
      <c r="F75" s="1770"/>
      <c r="G75" s="765">
        <f>IFERROR(VLOOKUP(B75,transmissorapiscofins[#All],2,FALSE),0)</f>
        <v>30743.279999999999</v>
      </c>
      <c r="H75" s="751">
        <f>SUMIF(BD!$A$41:$A$57,B75,BD!$C$41:$C$57)</f>
        <v>0</v>
      </c>
      <c r="I75" s="9"/>
      <c r="J75" s="9"/>
      <c r="K75" s="9"/>
      <c r="L75" s="17"/>
      <c r="M75" s="569"/>
      <c r="N75" s="480"/>
      <c r="S75" s="381"/>
      <c r="T75" s="381"/>
      <c r="U75" s="381"/>
      <c r="V75" s="381"/>
      <c r="W75" s="381"/>
      <c r="X75" s="381"/>
      <c r="Y75" s="381"/>
      <c r="Z75" s="381"/>
      <c r="AA75" s="381"/>
      <c r="AB75" s="381"/>
      <c r="AC75" s="381"/>
      <c r="AD75" s="381"/>
      <c r="AE75" s="381"/>
      <c r="AF75" s="381"/>
      <c r="AG75" s="381"/>
      <c r="AH75" s="381"/>
      <c r="AI75" s="381"/>
      <c r="AJ75" s="381"/>
      <c r="AK75" s="381"/>
      <c r="AL75" s="381"/>
      <c r="AM75" s="381"/>
      <c r="AN75" s="381"/>
      <c r="AO75" s="381"/>
      <c r="AP75" s="381"/>
      <c r="AQ75" s="381"/>
      <c r="AR75" s="381"/>
      <c r="AS75" s="381"/>
      <c r="AT75" s="381"/>
      <c r="AU75" s="381"/>
      <c r="AV75" s="381"/>
      <c r="AW75" s="381"/>
      <c r="AX75" s="381"/>
      <c r="AY75" s="381"/>
      <c r="AZ75" s="381"/>
      <c r="BA75" s="381"/>
      <c r="BB75" s="381"/>
      <c r="BC75" s="381"/>
      <c r="BD75" s="381"/>
      <c r="BE75" s="381"/>
      <c r="BF75" s="381"/>
      <c r="BG75" s="381"/>
      <c r="BH75" s="381"/>
      <c r="BI75" s="381"/>
      <c r="BJ75" s="381"/>
      <c r="BK75" s="381"/>
      <c r="BL75" s="381"/>
      <c r="BM75" s="381"/>
      <c r="BN75" s="381"/>
      <c r="BO75" s="381"/>
      <c r="BP75" s="381"/>
      <c r="BQ75" s="381"/>
      <c r="BR75" s="381"/>
      <c r="BS75" s="381"/>
      <c r="BT75" s="381"/>
      <c r="BU75" s="381"/>
      <c r="BV75" s="381"/>
      <c r="BW75" s="381"/>
      <c r="BX75" s="381"/>
      <c r="BY75" s="381"/>
      <c r="BZ75" s="381"/>
      <c r="CA75" s="381"/>
      <c r="CB75" s="381"/>
      <c r="CC75" s="381"/>
      <c r="CD75" s="381"/>
      <c r="CE75" s="381"/>
      <c r="CF75" s="381"/>
    </row>
    <row r="76" spans="1:84">
      <c r="B76" s="745">
        <f>Indexador!B47</f>
        <v>44682</v>
      </c>
      <c r="C76" s="765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41623.21</v>
      </c>
      <c r="D76" s="76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69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-2918.29</v>
      </c>
      <c r="F76" s="1770"/>
      <c r="G76" s="765">
        <f>IFERROR(VLOOKUP(B76,transmissorapiscofins[#All],2,FALSE),0)</f>
        <v>22422.35</v>
      </c>
      <c r="H76" s="751">
        <f>SUMIF(BD!$A$41:$A$57,B76,BD!$C$41:$C$57)</f>
        <v>0</v>
      </c>
      <c r="I76" s="9"/>
      <c r="J76" s="9"/>
      <c r="K76" s="9"/>
      <c r="L76" s="17"/>
      <c r="M76" s="569"/>
      <c r="N76" s="480"/>
      <c r="S76" s="381"/>
      <c r="T76" s="381"/>
      <c r="U76" s="381"/>
      <c r="V76" s="381"/>
      <c r="W76" s="381"/>
      <c r="X76" s="381"/>
      <c r="Y76" s="381"/>
      <c r="Z76" s="381"/>
      <c r="AA76" s="381"/>
      <c r="AB76" s="381"/>
      <c r="AC76" s="381"/>
      <c r="AD76" s="381"/>
      <c r="AE76" s="381"/>
      <c r="AF76" s="381"/>
      <c r="AG76" s="381"/>
      <c r="AH76" s="381"/>
      <c r="AI76" s="381"/>
      <c r="AJ76" s="381"/>
      <c r="AK76" s="381"/>
      <c r="AL76" s="381"/>
      <c r="AM76" s="381"/>
      <c r="AN76" s="381"/>
      <c r="AO76" s="381"/>
      <c r="AP76" s="381"/>
      <c r="AQ76" s="381"/>
      <c r="AR76" s="381"/>
      <c r="AS76" s="381"/>
      <c r="AT76" s="381"/>
      <c r="AU76" s="381"/>
      <c r="AV76" s="381"/>
      <c r="AW76" s="381"/>
      <c r="AX76" s="381"/>
      <c r="AY76" s="381"/>
      <c r="AZ76" s="381"/>
      <c r="BA76" s="381"/>
      <c r="BB76" s="381"/>
      <c r="BC76" s="381"/>
      <c r="BD76" s="381"/>
      <c r="BE76" s="381"/>
      <c r="BF76" s="381"/>
      <c r="BG76" s="381"/>
      <c r="BH76" s="381"/>
      <c r="BI76" s="381"/>
      <c r="BJ76" s="381"/>
      <c r="BK76" s="381"/>
      <c r="BL76" s="381"/>
      <c r="BM76" s="381"/>
      <c r="BN76" s="381"/>
      <c r="BO76" s="381"/>
      <c r="BP76" s="381"/>
      <c r="BQ76" s="381"/>
      <c r="BR76" s="381"/>
      <c r="BS76" s="381"/>
      <c r="BT76" s="381"/>
      <c r="BU76" s="381"/>
      <c r="BV76" s="381"/>
      <c r="BW76" s="381"/>
      <c r="BX76" s="381"/>
      <c r="BY76" s="381"/>
      <c r="BZ76" s="381"/>
      <c r="CA76" s="381"/>
      <c r="CB76" s="381"/>
      <c r="CC76" s="381"/>
      <c r="CD76" s="381"/>
      <c r="CE76" s="381"/>
      <c r="CF76" s="381"/>
    </row>
    <row r="77" spans="1:84" ht="16.5" thickBot="1">
      <c r="B77" s="746">
        <f>Indexador!B48</f>
        <v>44713</v>
      </c>
      <c r="C77" s="767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77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72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73"/>
      <c r="G77" s="877">
        <f>IFERROR(VLOOKUP(B77,transmissorapiscofins[#All],2,FALSE),0)</f>
        <v>0</v>
      </c>
      <c r="H77" s="866"/>
      <c r="I77" s="585">
        <f>SUM(D65:D76)+D76</f>
        <v>0</v>
      </c>
      <c r="J77" s="9"/>
      <c r="K77" s="9"/>
      <c r="L77" s="17"/>
      <c r="M77" s="569"/>
      <c r="O77" s="9"/>
      <c r="R77" s="381"/>
      <c r="S77" s="381"/>
      <c r="T77" s="381"/>
      <c r="U77" s="381"/>
      <c r="V77" s="381"/>
      <c r="W77" s="381"/>
      <c r="X77" s="381"/>
      <c r="Y77" s="381"/>
      <c r="Z77" s="381"/>
      <c r="AA77" s="381"/>
      <c r="AB77" s="381"/>
      <c r="AC77" s="381"/>
      <c r="AD77" s="381"/>
      <c r="AE77" s="381"/>
      <c r="AF77" s="381"/>
      <c r="AG77" s="381"/>
      <c r="AH77" s="381"/>
      <c r="AI77" s="381"/>
      <c r="AJ77" s="381"/>
      <c r="AK77" s="381"/>
      <c r="AL77" s="381"/>
      <c r="AM77" s="381"/>
      <c r="AN77" s="381"/>
      <c r="AO77" s="381"/>
      <c r="AP77" s="381"/>
      <c r="AQ77" s="381"/>
      <c r="AR77" s="381"/>
      <c r="AS77" s="381"/>
      <c r="AT77" s="381"/>
      <c r="AU77" s="381"/>
      <c r="AV77" s="381"/>
      <c r="AW77" s="381"/>
      <c r="AX77" s="381"/>
      <c r="AY77" s="381"/>
      <c r="AZ77" s="381"/>
      <c r="BA77" s="381"/>
      <c r="BB77" s="381"/>
      <c r="BC77" s="381"/>
      <c r="BD77" s="381"/>
      <c r="BE77" s="381"/>
      <c r="BF77" s="381"/>
      <c r="BG77" s="381"/>
      <c r="BH77" s="381"/>
      <c r="BI77" s="381"/>
      <c r="BJ77" s="381"/>
      <c r="BK77" s="381"/>
      <c r="BL77" s="381"/>
      <c r="BM77" s="381"/>
      <c r="BN77" s="381"/>
      <c r="BO77" s="381"/>
      <c r="BP77" s="381"/>
      <c r="BQ77" s="381"/>
      <c r="BR77" s="381"/>
      <c r="BS77" s="381"/>
      <c r="BT77" s="381"/>
      <c r="BU77" s="381"/>
      <c r="BV77" s="381"/>
      <c r="BW77" s="381"/>
      <c r="BX77" s="381"/>
      <c r="BY77" s="381"/>
      <c r="BZ77" s="381"/>
      <c r="CA77" s="381"/>
      <c r="CB77" s="381"/>
      <c r="CC77" s="381"/>
      <c r="CD77" s="381"/>
      <c r="CE77" s="381"/>
      <c r="CF77" s="381"/>
    </row>
    <row r="78" spans="1:84">
      <c r="B78" s="9"/>
      <c r="C78" s="9"/>
      <c r="D78" s="9"/>
      <c r="E78" s="9"/>
      <c r="F78" s="9"/>
      <c r="G78" s="9"/>
      <c r="H78" s="9"/>
      <c r="I78" s="9"/>
      <c r="J78" s="585"/>
      <c r="K78" s="9"/>
      <c r="L78" s="17"/>
      <c r="M78" s="547"/>
      <c r="O78" s="9"/>
      <c r="R78" s="381"/>
      <c r="S78" s="381"/>
      <c r="T78" s="381"/>
      <c r="U78" s="381"/>
      <c r="V78" s="381"/>
      <c r="W78" s="381"/>
      <c r="X78" s="381"/>
      <c r="Y78" s="381"/>
      <c r="Z78" s="381"/>
      <c r="AA78" s="381"/>
      <c r="AB78" s="381"/>
      <c r="AC78" s="381"/>
      <c r="AD78" s="381"/>
      <c r="AE78" s="381"/>
      <c r="AF78" s="381"/>
      <c r="AG78" s="381"/>
      <c r="AH78" s="381"/>
      <c r="AI78" s="381"/>
      <c r="AJ78" s="381"/>
      <c r="AK78" s="381"/>
      <c r="AL78" s="381"/>
      <c r="AM78" s="381"/>
      <c r="AN78" s="381"/>
      <c r="AO78" s="381"/>
      <c r="AP78" s="381"/>
      <c r="AQ78" s="381"/>
      <c r="AR78" s="381"/>
      <c r="AS78" s="381"/>
      <c r="AT78" s="381"/>
      <c r="AU78" s="381"/>
      <c r="AV78" s="381"/>
      <c r="AW78" s="381"/>
      <c r="AX78" s="381"/>
      <c r="AY78" s="381"/>
      <c r="AZ78" s="381"/>
      <c r="BA78" s="381"/>
      <c r="BB78" s="381"/>
      <c r="BC78" s="381"/>
      <c r="BD78" s="381"/>
      <c r="BE78" s="381"/>
      <c r="BF78" s="381"/>
      <c r="BG78" s="381"/>
      <c r="BH78" s="381"/>
      <c r="BI78" s="381"/>
      <c r="BJ78" s="381"/>
      <c r="BK78" s="381"/>
      <c r="BL78" s="381"/>
      <c r="BM78" s="381"/>
      <c r="BN78" s="381"/>
      <c r="BO78" s="381"/>
      <c r="BP78" s="381"/>
      <c r="BQ78" s="381"/>
      <c r="BR78" s="381"/>
      <c r="BS78" s="381"/>
      <c r="BT78" s="381"/>
      <c r="BU78" s="381"/>
      <c r="BV78" s="381"/>
      <c r="BW78" s="381"/>
      <c r="BX78" s="381"/>
      <c r="BY78" s="381"/>
      <c r="BZ78" s="381"/>
      <c r="CA78" s="381"/>
      <c r="CB78" s="381"/>
      <c r="CC78" s="381"/>
      <c r="CD78" s="381"/>
      <c r="CE78" s="381"/>
      <c r="CF78" s="381"/>
    </row>
    <row r="79" spans="1:84" ht="17.25" thickBot="1">
      <c r="F79" s="531"/>
      <c r="G79" s="532"/>
      <c r="H79" s="533"/>
      <c r="I79" s="527"/>
      <c r="J79" s="527"/>
      <c r="K79" s="528"/>
      <c r="L79" s="791"/>
      <c r="M79" s="770"/>
      <c r="O79" s="9"/>
      <c r="R79" s="381"/>
      <c r="S79" s="381"/>
      <c r="T79" s="381"/>
      <c r="U79" s="381"/>
      <c r="V79" s="381"/>
      <c r="W79" s="381"/>
      <c r="X79" s="381"/>
      <c r="Y79" s="381"/>
      <c r="Z79" s="381"/>
      <c r="AA79" s="381"/>
      <c r="AB79" s="381"/>
      <c r="AC79" s="381"/>
      <c r="AD79" s="381"/>
      <c r="AE79" s="381"/>
      <c r="AF79" s="381"/>
      <c r="AG79" s="381"/>
      <c r="AH79" s="381"/>
      <c r="AI79" s="381"/>
      <c r="AJ79" s="381"/>
      <c r="AK79" s="381"/>
      <c r="AL79" s="381"/>
      <c r="AM79" s="381"/>
      <c r="AN79" s="381"/>
      <c r="AO79" s="381"/>
      <c r="AP79" s="381"/>
      <c r="AQ79" s="381"/>
      <c r="AR79" s="381"/>
      <c r="AS79" s="381"/>
      <c r="AT79" s="381"/>
      <c r="AU79" s="381"/>
      <c r="AV79" s="381"/>
      <c r="AW79" s="381"/>
      <c r="AX79" s="381"/>
      <c r="AY79" s="381"/>
      <c r="AZ79" s="381"/>
      <c r="BA79" s="381"/>
      <c r="BB79" s="381"/>
      <c r="BC79" s="381"/>
      <c r="BD79" s="381"/>
      <c r="BE79" s="381"/>
      <c r="BF79" s="381"/>
      <c r="BG79" s="381"/>
      <c r="BH79" s="381"/>
      <c r="BI79" s="381"/>
      <c r="BJ79" s="381"/>
      <c r="BK79" s="381"/>
      <c r="BL79" s="381"/>
      <c r="BM79" s="381"/>
      <c r="BN79" s="381"/>
      <c r="BO79" s="381"/>
      <c r="BP79" s="381"/>
      <c r="BQ79" s="381"/>
      <c r="BR79" s="381"/>
      <c r="BS79" s="381"/>
      <c r="BT79" s="381"/>
      <c r="BU79" s="381"/>
      <c r="BV79" s="381"/>
      <c r="BW79" s="381"/>
      <c r="BX79" s="381"/>
      <c r="BY79" s="381"/>
      <c r="BZ79" s="381"/>
      <c r="CA79" s="381"/>
      <c r="CB79" s="381"/>
      <c r="CC79" s="381"/>
      <c r="CD79" s="381"/>
      <c r="CE79" s="381"/>
      <c r="CF79" s="381"/>
    </row>
    <row r="80" spans="1:84" ht="26.25" thickBot="1">
      <c r="A80" s="579"/>
      <c r="B80" s="543" t="s">
        <v>727</v>
      </c>
      <c r="C80" s="554"/>
      <c r="D80" s="555"/>
      <c r="E80" s="555"/>
      <c r="F80" s="555"/>
      <c r="G80" s="535"/>
      <c r="H80" s="536"/>
      <c r="I80" s="555"/>
      <c r="J80" s="556"/>
      <c r="K80" s="557"/>
      <c r="L80" s="790"/>
      <c r="M80" s="580"/>
      <c r="O80" s="9"/>
      <c r="R80" s="381"/>
      <c r="S80" s="381"/>
      <c r="T80" s="381"/>
      <c r="U80" s="381"/>
      <c r="V80" s="381"/>
      <c r="W80" s="381"/>
      <c r="X80" s="381"/>
      <c r="Y80" s="381"/>
      <c r="Z80" s="381"/>
      <c r="AA80" s="381"/>
      <c r="AB80" s="381"/>
      <c r="AC80" s="381"/>
      <c r="AD80" s="381"/>
      <c r="AE80" s="381"/>
      <c r="AF80" s="381"/>
      <c r="AG80" s="381"/>
      <c r="AH80" s="381"/>
      <c r="AI80" s="381"/>
      <c r="AJ80" s="381"/>
      <c r="AK80" s="381"/>
      <c r="AL80" s="381"/>
      <c r="AM80" s="381"/>
      <c r="AN80" s="381"/>
      <c r="AO80" s="381"/>
      <c r="AP80" s="381"/>
      <c r="AQ80" s="381"/>
      <c r="AR80" s="381"/>
      <c r="AS80" s="381"/>
      <c r="AT80" s="381"/>
      <c r="AU80" s="381"/>
      <c r="AV80" s="381"/>
      <c r="AW80" s="381"/>
      <c r="AX80" s="381"/>
      <c r="AY80" s="381"/>
      <c r="AZ80" s="381"/>
      <c r="BA80" s="381"/>
      <c r="BB80" s="381"/>
      <c r="BC80" s="381"/>
      <c r="BD80" s="381"/>
      <c r="BE80" s="381"/>
      <c r="BF80" s="381"/>
      <c r="BG80" s="381"/>
      <c r="BH80" s="381"/>
      <c r="BI80" s="381"/>
      <c r="BJ80" s="381"/>
      <c r="BK80" s="381"/>
      <c r="BL80" s="381"/>
      <c r="BM80" s="381"/>
      <c r="BN80" s="381"/>
      <c r="BO80" s="381"/>
      <c r="BP80" s="381"/>
      <c r="BQ80" s="381"/>
      <c r="BR80" s="381"/>
      <c r="BS80" s="381"/>
      <c r="BT80" s="381"/>
      <c r="BU80" s="381"/>
      <c r="BV80" s="381"/>
      <c r="BW80" s="381"/>
      <c r="BX80" s="381"/>
      <c r="BY80" s="381"/>
      <c r="BZ80" s="381"/>
      <c r="CA80" s="381"/>
      <c r="CB80" s="381"/>
      <c r="CC80" s="381"/>
      <c r="CD80" s="381"/>
      <c r="CE80" s="381"/>
      <c r="CF80" s="381"/>
    </row>
    <row r="81" spans="2:84">
      <c r="L81" s="792"/>
      <c r="M81" s="547"/>
      <c r="O81" s="9"/>
      <c r="R81" s="381"/>
      <c r="S81" s="381"/>
      <c r="T81" s="381"/>
      <c r="U81" s="381"/>
      <c r="V81" s="381"/>
      <c r="W81" s="381"/>
      <c r="X81" s="381"/>
      <c r="Y81" s="381"/>
      <c r="Z81" s="381"/>
      <c r="AA81" s="381"/>
      <c r="AB81" s="381"/>
      <c r="AC81" s="381"/>
      <c r="AD81" s="381"/>
      <c r="AE81" s="381"/>
      <c r="AF81" s="381"/>
      <c r="AG81" s="381"/>
      <c r="AH81" s="381"/>
      <c r="AI81" s="381"/>
      <c r="AJ81" s="381"/>
      <c r="AK81" s="381"/>
      <c r="AL81" s="381"/>
      <c r="AM81" s="381"/>
      <c r="AN81" s="381"/>
      <c r="AO81" s="381"/>
      <c r="AP81" s="381"/>
      <c r="AQ81" s="381"/>
      <c r="AR81" s="381"/>
      <c r="AS81" s="381"/>
      <c r="AT81" s="381"/>
      <c r="AU81" s="381"/>
      <c r="AV81" s="381"/>
      <c r="AW81" s="381"/>
      <c r="AX81" s="381"/>
      <c r="AY81" s="381"/>
      <c r="AZ81" s="381"/>
      <c r="BA81" s="381"/>
      <c r="BB81" s="381"/>
      <c r="BC81" s="381"/>
      <c r="BD81" s="381"/>
      <c r="BE81" s="381"/>
      <c r="BF81" s="381"/>
      <c r="BG81" s="381"/>
      <c r="BH81" s="381"/>
      <c r="BI81" s="381"/>
      <c r="BJ81" s="381"/>
      <c r="BK81" s="381"/>
      <c r="BL81" s="381"/>
      <c r="BM81" s="381"/>
      <c r="BN81" s="381"/>
      <c r="BO81" s="381"/>
      <c r="BP81" s="381"/>
      <c r="BQ81" s="381"/>
      <c r="BR81" s="381"/>
      <c r="BS81" s="381"/>
      <c r="BT81" s="381"/>
      <c r="BU81" s="381"/>
      <c r="BV81" s="381"/>
      <c r="BW81" s="381"/>
      <c r="BX81" s="381"/>
      <c r="BY81" s="381"/>
      <c r="BZ81" s="381"/>
      <c r="CA81" s="381"/>
      <c r="CB81" s="381"/>
      <c r="CC81" s="381"/>
      <c r="CD81" s="381"/>
      <c r="CE81" s="381"/>
      <c r="CF81" s="381"/>
    </row>
    <row r="82" spans="2:84" ht="16.5" customHeight="1">
      <c r="B82" s="589" t="s">
        <v>728</v>
      </c>
      <c r="C82" s="1077" t="str">
        <f>H5</f>
        <v>48500.004968/2021-33</v>
      </c>
      <c r="D82" s="1078"/>
      <c r="E82" s="1078"/>
      <c r="F82" s="1078"/>
      <c r="H82" s="568"/>
      <c r="L82" s="564"/>
      <c r="M82" s="547"/>
      <c r="O82" s="9"/>
      <c r="R82" s="381"/>
      <c r="S82" s="381"/>
      <c r="T82" s="381"/>
      <c r="U82" s="381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381"/>
      <c r="AH82" s="381"/>
      <c r="AI82" s="381"/>
      <c r="AJ82" s="381"/>
      <c r="AK82" s="381"/>
      <c r="AL82" s="381"/>
      <c r="AM82" s="381"/>
      <c r="AN82" s="381"/>
      <c r="AO82" s="381"/>
      <c r="AP82" s="381"/>
      <c r="AQ82" s="381"/>
      <c r="AR82" s="381"/>
      <c r="AS82" s="381"/>
      <c r="AT82" s="381"/>
      <c r="AU82" s="381"/>
      <c r="AV82" s="381"/>
      <c r="AW82" s="381"/>
      <c r="AX82" s="381"/>
      <c r="AY82" s="381"/>
      <c r="AZ82" s="381"/>
      <c r="BA82" s="381"/>
      <c r="BB82" s="381"/>
      <c r="BC82" s="381"/>
      <c r="BD82" s="381"/>
      <c r="BE82" s="381"/>
      <c r="BF82" s="381"/>
      <c r="BG82" s="381"/>
      <c r="BH82" s="381"/>
      <c r="BI82" s="381"/>
      <c r="BJ82" s="381"/>
      <c r="BK82" s="381"/>
      <c r="BL82" s="381"/>
      <c r="BM82" s="381"/>
      <c r="BN82" s="381"/>
      <c r="BO82" s="381"/>
      <c r="BP82" s="381"/>
      <c r="BQ82" s="381"/>
      <c r="BR82" s="381"/>
      <c r="BS82" s="381"/>
      <c r="BT82" s="381"/>
      <c r="BU82" s="381"/>
      <c r="BV82" s="381"/>
      <c r="BW82" s="381"/>
      <c r="BX82" s="381"/>
      <c r="BY82" s="381"/>
      <c r="BZ82" s="381"/>
      <c r="CA82" s="381"/>
      <c r="CB82" s="381"/>
      <c r="CC82" s="381"/>
      <c r="CD82" s="381"/>
      <c r="CE82" s="381"/>
      <c r="CF82" s="381"/>
    </row>
    <row r="83" spans="2:84">
      <c r="B83" s="773" t="s">
        <v>729</v>
      </c>
      <c r="C83" s="1079">
        <f>VLOOKUP(LnkTXTSigla,Informacoes[],23,FALSE)</f>
        <v>2904</v>
      </c>
      <c r="D83" s="1080"/>
      <c r="E83" s="1080"/>
      <c r="F83" s="1080"/>
      <c r="G83" s="381"/>
      <c r="H83" s="568"/>
      <c r="I83" s="785"/>
      <c r="L83" s="564"/>
      <c r="M83" s="547"/>
      <c r="O83" s="9"/>
      <c r="R83" s="381"/>
      <c r="S83" s="381"/>
      <c r="T83" s="381"/>
      <c r="U83" s="381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381"/>
      <c r="AH83" s="381"/>
      <c r="AI83" s="381"/>
      <c r="AJ83" s="381"/>
      <c r="AK83" s="381"/>
      <c r="AL83" s="381"/>
      <c r="AM83" s="381"/>
      <c r="AN83" s="381"/>
      <c r="AO83" s="381"/>
      <c r="AP83" s="381"/>
      <c r="AQ83" s="381"/>
      <c r="AR83" s="381"/>
      <c r="AS83" s="381"/>
      <c r="AT83" s="381"/>
      <c r="AU83" s="381"/>
      <c r="AV83" s="381"/>
      <c r="AW83" s="381"/>
      <c r="AX83" s="381"/>
      <c r="AY83" s="381"/>
      <c r="AZ83" s="381"/>
      <c r="BA83" s="381"/>
      <c r="BB83" s="381"/>
      <c r="BC83" s="381"/>
      <c r="BD83" s="381"/>
      <c r="BE83" s="381"/>
      <c r="BF83" s="381"/>
      <c r="BG83" s="381"/>
      <c r="BH83" s="381"/>
      <c r="BI83" s="381"/>
      <c r="BJ83" s="381"/>
      <c r="BK83" s="381"/>
      <c r="BL83" s="381"/>
      <c r="BM83" s="381"/>
      <c r="BN83" s="381"/>
      <c r="BO83" s="381"/>
      <c r="BP83" s="381"/>
      <c r="BQ83" s="381"/>
      <c r="BR83" s="381"/>
      <c r="BS83" s="381"/>
      <c r="BT83" s="381"/>
      <c r="BU83" s="381"/>
      <c r="BV83" s="381"/>
      <c r="BW83" s="381"/>
      <c r="BX83" s="381"/>
      <c r="BY83" s="381"/>
      <c r="BZ83" s="381"/>
      <c r="CA83" s="381"/>
      <c r="CB83" s="381"/>
      <c r="CC83" s="381"/>
      <c r="CD83" s="381"/>
      <c r="CE83" s="381"/>
      <c r="CF83" s="381"/>
    </row>
    <row r="84" spans="2:84">
      <c r="B84" s="584" t="s">
        <v>730</v>
      </c>
      <c r="C84" s="618" t="str">
        <f>'Informações Gerais'!X49</f>
        <v>27 de abril de 2021</v>
      </c>
      <c r="D84" s="539"/>
      <c r="E84" s="539"/>
      <c r="F84" s="539"/>
      <c r="G84" s="381"/>
      <c r="H84" s="568"/>
      <c r="L84" s="564"/>
      <c r="M84" s="547"/>
      <c r="O84" s="9"/>
      <c r="R84" s="381"/>
      <c r="S84" s="381"/>
      <c r="T84" s="381"/>
      <c r="U84" s="381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381"/>
      <c r="AH84" s="381"/>
      <c r="AI84" s="381"/>
      <c r="AJ84" s="381"/>
      <c r="AK84" s="381"/>
      <c r="AL84" s="381"/>
      <c r="AM84" s="381"/>
      <c r="AN84" s="381"/>
      <c r="AO84" s="381"/>
      <c r="AP84" s="381"/>
      <c r="AQ84" s="381"/>
      <c r="AR84" s="381"/>
      <c r="AS84" s="381"/>
      <c r="AT84" s="381"/>
      <c r="AU84" s="381"/>
      <c r="AV84" s="381"/>
      <c r="AW84" s="381"/>
      <c r="AX84" s="381"/>
      <c r="AY84" s="381"/>
      <c r="AZ84" s="381"/>
      <c r="BA84" s="381"/>
      <c r="BB84" s="381"/>
      <c r="BC84" s="381"/>
      <c r="BD84" s="381"/>
      <c r="BE84" s="381"/>
      <c r="BF84" s="381"/>
      <c r="BG84" s="381"/>
      <c r="BH84" s="381"/>
      <c r="BI84" s="381"/>
      <c r="BJ84" s="381"/>
      <c r="BK84" s="381"/>
      <c r="BL84" s="381"/>
      <c r="BM84" s="381"/>
      <c r="BN84" s="381"/>
      <c r="BO84" s="381"/>
      <c r="BP84" s="381"/>
      <c r="BQ84" s="381"/>
      <c r="BR84" s="381"/>
      <c r="BS84" s="381"/>
      <c r="BT84" s="381"/>
      <c r="BU84" s="381"/>
      <c r="BV84" s="381"/>
      <c r="BW84" s="381"/>
      <c r="BX84" s="381"/>
      <c r="BY84" s="381"/>
      <c r="BZ84" s="381"/>
      <c r="CA84" s="381"/>
      <c r="CB84" s="381"/>
      <c r="CC84" s="381"/>
      <c r="CD84" s="381"/>
      <c r="CE84" s="381"/>
      <c r="CF84" s="381"/>
    </row>
    <row r="85" spans="2:84">
      <c r="B85" s="773" t="s">
        <v>731</v>
      </c>
      <c r="C85" s="1081"/>
      <c r="D85" s="1082"/>
      <c r="E85" s="1082"/>
      <c r="F85" s="1082"/>
      <c r="G85" s="381"/>
      <c r="H85" s="568"/>
      <c r="L85" s="564"/>
      <c r="M85" s="547"/>
      <c r="O85" s="9"/>
      <c r="R85" s="381"/>
      <c r="S85" s="381"/>
      <c r="T85" s="381"/>
      <c r="U85" s="381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381"/>
      <c r="AH85" s="381"/>
      <c r="AI85" s="381"/>
      <c r="AJ85" s="381"/>
      <c r="AK85" s="381"/>
      <c r="AL85" s="381"/>
      <c r="AM85" s="381"/>
      <c r="AN85" s="381"/>
      <c r="AO85" s="381"/>
      <c r="AP85" s="381"/>
      <c r="AQ85" s="381"/>
      <c r="AR85" s="381"/>
      <c r="AS85" s="381"/>
      <c r="AT85" s="381"/>
      <c r="AU85" s="381"/>
      <c r="AV85" s="381"/>
      <c r="AW85" s="381"/>
      <c r="AX85" s="381"/>
      <c r="AY85" s="381"/>
      <c r="AZ85" s="381"/>
      <c r="BA85" s="381"/>
      <c r="BB85" s="381"/>
      <c r="BC85" s="381"/>
      <c r="BD85" s="381"/>
      <c r="BE85" s="381"/>
      <c r="BF85" s="381"/>
      <c r="BG85" s="381"/>
      <c r="BH85" s="381"/>
      <c r="BI85" s="381"/>
      <c r="BJ85" s="381"/>
      <c r="BK85" s="381"/>
      <c r="BL85" s="381"/>
      <c r="BM85" s="381"/>
      <c r="BN85" s="381"/>
      <c r="BO85" s="381"/>
      <c r="BP85" s="381"/>
      <c r="BQ85" s="381"/>
      <c r="BR85" s="381"/>
      <c r="BS85" s="381"/>
      <c r="BT85" s="381"/>
      <c r="BU85" s="381"/>
      <c r="BV85" s="381"/>
      <c r="BW85" s="381"/>
      <c r="BX85" s="381"/>
      <c r="BY85" s="381"/>
      <c r="BZ85" s="381"/>
      <c r="CA85" s="381"/>
      <c r="CB85" s="381"/>
      <c r="CC85" s="381"/>
      <c r="CD85" s="381"/>
      <c r="CE85" s="381"/>
      <c r="CF85" s="381"/>
    </row>
    <row r="86" spans="2:84">
      <c r="B86" s="584" t="s">
        <v>732</v>
      </c>
      <c r="C86" s="662"/>
      <c r="D86" s="663"/>
      <c r="E86" s="663"/>
      <c r="F86" s="663"/>
      <c r="G86" s="381"/>
      <c r="H86" s="568"/>
      <c r="L86" s="564"/>
      <c r="M86" s="547"/>
      <c r="O86" s="9"/>
      <c r="R86" s="381"/>
      <c r="S86" s="381"/>
      <c r="T86" s="381"/>
      <c r="U86" s="381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381"/>
      <c r="AH86" s="381"/>
      <c r="AI86" s="381"/>
      <c r="AJ86" s="381"/>
      <c r="AK86" s="381"/>
      <c r="AL86" s="381"/>
      <c r="AM86" s="381"/>
      <c r="AN86" s="381"/>
      <c r="AO86" s="381"/>
      <c r="AP86" s="381"/>
      <c r="AQ86" s="381"/>
      <c r="AR86" s="381"/>
      <c r="AS86" s="381"/>
      <c r="AT86" s="381"/>
      <c r="AU86" s="381"/>
      <c r="AV86" s="381"/>
      <c r="AW86" s="381"/>
      <c r="AX86" s="381"/>
      <c r="AY86" s="381"/>
      <c r="AZ86" s="381"/>
      <c r="BA86" s="381"/>
      <c r="BB86" s="381"/>
      <c r="BC86" s="381"/>
      <c r="BD86" s="381"/>
      <c r="BE86" s="381"/>
      <c r="BF86" s="381"/>
      <c r="BG86" s="381"/>
      <c r="BH86" s="381"/>
      <c r="BI86" s="381"/>
      <c r="BJ86" s="381"/>
      <c r="BK86" s="381"/>
      <c r="BL86" s="381"/>
      <c r="BM86" s="381"/>
      <c r="BN86" s="381"/>
      <c r="BO86" s="381"/>
      <c r="BP86" s="381"/>
      <c r="BQ86" s="381"/>
      <c r="BR86" s="381"/>
      <c r="BS86" s="381"/>
      <c r="BT86" s="381"/>
      <c r="BU86" s="381"/>
      <c r="BV86" s="381"/>
      <c r="BW86" s="381"/>
      <c r="BX86" s="381"/>
      <c r="BY86" s="381"/>
      <c r="BZ86" s="381"/>
      <c r="CA86" s="381"/>
      <c r="CB86" s="381"/>
      <c r="CC86" s="381"/>
      <c r="CD86" s="381"/>
      <c r="CE86" s="381"/>
      <c r="CF86" s="381"/>
    </row>
    <row r="87" spans="2:84">
      <c r="B87" s="774" t="s">
        <v>733</v>
      </c>
      <c r="C87" s="1083"/>
      <c r="D87" s="1084"/>
      <c r="E87" s="1084"/>
      <c r="F87" s="1084"/>
      <c r="G87" s="381"/>
      <c r="H87" s="568"/>
      <c r="L87" s="564"/>
      <c r="M87" s="547"/>
      <c r="O87" s="9"/>
      <c r="R87" s="381"/>
      <c r="S87" s="381"/>
      <c r="T87" s="381"/>
      <c r="U87" s="381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381"/>
      <c r="AH87" s="381"/>
      <c r="AI87" s="381"/>
      <c r="AJ87" s="381"/>
      <c r="AK87" s="381"/>
      <c r="AL87" s="381"/>
      <c r="AM87" s="381"/>
      <c r="AN87" s="381"/>
      <c r="AO87" s="381"/>
      <c r="AP87" s="381"/>
      <c r="AQ87" s="381"/>
      <c r="AR87" s="381"/>
      <c r="AS87" s="381"/>
      <c r="AT87" s="381"/>
      <c r="AU87" s="381"/>
      <c r="AV87" s="381"/>
      <c r="AW87" s="381"/>
      <c r="AX87" s="381"/>
      <c r="AY87" s="381"/>
      <c r="AZ87" s="381"/>
      <c r="BA87" s="381"/>
      <c r="BB87" s="381"/>
      <c r="BC87" s="381"/>
      <c r="BD87" s="381"/>
      <c r="BE87" s="381"/>
      <c r="BF87" s="381"/>
      <c r="BG87" s="381"/>
      <c r="BH87" s="381"/>
      <c r="BI87" s="381"/>
      <c r="BJ87" s="381"/>
      <c r="BK87" s="381"/>
      <c r="BL87" s="381"/>
      <c r="BM87" s="381"/>
      <c r="BN87" s="381"/>
      <c r="BO87" s="381"/>
      <c r="BP87" s="381"/>
      <c r="BQ87" s="381"/>
      <c r="BR87" s="381"/>
      <c r="BS87" s="381"/>
      <c r="BT87" s="381"/>
      <c r="BU87" s="381"/>
      <c r="BV87" s="381"/>
      <c r="BW87" s="381"/>
      <c r="BX87" s="381"/>
      <c r="BY87" s="381"/>
      <c r="BZ87" s="381"/>
      <c r="CA87" s="381"/>
      <c r="CB87" s="381"/>
      <c r="CC87" s="381"/>
      <c r="CD87" s="381"/>
      <c r="CE87" s="381"/>
      <c r="CF87" s="381"/>
    </row>
    <row r="88" spans="2:84">
      <c r="B88" s="584" t="s">
        <v>734</v>
      </c>
      <c r="C88" s="620" t="str">
        <f>VLOOKUP(LnkTXTSigla,Informacoes[],20,FALSE)</f>
        <v>30/2010</v>
      </c>
      <c r="D88" s="540"/>
      <c r="E88" s="540"/>
      <c r="F88" s="540"/>
      <c r="G88" s="381"/>
      <c r="H88" s="568"/>
      <c r="L88" s="564"/>
      <c r="M88" s="547"/>
      <c r="O88" s="9"/>
      <c r="R88" s="381"/>
      <c r="S88" s="381"/>
      <c r="T88" s="381"/>
      <c r="U88" s="381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381"/>
      <c r="AH88" s="381"/>
      <c r="AI88" s="381"/>
      <c r="AJ88" s="381"/>
      <c r="AK88" s="381"/>
      <c r="AL88" s="381"/>
      <c r="AM88" s="381"/>
      <c r="AN88" s="381"/>
      <c r="AO88" s="381"/>
      <c r="AP88" s="381"/>
      <c r="AQ88" s="381"/>
      <c r="AR88" s="381"/>
      <c r="AS88" s="381"/>
      <c r="AT88" s="381"/>
      <c r="AU88" s="381"/>
      <c r="AV88" s="381"/>
      <c r="AW88" s="381"/>
      <c r="AX88" s="381"/>
      <c r="AY88" s="381"/>
      <c r="AZ88" s="381"/>
      <c r="BA88" s="381"/>
      <c r="BB88" s="381"/>
      <c r="BC88" s="381"/>
      <c r="BD88" s="381"/>
      <c r="BE88" s="381"/>
      <c r="BF88" s="381"/>
      <c r="BG88" s="381"/>
      <c r="BH88" s="381"/>
      <c r="BI88" s="381"/>
      <c r="BJ88" s="381"/>
      <c r="BK88" s="381"/>
      <c r="BL88" s="381"/>
      <c r="BM88" s="381"/>
      <c r="BN88" s="381"/>
      <c r="BO88" s="381"/>
      <c r="BP88" s="381"/>
      <c r="BQ88" s="381"/>
      <c r="BR88" s="381"/>
      <c r="BS88" s="381"/>
      <c r="BT88" s="381"/>
      <c r="BU88" s="381"/>
      <c r="BV88" s="381"/>
      <c r="BW88" s="381"/>
      <c r="BX88" s="381"/>
      <c r="BY88" s="381"/>
      <c r="BZ88" s="381"/>
      <c r="CA88" s="381"/>
      <c r="CB88" s="381"/>
      <c r="CC88" s="381"/>
      <c r="CD88" s="381"/>
      <c r="CE88" s="381"/>
      <c r="CF88" s="381"/>
    </row>
    <row r="89" spans="2:84">
      <c r="B89" s="584" t="s">
        <v>735</v>
      </c>
      <c r="C89" s="620" t="str">
        <f>VLOOKUP(LnkTXTSigla,Informacoes[],21,FALSE)</f>
        <v>31 de março de 2010</v>
      </c>
      <c r="D89" s="621"/>
      <c r="E89" s="540"/>
      <c r="F89" s="539"/>
      <c r="H89" s="568"/>
      <c r="L89" s="564"/>
      <c r="M89" s="547"/>
      <c r="O89" s="9"/>
      <c r="R89" s="381"/>
      <c r="S89" s="381"/>
      <c r="T89" s="381"/>
      <c r="U89" s="381"/>
      <c r="V89" s="381"/>
      <c r="W89" s="381"/>
      <c r="X89" s="381"/>
      <c r="Y89" s="381"/>
      <c r="Z89" s="381"/>
      <c r="AA89" s="381"/>
      <c r="AB89" s="381"/>
      <c r="AC89" s="381"/>
      <c r="AD89" s="381"/>
      <c r="AE89" s="381"/>
      <c r="AF89" s="381"/>
      <c r="AG89" s="381"/>
      <c r="AH89" s="381"/>
      <c r="AI89" s="381"/>
      <c r="AJ89" s="381"/>
      <c r="AK89" s="381"/>
      <c r="AL89" s="381"/>
      <c r="AM89" s="381"/>
      <c r="AN89" s="381"/>
      <c r="AO89" s="381"/>
      <c r="AP89" s="381"/>
      <c r="AQ89" s="381"/>
      <c r="AR89" s="381"/>
      <c r="AS89" s="381"/>
      <c r="AT89" s="381"/>
      <c r="AU89" s="381"/>
      <c r="AV89" s="381"/>
      <c r="AW89" s="381"/>
      <c r="AX89" s="381"/>
      <c r="AY89" s="381"/>
      <c r="AZ89" s="381"/>
      <c r="BA89" s="381"/>
      <c r="BB89" s="381"/>
      <c r="BC89" s="381"/>
      <c r="BD89" s="381"/>
      <c r="BE89" s="381"/>
      <c r="BF89" s="381"/>
      <c r="BG89" s="381"/>
      <c r="BH89" s="381"/>
      <c r="BI89" s="381"/>
      <c r="BJ89" s="381"/>
      <c r="BK89" s="381"/>
      <c r="BL89" s="381"/>
      <c r="BM89" s="381"/>
      <c r="BN89" s="381"/>
      <c r="BO89" s="381"/>
      <c r="BP89" s="381"/>
      <c r="BQ89" s="381"/>
      <c r="BR89" s="381"/>
      <c r="BS89" s="381"/>
      <c r="BT89" s="381"/>
      <c r="BU89" s="381"/>
      <c r="BV89" s="381"/>
      <c r="BW89" s="381"/>
      <c r="BX89" s="381"/>
      <c r="BY89" s="381"/>
      <c r="BZ89" s="381"/>
      <c r="CA89" s="381"/>
      <c r="CB89" s="381"/>
      <c r="CC89" s="381"/>
      <c r="CD89" s="381"/>
      <c r="CE89" s="381"/>
      <c r="CF89" s="381"/>
    </row>
    <row r="90" spans="2:84">
      <c r="B90" s="584" t="s">
        <v>736</v>
      </c>
      <c r="C90" s="622" t="str">
        <f>Q3</f>
        <v>Cooperativa de Distribuição e Geração de Energia das Missões</v>
      </c>
      <c r="D90" s="540"/>
      <c r="E90" s="540"/>
      <c r="F90" s="540"/>
      <c r="H90" s="568"/>
      <c r="L90" s="564"/>
      <c r="M90" s="547"/>
      <c r="O90" s="9"/>
      <c r="R90" s="381"/>
      <c r="S90" s="381"/>
      <c r="T90" s="381"/>
      <c r="U90" s="381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381"/>
      <c r="AH90" s="381"/>
      <c r="AI90" s="381"/>
      <c r="AJ90" s="381"/>
      <c r="AK90" s="381"/>
      <c r="AL90" s="381"/>
      <c r="AM90" s="381"/>
      <c r="AN90" s="381"/>
      <c r="AO90" s="381"/>
      <c r="AP90" s="381"/>
      <c r="AQ90" s="381"/>
      <c r="AR90" s="381"/>
      <c r="AS90" s="381"/>
      <c r="AT90" s="381"/>
      <c r="AU90" s="381"/>
      <c r="AV90" s="381"/>
      <c r="AW90" s="381"/>
      <c r="AX90" s="381"/>
      <c r="AY90" s="381"/>
      <c r="AZ90" s="381"/>
      <c r="BA90" s="381"/>
      <c r="BB90" s="381"/>
      <c r="BC90" s="381"/>
      <c r="BD90" s="381"/>
      <c r="BE90" s="381"/>
      <c r="BF90" s="381"/>
      <c r="BG90" s="381"/>
      <c r="BH90" s="381"/>
      <c r="BI90" s="381"/>
      <c r="BJ90" s="381"/>
      <c r="BK90" s="381"/>
      <c r="BL90" s="381"/>
      <c r="BM90" s="381"/>
      <c r="BN90" s="381"/>
      <c r="BO90" s="381"/>
      <c r="BP90" s="381"/>
      <c r="BQ90" s="381"/>
      <c r="BR90" s="381"/>
      <c r="BS90" s="381"/>
      <c r="BT90" s="381"/>
      <c r="BU90" s="381"/>
      <c r="BV90" s="381"/>
      <c r="BW90" s="381"/>
      <c r="BX90" s="381"/>
      <c r="BY90" s="381"/>
      <c r="BZ90" s="381"/>
      <c r="CA90" s="381"/>
      <c r="CB90" s="381"/>
      <c r="CC90" s="381"/>
      <c r="CD90" s="381"/>
      <c r="CE90" s="381"/>
      <c r="CF90" s="381"/>
    </row>
    <row r="91" spans="2:84" ht="16.5" customHeight="1">
      <c r="B91" s="584" t="s">
        <v>737</v>
      </c>
      <c r="C91" s="622" t="str">
        <f>C9</f>
        <v>Cermissões</v>
      </c>
      <c r="D91" s="540"/>
      <c r="E91" s="541"/>
      <c r="F91" s="540"/>
      <c r="H91" s="785"/>
      <c r="L91" s="564"/>
      <c r="M91" s="547"/>
      <c r="O91" s="9"/>
      <c r="R91" s="381"/>
      <c r="S91" s="381"/>
      <c r="T91" s="381"/>
      <c r="U91" s="381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381"/>
      <c r="AH91" s="381"/>
      <c r="AI91" s="381"/>
      <c r="AJ91" s="381"/>
      <c r="AK91" s="381"/>
      <c r="AL91" s="381"/>
      <c r="AM91" s="381"/>
      <c r="AN91" s="381"/>
      <c r="AO91" s="381"/>
      <c r="AP91" s="381"/>
      <c r="AQ91" s="381"/>
      <c r="AR91" s="381"/>
      <c r="AS91" s="381"/>
      <c r="AT91" s="381"/>
      <c r="AU91" s="381"/>
      <c r="AV91" s="381"/>
      <c r="AW91" s="381"/>
      <c r="AX91" s="381"/>
      <c r="AY91" s="381"/>
      <c r="AZ91" s="381"/>
      <c r="BA91" s="381"/>
      <c r="BB91" s="381"/>
      <c r="BC91" s="381"/>
      <c r="BD91" s="381"/>
      <c r="BE91" s="381"/>
      <c r="BF91" s="381"/>
      <c r="BG91" s="381"/>
      <c r="BH91" s="381"/>
      <c r="BI91" s="381"/>
      <c r="BJ91" s="381"/>
      <c r="BK91" s="381"/>
      <c r="BL91" s="381"/>
      <c r="BM91" s="381"/>
      <c r="BN91" s="381"/>
      <c r="BO91" s="381"/>
      <c r="BP91" s="381"/>
      <c r="BQ91" s="381"/>
      <c r="BR91" s="381"/>
      <c r="BS91" s="381"/>
      <c r="BT91" s="381"/>
      <c r="BU91" s="381"/>
      <c r="BV91" s="381"/>
      <c r="BW91" s="381"/>
      <c r="BX91" s="381"/>
      <c r="BY91" s="381"/>
      <c r="BZ91" s="381"/>
      <c r="CA91" s="381"/>
      <c r="CB91" s="381"/>
      <c r="CC91" s="381"/>
      <c r="CD91" s="381"/>
      <c r="CE91" s="381"/>
      <c r="CF91" s="381"/>
    </row>
    <row r="92" spans="2:84">
      <c r="B92" s="584" t="s">
        <v>738</v>
      </c>
      <c r="C92" s="620" t="str">
        <f>D92&amp;" - "&amp;E92</f>
        <v>Caibaté - RS</v>
      </c>
      <c r="D92" s="542" t="str">
        <f>VLOOKUP(LnkTXTSigla,Informacoes[],6,FALSE)</f>
        <v>Caibaté</v>
      </c>
      <c r="E92" s="542" t="str">
        <f>VLOOKUP(LnkTXTSigla,Informacoes[],7,FALSE)</f>
        <v>RS</v>
      </c>
      <c r="F92" s="540"/>
      <c r="L92" s="564"/>
      <c r="M92" s="547"/>
      <c r="O92" s="9"/>
      <c r="R92" s="381"/>
      <c r="S92" s="381"/>
      <c r="T92" s="381"/>
      <c r="U92" s="381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381"/>
      <c r="AH92" s="381"/>
      <c r="AI92" s="381"/>
      <c r="AJ92" s="381"/>
      <c r="AK92" s="381"/>
      <c r="AL92" s="381"/>
      <c r="AM92" s="381"/>
      <c r="AN92" s="381"/>
      <c r="AO92" s="381"/>
      <c r="AP92" s="381"/>
      <c r="AQ92" s="381"/>
      <c r="AR92" s="381"/>
      <c r="AS92" s="381"/>
      <c r="AT92" s="381"/>
      <c r="AU92" s="381"/>
      <c r="AV92" s="381"/>
      <c r="AW92" s="381"/>
      <c r="AX92" s="381"/>
      <c r="AY92" s="381"/>
      <c r="AZ92" s="381"/>
      <c r="BA92" s="381"/>
      <c r="BB92" s="381"/>
      <c r="BC92" s="381"/>
      <c r="BD92" s="381"/>
      <c r="BE92" s="381"/>
      <c r="BF92" s="381"/>
      <c r="BG92" s="381"/>
      <c r="BH92" s="381"/>
      <c r="BI92" s="381"/>
      <c r="BJ92" s="381"/>
      <c r="BK92" s="381"/>
      <c r="BL92" s="381"/>
      <c r="BM92" s="381"/>
      <c r="BN92" s="381"/>
      <c r="BO92" s="381"/>
      <c r="BP92" s="381"/>
      <c r="BQ92" s="381"/>
      <c r="BR92" s="381"/>
      <c r="BS92" s="381"/>
      <c r="BT92" s="381"/>
      <c r="BU92" s="381"/>
      <c r="BV92" s="381"/>
      <c r="BW92" s="381"/>
      <c r="BX92" s="381"/>
      <c r="BY92" s="381"/>
      <c r="BZ92" s="381"/>
      <c r="CA92" s="381"/>
      <c r="CB92" s="381"/>
      <c r="CC92" s="381"/>
      <c r="CD92" s="381"/>
      <c r="CE92" s="381"/>
      <c r="CF92" s="381"/>
    </row>
    <row r="93" spans="2:84">
      <c r="B93" s="584" t="s">
        <v>739</v>
      </c>
      <c r="C93" s="623"/>
      <c r="D93" s="540"/>
      <c r="E93" s="540"/>
      <c r="F93" s="540"/>
      <c r="L93" s="564"/>
      <c r="M93" s="547"/>
      <c r="O93" s="9"/>
      <c r="R93" s="381"/>
      <c r="S93" s="381"/>
      <c r="T93" s="381"/>
      <c r="U93" s="381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381"/>
      <c r="AH93" s="381"/>
      <c r="AI93" s="381"/>
      <c r="AJ93" s="381"/>
      <c r="AK93" s="381"/>
      <c r="AL93" s="381"/>
      <c r="AM93" s="381"/>
      <c r="AN93" s="381"/>
      <c r="AO93" s="381"/>
      <c r="AP93" s="381"/>
      <c r="AQ93" s="381"/>
      <c r="AR93" s="381"/>
      <c r="AS93" s="381"/>
      <c r="AT93" s="381"/>
      <c r="AU93" s="381"/>
      <c r="AV93" s="381"/>
      <c r="AW93" s="381"/>
      <c r="AX93" s="381"/>
      <c r="AY93" s="381"/>
      <c r="AZ93" s="381"/>
      <c r="BA93" s="381"/>
      <c r="BB93" s="381"/>
      <c r="BC93" s="381"/>
      <c r="BD93" s="381"/>
      <c r="BE93" s="381"/>
      <c r="BF93" s="381"/>
      <c r="BG93" s="381"/>
      <c r="BH93" s="381"/>
      <c r="BI93" s="381"/>
      <c r="BJ93" s="381"/>
      <c r="BK93" s="381"/>
      <c r="BL93" s="381"/>
      <c r="BM93" s="381"/>
      <c r="BN93" s="381"/>
      <c r="BO93" s="381"/>
      <c r="BP93" s="381"/>
      <c r="BQ93" s="381"/>
      <c r="BR93" s="381"/>
      <c r="BS93" s="381"/>
      <c r="BT93" s="381"/>
      <c r="BU93" s="381"/>
      <c r="BV93" s="381"/>
      <c r="BW93" s="381"/>
      <c r="BX93" s="381"/>
      <c r="BY93" s="381"/>
      <c r="BZ93" s="381"/>
      <c r="CA93" s="381"/>
      <c r="CB93" s="381"/>
      <c r="CC93" s="381"/>
      <c r="CD93" s="381"/>
      <c r="CE93" s="381"/>
      <c r="CF93" s="381"/>
    </row>
    <row r="94" spans="2:84">
      <c r="B94" s="584" t="s">
        <v>740</v>
      </c>
      <c r="C94" s="622">
        <f>DataRevRea</f>
        <v>44772</v>
      </c>
      <c r="D94" s="540"/>
      <c r="E94" s="540">
        <f>DATE(YEAR(DataRevRea)+1,MONTH(DataRevRea)-1,1)</f>
        <v>45078</v>
      </c>
      <c r="F94" s="540"/>
      <c r="L94" s="564"/>
      <c r="M94" s="547"/>
      <c r="O94" s="9"/>
      <c r="R94" s="381"/>
      <c r="S94" s="381"/>
      <c r="T94" s="381"/>
      <c r="U94" s="381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381"/>
      <c r="AH94" s="381"/>
      <c r="AI94" s="381"/>
      <c r="AJ94" s="381"/>
      <c r="AK94" s="381"/>
      <c r="AL94" s="381"/>
      <c r="AM94" s="381"/>
      <c r="AN94" s="381"/>
      <c r="AO94" s="381"/>
      <c r="AP94" s="381"/>
      <c r="AQ94" s="381"/>
      <c r="AR94" s="381"/>
      <c r="AS94" s="381"/>
      <c r="AT94" s="381"/>
      <c r="AU94" s="381"/>
      <c r="AV94" s="381"/>
      <c r="AW94" s="381"/>
      <c r="AX94" s="381"/>
      <c r="AY94" s="381"/>
      <c r="AZ94" s="381"/>
      <c r="BA94" s="381"/>
      <c r="BB94" s="381"/>
      <c r="BC94" s="381"/>
      <c r="BD94" s="381"/>
      <c r="BE94" s="381"/>
      <c r="BF94" s="381"/>
      <c r="BG94" s="381"/>
      <c r="BH94" s="381"/>
      <c r="BI94" s="381"/>
      <c r="BJ94" s="381"/>
      <c r="BK94" s="381"/>
      <c r="BL94" s="381"/>
      <c r="BM94" s="381"/>
      <c r="BN94" s="381"/>
      <c r="BO94" s="381"/>
      <c r="BP94" s="381"/>
      <c r="BQ94" s="381"/>
      <c r="BR94" s="381"/>
      <c r="BS94" s="381"/>
      <c r="BT94" s="381"/>
      <c r="BU94" s="381"/>
      <c r="BV94" s="381"/>
      <c r="BW94" s="381"/>
      <c r="BX94" s="381"/>
      <c r="BY94" s="381"/>
      <c r="BZ94" s="381"/>
      <c r="CA94" s="381"/>
      <c r="CB94" s="381"/>
      <c r="CC94" s="381"/>
      <c r="CD94" s="381"/>
      <c r="CE94" s="381"/>
      <c r="CF94" s="381"/>
    </row>
    <row r="95" spans="2:84">
      <c r="B95" s="584" t="s">
        <v>741</v>
      </c>
      <c r="C95" s="624" t="str">
        <f>TEXT(E95,"mmmm")&amp;" de "&amp;TEXT(E95,"aaaa")&amp; " a "&amp;TEXT(E94,"mmmm")&amp;" de "&amp;TEXT(E94,"aaaa")</f>
        <v>julho de 2022 a junho de 2023</v>
      </c>
      <c r="D95" s="540"/>
      <c r="E95" s="540">
        <f>DATE(YEAR(DataRevRea),MONTH(DataRevRea),DAY(DataRevRea))</f>
        <v>44772</v>
      </c>
      <c r="F95" s="540"/>
      <c r="L95" s="564"/>
      <c r="M95" s="547"/>
      <c r="O95" s="9"/>
      <c r="R95" s="381"/>
      <c r="S95" s="381"/>
      <c r="T95" s="381"/>
      <c r="U95" s="381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381"/>
      <c r="AH95" s="381"/>
      <c r="AI95" s="381"/>
      <c r="AJ95" s="381"/>
      <c r="AK95" s="381"/>
      <c r="AL95" s="381"/>
      <c r="AM95" s="381"/>
      <c r="AN95" s="381"/>
      <c r="AO95" s="381"/>
      <c r="AP95" s="381"/>
      <c r="AQ95" s="381"/>
      <c r="AR95" s="381"/>
      <c r="AS95" s="381"/>
      <c r="AT95" s="381"/>
      <c r="AU95" s="381"/>
      <c r="AV95" s="381"/>
      <c r="AW95" s="381"/>
      <c r="AX95" s="381"/>
      <c r="AY95" s="381"/>
      <c r="AZ95" s="381"/>
      <c r="BA95" s="381"/>
      <c r="BB95" s="381"/>
      <c r="BC95" s="381"/>
      <c r="BD95" s="381"/>
      <c r="BE95" s="381"/>
      <c r="BF95" s="381"/>
      <c r="BG95" s="381"/>
      <c r="BH95" s="381"/>
      <c r="BI95" s="381"/>
      <c r="BJ95" s="381"/>
      <c r="BK95" s="381"/>
      <c r="BL95" s="381"/>
      <c r="BM95" s="381"/>
      <c r="BN95" s="381"/>
      <c r="BO95" s="381"/>
      <c r="BP95" s="381"/>
      <c r="BQ95" s="381"/>
      <c r="BR95" s="381"/>
      <c r="BS95" s="381"/>
      <c r="BT95" s="381"/>
      <c r="BU95" s="381"/>
      <c r="BV95" s="381"/>
      <c r="BW95" s="381"/>
      <c r="BX95" s="381"/>
      <c r="BY95" s="381"/>
      <c r="BZ95" s="381"/>
      <c r="CA95" s="381"/>
      <c r="CB95" s="381"/>
      <c r="CC95" s="381"/>
      <c r="CD95" s="381"/>
      <c r="CE95" s="381"/>
      <c r="CF95" s="381"/>
    </row>
    <row r="96" spans="2:84">
      <c r="B96" s="584" t="s">
        <v>742</v>
      </c>
      <c r="C96" s="623">
        <f>C94</f>
        <v>44772</v>
      </c>
      <c r="D96" s="625"/>
      <c r="E96" s="540"/>
      <c r="F96" s="540"/>
      <c r="L96" s="564"/>
      <c r="M96" s="547"/>
      <c r="O96" s="9"/>
      <c r="R96" s="381"/>
      <c r="S96" s="381"/>
      <c r="T96" s="381"/>
      <c r="U96" s="381"/>
      <c r="V96" s="381"/>
      <c r="W96" s="381"/>
      <c r="X96" s="381"/>
      <c r="Y96" s="381"/>
      <c r="Z96" s="381"/>
      <c r="AA96" s="381"/>
      <c r="AB96" s="381"/>
      <c r="AC96" s="381"/>
      <c r="AD96" s="381"/>
      <c r="AE96" s="381"/>
      <c r="AF96" s="381"/>
      <c r="AG96" s="381"/>
      <c r="AH96" s="381"/>
      <c r="AI96" s="381"/>
      <c r="AJ96" s="381"/>
      <c r="AK96" s="381"/>
      <c r="AL96" s="381"/>
      <c r="AM96" s="381"/>
      <c r="AN96" s="381"/>
      <c r="AO96" s="381"/>
      <c r="AP96" s="381"/>
      <c r="AQ96" s="381"/>
      <c r="AR96" s="381"/>
      <c r="AS96" s="381"/>
      <c r="AT96" s="381"/>
      <c r="AU96" s="381"/>
      <c r="AV96" s="381"/>
      <c r="AW96" s="381"/>
      <c r="AX96" s="381"/>
      <c r="AY96" s="381"/>
      <c r="AZ96" s="381"/>
      <c r="BA96" s="381"/>
      <c r="BB96" s="381"/>
      <c r="BC96" s="381"/>
      <c r="BD96" s="381"/>
      <c r="BE96" s="381"/>
      <c r="BF96" s="381"/>
      <c r="BG96" s="381"/>
      <c r="BH96" s="381"/>
      <c r="BI96" s="381"/>
      <c r="BJ96" s="381"/>
      <c r="BK96" s="381"/>
      <c r="BL96" s="381"/>
      <c r="BM96" s="381"/>
      <c r="BN96" s="381"/>
      <c r="BO96" s="381"/>
      <c r="BP96" s="381"/>
      <c r="BQ96" s="381"/>
      <c r="BR96" s="381"/>
      <c r="BS96" s="381"/>
      <c r="BT96" s="381"/>
      <c r="BU96" s="381"/>
      <c r="BV96" s="381"/>
      <c r="BW96" s="381"/>
      <c r="BX96" s="381"/>
      <c r="BY96" s="381"/>
      <c r="BZ96" s="381"/>
      <c r="CA96" s="381"/>
      <c r="CB96" s="381"/>
      <c r="CC96" s="381"/>
      <c r="CD96" s="381"/>
      <c r="CE96" s="381"/>
      <c r="CF96" s="381"/>
    </row>
    <row r="97" spans="2:84">
      <c r="B97" s="584" t="s">
        <v>227</v>
      </c>
      <c r="C97" s="626">
        <f>DATE(YEAR(DataRevRea)+1,MONTH(DataRevRea),DAY(DataRevRea)-1)</f>
        <v>45136</v>
      </c>
      <c r="D97" s="625"/>
      <c r="E97" s="540"/>
      <c r="F97" s="540"/>
      <c r="L97" s="564"/>
      <c r="M97" s="547"/>
      <c r="O97" s="9"/>
      <c r="R97" s="381"/>
      <c r="S97" s="381"/>
      <c r="T97" s="381"/>
      <c r="U97" s="381"/>
      <c r="V97" s="381"/>
      <c r="W97" s="381"/>
      <c r="X97" s="381"/>
      <c r="Y97" s="381"/>
      <c r="Z97" s="381"/>
      <c r="AA97" s="381"/>
      <c r="AB97" s="381"/>
      <c r="AC97" s="381"/>
      <c r="AD97" s="381"/>
      <c r="AE97" s="381"/>
      <c r="AF97" s="381"/>
      <c r="AG97" s="381"/>
      <c r="AH97" s="381"/>
      <c r="AI97" s="381"/>
      <c r="AJ97" s="381"/>
      <c r="AK97" s="381"/>
      <c r="AL97" s="381"/>
      <c r="AM97" s="381"/>
      <c r="AN97" s="381"/>
      <c r="AO97" s="381"/>
      <c r="AP97" s="381"/>
      <c r="AQ97" s="381"/>
      <c r="AR97" s="381"/>
      <c r="AS97" s="381"/>
      <c r="AT97" s="381"/>
      <c r="AU97" s="381"/>
      <c r="AV97" s="381"/>
      <c r="AW97" s="381"/>
      <c r="AX97" s="381"/>
      <c r="AY97" s="381"/>
      <c r="AZ97" s="381"/>
      <c r="BA97" s="381"/>
      <c r="BB97" s="381"/>
      <c r="BC97" s="381"/>
      <c r="BD97" s="381"/>
      <c r="BE97" s="381"/>
      <c r="BF97" s="381"/>
      <c r="BG97" s="381"/>
      <c r="BH97" s="381"/>
      <c r="BI97" s="381"/>
      <c r="BJ97" s="381"/>
      <c r="BK97" s="381"/>
      <c r="BL97" s="381"/>
      <c r="BM97" s="381"/>
      <c r="BN97" s="381"/>
      <c r="BO97" s="381"/>
      <c r="BP97" s="381"/>
      <c r="BQ97" s="381"/>
      <c r="BR97" s="381"/>
      <c r="BS97" s="381"/>
      <c r="BT97" s="381"/>
      <c r="BU97" s="381"/>
      <c r="BV97" s="381"/>
      <c r="BW97" s="381"/>
      <c r="BX97" s="381"/>
      <c r="BY97" s="381"/>
      <c r="BZ97" s="381"/>
      <c r="CA97" s="381"/>
      <c r="CB97" s="381"/>
      <c r="CC97" s="381"/>
      <c r="CD97" s="381"/>
      <c r="CE97" s="381"/>
      <c r="CF97" s="381"/>
    </row>
    <row r="98" spans="2:84">
      <c r="B98" s="584" t="s">
        <v>743</v>
      </c>
      <c r="C98" s="626" t="str">
        <f>TEXT(C14,"mmmm")&amp;" de "&amp;TEXT(C14,"aaaa")&amp; " a "&amp;TEXT(C17,"mmmm")&amp;" de "&amp;TEXT(C17,"aaaa")</f>
        <v>julho de 2021 a junho de 2022</v>
      </c>
      <c r="D98" s="540"/>
      <c r="E98" s="540"/>
      <c r="F98" s="540"/>
      <c r="L98" s="564"/>
      <c r="M98" s="547"/>
      <c r="O98" s="9"/>
      <c r="R98" s="381"/>
      <c r="S98" s="381"/>
      <c r="T98" s="381"/>
      <c r="U98" s="381"/>
      <c r="V98" s="381"/>
      <c r="W98" s="381"/>
      <c r="X98" s="381"/>
      <c r="Y98" s="381"/>
      <c r="Z98" s="381"/>
      <c r="AA98" s="381"/>
      <c r="AB98" s="381"/>
      <c r="AC98" s="381"/>
      <c r="AD98" s="381"/>
      <c r="AE98" s="381"/>
      <c r="AF98" s="381"/>
      <c r="AG98" s="381"/>
      <c r="AH98" s="381"/>
      <c r="AI98" s="381"/>
      <c r="AJ98" s="381"/>
      <c r="AK98" s="381"/>
      <c r="AL98" s="381"/>
      <c r="AM98" s="381"/>
      <c r="AN98" s="381"/>
      <c r="AO98" s="381"/>
      <c r="AP98" s="381"/>
      <c r="AQ98" s="381"/>
      <c r="AR98" s="381"/>
      <c r="AS98" s="381"/>
      <c r="AT98" s="381"/>
      <c r="AU98" s="381"/>
      <c r="AV98" s="381"/>
      <c r="AW98" s="381"/>
      <c r="AX98" s="381"/>
      <c r="AY98" s="381"/>
      <c r="AZ98" s="381"/>
      <c r="BA98" s="381"/>
      <c r="BB98" s="381"/>
      <c r="BC98" s="381"/>
      <c r="BD98" s="381"/>
      <c r="BE98" s="381"/>
      <c r="BF98" s="381"/>
      <c r="BG98" s="381"/>
      <c r="BH98" s="381"/>
      <c r="BI98" s="381"/>
      <c r="BJ98" s="381"/>
      <c r="BK98" s="381"/>
      <c r="BL98" s="381"/>
      <c r="BM98" s="381"/>
      <c r="BN98" s="381"/>
      <c r="BO98" s="381"/>
      <c r="BP98" s="381"/>
      <c r="BQ98" s="381"/>
      <c r="BR98" s="381"/>
      <c r="BS98" s="381"/>
      <c r="BT98" s="381"/>
      <c r="BU98" s="381"/>
      <c r="BV98" s="381"/>
      <c r="BW98" s="381"/>
      <c r="BX98" s="381"/>
      <c r="BY98" s="381"/>
      <c r="BZ98" s="381"/>
      <c r="CA98" s="381"/>
      <c r="CB98" s="381"/>
      <c r="CC98" s="381"/>
      <c r="CD98" s="381"/>
      <c r="CE98" s="381"/>
      <c r="CF98" s="381"/>
    </row>
    <row r="99" spans="2:84">
      <c r="B99" s="584" t="s">
        <v>744</v>
      </c>
      <c r="C99" s="619">
        <f ca="1">IF(P1="verdadeiro",K36,H41)</f>
        <v>8.8799819072053005E-2</v>
      </c>
      <c r="D99" s="540"/>
      <c r="E99" s="540"/>
      <c r="F99" s="540"/>
      <c r="I99" s="568"/>
      <c r="L99" s="564"/>
      <c r="M99" s="547"/>
      <c r="O99" s="9"/>
      <c r="R99" s="381"/>
      <c r="S99" s="381"/>
      <c r="T99" s="381"/>
      <c r="U99" s="381"/>
      <c r="V99" s="381"/>
      <c r="W99" s="381"/>
      <c r="X99" s="381"/>
      <c r="Y99" s="381"/>
      <c r="Z99" s="381"/>
      <c r="AA99" s="381"/>
      <c r="AB99" s="381"/>
      <c r="AC99" s="381"/>
      <c r="AD99" s="381"/>
      <c r="AE99" s="381"/>
      <c r="AF99" s="381"/>
      <c r="AG99" s="381"/>
      <c r="AH99" s="381"/>
      <c r="AI99" s="381"/>
      <c r="AJ99" s="381"/>
      <c r="AK99" s="381"/>
      <c r="AL99" s="381"/>
      <c r="AM99" s="381"/>
      <c r="AN99" s="381"/>
      <c r="AO99" s="381"/>
      <c r="AP99" s="381"/>
      <c r="AQ99" s="381"/>
      <c r="AR99" s="381"/>
      <c r="AS99" s="381"/>
      <c r="AT99" s="381"/>
      <c r="AU99" s="381"/>
      <c r="AV99" s="381"/>
      <c r="AW99" s="381"/>
      <c r="AX99" s="381"/>
      <c r="AY99" s="381"/>
      <c r="AZ99" s="381"/>
      <c r="BA99" s="381"/>
      <c r="BB99" s="381"/>
      <c r="BC99" s="381"/>
      <c r="BD99" s="381"/>
      <c r="BE99" s="381"/>
      <c r="BF99" s="381"/>
      <c r="BG99" s="381"/>
      <c r="BH99" s="381"/>
      <c r="BI99" s="381"/>
      <c r="BJ99" s="381"/>
      <c r="BK99" s="381"/>
      <c r="BL99" s="381"/>
      <c r="BM99" s="381"/>
      <c r="BN99" s="381"/>
      <c r="BO99" s="381"/>
      <c r="BP99" s="381"/>
      <c r="BQ99" s="381"/>
      <c r="BR99" s="381"/>
      <c r="BS99" s="381"/>
      <c r="BT99" s="381"/>
      <c r="BU99" s="381"/>
      <c r="BV99" s="381"/>
      <c r="BW99" s="381"/>
      <c r="BX99" s="381"/>
      <c r="BY99" s="381"/>
      <c r="BZ99" s="381"/>
      <c r="CA99" s="381"/>
      <c r="CB99" s="381"/>
      <c r="CC99" s="381"/>
      <c r="CD99" s="381"/>
      <c r="CE99" s="381"/>
      <c r="CF99" s="381"/>
    </row>
    <row r="100" spans="2:84" ht="16.5" customHeight="1">
      <c r="B100" s="584" t="s">
        <v>702</v>
      </c>
      <c r="C100" s="619">
        <f>H42</f>
        <v>0</v>
      </c>
      <c r="D100" s="540"/>
      <c r="E100" s="540"/>
      <c r="F100" s="540"/>
      <c r="L100" s="564"/>
      <c r="M100" s="547"/>
      <c r="O100" s="9"/>
      <c r="R100" s="381"/>
      <c r="S100" s="381"/>
      <c r="T100" s="381"/>
      <c r="U100" s="381"/>
      <c r="V100" s="381"/>
      <c r="W100" s="381"/>
      <c r="X100" s="381"/>
      <c r="Y100" s="381"/>
      <c r="Z100" s="381"/>
      <c r="AA100" s="381"/>
      <c r="AB100" s="381"/>
      <c r="AC100" s="381"/>
      <c r="AD100" s="381"/>
      <c r="AE100" s="381"/>
      <c r="AF100" s="381"/>
      <c r="AG100" s="381"/>
      <c r="AH100" s="381"/>
      <c r="AI100" s="381"/>
      <c r="AJ100" s="381"/>
      <c r="AK100" s="381"/>
      <c r="AL100" s="381"/>
      <c r="AM100" s="381"/>
      <c r="AN100" s="381"/>
      <c r="AO100" s="381"/>
      <c r="AP100" s="381"/>
      <c r="AQ100" s="381"/>
      <c r="AR100" s="381"/>
      <c r="AS100" s="381"/>
      <c r="AT100" s="381"/>
      <c r="AU100" s="381"/>
      <c r="AV100" s="381"/>
      <c r="AW100" s="381"/>
      <c r="AX100" s="381"/>
      <c r="AY100" s="381"/>
      <c r="AZ100" s="381"/>
      <c r="BA100" s="381"/>
      <c r="BB100" s="381"/>
      <c r="BC100" s="381"/>
      <c r="BD100" s="381"/>
      <c r="BE100" s="381"/>
      <c r="BF100" s="381"/>
      <c r="BG100" s="381"/>
      <c r="BH100" s="381"/>
      <c r="BI100" s="381"/>
      <c r="BJ100" s="381"/>
      <c r="BK100" s="381"/>
      <c r="BL100" s="381"/>
      <c r="BM100" s="381"/>
      <c r="BN100" s="381"/>
      <c r="BO100" s="381"/>
      <c r="BP100" s="381"/>
      <c r="BQ100" s="381"/>
      <c r="BR100" s="381"/>
      <c r="BS100" s="381"/>
      <c r="BT100" s="381"/>
      <c r="BU100" s="381"/>
      <c r="BV100" s="381"/>
      <c r="BW100" s="381"/>
      <c r="BX100" s="381"/>
      <c r="BY100" s="381"/>
      <c r="BZ100" s="381"/>
      <c r="CA100" s="381"/>
      <c r="CB100" s="381"/>
      <c r="CC100" s="381"/>
      <c r="CD100" s="381"/>
      <c r="CE100" s="381"/>
      <c r="CF100" s="381"/>
    </row>
    <row r="101" spans="2:84">
      <c r="B101" s="584" t="s">
        <v>745</v>
      </c>
      <c r="C101" s="619">
        <f>LnkTXTIPCA-C100</f>
        <v>0.11886869625198027</v>
      </c>
      <c r="D101" s="540"/>
      <c r="E101" s="540"/>
      <c r="F101" s="540"/>
      <c r="L101" s="564"/>
      <c r="M101" s="547"/>
      <c r="O101" s="9"/>
      <c r="R101" s="381"/>
      <c r="S101" s="381"/>
      <c r="T101" s="381"/>
      <c r="U101" s="381"/>
      <c r="V101" s="381"/>
      <c r="W101" s="381"/>
      <c r="X101" s="381"/>
      <c r="Y101" s="381"/>
      <c r="Z101" s="381"/>
      <c r="AA101" s="381"/>
      <c r="AB101" s="381"/>
      <c r="AC101" s="381"/>
      <c r="AD101" s="381"/>
      <c r="AE101" s="381"/>
      <c r="AF101" s="381"/>
      <c r="AG101" s="381"/>
      <c r="AH101" s="381"/>
      <c r="AI101" s="381"/>
      <c r="AJ101" s="381"/>
      <c r="AK101" s="381"/>
      <c r="AL101" s="381"/>
      <c r="AM101" s="381"/>
      <c r="AN101" s="381"/>
      <c r="AO101" s="381"/>
      <c r="AP101" s="381"/>
      <c r="AQ101" s="381"/>
      <c r="AR101" s="381"/>
      <c r="AS101" s="381"/>
      <c r="AT101" s="381"/>
      <c r="AU101" s="381"/>
      <c r="AV101" s="381"/>
      <c r="AW101" s="381"/>
      <c r="AX101" s="381"/>
      <c r="AY101" s="381"/>
      <c r="AZ101" s="381"/>
      <c r="BA101" s="381"/>
      <c r="BB101" s="381"/>
      <c r="BC101" s="381"/>
      <c r="BD101" s="381"/>
      <c r="BE101" s="381"/>
      <c r="BF101" s="381"/>
      <c r="BG101" s="381"/>
      <c r="BH101" s="381"/>
      <c r="BI101" s="381"/>
      <c r="BJ101" s="381"/>
      <c r="BK101" s="381"/>
      <c r="BL101" s="381"/>
      <c r="BM101" s="381"/>
      <c r="BN101" s="381"/>
      <c r="BO101" s="381"/>
      <c r="BP101" s="381"/>
      <c r="BQ101" s="381"/>
      <c r="BR101" s="381"/>
      <c r="BS101" s="381"/>
      <c r="BT101" s="381"/>
      <c r="BU101" s="381"/>
      <c r="BV101" s="381"/>
      <c r="BW101" s="381"/>
      <c r="BX101" s="381"/>
      <c r="BY101" s="381"/>
      <c r="BZ101" s="381"/>
      <c r="CA101" s="381"/>
      <c r="CB101" s="381"/>
      <c r="CC101" s="381"/>
      <c r="CD101" s="381"/>
      <c r="CE101" s="381"/>
      <c r="CF101" s="381"/>
    </row>
    <row r="102" spans="2:84">
      <c r="B102" s="584" t="s">
        <v>746</v>
      </c>
      <c r="C102" s="627">
        <f ca="1">Resultado!D33</f>
        <v>24739687.473364118</v>
      </c>
      <c r="D102" s="540"/>
      <c r="E102" s="540"/>
      <c r="F102" s="540"/>
      <c r="L102" s="564"/>
      <c r="M102" s="547"/>
      <c r="O102" s="9"/>
      <c r="R102" s="381"/>
      <c r="S102" s="381"/>
      <c r="T102" s="381"/>
      <c r="U102" s="381"/>
      <c r="V102" s="381"/>
      <c r="W102" s="381"/>
      <c r="X102" s="381"/>
      <c r="Y102" s="381"/>
      <c r="Z102" s="381"/>
      <c r="AA102" s="381"/>
      <c r="AB102" s="381"/>
      <c r="AC102" s="381"/>
      <c r="AD102" s="381"/>
      <c r="AE102" s="381"/>
      <c r="AF102" s="381"/>
      <c r="AG102" s="381"/>
      <c r="AH102" s="381"/>
      <c r="AI102" s="381"/>
      <c r="AJ102" s="381"/>
      <c r="AK102" s="381"/>
      <c r="AL102" s="381"/>
      <c r="AM102" s="381"/>
      <c r="AN102" s="381"/>
      <c r="AO102" s="381"/>
      <c r="AP102" s="381"/>
      <c r="AQ102" s="381"/>
      <c r="AR102" s="381"/>
      <c r="AS102" s="381"/>
      <c r="AT102" s="381"/>
      <c r="AU102" s="381"/>
      <c r="AV102" s="381"/>
      <c r="AW102" s="381"/>
      <c r="AX102" s="381"/>
      <c r="AY102" s="381"/>
      <c r="AZ102" s="381"/>
      <c r="BA102" s="381"/>
      <c r="BB102" s="381"/>
      <c r="BC102" s="381"/>
      <c r="BD102" s="381"/>
      <c r="BE102" s="381"/>
      <c r="BF102" s="381"/>
      <c r="BG102" s="381"/>
      <c r="BH102" s="381"/>
      <c r="BI102" s="381"/>
      <c r="BJ102" s="381"/>
      <c r="BK102" s="381"/>
      <c r="BL102" s="381"/>
      <c r="BM102" s="381"/>
      <c r="BN102" s="381"/>
      <c r="BO102" s="381"/>
      <c r="BP102" s="381"/>
      <c r="BQ102" s="381"/>
      <c r="BR102" s="381"/>
      <c r="BS102" s="381"/>
      <c r="BT102" s="381"/>
      <c r="BU102" s="381"/>
      <c r="BV102" s="381"/>
      <c r="BW102" s="381"/>
      <c r="BX102" s="381"/>
      <c r="BY102" s="381"/>
      <c r="BZ102" s="381"/>
      <c r="CA102" s="381"/>
      <c r="CB102" s="381"/>
      <c r="CC102" s="381"/>
      <c r="CD102" s="381"/>
      <c r="CE102" s="381"/>
      <c r="CF102" s="381"/>
    </row>
    <row r="103" spans="2:84">
      <c r="B103" s="584" t="s">
        <v>747</v>
      </c>
      <c r="C103" s="627">
        <f>Resultado!D32</f>
        <v>13082722.717433799</v>
      </c>
      <c r="D103" s="540"/>
      <c r="E103" s="540"/>
      <c r="F103" s="540"/>
      <c r="L103" s="564"/>
      <c r="M103" s="547"/>
      <c r="O103" s="9"/>
      <c r="R103" s="381"/>
      <c r="S103" s="381"/>
      <c r="T103" s="381"/>
      <c r="U103" s="381"/>
      <c r="V103" s="381"/>
      <c r="W103" s="381"/>
      <c r="X103" s="381"/>
      <c r="Y103" s="381"/>
      <c r="Z103" s="381"/>
      <c r="AA103" s="381"/>
      <c r="AB103" s="381"/>
      <c r="AC103" s="381"/>
      <c r="AD103" s="381"/>
      <c r="AE103" s="381"/>
      <c r="AF103" s="381"/>
      <c r="AG103" s="381"/>
      <c r="AH103" s="381"/>
      <c r="AI103" s="381"/>
      <c r="AJ103" s="381"/>
      <c r="AK103" s="381"/>
      <c r="AL103" s="381"/>
      <c r="AM103" s="381"/>
      <c r="AN103" s="381"/>
      <c r="AO103" s="381"/>
      <c r="AP103" s="381"/>
      <c r="AQ103" s="381"/>
      <c r="AR103" s="381"/>
      <c r="AS103" s="381"/>
      <c r="AT103" s="381"/>
      <c r="AU103" s="381"/>
      <c r="AV103" s="381"/>
      <c r="AW103" s="381"/>
      <c r="AX103" s="381"/>
      <c r="AY103" s="381"/>
      <c r="AZ103" s="381"/>
      <c r="BA103" s="381"/>
      <c r="BB103" s="381"/>
      <c r="BC103" s="381"/>
      <c r="BD103" s="381"/>
      <c r="BE103" s="381"/>
      <c r="BF103" s="381"/>
      <c r="BG103" s="381"/>
      <c r="BH103" s="381"/>
      <c r="BI103" s="381"/>
      <c r="BJ103" s="381"/>
      <c r="BK103" s="381"/>
      <c r="BL103" s="381"/>
      <c r="BM103" s="381"/>
      <c r="BN103" s="381"/>
      <c r="BO103" s="381"/>
      <c r="BP103" s="381"/>
      <c r="BQ103" s="381"/>
      <c r="BR103" s="381"/>
      <c r="BS103" s="381"/>
      <c r="BT103" s="381"/>
      <c r="BU103" s="381"/>
      <c r="BV103" s="381"/>
      <c r="BW103" s="381"/>
      <c r="BX103" s="381"/>
      <c r="BY103" s="381"/>
      <c r="BZ103" s="381"/>
      <c r="CA103" s="381"/>
      <c r="CB103" s="381"/>
      <c r="CC103" s="381"/>
      <c r="CD103" s="381"/>
      <c r="CE103" s="381"/>
      <c r="CF103" s="381"/>
    </row>
    <row r="104" spans="2:84">
      <c r="B104" s="584" t="s">
        <v>748</v>
      </c>
      <c r="C104" s="627">
        <f>SUM(Resultado!D25:D29)</f>
        <v>3619086</v>
      </c>
      <c r="D104" s="540"/>
      <c r="E104" s="540"/>
      <c r="F104" s="540"/>
      <c r="H104" s="583"/>
      <c r="I104" s="583"/>
      <c r="L104" s="564"/>
      <c r="M104" s="547"/>
      <c r="O104" s="9"/>
      <c r="R104" s="381"/>
      <c r="S104" s="381"/>
      <c r="T104" s="381"/>
      <c r="U104" s="381"/>
      <c r="V104" s="381"/>
      <c r="W104" s="381"/>
      <c r="X104" s="381"/>
      <c r="Y104" s="381"/>
      <c r="Z104" s="381"/>
      <c r="AA104" s="381"/>
      <c r="AB104" s="381"/>
      <c r="AC104" s="381"/>
      <c r="AD104" s="381"/>
      <c r="AE104" s="381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  <c r="AQ104" s="381"/>
      <c r="AR104" s="381"/>
      <c r="AS104" s="381"/>
      <c r="AT104" s="381"/>
      <c r="AU104" s="381"/>
      <c r="AV104" s="381"/>
      <c r="AW104" s="381"/>
      <c r="AX104" s="381"/>
      <c r="AY104" s="381"/>
      <c r="AZ104" s="381"/>
      <c r="BA104" s="381"/>
      <c r="BB104" s="381"/>
      <c r="BC104" s="381"/>
      <c r="BD104" s="381"/>
      <c r="BE104" s="381"/>
      <c r="BF104" s="381"/>
      <c r="BG104" s="381"/>
      <c r="BH104" s="381"/>
      <c r="BI104" s="381"/>
      <c r="BJ104" s="381"/>
      <c r="BK104" s="381"/>
      <c r="BL104" s="381"/>
      <c r="BM104" s="381"/>
      <c r="BN104" s="381"/>
      <c r="BO104" s="381"/>
      <c r="BP104" s="381"/>
      <c r="BQ104" s="381"/>
      <c r="BR104" s="381"/>
      <c r="BS104" s="381"/>
      <c r="BT104" s="381"/>
      <c r="BU104" s="381"/>
      <c r="BV104" s="381"/>
      <c r="BW104" s="381"/>
      <c r="BX104" s="381"/>
      <c r="BY104" s="381"/>
      <c r="BZ104" s="381"/>
      <c r="CA104" s="381"/>
      <c r="CB104" s="381"/>
      <c r="CC104" s="381"/>
      <c r="CD104" s="381"/>
      <c r="CE104" s="381"/>
      <c r="CF104" s="381"/>
    </row>
    <row r="105" spans="2:84">
      <c r="B105" s="584" t="s">
        <v>749</v>
      </c>
      <c r="C105" s="627">
        <f>Resultado!D31</f>
        <v>0</v>
      </c>
      <c r="D105" s="540"/>
      <c r="E105" s="540"/>
      <c r="F105" s="540"/>
      <c r="L105" s="564"/>
      <c r="M105" s="547"/>
      <c r="O105" s="9"/>
      <c r="R105" s="381"/>
      <c r="S105" s="381"/>
      <c r="T105" s="381"/>
      <c r="U105" s="381"/>
      <c r="V105" s="381"/>
      <c r="W105" s="381"/>
      <c r="X105" s="381"/>
      <c r="Y105" s="381"/>
      <c r="Z105" s="381"/>
      <c r="AA105" s="381"/>
      <c r="AB105" s="381"/>
      <c r="AC105" s="381"/>
      <c r="AD105" s="381"/>
      <c r="AE105" s="381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  <c r="AQ105" s="381"/>
      <c r="AR105" s="381"/>
      <c r="AS105" s="381"/>
      <c r="AT105" s="381"/>
      <c r="AU105" s="381"/>
      <c r="AV105" s="381"/>
      <c r="AW105" s="381"/>
      <c r="AX105" s="381"/>
      <c r="AY105" s="381"/>
      <c r="AZ105" s="381"/>
      <c r="BA105" s="381"/>
      <c r="BB105" s="381"/>
      <c r="BC105" s="381"/>
      <c r="BD105" s="381"/>
      <c r="BE105" s="381"/>
      <c r="BF105" s="381"/>
      <c r="BG105" s="381"/>
      <c r="BH105" s="381"/>
      <c r="BI105" s="381"/>
      <c r="BJ105" s="381"/>
      <c r="BK105" s="381"/>
      <c r="BL105" s="381"/>
      <c r="BM105" s="381"/>
      <c r="BN105" s="381"/>
      <c r="BO105" s="381"/>
      <c r="BP105" s="381"/>
      <c r="BQ105" s="381"/>
      <c r="BR105" s="381"/>
      <c r="BS105" s="381"/>
      <c r="BT105" s="381"/>
      <c r="BU105" s="381"/>
      <c r="BV105" s="381"/>
      <c r="BW105" s="381"/>
      <c r="BX105" s="381"/>
      <c r="BY105" s="381"/>
      <c r="BZ105" s="381"/>
      <c r="CA105" s="381"/>
      <c r="CB105" s="381"/>
      <c r="CC105" s="381"/>
      <c r="CD105" s="381"/>
      <c r="CE105" s="381"/>
      <c r="CF105" s="381"/>
    </row>
    <row r="106" spans="2:84">
      <c r="B106" s="584" t="s">
        <v>750</v>
      </c>
      <c r="C106" s="628">
        <f>ROUND(Calc_Mercado!J18/1000,0)</f>
        <v>28</v>
      </c>
      <c r="D106" s="540"/>
      <c r="E106" s="540"/>
      <c r="F106" s="540"/>
      <c r="L106" s="564"/>
      <c r="M106" s="547"/>
      <c r="O106" s="9"/>
      <c r="R106" s="381"/>
      <c r="S106" s="381"/>
      <c r="T106" s="381"/>
      <c r="U106" s="381"/>
      <c r="V106" s="381"/>
      <c r="W106" s="381"/>
      <c r="X106" s="381"/>
      <c r="Y106" s="381"/>
      <c r="Z106" s="381"/>
      <c r="AA106" s="381"/>
      <c r="AB106" s="381"/>
      <c r="AC106" s="381"/>
      <c r="AD106" s="381"/>
      <c r="AE106" s="381"/>
      <c r="AF106" s="381"/>
      <c r="AG106" s="381"/>
      <c r="AH106" s="381"/>
      <c r="AI106" s="381"/>
      <c r="AJ106" s="381"/>
      <c r="AK106" s="381"/>
      <c r="AL106" s="381"/>
      <c r="AM106" s="381"/>
      <c r="AN106" s="381"/>
      <c r="AO106" s="381"/>
      <c r="AP106" s="381"/>
      <c r="AQ106" s="381"/>
      <c r="AR106" s="381"/>
      <c r="AS106" s="381"/>
      <c r="AT106" s="381"/>
      <c r="AU106" s="381"/>
      <c r="AV106" s="381"/>
      <c r="AW106" s="381"/>
      <c r="AX106" s="381"/>
      <c r="AY106" s="381"/>
      <c r="AZ106" s="381"/>
      <c r="BA106" s="381"/>
      <c r="BB106" s="381"/>
      <c r="BC106" s="381"/>
      <c r="BD106" s="381"/>
      <c r="BE106" s="381"/>
      <c r="BF106" s="381"/>
      <c r="BG106" s="381"/>
      <c r="BH106" s="381"/>
      <c r="BI106" s="381"/>
      <c r="BJ106" s="381"/>
      <c r="BK106" s="381"/>
      <c r="BL106" s="381"/>
      <c r="BM106" s="381"/>
      <c r="BN106" s="381"/>
      <c r="BO106" s="381"/>
      <c r="BP106" s="381"/>
      <c r="BQ106" s="381"/>
      <c r="BR106" s="381"/>
      <c r="BS106" s="381"/>
      <c r="BT106" s="381"/>
      <c r="BU106" s="381"/>
      <c r="BV106" s="381"/>
      <c r="BW106" s="381"/>
      <c r="BX106" s="381"/>
      <c r="BY106" s="381"/>
      <c r="BZ106" s="381"/>
      <c r="CA106" s="381"/>
      <c r="CB106" s="381"/>
      <c r="CC106" s="381"/>
      <c r="CD106" s="381"/>
      <c r="CE106" s="381"/>
      <c r="CF106" s="381"/>
    </row>
    <row r="107" spans="2:84">
      <c r="B107" s="584" t="s">
        <v>751</v>
      </c>
      <c r="C107" s="628">
        <f ca="1">ROUND(Mercado_RA0_Reais/1000000,0)</f>
        <v>105</v>
      </c>
      <c r="D107" s="540"/>
      <c r="E107" s="540"/>
      <c r="F107" s="540"/>
      <c r="L107" s="564"/>
      <c r="M107" s="547"/>
      <c r="O107" s="9"/>
      <c r="R107" s="381"/>
      <c r="S107" s="381"/>
      <c r="T107" s="381"/>
      <c r="U107" s="381"/>
      <c r="V107" s="381"/>
      <c r="W107" s="381"/>
      <c r="X107" s="381"/>
      <c r="Y107" s="381"/>
      <c r="Z107" s="381"/>
      <c r="AA107" s="381"/>
      <c r="AB107" s="381"/>
      <c r="AC107" s="381"/>
      <c r="AD107" s="381"/>
      <c r="AE107" s="381"/>
      <c r="AF107" s="381"/>
      <c r="AG107" s="381"/>
      <c r="AH107" s="381"/>
      <c r="AI107" s="381"/>
      <c r="AJ107" s="381"/>
      <c r="AK107" s="381"/>
      <c r="AL107" s="381"/>
      <c r="AM107" s="381"/>
      <c r="AN107" s="381"/>
      <c r="AO107" s="381"/>
      <c r="AP107" s="381"/>
      <c r="AQ107" s="381"/>
      <c r="AR107" s="381"/>
      <c r="AS107" s="381"/>
      <c r="AT107" s="381"/>
      <c r="AU107" s="381"/>
      <c r="AV107" s="381"/>
      <c r="AW107" s="381"/>
      <c r="AX107" s="381"/>
      <c r="AY107" s="381"/>
      <c r="AZ107" s="381"/>
      <c r="BA107" s="381"/>
      <c r="BB107" s="381"/>
      <c r="BC107" s="381"/>
      <c r="BD107" s="381"/>
      <c r="BE107" s="381"/>
      <c r="BF107" s="381"/>
      <c r="BG107" s="381"/>
      <c r="BH107" s="381"/>
      <c r="BI107" s="381"/>
      <c r="BJ107" s="381"/>
      <c r="BK107" s="381"/>
      <c r="BL107" s="381"/>
      <c r="BM107" s="381"/>
      <c r="BN107" s="381"/>
      <c r="BO107" s="381"/>
      <c r="BP107" s="381"/>
      <c r="BQ107" s="381"/>
      <c r="BR107" s="381"/>
      <c r="BS107" s="381"/>
      <c r="BT107" s="381"/>
      <c r="BU107" s="381"/>
      <c r="BV107" s="381"/>
      <c r="BW107" s="381"/>
      <c r="BX107" s="381"/>
      <c r="BY107" s="381"/>
      <c r="BZ107" s="381"/>
      <c r="CA107" s="381"/>
      <c r="CB107" s="381"/>
      <c r="CC107" s="381"/>
      <c r="CD107" s="381"/>
      <c r="CE107" s="381"/>
      <c r="CF107" s="381"/>
    </row>
    <row r="108" spans="2:84">
      <c r="B108" s="584" t="s">
        <v>247</v>
      </c>
      <c r="C108" s="628" t="str">
        <f>VLOOKUP(LnkTXTSigla,Informacoes[],9,FALSE)</f>
        <v>RGE</v>
      </c>
      <c r="D108" s="540"/>
      <c r="E108" s="540">
        <f>VLOOKUP(LnkTXTSigla,Informacoes[],11,FALSE)</f>
        <v>0</v>
      </c>
      <c r="F108" s="540"/>
      <c r="L108" s="564"/>
      <c r="M108" s="547"/>
      <c r="O108" s="9"/>
      <c r="R108" s="381"/>
      <c r="S108" s="381"/>
      <c r="T108" s="381"/>
      <c r="U108" s="381"/>
      <c r="V108" s="381"/>
      <c r="W108" s="381"/>
      <c r="X108" s="381"/>
      <c r="Y108" s="381"/>
      <c r="Z108" s="381"/>
      <c r="AA108" s="381"/>
      <c r="AB108" s="381"/>
      <c r="AC108" s="381"/>
      <c r="AD108" s="381"/>
      <c r="AE108" s="381"/>
      <c r="AF108" s="381"/>
      <c r="AG108" s="381"/>
      <c r="AH108" s="381"/>
      <c r="AI108" s="381"/>
      <c r="AJ108" s="381"/>
      <c r="AK108" s="381"/>
      <c r="AL108" s="381"/>
      <c r="AM108" s="381"/>
      <c r="AN108" s="381"/>
      <c r="AO108" s="381"/>
      <c r="AP108" s="381"/>
      <c r="AQ108" s="381"/>
      <c r="AR108" s="381"/>
      <c r="AS108" s="381"/>
      <c r="AT108" s="381"/>
      <c r="AU108" s="381"/>
      <c r="AV108" s="381"/>
      <c r="AW108" s="381"/>
      <c r="AX108" s="381"/>
      <c r="AY108" s="381"/>
      <c r="AZ108" s="381"/>
      <c r="BA108" s="381"/>
      <c r="BB108" s="381"/>
      <c r="BC108" s="381"/>
      <c r="BD108" s="381"/>
      <c r="BE108" s="381"/>
      <c r="BF108" s="381"/>
      <c r="BG108" s="381"/>
      <c r="BH108" s="381"/>
      <c r="BI108" s="381"/>
      <c r="BJ108" s="381"/>
      <c r="BK108" s="381"/>
      <c r="BL108" s="381"/>
      <c r="BM108" s="381"/>
      <c r="BN108" s="381"/>
      <c r="BO108" s="381"/>
      <c r="BP108" s="381"/>
      <c r="BQ108" s="381"/>
      <c r="BR108" s="381"/>
      <c r="BS108" s="381"/>
      <c r="BT108" s="381"/>
      <c r="BU108" s="381"/>
      <c r="BV108" s="381"/>
      <c r="BW108" s="381"/>
      <c r="BX108" s="381"/>
      <c r="BY108" s="381"/>
      <c r="BZ108" s="381"/>
      <c r="CA108" s="381"/>
      <c r="CB108" s="381"/>
      <c r="CC108" s="381"/>
      <c r="CD108" s="381"/>
      <c r="CE108" s="381"/>
      <c r="CF108" s="381"/>
    </row>
    <row r="109" spans="2:84" ht="16.5" customHeight="1">
      <c r="B109" s="774" t="s">
        <v>249</v>
      </c>
      <c r="C109" s="1085" t="str">
        <f>IF(E109=0,"!vazio!"," e "&amp;E109)</f>
        <v>!vazio!</v>
      </c>
      <c r="D109" s="1086" t="str">
        <f>IF(Energia!B29=Energia!B28,IF(Energia!B30=Energia!B28,Energia!B31,Energia!B29),Energia!B29)</f>
        <v>RGE SUL DISTRIBUIDORA DE ENERGIA S.A.</v>
      </c>
      <c r="E109" s="1086">
        <f>VLOOKUP(LnkTXTSigla,Informacoes[],11,FALSE)</f>
        <v>0</v>
      </c>
      <c r="F109" s="1086"/>
      <c r="L109" s="564"/>
      <c r="M109" s="547"/>
      <c r="O109" s="9"/>
      <c r="R109" s="381"/>
      <c r="S109" s="381"/>
      <c r="T109" s="381"/>
      <c r="U109" s="381"/>
      <c r="V109" s="381"/>
      <c r="W109" s="381"/>
      <c r="X109" s="381"/>
      <c r="Y109" s="381"/>
      <c r="Z109" s="381"/>
      <c r="AA109" s="381"/>
      <c r="AB109" s="381"/>
      <c r="AC109" s="381"/>
      <c r="AD109" s="381"/>
      <c r="AE109" s="381"/>
      <c r="AF109" s="381"/>
      <c r="AG109" s="381"/>
      <c r="AH109" s="381"/>
      <c r="AI109" s="381"/>
      <c r="AJ109" s="381"/>
      <c r="AK109" s="381"/>
      <c r="AL109" s="381"/>
      <c r="AM109" s="381"/>
      <c r="AN109" s="381"/>
      <c r="AO109" s="381"/>
      <c r="AP109" s="381"/>
      <c r="AQ109" s="381"/>
      <c r="AR109" s="381"/>
      <c r="AS109" s="381"/>
      <c r="AT109" s="381"/>
      <c r="AU109" s="381"/>
      <c r="AV109" s="381"/>
      <c r="AW109" s="381"/>
      <c r="AX109" s="381"/>
      <c r="AY109" s="381"/>
      <c r="AZ109" s="381"/>
      <c r="BA109" s="381"/>
      <c r="BB109" s="381"/>
      <c r="BC109" s="381"/>
      <c r="BD109" s="381"/>
      <c r="BE109" s="381"/>
      <c r="BF109" s="381"/>
      <c r="BG109" s="381"/>
      <c r="BH109" s="381"/>
      <c r="BI109" s="381"/>
      <c r="BJ109" s="381"/>
      <c r="BK109" s="381"/>
      <c r="BL109" s="381"/>
      <c r="BM109" s="381"/>
      <c r="BN109" s="381"/>
      <c r="BO109" s="381"/>
      <c r="BP109" s="381"/>
      <c r="BQ109" s="381"/>
      <c r="BR109" s="381"/>
      <c r="BS109" s="381"/>
      <c r="BT109" s="381"/>
      <c r="BU109" s="381"/>
      <c r="BV109" s="381"/>
      <c r="BW109" s="381"/>
      <c r="BX109" s="381"/>
      <c r="BY109" s="381"/>
      <c r="BZ109" s="381"/>
      <c r="CA109" s="381"/>
      <c r="CB109" s="381"/>
      <c r="CC109" s="381"/>
      <c r="CD109" s="381"/>
      <c r="CE109" s="381"/>
      <c r="CF109" s="381"/>
    </row>
    <row r="110" spans="2:84">
      <c r="B110" s="774" t="s">
        <v>752</v>
      </c>
      <c r="C110" s="1085" t="str">
        <f ca="1">IF(AnoRevRea=VLOOKUP(LnkTXTSigla,Informacoes[],22,FALSE),"REVISÃO","REAJUSTE")</f>
        <v>REAJUSTE</v>
      </c>
      <c r="D110" s="1086"/>
      <c r="E110" s="1086"/>
      <c r="F110" s="1086"/>
      <c r="L110" s="564"/>
      <c r="M110" s="547"/>
      <c r="O110" s="9"/>
      <c r="R110" s="381"/>
      <c r="S110" s="381"/>
      <c r="T110" s="381"/>
      <c r="U110" s="381"/>
      <c r="V110" s="381"/>
      <c r="W110" s="381"/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1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1"/>
      <c r="BB110" s="381"/>
      <c r="BC110" s="381"/>
      <c r="BD110" s="381"/>
      <c r="BE110" s="381"/>
      <c r="BF110" s="381"/>
      <c r="BG110" s="381"/>
      <c r="BH110" s="381"/>
      <c r="BI110" s="381"/>
      <c r="BJ110" s="381"/>
      <c r="BK110" s="381"/>
      <c r="BL110" s="381"/>
      <c r="BM110" s="381"/>
      <c r="BN110" s="381"/>
      <c r="BO110" s="381"/>
      <c r="BP110" s="381"/>
      <c r="BQ110" s="381"/>
      <c r="BR110" s="381"/>
      <c r="BS110" s="381"/>
      <c r="BT110" s="381"/>
      <c r="BU110" s="381"/>
      <c r="BV110" s="381"/>
      <c r="BW110" s="381"/>
      <c r="BX110" s="381"/>
      <c r="BY110" s="381"/>
      <c r="BZ110" s="381"/>
      <c r="CA110" s="381"/>
      <c r="CB110" s="381"/>
      <c r="CC110" s="381"/>
      <c r="CD110" s="381"/>
      <c r="CE110" s="381"/>
      <c r="CF110" s="381"/>
    </row>
    <row r="111" spans="2:84" ht="31.5" customHeight="1">
      <c r="B111" s="774" t="s">
        <v>753</v>
      </c>
      <c r="C111" s="1085" t="str">
        <f ca="1">IF(C110="Reajuste", "Reajuste Tarifário Anual - RTA", "Revisão Tarifária Periódica - RTP")</f>
        <v>Reajuste Tarifário Anual - RTA</v>
      </c>
      <c r="D111" s="1085"/>
      <c r="E111" s="1085"/>
      <c r="F111" s="1085"/>
      <c r="L111" s="564"/>
      <c r="M111" s="547"/>
      <c r="O111" s="9"/>
      <c r="R111" s="381"/>
      <c r="S111" s="381"/>
      <c r="T111" s="381"/>
      <c r="U111" s="381"/>
      <c r="V111" s="381"/>
      <c r="W111" s="381"/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1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1"/>
      <c r="BB111" s="381"/>
      <c r="BC111" s="381"/>
      <c r="BD111" s="381"/>
      <c r="BE111" s="381"/>
      <c r="BF111" s="381"/>
      <c r="BG111" s="381"/>
      <c r="BH111" s="381"/>
      <c r="BI111" s="381"/>
      <c r="BJ111" s="381"/>
      <c r="BK111" s="381"/>
      <c r="BL111" s="381"/>
      <c r="BM111" s="381"/>
      <c r="BN111" s="381"/>
      <c r="BO111" s="381"/>
      <c r="BP111" s="381"/>
      <c r="BQ111" s="381"/>
      <c r="BR111" s="381"/>
      <c r="BS111" s="381"/>
      <c r="BT111" s="381"/>
      <c r="BU111" s="381"/>
      <c r="BV111" s="381"/>
      <c r="BW111" s="381"/>
      <c r="BX111" s="381"/>
      <c r="BY111" s="381"/>
      <c r="BZ111" s="381"/>
      <c r="CA111" s="381"/>
      <c r="CB111" s="381"/>
      <c r="CC111" s="381"/>
      <c r="CD111" s="381"/>
      <c r="CE111" s="381"/>
      <c r="CF111" s="381"/>
    </row>
    <row r="112" spans="2:84" ht="110.25">
      <c r="B112" s="774" t="s">
        <v>754</v>
      </c>
      <c r="C112" s="778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8"/>
      <c r="E112" s="778"/>
      <c r="F112" s="778"/>
      <c r="L112" s="564"/>
      <c r="M112" s="547"/>
      <c r="O112" s="9"/>
      <c r="R112" s="381"/>
      <c r="S112" s="381"/>
      <c r="T112" s="381"/>
      <c r="U112" s="381"/>
      <c r="V112" s="381"/>
      <c r="W112" s="381"/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1"/>
      <c r="AR112" s="381"/>
      <c r="AS112" s="381"/>
      <c r="AT112" s="381"/>
      <c r="AU112" s="381"/>
      <c r="AV112" s="381"/>
      <c r="AW112" s="381"/>
      <c r="AX112" s="381"/>
      <c r="AY112" s="381"/>
      <c r="AZ112" s="381"/>
      <c r="BA112" s="381"/>
      <c r="BB112" s="381"/>
      <c r="BC112" s="381"/>
      <c r="BD112" s="381"/>
      <c r="BE112" s="381"/>
      <c r="BF112" s="381"/>
      <c r="BG112" s="381"/>
      <c r="BH112" s="381"/>
      <c r="BI112" s="381"/>
      <c r="BJ112" s="381"/>
      <c r="BK112" s="381"/>
      <c r="BL112" s="381"/>
      <c r="BM112" s="381"/>
      <c r="BN112" s="381"/>
      <c r="BO112" s="381"/>
      <c r="BP112" s="381"/>
      <c r="BQ112" s="381"/>
      <c r="BR112" s="381"/>
      <c r="BS112" s="381"/>
      <c r="BT112" s="381"/>
      <c r="BU112" s="381"/>
      <c r="BV112" s="381"/>
      <c r="BW112" s="381"/>
      <c r="BX112" s="381"/>
      <c r="BY112" s="381"/>
      <c r="BZ112" s="381"/>
      <c r="CA112" s="381"/>
      <c r="CB112" s="381"/>
      <c r="CC112" s="381"/>
      <c r="CD112" s="381"/>
      <c r="CE112" s="381"/>
      <c r="CF112" s="381"/>
    </row>
    <row r="113" spans="2:84">
      <c r="B113" s="773" t="s">
        <v>755</v>
      </c>
      <c r="C113" s="776" t="str">
        <f>VLOOKUP(C9,Informacoes[],37,FALSE)</f>
        <v>Não</v>
      </c>
      <c r="D113" s="776"/>
      <c r="E113" s="776"/>
      <c r="F113" s="776"/>
      <c r="L113" s="564"/>
      <c r="M113" s="547"/>
      <c r="O113" s="9"/>
      <c r="R113" s="381"/>
      <c r="S113" s="381"/>
      <c r="T113" s="381"/>
      <c r="U113" s="381"/>
      <c r="V113" s="381"/>
      <c r="W113" s="381"/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1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1"/>
      <c r="BB113" s="381"/>
      <c r="BC113" s="381"/>
      <c r="BD113" s="381"/>
      <c r="BE113" s="381"/>
      <c r="BF113" s="381"/>
      <c r="BG113" s="381"/>
      <c r="BH113" s="381"/>
      <c r="BI113" s="381"/>
      <c r="BJ113" s="381"/>
      <c r="BK113" s="381"/>
      <c r="BL113" s="381"/>
      <c r="BM113" s="381"/>
      <c r="BN113" s="381"/>
      <c r="BO113" s="381"/>
      <c r="BP113" s="381"/>
      <c r="BQ113" s="381"/>
      <c r="BR113" s="381"/>
      <c r="BS113" s="381"/>
      <c r="BT113" s="381"/>
      <c r="BU113" s="381"/>
      <c r="BV113" s="381"/>
      <c r="BW113" s="381"/>
      <c r="BX113" s="381"/>
      <c r="BY113" s="381"/>
      <c r="BZ113" s="381"/>
      <c r="CA113" s="381"/>
      <c r="CB113" s="381"/>
      <c r="CC113" s="381"/>
      <c r="CD113" s="381"/>
      <c r="CE113" s="381"/>
      <c r="CF113" s="381"/>
    </row>
    <row r="114" spans="2:84">
      <c r="B114" s="774" t="s">
        <v>756</v>
      </c>
      <c r="C114" s="777">
        <f>VLOOKUP(C9,Informacoes[],38,FALSE)</f>
        <v>0</v>
      </c>
      <c r="D114" s="777"/>
      <c r="E114" s="777"/>
      <c r="F114" s="777"/>
      <c r="L114" s="564"/>
      <c r="M114" s="547"/>
      <c r="O114" s="9"/>
      <c r="R114" s="381"/>
      <c r="S114" s="381"/>
      <c r="T114" s="381"/>
      <c r="U114" s="381"/>
      <c r="V114" s="381"/>
      <c r="W114" s="381"/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1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1"/>
      <c r="BB114" s="381"/>
      <c r="BC114" s="381"/>
      <c r="BD114" s="381"/>
      <c r="BE114" s="381"/>
      <c r="BF114" s="381"/>
      <c r="BG114" s="381"/>
      <c r="BH114" s="381"/>
      <c r="BI114" s="381"/>
      <c r="BJ114" s="381"/>
      <c r="BK114" s="381"/>
      <c r="BL114" s="381"/>
      <c r="BM114" s="381"/>
      <c r="BN114" s="381"/>
      <c r="BO114" s="381"/>
      <c r="BP114" s="381"/>
      <c r="BQ114" s="381"/>
      <c r="BR114" s="381"/>
      <c r="BS114" s="381"/>
      <c r="BT114" s="381"/>
      <c r="BU114" s="381"/>
      <c r="BV114" s="381"/>
      <c r="BW114" s="381"/>
      <c r="BX114" s="381"/>
      <c r="BY114" s="381"/>
      <c r="BZ114" s="381"/>
      <c r="CA114" s="381"/>
      <c r="CB114" s="381"/>
      <c r="CC114" s="381"/>
      <c r="CD114" s="381"/>
      <c r="CE114" s="381"/>
      <c r="CF114" s="381"/>
    </row>
    <row r="115" spans="2:84">
      <c r="L115" s="564"/>
      <c r="M115" s="547"/>
      <c r="O115" s="9"/>
      <c r="R115" s="381"/>
      <c r="S115" s="381"/>
      <c r="T115" s="381"/>
      <c r="U115" s="381"/>
      <c r="V115" s="381"/>
      <c r="W115" s="381"/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1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1"/>
      <c r="BB115" s="381"/>
      <c r="BC115" s="381"/>
      <c r="BD115" s="381"/>
      <c r="BE115" s="381"/>
      <c r="BF115" s="381"/>
      <c r="BG115" s="381"/>
      <c r="BH115" s="381"/>
      <c r="BI115" s="381"/>
      <c r="BJ115" s="381"/>
      <c r="BK115" s="381"/>
      <c r="BL115" s="381"/>
      <c r="BM115" s="381"/>
      <c r="BN115" s="381"/>
      <c r="BO115" s="381"/>
      <c r="BP115" s="381"/>
      <c r="BQ115" s="381"/>
      <c r="BR115" s="381"/>
      <c r="BS115" s="381"/>
      <c r="BT115" s="381"/>
      <c r="BU115" s="381"/>
      <c r="BV115" s="381"/>
      <c r="BW115" s="381"/>
      <c r="BX115" s="381"/>
      <c r="BY115" s="381"/>
      <c r="BZ115" s="381"/>
      <c r="CA115" s="381"/>
      <c r="CB115" s="381"/>
      <c r="CC115" s="381"/>
      <c r="CD115" s="381"/>
      <c r="CE115" s="381"/>
      <c r="CF115" s="381"/>
    </row>
    <row r="116" spans="2:84">
      <c r="L116" s="564"/>
      <c r="M116" s="547"/>
      <c r="O116" s="9"/>
      <c r="R116" s="381"/>
      <c r="S116" s="381"/>
      <c r="T116" s="381"/>
      <c r="U116" s="381"/>
      <c r="V116" s="381"/>
      <c r="W116" s="381"/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1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1"/>
      <c r="BB116" s="381"/>
      <c r="BC116" s="381"/>
      <c r="BD116" s="381"/>
      <c r="BE116" s="381"/>
      <c r="BF116" s="381"/>
      <c r="BG116" s="381"/>
      <c r="BH116" s="381"/>
      <c r="BI116" s="381"/>
      <c r="BJ116" s="381"/>
      <c r="BK116" s="381"/>
      <c r="BL116" s="381"/>
      <c r="BM116" s="381"/>
      <c r="BN116" s="381"/>
      <c r="BO116" s="381"/>
      <c r="BP116" s="381"/>
      <c r="BQ116" s="381"/>
      <c r="BR116" s="381"/>
      <c r="BS116" s="381"/>
      <c r="BT116" s="381"/>
      <c r="BU116" s="381"/>
      <c r="BV116" s="381"/>
      <c r="BW116" s="381"/>
      <c r="BX116" s="381"/>
      <c r="BY116" s="381"/>
      <c r="BZ116" s="381"/>
      <c r="CA116" s="381"/>
      <c r="CB116" s="381"/>
      <c r="CC116" s="381"/>
      <c r="CD116" s="381"/>
      <c r="CE116" s="381"/>
      <c r="CF116" s="381"/>
    </row>
    <row r="117" spans="2:84">
      <c r="L117" s="564"/>
      <c r="M117" s="547"/>
      <c r="O117" s="9"/>
      <c r="R117" s="381"/>
      <c r="S117" s="381"/>
      <c r="T117" s="381"/>
      <c r="U117" s="381"/>
      <c r="V117" s="381"/>
      <c r="W117" s="381"/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1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1"/>
      <c r="BB117" s="381"/>
      <c r="BC117" s="381"/>
      <c r="BD117" s="381"/>
      <c r="BE117" s="381"/>
      <c r="BF117" s="381"/>
      <c r="BG117" s="381"/>
      <c r="BH117" s="381"/>
      <c r="BI117" s="381"/>
      <c r="BJ117" s="381"/>
      <c r="BK117" s="381"/>
      <c r="BL117" s="381"/>
      <c r="BM117" s="381"/>
      <c r="BN117" s="381"/>
      <c r="BO117" s="381"/>
      <c r="BP117" s="381"/>
      <c r="BQ117" s="381"/>
      <c r="BR117" s="381"/>
      <c r="BS117" s="381"/>
      <c r="BT117" s="381"/>
      <c r="BU117" s="381"/>
      <c r="BV117" s="381"/>
      <c r="BW117" s="381"/>
      <c r="BX117" s="381"/>
      <c r="BY117" s="381"/>
      <c r="BZ117" s="381"/>
      <c r="CA117" s="381"/>
      <c r="CB117" s="381"/>
      <c r="CC117" s="381"/>
      <c r="CD117" s="381"/>
      <c r="CE117" s="381"/>
      <c r="CF117" s="381"/>
    </row>
    <row r="118" spans="2:84" ht="16.5" customHeight="1">
      <c r="B118" s="231" t="s">
        <v>757</v>
      </c>
      <c r="C118" s="231"/>
      <c r="L118" s="564"/>
      <c r="M118" s="547"/>
      <c r="O118" s="9"/>
      <c r="R118" s="381"/>
      <c r="S118" s="381"/>
      <c r="T118" s="381"/>
      <c r="U118" s="381"/>
      <c r="V118" s="381"/>
      <c r="W118" s="381"/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1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1"/>
      <c r="BB118" s="381"/>
      <c r="BC118" s="381"/>
      <c r="BD118" s="381"/>
      <c r="BE118" s="381"/>
      <c r="BF118" s="381"/>
      <c r="BG118" s="381"/>
      <c r="BH118" s="381"/>
      <c r="BI118" s="381"/>
      <c r="BJ118" s="381"/>
      <c r="BK118" s="381"/>
      <c r="BL118" s="381"/>
      <c r="BM118" s="381"/>
      <c r="BN118" s="381"/>
      <c r="BO118" s="381"/>
      <c r="BP118" s="381"/>
      <c r="BQ118" s="381"/>
      <c r="BR118" s="381"/>
      <c r="BS118" s="381"/>
      <c r="BT118" s="381"/>
      <c r="BU118" s="381"/>
      <c r="BV118" s="381"/>
      <c r="BW118" s="381"/>
      <c r="BX118" s="381"/>
      <c r="BY118" s="381"/>
      <c r="BZ118" s="381"/>
      <c r="CA118" s="381"/>
      <c r="CB118" s="381"/>
      <c r="CC118" s="381"/>
      <c r="CD118" s="381"/>
      <c r="CE118" s="381"/>
      <c r="CF118" s="381"/>
    </row>
    <row r="119" spans="2:84">
      <c r="B119" s="1087" t="s">
        <v>239</v>
      </c>
      <c r="C119" s="1087" t="s">
        <v>239</v>
      </c>
      <c r="L119" s="564"/>
      <c r="M119" s="547"/>
      <c r="O119" s="9"/>
      <c r="R119" s="381"/>
      <c r="S119" s="381"/>
      <c r="T119" s="381"/>
      <c r="U119" s="381"/>
      <c r="V119" s="381"/>
      <c r="W119" s="381"/>
      <c r="X119" s="381"/>
      <c r="Y119" s="381"/>
      <c r="Z119" s="381"/>
      <c r="AA119" s="381"/>
      <c r="AB119" s="381"/>
      <c r="AC119" s="381"/>
      <c r="AD119" s="381"/>
      <c r="AE119" s="381"/>
      <c r="AF119" s="381"/>
      <c r="AG119" s="381"/>
      <c r="AH119" s="381"/>
      <c r="AI119" s="381"/>
      <c r="AJ119" s="381"/>
      <c r="AK119" s="381"/>
      <c r="AL119" s="381"/>
      <c r="AM119" s="381"/>
      <c r="AN119" s="381"/>
      <c r="AO119" s="381"/>
      <c r="AP119" s="381"/>
      <c r="AQ119" s="381"/>
      <c r="AR119" s="381"/>
      <c r="AS119" s="381"/>
      <c r="AT119" s="381"/>
      <c r="AU119" s="381"/>
      <c r="AV119" s="381"/>
      <c r="AW119" s="381"/>
      <c r="AX119" s="381"/>
      <c r="AY119" s="381"/>
      <c r="AZ119" s="381"/>
      <c r="BA119" s="381"/>
      <c r="BB119" s="381"/>
      <c r="BC119" s="381"/>
      <c r="BD119" s="381"/>
      <c r="BE119" s="381"/>
      <c r="BF119" s="381"/>
      <c r="BG119" s="381"/>
      <c r="BH119" s="381"/>
      <c r="BI119" s="381"/>
      <c r="BJ119" s="381"/>
      <c r="BK119" s="381"/>
      <c r="BL119" s="381"/>
      <c r="BM119" s="381"/>
      <c r="BN119" s="381"/>
      <c r="BO119" s="381"/>
      <c r="BP119" s="381"/>
      <c r="BQ119" s="381"/>
      <c r="BR119" s="381"/>
      <c r="BS119" s="381"/>
      <c r="BT119" s="381"/>
      <c r="BU119" s="381"/>
      <c r="BV119" s="381"/>
      <c r="BW119" s="381"/>
      <c r="BX119" s="381"/>
      <c r="BY119" s="381"/>
      <c r="BZ119" s="381"/>
      <c r="CA119" s="381"/>
      <c r="CB119" s="381"/>
      <c r="CC119" s="381"/>
      <c r="CD119" s="381"/>
      <c r="CE119" s="381"/>
      <c r="CF119" s="381"/>
    </row>
    <row r="120" spans="2:84">
      <c r="B120" s="1088" t="str">
        <f>LnkTXTSigla</f>
        <v>Cermissões</v>
      </c>
      <c r="C120" s="1089" t="str">
        <f>LnkTXTSuprid1</f>
        <v>RGE</v>
      </c>
      <c r="L120" s="564"/>
      <c r="M120" s="547"/>
      <c r="O120" s="9"/>
      <c r="R120" s="381"/>
      <c r="S120" s="381"/>
      <c r="T120" s="381"/>
      <c r="U120" s="381"/>
      <c r="V120" s="381"/>
      <c r="W120" s="381"/>
      <c r="X120" s="381"/>
      <c r="Y120" s="381"/>
      <c r="Z120" s="381"/>
      <c r="AA120" s="381"/>
      <c r="AB120" s="381"/>
      <c r="AC120" s="381"/>
      <c r="AD120" s="381"/>
      <c r="AE120" s="381"/>
      <c r="AF120" s="381"/>
      <c r="AG120" s="381"/>
      <c r="AH120" s="381"/>
      <c r="AI120" s="381"/>
      <c r="AJ120" s="381"/>
      <c r="AK120" s="381"/>
      <c r="AL120" s="381"/>
      <c r="AM120" s="381"/>
      <c r="AN120" s="381"/>
      <c r="AO120" s="381"/>
      <c r="AP120" s="381"/>
      <c r="AQ120" s="381"/>
      <c r="AR120" s="381"/>
      <c r="AS120" s="381"/>
      <c r="AT120" s="381"/>
      <c r="AU120" s="381"/>
      <c r="AV120" s="381"/>
      <c r="AW120" s="381"/>
      <c r="AX120" s="381"/>
      <c r="AY120" s="381"/>
      <c r="AZ120" s="381"/>
      <c r="BA120" s="381"/>
      <c r="BB120" s="381"/>
      <c r="BC120" s="381"/>
      <c r="BD120" s="381"/>
      <c r="BE120" s="381"/>
      <c r="BF120" s="381"/>
      <c r="BG120" s="381"/>
      <c r="BH120" s="381"/>
      <c r="BI120" s="381"/>
      <c r="BJ120" s="381"/>
      <c r="BK120" s="381"/>
      <c r="BL120" s="381"/>
      <c r="BM120" s="381"/>
      <c r="BN120" s="381"/>
      <c r="BO120" s="381"/>
      <c r="BP120" s="381"/>
      <c r="BQ120" s="381"/>
      <c r="BR120" s="381"/>
      <c r="BS120" s="381"/>
      <c r="BT120" s="381"/>
      <c r="BU120" s="381"/>
      <c r="BV120" s="381"/>
      <c r="BW120" s="381"/>
      <c r="BX120" s="381"/>
      <c r="BY120" s="381"/>
      <c r="BZ120" s="381"/>
      <c r="CA120" s="381"/>
      <c r="CB120" s="381"/>
      <c r="CC120" s="381"/>
      <c r="CD120" s="381"/>
      <c r="CE120" s="381"/>
      <c r="CF120" s="381"/>
    </row>
    <row r="121" spans="2:84">
      <c r="L121" s="564"/>
      <c r="M121" s="547"/>
      <c r="O121" s="9"/>
      <c r="R121" s="381"/>
      <c r="S121" s="381"/>
      <c r="T121" s="381"/>
      <c r="U121" s="381"/>
      <c r="V121" s="381"/>
      <c r="W121" s="381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  <c r="BR121" s="381"/>
      <c r="BS121" s="381"/>
      <c r="BT121" s="381"/>
      <c r="BU121" s="381"/>
      <c r="BV121" s="381"/>
      <c r="BW121" s="381"/>
      <c r="BX121" s="381"/>
      <c r="BY121" s="381"/>
      <c r="BZ121" s="381"/>
      <c r="CA121" s="381"/>
      <c r="CB121" s="381"/>
      <c r="CC121" s="381"/>
      <c r="CD121" s="381"/>
      <c r="CE121" s="381"/>
      <c r="CF121" s="381"/>
    </row>
    <row r="122" spans="2:84">
      <c r="L122" s="564"/>
      <c r="M122" s="547"/>
      <c r="O122" s="9"/>
      <c r="R122" s="381"/>
      <c r="S122" s="381"/>
      <c r="T122" s="381"/>
      <c r="U122" s="381"/>
      <c r="V122" s="381"/>
      <c r="W122" s="381"/>
      <c r="X122" s="381"/>
      <c r="Y122" s="381"/>
      <c r="Z122" s="381"/>
      <c r="AA122" s="381"/>
      <c r="AB122" s="381"/>
      <c r="AC122" s="381"/>
      <c r="AD122" s="381"/>
      <c r="AE122" s="381"/>
      <c r="AF122" s="381"/>
      <c r="AG122" s="381"/>
      <c r="AH122" s="381"/>
      <c r="AI122" s="381"/>
      <c r="AJ122" s="381"/>
      <c r="AK122" s="381"/>
      <c r="AL122" s="381"/>
      <c r="AM122" s="381"/>
      <c r="AN122" s="381"/>
      <c r="AO122" s="381"/>
      <c r="AP122" s="381"/>
      <c r="AQ122" s="381"/>
      <c r="AR122" s="381"/>
      <c r="AS122" s="381"/>
      <c r="AT122" s="381"/>
      <c r="AU122" s="381"/>
      <c r="AV122" s="381"/>
      <c r="AW122" s="381"/>
      <c r="AX122" s="381"/>
      <c r="AY122" s="381"/>
      <c r="AZ122" s="381"/>
      <c r="BA122" s="381"/>
      <c r="BB122" s="381"/>
      <c r="BC122" s="381"/>
      <c r="BD122" s="381"/>
      <c r="BE122" s="381"/>
      <c r="BF122" s="381"/>
      <c r="BG122" s="381"/>
      <c r="BH122" s="381"/>
      <c r="BI122" s="381"/>
      <c r="BJ122" s="381"/>
      <c r="BK122" s="381"/>
      <c r="BL122" s="381"/>
      <c r="BM122" s="381"/>
      <c r="BN122" s="381"/>
      <c r="BO122" s="381"/>
      <c r="BP122" s="381"/>
      <c r="BQ122" s="381"/>
      <c r="BR122" s="381"/>
      <c r="BS122" s="381"/>
      <c r="BT122" s="381"/>
      <c r="BU122" s="381"/>
      <c r="BV122" s="381"/>
      <c r="BW122" s="381"/>
      <c r="BX122" s="381"/>
      <c r="BY122" s="381"/>
      <c r="BZ122" s="381"/>
      <c r="CA122" s="381"/>
      <c r="CB122" s="381"/>
      <c r="CC122" s="381"/>
      <c r="CD122" s="381"/>
      <c r="CE122" s="381"/>
      <c r="CF122" s="381"/>
    </row>
    <row r="123" spans="2:84">
      <c r="L123" s="564"/>
      <c r="M123" s="547"/>
      <c r="O123" s="9"/>
      <c r="R123" s="381"/>
      <c r="S123" s="381"/>
      <c r="T123" s="381"/>
      <c r="U123" s="381"/>
      <c r="V123" s="381"/>
      <c r="W123" s="381"/>
      <c r="X123" s="381"/>
      <c r="Y123" s="381"/>
      <c r="Z123" s="381"/>
      <c r="AA123" s="381"/>
      <c r="AB123" s="381"/>
      <c r="AC123" s="381"/>
      <c r="AD123" s="381"/>
      <c r="AE123" s="381"/>
      <c r="AF123" s="381"/>
      <c r="AG123" s="381"/>
      <c r="AH123" s="381"/>
      <c r="AI123" s="381"/>
      <c r="AJ123" s="381"/>
      <c r="AK123" s="381"/>
      <c r="AL123" s="381"/>
      <c r="AM123" s="381"/>
      <c r="AN123" s="381"/>
      <c r="AO123" s="381"/>
      <c r="AP123" s="381"/>
      <c r="AQ123" s="381"/>
      <c r="AR123" s="381"/>
      <c r="AS123" s="381"/>
      <c r="AT123" s="381"/>
      <c r="AU123" s="381"/>
      <c r="AV123" s="381"/>
      <c r="AW123" s="381"/>
      <c r="AX123" s="381"/>
      <c r="AY123" s="381"/>
      <c r="AZ123" s="381"/>
      <c r="BA123" s="381"/>
      <c r="BB123" s="381"/>
      <c r="BC123" s="381"/>
      <c r="BD123" s="381"/>
      <c r="BE123" s="381"/>
      <c r="BF123" s="381"/>
      <c r="BG123" s="381"/>
      <c r="BH123" s="381"/>
      <c r="BI123" s="381"/>
      <c r="BJ123" s="381"/>
      <c r="BK123" s="381"/>
      <c r="BL123" s="381"/>
      <c r="BM123" s="381"/>
      <c r="BN123" s="381"/>
      <c r="BO123" s="381"/>
      <c r="BP123" s="381"/>
      <c r="BQ123" s="381"/>
      <c r="BR123" s="381"/>
      <c r="BS123" s="381"/>
      <c r="BT123" s="381"/>
      <c r="BU123" s="381"/>
      <c r="BV123" s="381"/>
      <c r="BW123" s="381"/>
      <c r="BX123" s="381"/>
      <c r="BY123" s="381"/>
      <c r="BZ123" s="381"/>
      <c r="CA123" s="381"/>
      <c r="CB123" s="381"/>
      <c r="CC123" s="381"/>
      <c r="CD123" s="381"/>
      <c r="CE123" s="381"/>
      <c r="CF123" s="381"/>
    </row>
    <row r="124" spans="2:84">
      <c r="L124" s="564"/>
      <c r="M124" s="547"/>
      <c r="O124" s="9"/>
      <c r="R124" s="381"/>
      <c r="S124" s="381"/>
      <c r="T124" s="381"/>
      <c r="U124" s="381"/>
      <c r="V124" s="381"/>
      <c r="W124" s="381"/>
      <c r="X124" s="381"/>
      <c r="Y124" s="381"/>
      <c r="Z124" s="381"/>
      <c r="AA124" s="381"/>
      <c r="AB124" s="381"/>
      <c r="AC124" s="381"/>
      <c r="AD124" s="381"/>
      <c r="AE124" s="381"/>
      <c r="AF124" s="381"/>
      <c r="AG124" s="381"/>
      <c r="AH124" s="381"/>
      <c r="AI124" s="381"/>
      <c r="AJ124" s="381"/>
      <c r="AK124" s="381"/>
      <c r="AL124" s="381"/>
      <c r="AM124" s="381"/>
      <c r="AN124" s="381"/>
      <c r="AO124" s="381"/>
      <c r="AP124" s="381"/>
      <c r="AQ124" s="381"/>
      <c r="AR124" s="381"/>
      <c r="AS124" s="381"/>
      <c r="AT124" s="381"/>
      <c r="AU124" s="381"/>
      <c r="AV124" s="381"/>
      <c r="AW124" s="381"/>
      <c r="AX124" s="381"/>
      <c r="AY124" s="381"/>
      <c r="AZ124" s="381"/>
      <c r="BA124" s="381"/>
      <c r="BB124" s="381"/>
      <c r="BC124" s="381"/>
      <c r="BD124" s="381"/>
      <c r="BE124" s="381"/>
      <c r="BF124" s="381"/>
      <c r="BG124" s="381"/>
      <c r="BH124" s="381"/>
      <c r="BI124" s="381"/>
      <c r="BJ124" s="381"/>
      <c r="BK124" s="381"/>
      <c r="BL124" s="381"/>
      <c r="BM124" s="381"/>
      <c r="BN124" s="381"/>
      <c r="BO124" s="381"/>
      <c r="BP124" s="381"/>
      <c r="BQ124" s="381"/>
      <c r="BR124" s="381"/>
      <c r="BS124" s="381"/>
      <c r="BT124" s="381"/>
      <c r="BU124" s="381"/>
      <c r="BV124" s="381"/>
      <c r="BW124" s="381"/>
      <c r="BX124" s="381"/>
      <c r="BY124" s="381"/>
      <c r="BZ124" s="381"/>
      <c r="CA124" s="381"/>
      <c r="CB124" s="381"/>
      <c r="CC124" s="381"/>
      <c r="CD124" s="381"/>
      <c r="CE124" s="381"/>
      <c r="CF124" s="381"/>
    </row>
    <row r="125" spans="2:84">
      <c r="L125" s="564"/>
      <c r="M125" s="547"/>
      <c r="O125" s="9"/>
      <c r="Q125" s="235"/>
      <c r="R125" s="381"/>
      <c r="S125" s="381"/>
      <c r="T125" s="381"/>
      <c r="U125" s="381"/>
      <c r="V125" s="381"/>
      <c r="W125" s="381"/>
      <c r="X125" s="381"/>
      <c r="Y125" s="381"/>
      <c r="Z125" s="381"/>
      <c r="AA125" s="381"/>
      <c r="AB125" s="381"/>
      <c r="AC125" s="381"/>
      <c r="AD125" s="381"/>
      <c r="AE125" s="381"/>
      <c r="AF125" s="381"/>
      <c r="AG125" s="381"/>
      <c r="AH125" s="381"/>
      <c r="AI125" s="381"/>
      <c r="AJ125" s="381"/>
      <c r="AK125" s="381"/>
      <c r="AL125" s="381"/>
      <c r="AM125" s="381"/>
      <c r="AN125" s="381"/>
      <c r="AO125" s="381"/>
      <c r="AP125" s="381"/>
      <c r="AQ125" s="381"/>
      <c r="AR125" s="381"/>
      <c r="AS125" s="381"/>
      <c r="AT125" s="381"/>
      <c r="AU125" s="381"/>
      <c r="AV125" s="381"/>
      <c r="AW125" s="381"/>
      <c r="AX125" s="381"/>
      <c r="AY125" s="381"/>
      <c r="AZ125" s="381"/>
      <c r="BA125" s="381"/>
      <c r="BB125" s="381"/>
      <c r="BC125" s="381"/>
      <c r="BD125" s="381"/>
      <c r="BE125" s="381"/>
      <c r="BF125" s="381"/>
      <c r="BG125" s="381"/>
      <c r="BH125" s="381"/>
      <c r="BI125" s="381"/>
      <c r="BJ125" s="381"/>
      <c r="BK125" s="381"/>
      <c r="BL125" s="381"/>
      <c r="BM125" s="381"/>
      <c r="BN125" s="381"/>
      <c r="BO125" s="381"/>
      <c r="BP125" s="381"/>
      <c r="BQ125" s="381"/>
      <c r="BR125" s="381"/>
      <c r="BS125" s="381"/>
      <c r="BT125" s="381"/>
      <c r="BU125" s="381"/>
      <c r="BV125" s="381"/>
      <c r="BW125" s="381"/>
      <c r="BX125" s="381"/>
      <c r="BY125" s="381"/>
      <c r="BZ125" s="381"/>
      <c r="CA125" s="381"/>
      <c r="CB125" s="381"/>
      <c r="CC125" s="381"/>
      <c r="CD125" s="381"/>
      <c r="CE125" s="381"/>
      <c r="CF125" s="381"/>
    </row>
    <row r="126" spans="2:84">
      <c r="L126" s="564"/>
      <c r="M126" s="547"/>
      <c r="O126" s="9"/>
      <c r="Q126" s="235"/>
      <c r="R126" s="381"/>
      <c r="S126" s="381"/>
      <c r="T126" s="381"/>
      <c r="U126" s="381"/>
      <c r="V126" s="381"/>
      <c r="W126" s="381"/>
      <c r="X126" s="381"/>
      <c r="Y126" s="381"/>
      <c r="Z126" s="381"/>
      <c r="AA126" s="381"/>
      <c r="AB126" s="381"/>
      <c r="AC126" s="381"/>
      <c r="AD126" s="381"/>
      <c r="AE126" s="381"/>
      <c r="AF126" s="381"/>
      <c r="AG126" s="381"/>
      <c r="AH126" s="381"/>
      <c r="AI126" s="381"/>
      <c r="AJ126" s="381"/>
      <c r="AK126" s="381"/>
      <c r="AL126" s="381"/>
      <c r="AM126" s="381"/>
      <c r="AN126" s="381"/>
      <c r="AO126" s="381"/>
      <c r="AP126" s="381"/>
      <c r="AQ126" s="381"/>
      <c r="AR126" s="381"/>
      <c r="AS126" s="381"/>
      <c r="AT126" s="381"/>
      <c r="AU126" s="381"/>
      <c r="AV126" s="381"/>
      <c r="AW126" s="381"/>
      <c r="AX126" s="381"/>
      <c r="AY126" s="381"/>
      <c r="AZ126" s="381"/>
      <c r="BA126" s="381"/>
      <c r="BB126" s="381"/>
      <c r="BC126" s="381"/>
      <c r="BD126" s="381"/>
      <c r="BE126" s="381"/>
      <c r="BF126" s="381"/>
      <c r="BG126" s="381"/>
      <c r="BH126" s="381"/>
      <c r="BI126" s="381"/>
      <c r="BJ126" s="381"/>
      <c r="BK126" s="381"/>
      <c r="BL126" s="381"/>
      <c r="BM126" s="381"/>
      <c r="BN126" s="381"/>
      <c r="BO126" s="381"/>
      <c r="BP126" s="381"/>
      <c r="BQ126" s="381"/>
      <c r="BR126" s="381"/>
      <c r="BS126" s="381"/>
      <c r="BT126" s="381"/>
      <c r="BU126" s="381"/>
      <c r="BV126" s="381"/>
      <c r="BW126" s="381"/>
      <c r="BX126" s="381"/>
      <c r="BY126" s="381"/>
      <c r="BZ126" s="381"/>
      <c r="CA126" s="381"/>
      <c r="CB126" s="381"/>
      <c r="CC126" s="381"/>
      <c r="CD126" s="381"/>
      <c r="CE126" s="381"/>
      <c r="CF126" s="381"/>
    </row>
    <row r="127" spans="2:84" ht="16.5" customHeight="1">
      <c r="L127" s="564"/>
      <c r="M127" s="547"/>
      <c r="O127" s="9"/>
      <c r="Q127" s="235"/>
      <c r="R127" s="381"/>
      <c r="S127" s="381"/>
      <c r="T127" s="381"/>
      <c r="U127" s="381"/>
      <c r="V127" s="381"/>
      <c r="W127" s="381"/>
      <c r="X127" s="381"/>
      <c r="Y127" s="381"/>
      <c r="Z127" s="381"/>
      <c r="AA127" s="381"/>
      <c r="AB127" s="381"/>
      <c r="AC127" s="381"/>
      <c r="AD127" s="381"/>
      <c r="AE127" s="381"/>
      <c r="AF127" s="381"/>
      <c r="AG127" s="381"/>
      <c r="AH127" s="381"/>
      <c r="AI127" s="381"/>
      <c r="AJ127" s="381"/>
      <c r="AK127" s="381"/>
      <c r="AL127" s="381"/>
      <c r="AM127" s="381"/>
      <c r="AN127" s="381"/>
      <c r="AO127" s="381"/>
      <c r="AP127" s="381"/>
      <c r="AQ127" s="381"/>
      <c r="AR127" s="381"/>
      <c r="AS127" s="381"/>
      <c r="AT127" s="381"/>
      <c r="AU127" s="381"/>
      <c r="AV127" s="381"/>
      <c r="AW127" s="381"/>
      <c r="AX127" s="381"/>
      <c r="AY127" s="381"/>
      <c r="AZ127" s="381"/>
      <c r="BA127" s="381"/>
      <c r="BB127" s="381"/>
      <c r="BC127" s="381"/>
      <c r="BD127" s="381"/>
      <c r="BE127" s="381"/>
      <c r="BF127" s="381"/>
      <c r="BG127" s="381"/>
      <c r="BH127" s="381"/>
      <c r="BI127" s="381"/>
      <c r="BJ127" s="381"/>
      <c r="BK127" s="381"/>
      <c r="BL127" s="381"/>
      <c r="BM127" s="381"/>
      <c r="BN127" s="381"/>
      <c r="BO127" s="381"/>
      <c r="BP127" s="381"/>
      <c r="BQ127" s="381"/>
      <c r="BR127" s="381"/>
      <c r="BS127" s="381"/>
      <c r="BT127" s="381"/>
      <c r="BU127" s="381"/>
      <c r="BV127" s="381"/>
      <c r="BW127" s="381"/>
      <c r="BX127" s="381"/>
      <c r="BY127" s="381"/>
      <c r="BZ127" s="381"/>
      <c r="CA127" s="381"/>
      <c r="CB127" s="381"/>
      <c r="CC127" s="381"/>
      <c r="CD127" s="381"/>
      <c r="CE127" s="381"/>
      <c r="CF127" s="381"/>
    </row>
    <row r="128" spans="2:84">
      <c r="L128" s="564"/>
      <c r="M128" s="547"/>
      <c r="O128" s="9"/>
      <c r="Q128" s="235"/>
      <c r="R128" s="381"/>
      <c r="S128" s="381"/>
      <c r="T128" s="381"/>
      <c r="U128" s="381"/>
      <c r="V128" s="381"/>
      <c r="W128" s="381"/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1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1"/>
      <c r="BB128" s="381"/>
      <c r="BC128" s="381"/>
      <c r="BD128" s="381"/>
      <c r="BE128" s="381"/>
      <c r="BF128" s="381"/>
      <c r="BG128" s="381"/>
      <c r="BH128" s="381"/>
      <c r="BI128" s="381"/>
      <c r="BJ128" s="381"/>
      <c r="BK128" s="381"/>
      <c r="BL128" s="381"/>
      <c r="BM128" s="381"/>
      <c r="BN128" s="381"/>
      <c r="BO128" s="381"/>
      <c r="BP128" s="381"/>
      <c r="BQ128" s="381"/>
      <c r="BR128" s="381"/>
      <c r="BS128" s="381"/>
      <c r="BT128" s="381"/>
      <c r="BU128" s="381"/>
      <c r="BV128" s="381"/>
      <c r="BW128" s="381"/>
      <c r="BX128" s="381"/>
      <c r="BY128" s="381"/>
      <c r="BZ128" s="381"/>
      <c r="CA128" s="381"/>
      <c r="CB128" s="381"/>
      <c r="CC128" s="381"/>
      <c r="CD128" s="381"/>
      <c r="CE128" s="381"/>
      <c r="CF128" s="381"/>
    </row>
    <row r="129" spans="13:84">
      <c r="M129" s="547"/>
      <c r="O129" s="9"/>
      <c r="Q129" s="235"/>
      <c r="R129" s="381"/>
      <c r="S129" s="381"/>
      <c r="T129" s="381"/>
      <c r="U129" s="381"/>
      <c r="V129" s="381"/>
      <c r="W129" s="381"/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1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1"/>
      <c r="BB129" s="381"/>
      <c r="BC129" s="381"/>
      <c r="BD129" s="381"/>
      <c r="BE129" s="381"/>
      <c r="BF129" s="381"/>
      <c r="BG129" s="381"/>
      <c r="BH129" s="381"/>
      <c r="BI129" s="381"/>
      <c r="BJ129" s="381"/>
      <c r="BK129" s="381"/>
      <c r="BL129" s="381"/>
      <c r="BM129" s="381"/>
      <c r="BN129" s="381"/>
      <c r="BO129" s="381"/>
      <c r="BP129" s="381"/>
      <c r="BQ129" s="381"/>
      <c r="BR129" s="381"/>
      <c r="BS129" s="381"/>
      <c r="BT129" s="381"/>
      <c r="BU129" s="381"/>
      <c r="BV129" s="381"/>
      <c r="BW129" s="381"/>
      <c r="BX129" s="381"/>
      <c r="BY129" s="381"/>
      <c r="BZ129" s="381"/>
      <c r="CA129" s="381"/>
      <c r="CB129" s="381"/>
      <c r="CC129" s="381"/>
      <c r="CD129" s="381"/>
      <c r="CE129" s="381"/>
      <c r="CF129" s="381"/>
    </row>
    <row r="130" spans="13:84">
      <c r="M130" s="547"/>
      <c r="O130" s="9"/>
      <c r="Q130" s="235"/>
      <c r="R130" s="381"/>
      <c r="S130" s="381"/>
      <c r="T130" s="381"/>
      <c r="U130" s="381"/>
      <c r="V130" s="381"/>
      <c r="W130" s="381"/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1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1"/>
      <c r="BB130" s="381"/>
      <c r="BC130" s="381"/>
      <c r="BD130" s="381"/>
      <c r="BE130" s="381"/>
      <c r="BF130" s="381"/>
      <c r="BG130" s="381"/>
      <c r="BH130" s="381"/>
      <c r="BI130" s="381"/>
      <c r="BJ130" s="381"/>
      <c r="BK130" s="381"/>
      <c r="BL130" s="381"/>
      <c r="BM130" s="381"/>
      <c r="BN130" s="381"/>
      <c r="BO130" s="381"/>
      <c r="BP130" s="381"/>
      <c r="BQ130" s="381"/>
      <c r="BR130" s="381"/>
      <c r="BS130" s="381"/>
      <c r="BT130" s="381"/>
      <c r="BU130" s="381"/>
      <c r="BV130" s="381"/>
      <c r="BW130" s="381"/>
      <c r="BX130" s="381"/>
      <c r="BY130" s="381"/>
      <c r="BZ130" s="381"/>
      <c r="CA130" s="381"/>
      <c r="CB130" s="381"/>
      <c r="CC130" s="381"/>
      <c r="CD130" s="381"/>
      <c r="CE130" s="381"/>
      <c r="CF130" s="381"/>
    </row>
    <row r="131" spans="13:84">
      <c r="M131" s="547"/>
      <c r="O131" s="9"/>
      <c r="Q131" s="235"/>
      <c r="R131" s="381"/>
      <c r="S131" s="381"/>
      <c r="T131" s="381"/>
      <c r="U131" s="381"/>
      <c r="V131" s="381"/>
      <c r="W131" s="381"/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1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1"/>
      <c r="BB131" s="381"/>
      <c r="BC131" s="381"/>
      <c r="BD131" s="381"/>
      <c r="BE131" s="381"/>
      <c r="BF131" s="381"/>
      <c r="BG131" s="381"/>
      <c r="BH131" s="381"/>
      <c r="BI131" s="381"/>
      <c r="BJ131" s="381"/>
      <c r="BK131" s="381"/>
      <c r="BL131" s="381"/>
      <c r="BM131" s="381"/>
      <c r="BN131" s="381"/>
      <c r="BO131" s="381"/>
      <c r="BP131" s="381"/>
      <c r="BQ131" s="381"/>
      <c r="BR131" s="381"/>
      <c r="BS131" s="381"/>
      <c r="BT131" s="381"/>
      <c r="BU131" s="381"/>
      <c r="BV131" s="381"/>
      <c r="BW131" s="381"/>
      <c r="BX131" s="381"/>
      <c r="BY131" s="381"/>
      <c r="BZ131" s="381"/>
      <c r="CA131" s="381"/>
      <c r="CB131" s="381"/>
      <c r="CC131" s="381"/>
      <c r="CD131" s="381"/>
      <c r="CE131" s="381"/>
      <c r="CF131" s="381"/>
    </row>
    <row r="132" spans="13:84">
      <c r="M132" s="547"/>
      <c r="O132" s="9"/>
      <c r="Q132" s="235"/>
      <c r="R132" s="381"/>
      <c r="S132" s="381"/>
      <c r="T132" s="381"/>
      <c r="U132" s="381"/>
      <c r="V132" s="381"/>
      <c r="W132" s="381"/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1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1"/>
      <c r="BB132" s="381"/>
      <c r="BC132" s="381"/>
      <c r="BD132" s="381"/>
      <c r="BE132" s="381"/>
      <c r="BF132" s="381"/>
      <c r="BG132" s="381"/>
      <c r="BH132" s="381"/>
      <c r="BI132" s="381"/>
      <c r="BJ132" s="381"/>
      <c r="BK132" s="381"/>
      <c r="BL132" s="381"/>
      <c r="BM132" s="381"/>
      <c r="BN132" s="381"/>
      <c r="BO132" s="381"/>
      <c r="BP132" s="381"/>
      <c r="BQ132" s="381"/>
      <c r="BR132" s="381"/>
      <c r="BS132" s="381"/>
      <c r="BT132" s="381"/>
      <c r="BU132" s="381"/>
      <c r="BV132" s="381"/>
      <c r="BW132" s="381"/>
      <c r="BX132" s="381"/>
      <c r="BY132" s="381"/>
      <c r="BZ132" s="381"/>
      <c r="CA132" s="381"/>
      <c r="CB132" s="381"/>
      <c r="CC132" s="381"/>
      <c r="CD132" s="381"/>
      <c r="CE132" s="381"/>
      <c r="CF132" s="381"/>
    </row>
    <row r="133" spans="13:84">
      <c r="M133" s="547"/>
      <c r="O133" s="9"/>
      <c r="Q133" s="235"/>
      <c r="R133" s="381"/>
      <c r="S133" s="381"/>
      <c r="T133" s="381"/>
      <c r="U133" s="381"/>
      <c r="V133" s="381"/>
      <c r="W133" s="381"/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1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1"/>
      <c r="BB133" s="381"/>
      <c r="BC133" s="381"/>
      <c r="BD133" s="381"/>
      <c r="BE133" s="381"/>
      <c r="BF133" s="381"/>
      <c r="BG133" s="381"/>
      <c r="BH133" s="381"/>
      <c r="BI133" s="381"/>
      <c r="BJ133" s="381"/>
      <c r="BK133" s="381"/>
      <c r="BL133" s="381"/>
      <c r="BM133" s="381"/>
      <c r="BN133" s="381"/>
      <c r="BO133" s="381"/>
      <c r="BP133" s="381"/>
      <c r="BQ133" s="381"/>
      <c r="BR133" s="381"/>
      <c r="BS133" s="381"/>
      <c r="BT133" s="381"/>
      <c r="BU133" s="381"/>
      <c r="BV133" s="381"/>
      <c r="BW133" s="381"/>
      <c r="BX133" s="381"/>
      <c r="BY133" s="381"/>
      <c r="BZ133" s="381"/>
      <c r="CA133" s="381"/>
      <c r="CB133" s="381"/>
      <c r="CC133" s="381"/>
      <c r="CD133" s="381"/>
      <c r="CE133" s="381"/>
      <c r="CF133" s="381"/>
    </row>
    <row r="134" spans="13:84">
      <c r="M134" s="547"/>
      <c r="O134" s="9"/>
      <c r="Q134" s="235"/>
      <c r="R134" s="381"/>
      <c r="S134" s="381"/>
      <c r="T134" s="381"/>
      <c r="U134" s="381"/>
      <c r="V134" s="381"/>
      <c r="W134" s="381"/>
      <c r="X134" s="381"/>
      <c r="Y134" s="381"/>
      <c r="Z134" s="381"/>
      <c r="AA134" s="381"/>
      <c r="AB134" s="381"/>
      <c r="AC134" s="381"/>
      <c r="AD134" s="381"/>
      <c r="AE134" s="381"/>
      <c r="AF134" s="381"/>
      <c r="AG134" s="381"/>
      <c r="AH134" s="381"/>
      <c r="AI134" s="381"/>
      <c r="AJ134" s="381"/>
      <c r="AK134" s="381"/>
      <c r="AL134" s="381"/>
      <c r="AM134" s="381"/>
      <c r="AN134" s="381"/>
      <c r="AO134" s="381"/>
      <c r="AP134" s="381"/>
      <c r="AQ134" s="381"/>
      <c r="AR134" s="381"/>
      <c r="AS134" s="381"/>
      <c r="AT134" s="381"/>
      <c r="AU134" s="381"/>
      <c r="AV134" s="381"/>
      <c r="AW134" s="381"/>
      <c r="AX134" s="381"/>
      <c r="AY134" s="381"/>
      <c r="AZ134" s="381"/>
      <c r="BA134" s="381"/>
      <c r="BB134" s="381"/>
      <c r="BC134" s="381"/>
      <c r="BD134" s="381"/>
      <c r="BE134" s="381"/>
      <c r="BF134" s="381"/>
      <c r="BG134" s="381"/>
      <c r="BH134" s="381"/>
      <c r="BI134" s="381"/>
      <c r="BJ134" s="381"/>
      <c r="BK134" s="381"/>
      <c r="BL134" s="381"/>
      <c r="BM134" s="381"/>
      <c r="BN134" s="381"/>
      <c r="BO134" s="381"/>
      <c r="BP134" s="381"/>
      <c r="BQ134" s="381"/>
      <c r="BR134" s="381"/>
      <c r="BS134" s="381"/>
      <c r="BT134" s="381"/>
      <c r="BU134" s="381"/>
      <c r="BV134" s="381"/>
      <c r="BW134" s="381"/>
      <c r="BX134" s="381"/>
      <c r="BY134" s="381"/>
      <c r="BZ134" s="381"/>
      <c r="CA134" s="381"/>
      <c r="CB134" s="381"/>
      <c r="CC134" s="381"/>
      <c r="CD134" s="381"/>
      <c r="CE134" s="381"/>
      <c r="CF134" s="381"/>
    </row>
    <row r="135" spans="13:84">
      <c r="M135" s="547"/>
      <c r="O135" s="9"/>
      <c r="Q135" s="235"/>
      <c r="R135" s="381"/>
      <c r="S135" s="381"/>
      <c r="T135" s="381"/>
      <c r="U135" s="381"/>
      <c r="V135" s="381"/>
      <c r="W135" s="381"/>
      <c r="X135" s="381"/>
      <c r="Y135" s="381"/>
      <c r="Z135" s="381"/>
      <c r="AA135" s="381"/>
      <c r="AB135" s="381"/>
      <c r="AC135" s="381"/>
      <c r="AD135" s="381"/>
      <c r="AE135" s="381"/>
      <c r="AF135" s="381"/>
      <c r="AG135" s="381"/>
      <c r="AH135" s="381"/>
      <c r="AI135" s="381"/>
      <c r="AJ135" s="381"/>
      <c r="AK135" s="381"/>
      <c r="AL135" s="381"/>
      <c r="AM135" s="381"/>
      <c r="AN135" s="381"/>
      <c r="AO135" s="381"/>
      <c r="AP135" s="381"/>
      <c r="AQ135" s="381"/>
      <c r="AR135" s="381"/>
      <c r="AS135" s="381"/>
      <c r="AT135" s="381"/>
      <c r="AU135" s="381"/>
      <c r="AV135" s="381"/>
      <c r="AW135" s="381"/>
      <c r="AX135" s="381"/>
      <c r="AY135" s="381"/>
      <c r="AZ135" s="381"/>
      <c r="BA135" s="381"/>
      <c r="BB135" s="381"/>
      <c r="BC135" s="381"/>
      <c r="BD135" s="381"/>
      <c r="BE135" s="381"/>
      <c r="BF135" s="381"/>
      <c r="BG135" s="381"/>
      <c r="BH135" s="381"/>
      <c r="BI135" s="381"/>
      <c r="BJ135" s="381"/>
      <c r="BK135" s="381"/>
      <c r="BL135" s="381"/>
      <c r="BM135" s="381"/>
      <c r="BN135" s="381"/>
      <c r="BO135" s="381"/>
      <c r="BP135" s="381"/>
      <c r="BQ135" s="381"/>
      <c r="BR135" s="381"/>
      <c r="BS135" s="381"/>
      <c r="BT135" s="381"/>
      <c r="BU135" s="381"/>
      <c r="BV135" s="381"/>
      <c r="BW135" s="381"/>
      <c r="BX135" s="381"/>
      <c r="BY135" s="381"/>
      <c r="BZ135" s="381"/>
      <c r="CA135" s="381"/>
      <c r="CB135" s="381"/>
      <c r="CC135" s="381"/>
      <c r="CD135" s="381"/>
      <c r="CE135" s="381"/>
      <c r="CF135" s="381"/>
    </row>
    <row r="136" spans="13:84" ht="16.5" customHeight="1">
      <c r="M136" s="547"/>
      <c r="O136" s="9"/>
      <c r="Q136" s="235"/>
      <c r="R136" s="381"/>
      <c r="S136" s="381"/>
      <c r="T136" s="381"/>
      <c r="U136" s="381"/>
      <c r="V136" s="381"/>
      <c r="W136" s="381"/>
      <c r="X136" s="381"/>
      <c r="Y136" s="381"/>
      <c r="Z136" s="381"/>
      <c r="AA136" s="381"/>
      <c r="AB136" s="381"/>
      <c r="AC136" s="381"/>
      <c r="AD136" s="381"/>
      <c r="AE136" s="381"/>
      <c r="AF136" s="381"/>
      <c r="AG136" s="381"/>
      <c r="AH136" s="381"/>
      <c r="AI136" s="381"/>
      <c r="AJ136" s="381"/>
      <c r="AK136" s="381"/>
      <c r="AL136" s="381"/>
      <c r="AM136" s="381"/>
      <c r="AN136" s="381"/>
      <c r="AO136" s="381"/>
      <c r="AP136" s="381"/>
      <c r="AQ136" s="381"/>
      <c r="AR136" s="381"/>
      <c r="AS136" s="381"/>
      <c r="AT136" s="381"/>
      <c r="AU136" s="381"/>
      <c r="AV136" s="381"/>
      <c r="AW136" s="381"/>
      <c r="AX136" s="381"/>
      <c r="AY136" s="381"/>
      <c r="AZ136" s="381"/>
      <c r="BA136" s="381"/>
      <c r="BB136" s="381"/>
      <c r="BC136" s="381"/>
      <c r="BD136" s="381"/>
      <c r="BE136" s="381"/>
      <c r="BF136" s="381"/>
      <c r="BG136" s="381"/>
      <c r="BH136" s="381"/>
      <c r="BI136" s="381"/>
      <c r="BJ136" s="381"/>
      <c r="BK136" s="381"/>
      <c r="BL136" s="381"/>
      <c r="BM136" s="381"/>
      <c r="BN136" s="381"/>
      <c r="BO136" s="381"/>
      <c r="BP136" s="381"/>
      <c r="BQ136" s="381"/>
      <c r="BR136" s="381"/>
      <c r="BS136" s="381"/>
      <c r="BT136" s="381"/>
      <c r="BU136" s="381"/>
      <c r="BV136" s="381"/>
      <c r="BW136" s="381"/>
      <c r="BX136" s="381"/>
      <c r="BY136" s="381"/>
      <c r="BZ136" s="381"/>
      <c r="CA136" s="381"/>
      <c r="CB136" s="381"/>
      <c r="CC136" s="381"/>
      <c r="CD136" s="381"/>
      <c r="CE136" s="381"/>
      <c r="CF136" s="381"/>
    </row>
    <row r="137" spans="13:84">
      <c r="M137" s="547"/>
      <c r="O137" s="9"/>
      <c r="Q137" s="235"/>
      <c r="R137" s="381"/>
      <c r="S137" s="381"/>
      <c r="T137" s="381"/>
      <c r="U137" s="381"/>
      <c r="V137" s="381"/>
      <c r="W137" s="381"/>
      <c r="X137" s="381"/>
      <c r="Y137" s="381"/>
      <c r="Z137" s="381"/>
      <c r="AA137" s="381"/>
      <c r="AB137" s="381"/>
      <c r="AC137" s="381"/>
      <c r="AD137" s="381"/>
      <c r="AE137" s="381"/>
      <c r="AF137" s="381"/>
      <c r="AG137" s="381"/>
      <c r="AH137" s="381"/>
      <c r="AI137" s="381"/>
      <c r="AJ137" s="381"/>
      <c r="AK137" s="381"/>
      <c r="AL137" s="381"/>
      <c r="AM137" s="381"/>
      <c r="AN137" s="381"/>
      <c r="AO137" s="381"/>
      <c r="AP137" s="381"/>
      <c r="AQ137" s="381"/>
      <c r="AR137" s="381"/>
      <c r="AS137" s="381"/>
      <c r="AT137" s="381"/>
      <c r="AU137" s="381"/>
      <c r="AV137" s="381"/>
      <c r="AW137" s="381"/>
      <c r="AX137" s="381"/>
      <c r="AY137" s="381"/>
      <c r="AZ137" s="381"/>
      <c r="BA137" s="381"/>
      <c r="BB137" s="381"/>
      <c r="BC137" s="381"/>
      <c r="BD137" s="381"/>
      <c r="BE137" s="381"/>
      <c r="BF137" s="381"/>
      <c r="BG137" s="381"/>
      <c r="BH137" s="381"/>
      <c r="BI137" s="381"/>
      <c r="BJ137" s="381"/>
      <c r="BK137" s="381"/>
      <c r="BL137" s="381"/>
      <c r="BM137" s="381"/>
      <c r="BN137" s="381"/>
      <c r="BO137" s="381"/>
      <c r="BP137" s="381"/>
      <c r="BQ137" s="381"/>
      <c r="BR137" s="381"/>
      <c r="BS137" s="381"/>
      <c r="BT137" s="381"/>
      <c r="BU137" s="381"/>
      <c r="BV137" s="381"/>
      <c r="BW137" s="381"/>
      <c r="BX137" s="381"/>
      <c r="BY137" s="381"/>
      <c r="BZ137" s="381"/>
      <c r="CA137" s="381"/>
      <c r="CB137" s="381"/>
      <c r="CC137" s="381"/>
      <c r="CD137" s="381"/>
      <c r="CE137" s="381"/>
      <c r="CF137" s="381"/>
    </row>
    <row r="138" spans="13:84">
      <c r="M138" s="547"/>
      <c r="O138" s="9"/>
      <c r="Q138" s="235"/>
      <c r="R138" s="381"/>
      <c r="S138" s="381"/>
      <c r="T138" s="381"/>
      <c r="U138" s="381"/>
      <c r="V138" s="381"/>
      <c r="W138" s="381"/>
      <c r="X138" s="381"/>
      <c r="Y138" s="381"/>
      <c r="Z138" s="381"/>
      <c r="AA138" s="381"/>
      <c r="AB138" s="381"/>
      <c r="AC138" s="381"/>
      <c r="AD138" s="381"/>
      <c r="AE138" s="381"/>
      <c r="AF138" s="381"/>
      <c r="AG138" s="381"/>
      <c r="AH138" s="381"/>
      <c r="AI138" s="381"/>
      <c r="AJ138" s="381"/>
      <c r="AK138" s="381"/>
      <c r="AL138" s="381"/>
      <c r="AM138" s="381"/>
      <c r="AN138" s="381"/>
      <c r="AO138" s="381"/>
      <c r="AP138" s="381"/>
      <c r="AQ138" s="381"/>
      <c r="AR138" s="381"/>
      <c r="AS138" s="381"/>
      <c r="AT138" s="381"/>
      <c r="AU138" s="381"/>
      <c r="AV138" s="381"/>
      <c r="AW138" s="381"/>
      <c r="AX138" s="381"/>
      <c r="AY138" s="381"/>
      <c r="AZ138" s="381"/>
      <c r="BA138" s="381"/>
      <c r="BB138" s="381"/>
      <c r="BC138" s="381"/>
      <c r="BD138" s="381"/>
      <c r="BE138" s="381"/>
      <c r="BF138" s="381"/>
      <c r="BG138" s="381"/>
      <c r="BH138" s="381"/>
      <c r="BI138" s="381"/>
      <c r="BJ138" s="381"/>
      <c r="BK138" s="381"/>
      <c r="BL138" s="381"/>
      <c r="BM138" s="381"/>
      <c r="BN138" s="381"/>
      <c r="BO138" s="381"/>
      <c r="BP138" s="381"/>
      <c r="BQ138" s="381"/>
      <c r="BR138" s="381"/>
      <c r="BS138" s="381"/>
      <c r="BT138" s="381"/>
      <c r="BU138" s="381"/>
      <c r="BV138" s="381"/>
      <c r="BW138" s="381"/>
      <c r="BX138" s="381"/>
      <c r="BY138" s="381"/>
      <c r="BZ138" s="381"/>
      <c r="CA138" s="381"/>
      <c r="CB138" s="381"/>
      <c r="CC138" s="381"/>
      <c r="CD138" s="381"/>
      <c r="CE138" s="381"/>
      <c r="CF138" s="381"/>
    </row>
    <row r="139" spans="13:84">
      <c r="M139" s="547"/>
      <c r="O139" s="9"/>
      <c r="Q139" s="235"/>
      <c r="R139" s="381"/>
      <c r="S139" s="381"/>
      <c r="T139" s="381"/>
      <c r="U139" s="381"/>
      <c r="V139" s="381"/>
      <c r="W139" s="381"/>
      <c r="X139" s="381"/>
      <c r="Y139" s="381"/>
      <c r="Z139" s="381"/>
      <c r="AA139" s="381"/>
      <c r="AB139" s="381"/>
      <c r="AC139" s="381"/>
      <c r="AD139" s="381"/>
      <c r="AE139" s="381"/>
      <c r="AF139" s="381"/>
      <c r="AG139" s="381"/>
      <c r="AH139" s="381"/>
      <c r="AI139" s="381"/>
      <c r="AJ139" s="381"/>
      <c r="AK139" s="381"/>
      <c r="AL139" s="381"/>
      <c r="AM139" s="381"/>
      <c r="AN139" s="381"/>
      <c r="AO139" s="381"/>
      <c r="AP139" s="381"/>
      <c r="AQ139" s="381"/>
      <c r="AR139" s="381"/>
      <c r="AS139" s="381"/>
      <c r="AT139" s="381"/>
      <c r="AU139" s="381"/>
      <c r="AV139" s="381"/>
      <c r="AW139" s="381"/>
      <c r="AX139" s="381"/>
      <c r="AY139" s="381"/>
      <c r="AZ139" s="381"/>
      <c r="BA139" s="381"/>
      <c r="BB139" s="381"/>
      <c r="BC139" s="381"/>
      <c r="BD139" s="381"/>
      <c r="BE139" s="381"/>
      <c r="BF139" s="381"/>
      <c r="BG139" s="381"/>
      <c r="BH139" s="381"/>
      <c r="BI139" s="381"/>
      <c r="BJ139" s="381"/>
      <c r="BK139" s="381"/>
      <c r="BL139" s="381"/>
      <c r="BM139" s="381"/>
      <c r="BN139" s="381"/>
      <c r="BO139" s="381"/>
      <c r="BP139" s="381"/>
      <c r="BQ139" s="381"/>
      <c r="BR139" s="381"/>
      <c r="BS139" s="381"/>
      <c r="BT139" s="381"/>
      <c r="BU139" s="381"/>
      <c r="BV139" s="381"/>
      <c r="BW139" s="381"/>
      <c r="BX139" s="381"/>
      <c r="BY139" s="381"/>
      <c r="BZ139" s="381"/>
      <c r="CA139" s="381"/>
      <c r="CB139" s="381"/>
      <c r="CC139" s="381"/>
      <c r="CD139" s="381"/>
      <c r="CE139" s="381"/>
      <c r="CF139" s="381"/>
    </row>
    <row r="140" spans="13:84">
      <c r="M140" s="547"/>
      <c r="O140" s="9"/>
      <c r="Q140" s="235"/>
      <c r="R140" s="381"/>
      <c r="S140" s="381"/>
      <c r="T140" s="381"/>
      <c r="U140" s="381"/>
      <c r="V140" s="381"/>
      <c r="W140" s="381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1"/>
      <c r="AL140" s="381"/>
      <c r="AM140" s="381"/>
      <c r="AN140" s="381"/>
      <c r="AO140" s="381"/>
      <c r="AP140" s="381"/>
      <c r="AQ140" s="381"/>
      <c r="AR140" s="381"/>
      <c r="AS140" s="381"/>
      <c r="AT140" s="381"/>
      <c r="AU140" s="381"/>
      <c r="AV140" s="381"/>
      <c r="AW140" s="381"/>
      <c r="AX140" s="381"/>
      <c r="AY140" s="381"/>
      <c r="AZ140" s="381"/>
      <c r="BA140" s="381"/>
      <c r="BB140" s="381"/>
      <c r="BC140" s="381"/>
      <c r="BD140" s="381"/>
      <c r="BE140" s="381"/>
      <c r="BF140" s="381"/>
      <c r="BG140" s="381"/>
      <c r="BH140" s="381"/>
      <c r="BI140" s="381"/>
      <c r="BJ140" s="381"/>
      <c r="BK140" s="381"/>
      <c r="BL140" s="381"/>
      <c r="BM140" s="381"/>
      <c r="BN140" s="381"/>
      <c r="BO140" s="381"/>
      <c r="BP140" s="381"/>
      <c r="BQ140" s="381"/>
      <c r="BR140" s="381"/>
      <c r="BS140" s="381"/>
      <c r="BT140" s="381"/>
      <c r="BU140" s="381"/>
      <c r="BV140" s="381"/>
      <c r="BW140" s="381"/>
      <c r="BX140" s="381"/>
      <c r="BY140" s="381"/>
      <c r="BZ140" s="381"/>
      <c r="CA140" s="381"/>
      <c r="CB140" s="381"/>
      <c r="CC140" s="381"/>
      <c r="CD140" s="381"/>
      <c r="CE140" s="381"/>
      <c r="CF140" s="381"/>
    </row>
    <row r="141" spans="13:84">
      <c r="M141" s="547"/>
      <c r="O141" s="9"/>
      <c r="Q141" s="235"/>
      <c r="R141" s="381"/>
      <c r="S141" s="381"/>
      <c r="T141" s="381"/>
      <c r="U141" s="381"/>
      <c r="V141" s="381"/>
      <c r="W141" s="381"/>
      <c r="X141" s="381"/>
      <c r="Y141" s="381"/>
      <c r="Z141" s="381"/>
      <c r="AA141" s="381"/>
      <c r="AB141" s="381"/>
      <c r="AC141" s="381"/>
      <c r="AD141" s="381"/>
      <c r="AE141" s="381"/>
      <c r="AF141" s="381"/>
      <c r="AG141" s="381"/>
      <c r="AH141" s="381"/>
      <c r="AI141" s="381"/>
      <c r="AJ141" s="381"/>
      <c r="AK141" s="381"/>
      <c r="AL141" s="381"/>
      <c r="AM141" s="381"/>
      <c r="AN141" s="381"/>
      <c r="AO141" s="381"/>
      <c r="AP141" s="381"/>
      <c r="AQ141" s="381"/>
      <c r="AR141" s="381"/>
      <c r="AS141" s="381"/>
      <c r="AT141" s="381"/>
      <c r="AU141" s="381"/>
      <c r="AV141" s="381"/>
      <c r="AW141" s="381"/>
      <c r="AX141" s="381"/>
      <c r="AY141" s="381"/>
      <c r="AZ141" s="381"/>
      <c r="BA141" s="381"/>
      <c r="BB141" s="381"/>
      <c r="BC141" s="381"/>
      <c r="BD141" s="381"/>
      <c r="BE141" s="381"/>
      <c r="BF141" s="381"/>
      <c r="BG141" s="381"/>
      <c r="BH141" s="381"/>
      <c r="BI141" s="381"/>
      <c r="BJ141" s="381"/>
      <c r="BK141" s="381"/>
      <c r="BL141" s="381"/>
      <c r="BM141" s="381"/>
      <c r="BN141" s="381"/>
      <c r="BO141" s="381"/>
      <c r="BP141" s="381"/>
      <c r="BQ141" s="381"/>
      <c r="BR141" s="381"/>
      <c r="BS141" s="381"/>
      <c r="BT141" s="381"/>
      <c r="BU141" s="381"/>
      <c r="BV141" s="381"/>
      <c r="BW141" s="381"/>
      <c r="BX141" s="381"/>
      <c r="BY141" s="381"/>
      <c r="BZ141" s="381"/>
      <c r="CA141" s="381"/>
      <c r="CB141" s="381"/>
      <c r="CC141" s="381"/>
      <c r="CD141" s="381"/>
      <c r="CE141" s="381"/>
      <c r="CF141" s="381"/>
    </row>
    <row r="142" spans="13:84">
      <c r="M142" s="547"/>
      <c r="O142" s="9"/>
      <c r="Q142" s="235"/>
      <c r="R142" s="381"/>
      <c r="S142" s="381"/>
      <c r="T142" s="381"/>
      <c r="U142" s="381"/>
      <c r="V142" s="381"/>
      <c r="W142" s="381"/>
      <c r="X142" s="381"/>
      <c r="Y142" s="381"/>
      <c r="Z142" s="381"/>
      <c r="AA142" s="381"/>
      <c r="AB142" s="381"/>
      <c r="AC142" s="381"/>
      <c r="AD142" s="381"/>
      <c r="AE142" s="381"/>
      <c r="AF142" s="381"/>
      <c r="AG142" s="381"/>
      <c r="AH142" s="381"/>
      <c r="AI142" s="381"/>
      <c r="AJ142" s="381"/>
      <c r="AK142" s="381"/>
      <c r="AL142" s="381"/>
      <c r="AM142" s="381"/>
      <c r="AN142" s="381"/>
      <c r="AO142" s="381"/>
      <c r="AP142" s="381"/>
      <c r="AQ142" s="381"/>
      <c r="AR142" s="381"/>
      <c r="AS142" s="381"/>
      <c r="AT142" s="381"/>
      <c r="AU142" s="381"/>
      <c r="AV142" s="381"/>
      <c r="AW142" s="381"/>
      <c r="AX142" s="381"/>
      <c r="AY142" s="381"/>
      <c r="AZ142" s="381"/>
      <c r="BA142" s="381"/>
      <c r="BB142" s="381"/>
      <c r="BC142" s="381"/>
      <c r="BD142" s="381"/>
      <c r="BE142" s="381"/>
      <c r="BF142" s="381"/>
      <c r="BG142" s="381"/>
      <c r="BH142" s="381"/>
      <c r="BI142" s="381"/>
      <c r="BJ142" s="381"/>
      <c r="BK142" s="381"/>
      <c r="BL142" s="381"/>
      <c r="BM142" s="381"/>
      <c r="BN142" s="381"/>
      <c r="BO142" s="381"/>
      <c r="BP142" s="381"/>
      <c r="BQ142" s="381"/>
      <c r="BR142" s="381"/>
      <c r="BS142" s="381"/>
      <c r="BT142" s="381"/>
      <c r="BU142" s="381"/>
      <c r="BV142" s="381"/>
      <c r="BW142" s="381"/>
      <c r="BX142" s="381"/>
      <c r="BY142" s="381"/>
      <c r="BZ142" s="381"/>
      <c r="CA142" s="381"/>
      <c r="CB142" s="381"/>
      <c r="CC142" s="381"/>
      <c r="CD142" s="381"/>
      <c r="CE142" s="381"/>
      <c r="CF142" s="381"/>
    </row>
    <row r="143" spans="13:84">
      <c r="M143" s="547"/>
      <c r="O143" s="9"/>
      <c r="Q143" s="235"/>
      <c r="R143" s="381"/>
      <c r="S143" s="381"/>
      <c r="T143" s="381"/>
      <c r="U143" s="381"/>
      <c r="V143" s="381"/>
      <c r="W143" s="381"/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1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1"/>
      <c r="BB143" s="381"/>
      <c r="BC143" s="381"/>
      <c r="BD143" s="381"/>
      <c r="BE143" s="381"/>
      <c r="BF143" s="381"/>
      <c r="BG143" s="381"/>
      <c r="BH143" s="381"/>
      <c r="BI143" s="381"/>
      <c r="BJ143" s="381"/>
      <c r="BK143" s="381"/>
      <c r="BL143" s="381"/>
      <c r="BM143" s="381"/>
      <c r="BN143" s="381"/>
      <c r="BO143" s="381"/>
      <c r="BP143" s="381"/>
      <c r="BQ143" s="381"/>
      <c r="BR143" s="381"/>
      <c r="BS143" s="381"/>
      <c r="BT143" s="381"/>
      <c r="BU143" s="381"/>
      <c r="BV143" s="381"/>
      <c r="BW143" s="381"/>
      <c r="BX143" s="381"/>
      <c r="BY143" s="381"/>
      <c r="BZ143" s="381"/>
      <c r="CA143" s="381"/>
      <c r="CB143" s="381"/>
      <c r="CC143" s="381"/>
      <c r="CD143" s="381"/>
      <c r="CE143" s="381"/>
      <c r="CF143" s="381"/>
    </row>
    <row r="144" spans="13:84">
      <c r="M144" s="547"/>
      <c r="O144" s="9"/>
      <c r="Q144" s="235"/>
      <c r="R144" s="381"/>
      <c r="S144" s="381"/>
      <c r="T144" s="381"/>
      <c r="U144" s="381"/>
      <c r="V144" s="381"/>
      <c r="W144" s="381"/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1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1"/>
      <c r="BB144" s="381"/>
      <c r="BC144" s="381"/>
      <c r="BD144" s="381"/>
      <c r="BE144" s="381"/>
      <c r="BF144" s="381"/>
      <c r="BG144" s="381"/>
      <c r="BH144" s="381"/>
      <c r="BI144" s="381"/>
      <c r="BJ144" s="381"/>
      <c r="BK144" s="381"/>
      <c r="BL144" s="381"/>
      <c r="BM144" s="381"/>
      <c r="BN144" s="381"/>
      <c r="BO144" s="381"/>
      <c r="BP144" s="381"/>
      <c r="BQ144" s="381"/>
      <c r="BR144" s="381"/>
      <c r="BS144" s="381"/>
      <c r="BT144" s="381"/>
      <c r="BU144" s="381"/>
      <c r="BV144" s="381"/>
      <c r="BW144" s="381"/>
      <c r="BX144" s="381"/>
      <c r="BY144" s="381"/>
      <c r="BZ144" s="381"/>
      <c r="CA144" s="381"/>
      <c r="CB144" s="381"/>
      <c r="CC144" s="381"/>
      <c r="CD144" s="381"/>
      <c r="CE144" s="381"/>
      <c r="CF144" s="381"/>
    </row>
    <row r="145" spans="13:84">
      <c r="M145" s="547"/>
      <c r="O145" s="9"/>
      <c r="Q145" s="235"/>
      <c r="R145" s="381"/>
      <c r="S145" s="381"/>
      <c r="T145" s="381"/>
      <c r="U145" s="381"/>
      <c r="V145" s="381"/>
      <c r="W145" s="381"/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1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1"/>
      <c r="BB145" s="381"/>
      <c r="BC145" s="381"/>
      <c r="BD145" s="381"/>
      <c r="BE145" s="381"/>
      <c r="BF145" s="381"/>
      <c r="BG145" s="381"/>
      <c r="BH145" s="381"/>
      <c r="BI145" s="381"/>
      <c r="BJ145" s="381"/>
      <c r="BK145" s="381"/>
      <c r="BL145" s="381"/>
      <c r="BM145" s="381"/>
      <c r="BN145" s="381"/>
      <c r="BO145" s="381"/>
      <c r="BP145" s="381"/>
      <c r="BQ145" s="381"/>
      <c r="BR145" s="381"/>
      <c r="BS145" s="381"/>
      <c r="BT145" s="381"/>
      <c r="BU145" s="381"/>
      <c r="BV145" s="381"/>
      <c r="BW145" s="381"/>
      <c r="BX145" s="381"/>
      <c r="BY145" s="381"/>
      <c r="BZ145" s="381"/>
      <c r="CA145" s="381"/>
      <c r="CB145" s="381"/>
      <c r="CC145" s="381"/>
      <c r="CD145" s="381"/>
      <c r="CE145" s="381"/>
      <c r="CF145" s="381"/>
    </row>
    <row r="146" spans="13:84">
      <c r="M146" s="547"/>
      <c r="O146" s="9"/>
      <c r="Q146" s="235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81"/>
      <c r="BE146" s="381"/>
      <c r="BF146" s="381"/>
      <c r="BG146" s="381"/>
      <c r="BH146" s="381"/>
      <c r="BI146" s="38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81"/>
      <c r="BY146" s="381"/>
      <c r="BZ146" s="381"/>
      <c r="CA146" s="381"/>
      <c r="CB146" s="381"/>
      <c r="CC146" s="381"/>
      <c r="CD146" s="381"/>
      <c r="CE146" s="381"/>
      <c r="CF146" s="381"/>
    </row>
    <row r="147" spans="13:84">
      <c r="M147" s="547"/>
    </row>
    <row r="148" spans="13:84">
      <c r="M148" s="547"/>
    </row>
    <row r="149" spans="13:84">
      <c r="M149" s="547"/>
    </row>
    <row r="150" spans="13:84">
      <c r="M150" s="547"/>
    </row>
    <row r="151" spans="13:84">
      <c r="M151" s="547"/>
    </row>
    <row r="152" spans="13:84">
      <c r="M152" s="547"/>
    </row>
    <row r="153" spans="13:84">
      <c r="M153" s="547"/>
    </row>
    <row r="154" spans="13:84">
      <c r="M154" s="547"/>
    </row>
    <row r="155" spans="13:84">
      <c r="M155" s="547"/>
    </row>
    <row r="156" spans="13:84">
      <c r="M156" s="547"/>
    </row>
    <row r="157" spans="13:84">
      <c r="M157" s="547"/>
    </row>
    <row r="158" spans="13:84">
      <c r="M158" s="547"/>
    </row>
    <row r="159" spans="13:84">
      <c r="M159" s="547"/>
    </row>
    <row r="160" spans="13:84">
      <c r="M160" s="547"/>
    </row>
    <row r="161" spans="13:13">
      <c r="M161" s="547"/>
    </row>
    <row r="162" spans="13:13">
      <c r="M162" s="547"/>
    </row>
    <row r="163" spans="13:13">
      <c r="M163" s="547"/>
    </row>
    <row r="164" spans="13:13">
      <c r="M164" s="547"/>
    </row>
    <row r="165" spans="13:13">
      <c r="M165" s="547"/>
    </row>
    <row r="166" spans="13:13">
      <c r="M166" s="547"/>
    </row>
    <row r="167" spans="13:13">
      <c r="M167" s="547"/>
    </row>
    <row r="168" spans="13:13">
      <c r="M168" s="547"/>
    </row>
    <row r="169" spans="13:13">
      <c r="M169" s="547"/>
    </row>
    <row r="170" spans="13:13">
      <c r="M170" s="547"/>
    </row>
    <row r="171" spans="13:13">
      <c r="M171" s="547"/>
    </row>
    <row r="172" spans="13:13">
      <c r="M172" s="547"/>
    </row>
    <row r="173" spans="13:13">
      <c r="M173" s="547"/>
    </row>
    <row r="174" spans="13:13">
      <c r="M174" s="547"/>
    </row>
    <row r="175" spans="13:13">
      <c r="M175" s="547"/>
    </row>
    <row r="176" spans="13:13">
      <c r="M176" s="547"/>
    </row>
    <row r="177" spans="13:13">
      <c r="M177" s="547"/>
    </row>
    <row r="178" spans="13:13">
      <c r="M178" s="547"/>
    </row>
    <row r="179" spans="13:13">
      <c r="M179" s="547"/>
    </row>
    <row r="180" spans="13:13">
      <c r="M180" s="547"/>
    </row>
    <row r="181" spans="13:13">
      <c r="M181" s="547"/>
    </row>
    <row r="182" spans="13:13">
      <c r="M182" s="547"/>
    </row>
    <row r="183" spans="13:13">
      <c r="M183" s="547"/>
    </row>
    <row r="184" spans="13:13">
      <c r="M184" s="547"/>
    </row>
    <row r="185" spans="13:13">
      <c r="M185" s="547"/>
    </row>
    <row r="186" spans="13:13">
      <c r="M186" s="547"/>
    </row>
  </sheetData>
  <dataConsolidate function="product" link="1">
    <dataRefs count="1">
      <dataRef ref="H66:H69" sheet="CAPA"/>
    </dataRefs>
  </dataConsolidate>
  <mergeCells count="28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E65:F65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60" priority="116" operator="containsText" text="Cuidado">
      <formula>NOT(ISERROR(SEARCH("Cuidado",I46)))</formula>
    </cfRule>
  </conditionalFormatting>
  <conditionalFormatting sqref="B30:D34 F28:H34 J28:K31 J34:K36">
    <cfRule type="expression" dxfId="459" priority="58">
      <formula>$P$1="FALSO"</formula>
    </cfRule>
  </conditionalFormatting>
  <conditionalFormatting sqref="F41">
    <cfRule type="expression" dxfId="458" priority="52">
      <formula>$P$1="VERDADEIRO"</formula>
    </cfRule>
  </conditionalFormatting>
  <conditionalFormatting sqref="F42">
    <cfRule type="expression" dxfId="457" priority="48">
      <formula>$P$1="VERDADEIRO"</formula>
    </cfRule>
  </conditionalFormatting>
  <conditionalFormatting sqref="H41">
    <cfRule type="expression" dxfId="456" priority="39">
      <formula>$P$1="VERDADEIRO"</formula>
    </cfRule>
  </conditionalFormatting>
  <conditionalFormatting sqref="H42">
    <cfRule type="expression" dxfId="455" priority="38">
      <formula>$P$1="VERDADEIRO"</formula>
    </cfRule>
  </conditionalFormatting>
  <conditionalFormatting sqref="H40">
    <cfRule type="expression" dxfId="454" priority="37">
      <formula>$P$1="VERDADEIRO"</formula>
    </cfRule>
  </conditionalFormatting>
  <conditionalFormatting sqref="F43:F44">
    <cfRule type="expression" dxfId="453" priority="36">
      <formula>$P$1="VERDADEIRO"</formula>
    </cfRule>
  </conditionalFormatting>
  <conditionalFormatting sqref="H43:H44">
    <cfRule type="expression" dxfId="452" priority="33">
      <formula>$P$1="VERDADEIRO"</formula>
    </cfRule>
  </conditionalFormatting>
  <conditionalFormatting sqref="B26">
    <cfRule type="expression" dxfId="451" priority="32">
      <formula>$P$1="FALSO"</formula>
    </cfRule>
  </conditionalFormatting>
  <conditionalFormatting sqref="C26">
    <cfRule type="expression" dxfId="450" priority="31">
      <formula>$P$1="FALSO"</formula>
    </cfRule>
  </conditionalFormatting>
  <conditionalFormatting sqref="F39">
    <cfRule type="expression" dxfId="449" priority="29">
      <formula>$P$1="VERDADEIRO"</formula>
    </cfRule>
  </conditionalFormatting>
  <conditionalFormatting sqref="F40">
    <cfRule type="expression" dxfId="448" priority="28">
      <formula>$P$1="VERDADEIRO"</formula>
    </cfRule>
  </conditionalFormatting>
  <conditionalFormatting sqref="H63:H77">
    <cfRule type="expression" dxfId="447" priority="578">
      <formula>$B63&gt;=$J$73</formula>
    </cfRule>
  </conditionalFormatting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7</xdr:col>
                <xdr:colOff>1885950</xdr:colOff>
                <xdr:row>18</xdr:row>
                <xdr:rowOff>47625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171450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209550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171450</xdr:colOff>
                <xdr:row>2</xdr:row>
                <xdr:rowOff>19050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9525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A11" zoomScaleNormal="100" workbookViewId="0">
      <selection activeCell="D18" sqref="D18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85546875" style="68" bestFit="1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090" t="s">
        <v>758</v>
      </c>
      <c r="C1" s="1091"/>
      <c r="D1" s="70"/>
      <c r="E1" s="70"/>
      <c r="F1" s="70"/>
      <c r="G1" s="75"/>
    </row>
    <row r="2" spans="1:15" ht="16.5">
      <c r="A2" s="139"/>
      <c r="B2" s="637" t="str">
        <f ca="1">CAPA!C9&amp; " - " &amp;CAPA!C110&amp;" "&amp;AnoRefTar</f>
        <v>Cermissões - REAJUSTE 2022</v>
      </c>
      <c r="C2" s="70"/>
      <c r="D2" s="70"/>
      <c r="E2" s="70"/>
      <c r="F2" s="70"/>
      <c r="G2" s="75"/>
      <c r="H2" s="381" t="s">
        <v>759</v>
      </c>
      <c r="I2" s="688">
        <v>44762.691678240742</v>
      </c>
      <c r="K2" s="723" t="s">
        <v>760</v>
      </c>
      <c r="L2" s="724"/>
    </row>
    <row r="3" spans="1:15" ht="16.5" customHeight="1">
      <c r="A3" s="139"/>
      <c r="B3" s="998" t="s">
        <v>761</v>
      </c>
      <c r="C3" s="820"/>
      <c r="D3" s="75"/>
      <c r="E3" s="75"/>
      <c r="F3" s="75"/>
      <c r="G3" s="75"/>
      <c r="H3" s="689" t="s">
        <v>762</v>
      </c>
      <c r="I3" s="689">
        <v>16</v>
      </c>
      <c r="K3" s="725" t="s">
        <v>763</v>
      </c>
      <c r="L3" s="686">
        <v>0.12701588016045462</v>
      </c>
    </row>
    <row r="4" spans="1:15" ht="16.5">
      <c r="A4" s="139"/>
      <c r="G4" s="75"/>
      <c r="J4" s="9"/>
      <c r="K4" s="725" t="s">
        <v>764</v>
      </c>
      <c r="L4" s="686">
        <v>0.2280547208480328</v>
      </c>
    </row>
    <row r="5" spans="1:15" ht="16.5" customHeight="1">
      <c r="A5" s="139"/>
      <c r="B5" s="1092" t="s">
        <v>765</v>
      </c>
      <c r="C5" s="1093">
        <f ca="1">D39+D34</f>
        <v>118723683.48523769</v>
      </c>
      <c r="D5" s="144"/>
      <c r="E5" s="79"/>
      <c r="G5" s="75"/>
      <c r="H5" s="687"/>
      <c r="J5" s="275"/>
      <c r="K5" s="726" t="s">
        <v>766</v>
      </c>
      <c r="L5" s="694">
        <v>0.1956272607198577</v>
      </c>
    </row>
    <row r="6" spans="1:15" ht="16.5" customHeight="1">
      <c r="A6" s="139"/>
      <c r="B6" s="76" t="s">
        <v>767</v>
      </c>
      <c r="C6" s="77">
        <f ca="1">Mercado_RA0_Reais</f>
        <v>105092899.89447996</v>
      </c>
      <c r="D6" s="77"/>
      <c r="E6" s="484"/>
      <c r="F6" s="75"/>
      <c r="G6" s="140"/>
      <c r="H6" s="81"/>
      <c r="J6" s="275"/>
      <c r="K6" s="727" t="s">
        <v>768</v>
      </c>
      <c r="L6" s="728">
        <v>713.78</v>
      </c>
      <c r="M6" s="79"/>
    </row>
    <row r="7" spans="1:15" ht="16.5" customHeight="1">
      <c r="A7" s="139"/>
      <c r="B7" s="1094" t="str">
        <f>IF(CAPA!P1="FALSO","IRT Economico","Variação econômica")</f>
        <v>Variação econômica</v>
      </c>
      <c r="C7" s="1095">
        <f ca="1">ROUND((C5/C6-1),4)</f>
        <v>0.12970000000000001</v>
      </c>
      <c r="D7" s="501"/>
      <c r="E7" s="75"/>
      <c r="F7" s="75"/>
      <c r="G7" s="75"/>
      <c r="H7" s="81"/>
      <c r="K7" s="49" t="s">
        <v>769</v>
      </c>
      <c r="L7" s="970">
        <f>L6/'Tabelas e Gráficos'!U39-1</f>
        <v>0.18161802440114538</v>
      </c>
    </row>
    <row r="8" spans="1:15" ht="16.5" customHeight="1">
      <c r="A8" s="139"/>
      <c r="B8" s="78" t="s">
        <v>770</v>
      </c>
      <c r="C8" s="257">
        <f ca="1">ROUND(Financeiros!E7,4)</f>
        <v>-0.22370000000000001</v>
      </c>
      <c r="D8" s="502"/>
      <c r="E8" s="75"/>
      <c r="F8" s="499"/>
      <c r="G8" s="75"/>
      <c r="H8" s="81"/>
      <c r="K8" s="729" t="s">
        <v>771</v>
      </c>
      <c r="L8" s="730" t="s">
        <v>2181</v>
      </c>
      <c r="M8" s="690" t="s">
        <v>773</v>
      </c>
    </row>
    <row r="9" spans="1:15" ht="16.5" customHeight="1">
      <c r="A9" s="139"/>
      <c r="B9" s="1096" t="str">
        <f>IF(CAPA!P1="FALSO","IRT Economico e Financeiro","Variação econômica e financeira")</f>
        <v>Variação econômica e financeira</v>
      </c>
      <c r="C9" s="1097">
        <f ca="1">ROUND((C7+C8),5)</f>
        <v>-9.4E-2</v>
      </c>
      <c r="D9" s="501"/>
      <c r="E9" s="501"/>
      <c r="F9" s="75"/>
      <c r="G9" s="75"/>
      <c r="K9" s="725" t="s">
        <v>774</v>
      </c>
      <c r="L9" s="731">
        <f>Aj.Subsídio!G28*12</f>
        <v>217388.40000000002</v>
      </c>
      <c r="M9" s="731">
        <v>564530.97197516088</v>
      </c>
    </row>
    <row r="10" spans="1:15" ht="16.5" customHeight="1">
      <c r="A10" s="139"/>
      <c r="B10" s="1096" t="s">
        <v>775</v>
      </c>
      <c r="C10" s="1097">
        <f ca="1">ROUND((LnkTXTEfeito-LnkTXTIRTTotal),4)</f>
        <v>0.28960000000000002</v>
      </c>
      <c r="D10" s="734">
        <f ca="1">LnKTxTRA1+Financeiros!D5</f>
        <v>95214292.658465981</v>
      </c>
      <c r="E10" s="75"/>
      <c r="F10" s="75"/>
      <c r="G10" s="75"/>
      <c r="K10" s="725" t="s">
        <v>776</v>
      </c>
      <c r="L10" s="731">
        <f>Aj.Subsídio!G29*12</f>
        <v>0</v>
      </c>
      <c r="M10" s="731">
        <v>0</v>
      </c>
    </row>
    <row r="11" spans="1:15" ht="16.5" customHeight="1">
      <c r="A11" s="139"/>
      <c r="B11" s="998" t="s">
        <v>777</v>
      </c>
      <c r="C11" s="820"/>
      <c r="D11" s="1098"/>
      <c r="E11" s="1098"/>
      <c r="F11" s="1098"/>
      <c r="G11" s="75"/>
      <c r="K11" s="725" t="s">
        <v>778</v>
      </c>
      <c r="L11" s="731">
        <f>Aj.Subsídio!G30*12</f>
        <v>0</v>
      </c>
      <c r="M11" s="731">
        <v>0</v>
      </c>
    </row>
    <row r="12" spans="1:15" ht="16.5" customHeight="1">
      <c r="E12" s="1099"/>
      <c r="F12" s="1099"/>
      <c r="K12" s="725" t="s">
        <v>779</v>
      </c>
      <c r="L12" s="731">
        <f>Aj.Subsídio!G31*12</f>
        <v>36488.28</v>
      </c>
      <c r="M12" s="731">
        <v>22445.030427584512</v>
      </c>
      <c r="O12" s="892"/>
    </row>
    <row r="13" spans="1:15" ht="15" customHeight="1">
      <c r="B13" s="1100"/>
      <c r="C13" s="1101" t="s">
        <v>772</v>
      </c>
      <c r="D13" s="1102" t="s">
        <v>773</v>
      </c>
      <c r="E13" s="1101" t="s">
        <v>780</v>
      </c>
      <c r="F13" s="1100" t="s">
        <v>781</v>
      </c>
      <c r="K13" s="725" t="s">
        <v>782</v>
      </c>
      <c r="L13" s="731">
        <f>Aj.Subsídio!G32*12</f>
        <v>4511415.12</v>
      </c>
      <c r="M13" s="731">
        <v>2642403.7658033175</v>
      </c>
      <c r="O13" s="892"/>
    </row>
    <row r="14" spans="1:15" ht="14.25">
      <c r="B14" s="1103" t="s">
        <v>783</v>
      </c>
      <c r="C14" s="1104">
        <f ca="1">SUM(C15:C23)</f>
        <v>10002090.938565342</v>
      </c>
      <c r="D14" s="1105">
        <f ca="1">SUM(D15:D23)</f>
        <v>16946627.459861781</v>
      </c>
      <c r="E14" s="1106">
        <f t="shared" ref="E14:E34" ca="1" si="0">(D14-C14)/LnkTXTRA0</f>
        <v>6.6079978079101459E-2</v>
      </c>
      <c r="F14" s="1107">
        <f ca="1">IF(ISERROR(D14/C14-1),"-",D14/C14-1)</f>
        <v>0.69430847649266969</v>
      </c>
      <c r="G14" s="292"/>
      <c r="H14" s="101"/>
      <c r="K14" s="725" t="s">
        <v>784</v>
      </c>
      <c r="L14" s="731">
        <f>Aj.Subsídio!G33*12</f>
        <v>3959472.7199999997</v>
      </c>
      <c r="M14" s="731">
        <v>4760261.7389613157</v>
      </c>
      <c r="O14" s="892"/>
    </row>
    <row r="15" spans="1:15" ht="14.25">
      <c r="B15" s="78" t="s">
        <v>785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53"/>
      <c r="M15" s="49"/>
    </row>
    <row r="16" spans="1:15" ht="14.25">
      <c r="B16" s="78" t="s">
        <v>786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53"/>
    </row>
    <row r="17" spans="2:14" ht="14.25">
      <c r="B17" s="78" t="s">
        <v>787</v>
      </c>
      <c r="C17" s="225">
        <f ca="1">Mercado_Faturado_Encargo_TFSEE_BRUTO</f>
        <v>231416.72552077865</v>
      </c>
      <c r="D17" s="133">
        <f ca="1">Encargos!C6</f>
        <v>285157.16397649358</v>
      </c>
      <c r="E17" s="223">
        <f t="shared" ca="1" si="0"/>
        <v>5.1136126712340976E-4</v>
      </c>
      <c r="F17" s="258">
        <f t="shared" ca="1" si="1"/>
        <v>0.23222365771003717</v>
      </c>
      <c r="G17" s="292"/>
    </row>
    <row r="18" spans="2:14" ht="14.25">
      <c r="B18" s="78" t="s">
        <v>788</v>
      </c>
      <c r="C18" s="226">
        <f ca="1">Mercado_Faturado_Encargo_CDE_BRUTO</f>
        <v>8073828.0044489643</v>
      </c>
      <c r="D18" s="227">
        <f ca="1">Encargos!C7</f>
        <v>9848895.706620004</v>
      </c>
      <c r="E18" s="224">
        <f t="shared" ca="1" si="0"/>
        <v>1.6890462666396322E-2</v>
      </c>
      <c r="F18" s="258">
        <f t="shared" ca="1" si="1"/>
        <v>0.21985453507220054</v>
      </c>
      <c r="G18" s="292"/>
      <c r="H18" s="142"/>
      <c r="K18" s="49" t="s">
        <v>789</v>
      </c>
      <c r="L18" s="732">
        <v>44762.693819444445</v>
      </c>
      <c r="M18" s="49"/>
      <c r="N18" s="631"/>
    </row>
    <row r="19" spans="2:14" ht="16.5" customHeight="1">
      <c r="B19" s="78" t="s">
        <v>2198</v>
      </c>
      <c r="C19" s="225">
        <f ca="1">Calc_Mercado!S75</f>
        <v>0</v>
      </c>
      <c r="D19" s="133">
        <f>Encargos!C8</f>
        <v>0</v>
      </c>
      <c r="E19" s="223">
        <f t="shared" ca="1" si="0"/>
        <v>0</v>
      </c>
      <c r="F19" s="258" t="str">
        <f t="shared" ca="1" si="1"/>
        <v>-</v>
      </c>
      <c r="G19" s="292"/>
      <c r="K19" s="725" t="s">
        <v>790</v>
      </c>
      <c r="L19" s="725"/>
      <c r="M19" s="725"/>
      <c r="N19" s="295"/>
    </row>
    <row r="20" spans="2:14" ht="14.25">
      <c r="B20" s="78" t="s">
        <v>791</v>
      </c>
      <c r="C20" s="225">
        <f ca="1">Mercado_Faturado_Encargo_ESSERR_BRUTO</f>
        <v>387051.4383655666</v>
      </c>
      <c r="D20" s="133">
        <f>Encargos!C9</f>
        <v>4828360.833005284</v>
      </c>
      <c r="E20" s="223">
        <f t="shared" ca="1" si="0"/>
        <v>4.2260794012717109E-2</v>
      </c>
      <c r="F20" s="258">
        <f t="shared" ca="1" si="1"/>
        <v>11.474726494737737</v>
      </c>
      <c r="G20" s="292"/>
      <c r="K20" s="725" t="s">
        <v>792</v>
      </c>
      <c r="L20" s="733"/>
      <c r="M20" s="733"/>
    </row>
    <row r="21" spans="2:14" ht="14.25">
      <c r="B21" s="78" t="s">
        <v>47</v>
      </c>
      <c r="C21" s="225">
        <f ca="1">Mercado_Faturado_Encargo_PROINFA_BRUTO</f>
        <v>1309794.7702300332</v>
      </c>
      <c r="D21" s="133">
        <f ca="1">Encargos!C10</f>
        <v>1984213.7562600006</v>
      </c>
      <c r="E21" s="223">
        <f t="shared" ca="1" si="0"/>
        <v>6.417360132864613E-3</v>
      </c>
      <c r="F21" s="258">
        <f t="shared" ca="1" si="1"/>
        <v>0.51490432040091472</v>
      </c>
      <c r="G21" s="292"/>
      <c r="L21" s="198"/>
    </row>
    <row r="22" spans="2:14" ht="14.25">
      <c r="B22" s="78" t="s">
        <v>793</v>
      </c>
      <c r="C22" s="225">
        <f ca="1">Mercado_Faturado_Encargo_PeD_BRUTO*0</f>
        <v>0</v>
      </c>
      <c r="D22" s="404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108" t="s">
        <v>794</v>
      </c>
      <c r="C24" s="1104">
        <f ca="1">SUM(C25:C32)</f>
        <v>14626922.781354129</v>
      </c>
      <c r="D24" s="1105">
        <f>SUM(D25:D32)</f>
        <v>16701808.717433799</v>
      </c>
      <c r="E24" s="1106">
        <f t="shared" ca="1" si="0"/>
        <v>1.9743350294482206E-2</v>
      </c>
      <c r="F24" s="1107">
        <f t="shared" ca="1" si="1"/>
        <v>0.14185389279040006</v>
      </c>
      <c r="G24" s="292"/>
      <c r="J24"/>
      <c r="K24" s="23"/>
      <c r="L24" s="198"/>
    </row>
    <row r="25" spans="2:14" ht="14.25">
      <c r="B25" s="81" t="s">
        <v>705</v>
      </c>
      <c r="C25" s="225">
        <f ca="1">IFERROR(Calc_Mercado!C91,0)</f>
        <v>1419503.3240589856</v>
      </c>
      <c r="D25" s="133">
        <f>'Rede Básica + Ajuste'!D9+'Rede Básica + Ajuste'!D10</f>
        <v>2242111.9160000002</v>
      </c>
      <c r="E25" s="223">
        <f t="shared" ref="E25:E32" ca="1" si="2">(D25-C25)/LnkTXTRA0</f>
        <v>7.8274421275553972E-3</v>
      </c>
      <c r="F25" s="259">
        <f t="shared" ca="1" si="1"/>
        <v>0.57950451964340188</v>
      </c>
      <c r="G25" s="292"/>
      <c r="J25" s="198"/>
      <c r="K25" s="198"/>
      <c r="L25" s="198"/>
    </row>
    <row r="26" spans="2:14" ht="14.25">
      <c r="B26" s="81" t="s">
        <v>707</v>
      </c>
      <c r="C26" s="225">
        <f ca="1">IFERROR(Calc_Mercado!C89,0)</f>
        <v>936445.15140714962</v>
      </c>
      <c r="D26" s="133">
        <f>'Rede Básica + Ajuste'!E9+'Rede Básica + Ajuste'!E10</f>
        <v>1376974.084</v>
      </c>
      <c r="E26" s="223">
        <f t="shared" ca="1" si="2"/>
        <v>4.1918048986674629E-3</v>
      </c>
      <c r="F26" s="259">
        <f t="shared" ca="1" si="1"/>
        <v>0.4704268391276194</v>
      </c>
      <c r="G26" s="292"/>
      <c r="J26" s="198"/>
      <c r="K26" s="198"/>
      <c r="L26" s="198"/>
    </row>
    <row r="27" spans="2:14" ht="14.25">
      <c r="B27" s="81" t="s">
        <v>795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796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797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798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708</v>
      </c>
      <c r="C31" s="225">
        <f ca="1">IFERROR(Calc_Mercado!C95,0)</f>
        <v>0</v>
      </c>
      <c r="D31" s="133">
        <f>'Conexão '!E21</f>
        <v>0</v>
      </c>
      <c r="E31" s="223">
        <f t="shared" ca="1" si="2"/>
        <v>0</v>
      </c>
      <c r="F31" s="259" t="str">
        <f t="shared" ca="1" si="1"/>
        <v>-</v>
      </c>
      <c r="G31" s="117"/>
      <c r="H31" s="117"/>
    </row>
    <row r="32" spans="2:14" ht="14.25">
      <c r="B32" s="81" t="s">
        <v>709</v>
      </c>
      <c r="C32" s="225">
        <f ca="1">Calc_Mercado!C96</f>
        <v>12270974.305887993</v>
      </c>
      <c r="D32" s="133">
        <f>CUSD!C3</f>
        <v>13082722.717433799</v>
      </c>
      <c r="E32" s="223">
        <f t="shared" ca="1" si="2"/>
        <v>7.7241032682593526E-3</v>
      </c>
      <c r="F32" s="259">
        <f t="shared" ca="1" si="1"/>
        <v>6.6151911927344154E-2</v>
      </c>
      <c r="G32" s="292"/>
    </row>
    <row r="33" spans="2:8" ht="14.25">
      <c r="B33" s="1108" t="s">
        <v>120</v>
      </c>
      <c r="C33" s="1104">
        <f ca="1">SUM(Calc_Mercado!C79:C84)</f>
        <v>32947321.16528523</v>
      </c>
      <c r="D33" s="1105">
        <f ca="1">Energia!F23</f>
        <v>24739687.473364118</v>
      </c>
      <c r="E33" s="1106">
        <f t="shared" ca="1" si="0"/>
        <v>-7.8098841122112947E-2</v>
      </c>
      <c r="F33" s="1107">
        <f ca="1">IF(ISERROR(D33/C33-1),"-",D33/C33-1)</f>
        <v>-0.24911383996126035</v>
      </c>
      <c r="G33" s="292"/>
    </row>
    <row r="34" spans="2:8" ht="14.25">
      <c r="B34" s="1109" t="s">
        <v>799</v>
      </c>
      <c r="C34" s="1110">
        <f ca="1">C14+C24+C33</f>
        <v>57576334.885204703</v>
      </c>
      <c r="D34" s="1111">
        <f ca="1">D33+D24+D14</f>
        <v>58388123.650659695</v>
      </c>
      <c r="E34" s="1112">
        <f t="shared" ca="1" si="0"/>
        <v>7.7244872514706589E-3</v>
      </c>
      <c r="F34" s="1113">
        <f ca="1">IF(ISERROR(D34/C34-1),"-",D34/C34-1)</f>
        <v>1.4099347710713639E-2</v>
      </c>
      <c r="G34" s="292"/>
    </row>
    <row r="35" spans="2:8" ht="14.25">
      <c r="G35" s="69"/>
      <c r="H35" s="108"/>
    </row>
    <row r="36" spans="2:8" ht="14.25">
      <c r="B36" s="998" t="s">
        <v>109</v>
      </c>
      <c r="C36" s="820"/>
      <c r="D36" s="820"/>
      <c r="E36" s="1098"/>
      <c r="F36" s="1098"/>
      <c r="G36" s="69"/>
    </row>
    <row r="37" spans="2:8" ht="8.25" customHeight="1">
      <c r="G37" s="69"/>
      <c r="H37" s="142"/>
    </row>
    <row r="38" spans="2:8" ht="15.75" customHeight="1">
      <c r="B38" s="691"/>
      <c r="C38" s="691" t="s">
        <v>772</v>
      </c>
      <c r="D38" s="691" t="s">
        <v>773</v>
      </c>
      <c r="E38" s="1114" t="s">
        <v>780</v>
      </c>
      <c r="F38" s="691" t="s">
        <v>781</v>
      </c>
      <c r="G38" s="69"/>
      <c r="H38" s="143"/>
    </row>
    <row r="39" spans="2:8" ht="15.75" customHeight="1">
      <c r="B39" s="1115" t="s">
        <v>800</v>
      </c>
      <c r="C39" s="1116">
        <f ca="1">LnkTXTRA0-C34</f>
        <v>47516565.009275258</v>
      </c>
      <c r="D39" s="1117">
        <f>IFERROR(IF(CAPA!P1="VERDADEIRO",SMALL(IF(LnkTXTPBReq=0,CAPA!K29,LnkTXTPBReq):LNKTXTLImPB,1),C39*(1+LnkTXTIPCA-CAPA!H42)),0)</f>
        <v>60335559.834578</v>
      </c>
      <c r="E39" s="1118">
        <f ca="1">(D39-C39)/LnkTXTRA0</f>
        <v>0.12197774386446504</v>
      </c>
      <c r="F39" s="1119">
        <f ca="1">IF(ISERROR(D39/C39-1),"-",D39/C39-1)</f>
        <v>0.26977949316833971</v>
      </c>
      <c r="G39" s="69"/>
      <c r="H39" s="142"/>
    </row>
    <row r="40" spans="2:8" ht="14.25">
      <c r="B40" s="736"/>
      <c r="C40" s="737"/>
      <c r="D40" s="738"/>
      <c r="E40" s="736"/>
      <c r="F40" s="736"/>
    </row>
    <row r="41" spans="2:8" ht="14.25">
      <c r="B41" s="998" t="s">
        <v>801</v>
      </c>
      <c r="C41" s="820"/>
      <c r="D41" s="820"/>
      <c r="E41" s="1098"/>
      <c r="F41" s="1098"/>
    </row>
    <row r="42" spans="2:8" ht="9" customHeight="1">
      <c r="E42" s="75"/>
      <c r="F42" s="75"/>
    </row>
    <row r="43" spans="2:8" ht="15.75" customHeight="1">
      <c r="B43" s="736"/>
      <c r="C43" s="1100" t="s">
        <v>802</v>
      </c>
      <c r="D43" s="1100" t="s">
        <v>780</v>
      </c>
      <c r="E43" s="473" t="s">
        <v>803</v>
      </c>
      <c r="F43" s="473"/>
      <c r="G43" s="473"/>
    </row>
    <row r="44" spans="2:8" ht="15.75" customHeight="1">
      <c r="B44" s="1120" t="s">
        <v>804</v>
      </c>
      <c r="C44" s="1121">
        <f ca="1">SUM(C45:C100)</f>
        <v>-23509390.826771714</v>
      </c>
      <c r="D44" s="1122">
        <f ca="1">C44/Financeiros!D4</f>
        <v>-0.2237010383230138</v>
      </c>
      <c r="E44" s="473">
        <f t="shared" ref="E44:E99" ca="1" si="3">IF(D44=0,0,1)</f>
        <v>1</v>
      </c>
      <c r="F44" s="473"/>
      <c r="G44" s="473"/>
    </row>
    <row r="45" spans="2:8" ht="15.75" customHeight="1">
      <c r="B45" s="82" t="str">
        <f>Financeiros!C9</f>
        <v>Repasse de PIS COFINS</v>
      </c>
      <c r="C45" s="459">
        <f>Financeiros!D9</f>
        <v>1855892.7636633427</v>
      </c>
      <c r="D45" s="478">
        <f ca="1">C45/Financeiros!$D$4</f>
        <v>1.7659544703084399E-2</v>
      </c>
      <c r="E45" s="473">
        <f t="shared" ca="1" si="3"/>
        <v>1</v>
      </c>
      <c r="F45" s="473"/>
      <c r="G45" s="473"/>
    </row>
    <row r="46" spans="2:8" ht="15.75" customHeight="1">
      <c r="B46" s="82" t="s">
        <v>805</v>
      </c>
      <c r="C46" s="459">
        <f ca="1">LnkTXTNeutralidade</f>
        <v>-571960.60168152116</v>
      </c>
      <c r="D46" s="478">
        <f ca="1">C46/Financeiros!$D$4</f>
        <v>-5.4424285775328922E-3</v>
      </c>
      <c r="E46" s="473">
        <f t="shared" ca="1" si="3"/>
        <v>1</v>
      </c>
      <c r="F46" s="473"/>
      <c r="G46" s="473"/>
    </row>
    <row r="47" spans="2:8" ht="15.75" customHeight="1">
      <c r="B47" s="83" t="s">
        <v>2341</v>
      </c>
      <c r="C47" s="460">
        <f ca="1">Financeiros!D18+Financeiros!D19</f>
        <v>0</v>
      </c>
      <c r="D47" s="478">
        <f ca="1">C47/Financeiros!$D$4</f>
        <v>0</v>
      </c>
      <c r="E47" s="473">
        <f t="shared" ca="1" si="3"/>
        <v>0</v>
      </c>
      <c r="F47" s="473"/>
      <c r="G47" s="473"/>
    </row>
    <row r="48" spans="2:8" ht="15.75" customHeight="1">
      <c r="B48" s="68" t="str">
        <f>Financeiros!C20</f>
        <v>(Neutralidade)Crédito Pis Cofins</v>
      </c>
      <c r="C48" s="459">
        <f ca="1">Financeiros!D20</f>
        <v>0</v>
      </c>
      <c r="D48" s="478">
        <f ca="1">C48/Financeiros!$D$4</f>
        <v>0</v>
      </c>
      <c r="E48" s="473">
        <f t="shared" ca="1" si="3"/>
        <v>0</v>
      </c>
      <c r="F48" s="473"/>
      <c r="G48" s="473"/>
    </row>
    <row r="49" spans="2:5" ht="15.75" customHeight="1">
      <c r="B49" s="83" t="str">
        <f>Financeiros!C26</f>
        <v>Ajuste CUST + PISCONFINS Transmissão</v>
      </c>
      <c r="C49" s="460">
        <f>Financeiros!D26</f>
        <v>308208.83345205843</v>
      </c>
      <c r="D49" s="478">
        <f ca="1">C49/Financeiros!$D$4</f>
        <v>2.9327274607658551E-3</v>
      </c>
      <c r="E49" s="473">
        <f t="shared" ca="1" si="3"/>
        <v>1</v>
      </c>
    </row>
    <row r="50" spans="2:5" ht="15.75" customHeight="1">
      <c r="B50" s="68" t="str">
        <f>Financeiros!C27</f>
        <v>Compensação DIC FIC</v>
      </c>
      <c r="C50" s="460">
        <f>Financeiros!D27</f>
        <v>-208981.51488605133</v>
      </c>
      <c r="D50" s="478">
        <f ca="1">C50/Financeiros!$D$4</f>
        <v>-1.9885407586609774E-3</v>
      </c>
      <c r="E50" s="473">
        <f t="shared" ca="1" si="3"/>
        <v>1</v>
      </c>
    </row>
    <row r="51" spans="2:5" ht="15.75" customHeight="1">
      <c r="B51" s="68" t="str">
        <f>Financeiros!C28</f>
        <v>Subvenção CDE</v>
      </c>
      <c r="C51" s="460">
        <f ca="1">Financeiros!D28</f>
        <v>-29102795.694557633</v>
      </c>
      <c r="D51" s="478">
        <f ca="1">C51/Financeiros!$D$4</f>
        <v>-0.2769244708612924</v>
      </c>
      <c r="E51" s="473">
        <f t="shared" ca="1" si="3"/>
        <v>1</v>
      </c>
    </row>
    <row r="52" spans="2:5" ht="15.75" customHeight="1">
      <c r="B52" s="68" t="str">
        <f>Financeiros!C29</f>
        <v>Retenção de Adicionais de Bandeiras Tarifárias</v>
      </c>
      <c r="C52" s="460">
        <f>Financeiros!D29</f>
        <v>0</v>
      </c>
      <c r="D52" s="478">
        <f ca="1">C52/Financeiros!$D$4</f>
        <v>0</v>
      </c>
      <c r="E52" s="473">
        <f t="shared" ca="1" si="3"/>
        <v>0</v>
      </c>
    </row>
    <row r="53" spans="2:5" ht="15.75" customHeight="1">
      <c r="B53" s="68" t="str">
        <f>Financeiros!C30</f>
        <v>Multa LPT</v>
      </c>
      <c r="C53" s="460">
        <f>Financeiros!D30</f>
        <v>0</v>
      </c>
      <c r="D53" s="478">
        <f ca="1">C53/Financeiros!$D$4</f>
        <v>0</v>
      </c>
      <c r="E53" s="473">
        <f t="shared" ca="1" si="3"/>
        <v>0</v>
      </c>
    </row>
    <row r="54" spans="2:5" ht="15.75" customHeight="1">
      <c r="B54" s="68" t="str">
        <f>Financeiros!C34</f>
        <v>Ressarcimento P&amp;D</v>
      </c>
      <c r="C54" s="460">
        <f>Financeiros!D34</f>
        <v>0</v>
      </c>
      <c r="D54" s="478">
        <f ca="1">C54/Financeiros!$D$4</f>
        <v>0</v>
      </c>
      <c r="E54" s="473">
        <f t="shared" ca="1" si="3"/>
        <v>0</v>
      </c>
    </row>
    <row r="55" spans="2:5" ht="15.75" customHeight="1">
      <c r="B55" s="68" t="str">
        <f>Financeiros!C31</f>
        <v>Repasse de ICMS</v>
      </c>
      <c r="C55" s="460">
        <f>Financeiros!D31</f>
        <v>0</v>
      </c>
      <c r="D55" s="768">
        <f ca="1">C55/Financeiros!$D$4</f>
        <v>0</v>
      </c>
      <c r="E55" s="473">
        <f t="shared" ca="1" si="3"/>
        <v>0</v>
      </c>
    </row>
    <row r="56" spans="2:5" ht="15.75" customHeight="1">
      <c r="B56" s="68" t="str">
        <f>Financeiros!C36</f>
        <v>Previsão de Risco Hidrologico</v>
      </c>
      <c r="C56" s="460">
        <f>Financeiros!D36</f>
        <v>2351518.6531692422</v>
      </c>
      <c r="D56" s="478">
        <f ca="1">C56/Financeiros!$D$4</f>
        <v>2.2375618671958985E-2</v>
      </c>
      <c r="E56" s="473">
        <f t="shared" ca="1" si="3"/>
        <v>1</v>
      </c>
    </row>
    <row r="57" spans="2:5" ht="15.75" customHeight="1">
      <c r="B57" s="68" t="str">
        <f>Financeiros!C37</f>
        <v>Efeito COVID da Supridora</v>
      </c>
      <c r="C57" s="460">
        <f>Financeiros!D37</f>
        <v>0</v>
      </c>
      <c r="D57" s="478">
        <f ca="1">C57/Financeiros!$D$4</f>
        <v>0</v>
      </c>
      <c r="E57" s="473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60">
        <f>Financeiros!D38</f>
        <v>0</v>
      </c>
      <c r="D58" s="478">
        <f ca="1">C58/Financeiros!$D$4</f>
        <v>0</v>
      </c>
      <c r="E58" s="473">
        <f t="shared" ca="1" si="3"/>
        <v>0</v>
      </c>
    </row>
    <row r="59" spans="2:5" ht="15.75" customHeight="1">
      <c r="B59" s="68" t="str">
        <f>Financeiros!C39</f>
        <v>Diferimento Pis Cofins TUSD</v>
      </c>
      <c r="C59" s="460">
        <f>Financeiros!D39</f>
        <v>0</v>
      </c>
      <c r="D59" s="478">
        <f ca="1">C59/Financeiros!$D$4</f>
        <v>0</v>
      </c>
      <c r="E59" s="473">
        <f t="shared" ca="1" si="3"/>
        <v>0</v>
      </c>
    </row>
    <row r="60" spans="2:5" ht="15.75" customHeight="1">
      <c r="B60" s="68" t="str">
        <f>Financeiros!C40</f>
        <v>Diferimento Pis Cofins TE</v>
      </c>
      <c r="C60" s="460">
        <f>Financeiros!D40</f>
        <v>0</v>
      </c>
      <c r="D60" s="478">
        <f ca="1">C60/Financeiros!$D$4</f>
        <v>0</v>
      </c>
      <c r="E60" s="473">
        <f t="shared" ca="1" si="3"/>
        <v>0</v>
      </c>
    </row>
    <row r="61" spans="2:5" ht="15.75" customHeight="1">
      <c r="B61" s="68" t="str">
        <f>Financeiros!C41</f>
        <v>Financeiros associados ao §7º do Art. 88 da Ren 414/2021</v>
      </c>
      <c r="C61" s="460">
        <f>Financeiros!D41</f>
        <v>0</v>
      </c>
      <c r="D61" s="478">
        <f ca="1">C61/Financeiros!$D$4</f>
        <v>0</v>
      </c>
      <c r="E61" s="473">
        <f t="shared" ca="1" si="3"/>
        <v>0</v>
      </c>
    </row>
    <row r="62" spans="2:5" ht="15.75" customHeight="1">
      <c r="B62" s="68">
        <f>Financeiros!C45</f>
        <v>0</v>
      </c>
      <c r="C62" s="460">
        <f>Financeiros!D45</f>
        <v>0</v>
      </c>
      <c r="D62" s="478">
        <f ca="1">C62/Financeiros!$D$4</f>
        <v>0</v>
      </c>
      <c r="E62" s="473">
        <f t="shared" ca="1" si="3"/>
        <v>0</v>
      </c>
    </row>
    <row r="63" spans="2:5" ht="15.75" customHeight="1">
      <c r="B63" s="68">
        <f>Financeiros!C46</f>
        <v>0</v>
      </c>
      <c r="C63" s="460">
        <f>Financeiros!D46</f>
        <v>0</v>
      </c>
      <c r="D63" s="478">
        <f ca="1">C63/Financeiros!$D$4</f>
        <v>0</v>
      </c>
      <c r="E63" s="473">
        <f t="shared" ca="1" si="3"/>
        <v>0</v>
      </c>
    </row>
    <row r="64" spans="2:5" ht="15.75" customHeight="1">
      <c r="B64" s="68">
        <f>Financeiros!C47</f>
        <v>0</v>
      </c>
      <c r="C64" s="460">
        <f>Financeiros!D47</f>
        <v>0</v>
      </c>
      <c r="D64" s="478">
        <f ca="1">C64/Financeiros!$D$4</f>
        <v>0</v>
      </c>
      <c r="E64" s="473">
        <f t="shared" ca="1" si="3"/>
        <v>0</v>
      </c>
    </row>
    <row r="65" spans="2:5" ht="15.75" customHeight="1">
      <c r="B65" s="68" t="str">
        <f>Financeiros!C48</f>
        <v>CVE ccc</v>
      </c>
      <c r="C65" s="460">
        <f>Financeiros!D48</f>
        <v>0</v>
      </c>
      <c r="D65" s="478">
        <f ca="1">C65/Financeiros!$D$4</f>
        <v>0</v>
      </c>
      <c r="E65" s="473">
        <f t="shared" ca="1" si="3"/>
        <v>0</v>
      </c>
    </row>
    <row r="66" spans="2:5" ht="15.75" customHeight="1">
      <c r="B66" s="68" t="str">
        <f>Financeiros!C49</f>
        <v>CVE cde</v>
      </c>
      <c r="C66" s="460">
        <f>Financeiros!D49</f>
        <v>0</v>
      </c>
      <c r="D66" s="478">
        <f ca="1">C66/Financeiros!$D$4</f>
        <v>0</v>
      </c>
      <c r="E66" s="473">
        <f t="shared" ca="1" si="3"/>
        <v>0</v>
      </c>
    </row>
    <row r="67" spans="2:5" ht="15.75" customHeight="1">
      <c r="B67" s="68" t="str">
        <f>Financeiros!C50</f>
        <v>CVE cde energia</v>
      </c>
      <c r="C67" s="460">
        <f>Financeiros!D50</f>
        <v>0</v>
      </c>
      <c r="D67" s="478">
        <f ca="1">C67/Financeiros!$D$4</f>
        <v>0</v>
      </c>
      <c r="E67" s="473">
        <f t="shared" ca="1" si="3"/>
        <v>0</v>
      </c>
    </row>
    <row r="68" spans="2:5" ht="15.75" customHeight="1">
      <c r="B68" s="68" t="str">
        <f>Financeiros!C51</f>
        <v>CVE RB - Nodal</v>
      </c>
      <c r="C68" s="460">
        <f>Financeiros!D51</f>
        <v>0</v>
      </c>
      <c r="D68" s="478">
        <f ca="1">C68/Financeiros!$D$4</f>
        <v>0</v>
      </c>
      <c r="E68" s="473">
        <f t="shared" ca="1" si="3"/>
        <v>0</v>
      </c>
    </row>
    <row r="69" spans="2:5" ht="15.75" customHeight="1">
      <c r="B69" s="68" t="str">
        <f>Financeiros!C52</f>
        <v>CVE RB - Fronteira</v>
      </c>
      <c r="C69" s="460">
        <f>Financeiros!D52</f>
        <v>0</v>
      </c>
      <c r="D69" s="478">
        <f ca="1">C69/Financeiros!$D$4</f>
        <v>0</v>
      </c>
      <c r="E69" s="473">
        <f t="shared" ca="1" si="3"/>
        <v>0</v>
      </c>
    </row>
    <row r="70" spans="2:5" ht="15.75" customHeight="1">
      <c r="B70" s="68" t="str">
        <f>Financeiros!C53</f>
        <v>CVE RB - TUSDg EXP</v>
      </c>
      <c r="C70" s="460">
        <f>Financeiros!D53</f>
        <v>0</v>
      </c>
      <c r="D70" s="478">
        <f ca="1">C70/Financeiros!$D$4</f>
        <v>0</v>
      </c>
      <c r="E70" s="473">
        <f t="shared" ca="1" si="3"/>
        <v>0</v>
      </c>
    </row>
    <row r="71" spans="2:5" ht="15.75" customHeight="1">
      <c r="B71" s="68" t="str">
        <f>Financeiros!C54</f>
        <v>CVE RB - TUSDg ONS</v>
      </c>
      <c r="C71" s="460">
        <f>Financeiros!D54</f>
        <v>0</v>
      </c>
      <c r="D71" s="478">
        <f ca="1">C71/Financeiros!$D$4</f>
        <v>0</v>
      </c>
      <c r="E71" s="473">
        <f t="shared" ca="1" si="3"/>
        <v>0</v>
      </c>
    </row>
    <row r="72" spans="2:5" ht="15.75" customHeight="1">
      <c r="B72" s="68" t="str">
        <f>Financeiros!C55</f>
        <v>CVE RB - EUST Itaipu</v>
      </c>
      <c r="C72" s="460">
        <f>Financeiros!D55</f>
        <v>0</v>
      </c>
      <c r="D72" s="478">
        <f ca="1">C72/Financeiros!$D$4</f>
        <v>0</v>
      </c>
      <c r="E72" s="473">
        <f t="shared" ca="1" si="3"/>
        <v>0</v>
      </c>
    </row>
    <row r="73" spans="2:5" ht="15.75" customHeight="1">
      <c r="B73" s="68" t="str">
        <f>Financeiros!C56</f>
        <v>CVE- Transporte Itaipu</v>
      </c>
      <c r="C73" s="460">
        <f>Financeiros!D56</f>
        <v>0</v>
      </c>
      <c r="D73" s="478">
        <f ca="1">C73/Financeiros!$D$4</f>
        <v>0</v>
      </c>
      <c r="E73" s="473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60">
        <f ca="1">Financeiros!D57</f>
        <v>2734685.0331501402</v>
      </c>
      <c r="D74" s="478">
        <f ca="1">C74/Financeiros!$D$4</f>
        <v>2.6021596472225433E-2</v>
      </c>
      <c r="E74" s="473">
        <f t="shared" ca="1" si="3"/>
        <v>1</v>
      </c>
    </row>
    <row r="75" spans="2:5" ht="15.75" customHeight="1">
      <c r="B75" s="68" t="str">
        <f>Financeiros!C58</f>
        <v>CVE - Energia - Perda Não Técnica</v>
      </c>
      <c r="C75" s="460">
        <f ca="1">Financeiros!D58</f>
        <v>0</v>
      </c>
      <c r="D75" s="478">
        <f ca="1">C75/Financeiros!$D$4</f>
        <v>0</v>
      </c>
      <c r="E75" s="473">
        <f t="shared" ca="1" si="3"/>
        <v>0</v>
      </c>
    </row>
    <row r="76" spans="2:5" ht="15.75" customHeight="1">
      <c r="B76" s="68" t="str">
        <f>Financeiros!C59</f>
        <v>CVE - Energia - Perda Técnica</v>
      </c>
      <c r="C76" s="460">
        <f ca="1">Financeiros!D59</f>
        <v>266505.14480306732</v>
      </c>
      <c r="D76" s="478">
        <f ca="1">C76/Financeiros!$D$4</f>
        <v>2.5359005705490631E-3</v>
      </c>
      <c r="E76" s="473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460">
        <f ca="1">Financeiros!D60</f>
        <v>9399.941437552774</v>
      </c>
      <c r="D77" s="478">
        <f ca="1">C77/Financeiros!$D$4</f>
        <v>8.9444115130431467E-5</v>
      </c>
      <c r="E77" s="473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460">
        <f ca="1">Financeiros!D61</f>
        <v>96455.470609239506</v>
      </c>
      <c r="D78" s="478">
        <f ca="1">C78/Financeiros!$D$4</f>
        <v>9.1781148589568863E-4</v>
      </c>
      <c r="E78" s="473">
        <f t="shared" ca="1" si="3"/>
        <v>1</v>
      </c>
    </row>
    <row r="79" spans="2:5" ht="15.75" customHeight="1">
      <c r="B79" s="68" t="str">
        <f>Financeiros!C62</f>
        <v>CVE - Encargos - PROINFA</v>
      </c>
      <c r="C79" s="460">
        <f ca="1">Financeiros!D62</f>
        <v>0</v>
      </c>
      <c r="D79" s="478">
        <f ca="1">C79/Financeiros!$D$4</f>
        <v>0</v>
      </c>
      <c r="E79" s="473">
        <f t="shared" ca="1" si="3"/>
        <v>0</v>
      </c>
    </row>
    <row r="80" spans="2:5" ht="15.75" customHeight="1">
      <c r="B80" s="68" t="str">
        <f>Financeiros!C63</f>
        <v>CVE - Encargos - CFURH</v>
      </c>
      <c r="C80" s="460">
        <f>Financeiros!D63</f>
        <v>0</v>
      </c>
      <c r="D80" s="478">
        <f ca="1">C80/Financeiros!$D$4</f>
        <v>0</v>
      </c>
      <c r="E80" s="473">
        <f t="shared" ca="1" si="3"/>
        <v>0</v>
      </c>
    </row>
    <row r="81" spans="2:5" ht="15.75" customHeight="1">
      <c r="B81" s="68" t="str">
        <f>Financeiros!C64</f>
        <v>CVE - Encargos - ESS/EER</v>
      </c>
      <c r="C81" s="460">
        <f>Financeiros!D64</f>
        <v>2619758.7576000001</v>
      </c>
      <c r="D81" s="478">
        <f ca="1">C81/Financeiros!$D$4</f>
        <v>2.4928028061176413E-2</v>
      </c>
      <c r="E81" s="473">
        <f t="shared" ca="1" si="3"/>
        <v>1</v>
      </c>
    </row>
    <row r="82" spans="2:5" ht="15.75" customHeight="1">
      <c r="B82" s="68" t="str">
        <f>Financeiros!C65</f>
        <v>Conta Escassez H. - Importação julho- agosto/2021 - RTA 2022 - Energia de Revenda</v>
      </c>
      <c r="C82" s="460">
        <f ca="1">Financeiros!D65</f>
        <v>0</v>
      </c>
      <c r="D82" s="478">
        <f ca="1">C82/Financeiros!$D$4</f>
        <v>0</v>
      </c>
      <c r="E82" s="473">
        <f t="shared" ca="1" si="3"/>
        <v>0</v>
      </c>
    </row>
    <row r="83" spans="2:5" ht="15.75" customHeight="1">
      <c r="B83" s="68" t="str">
        <f>Financeiros!C66</f>
        <v>Conta Escassez H. - Importação julho- agosto/2021 - RTA 2022 - Perda Não Técnica</v>
      </c>
      <c r="C83" s="460">
        <f ca="1">Financeiros!D66</f>
        <v>0</v>
      </c>
      <c r="D83" s="478">
        <f ca="1">C83/Financeiros!$D$4</f>
        <v>0</v>
      </c>
      <c r="E83" s="473">
        <f t="shared" ca="1" si="3"/>
        <v>0</v>
      </c>
    </row>
    <row r="84" spans="2:5" ht="15.75" customHeight="1">
      <c r="B84" s="68" t="str">
        <f>Financeiros!C67</f>
        <v>Conta Escassez H. - Importação julho- agosto/2021 - RTA 2022 - Perda Técnica</v>
      </c>
      <c r="C84" s="460">
        <f ca="1">Financeiros!D67</f>
        <v>0</v>
      </c>
      <c r="D84" s="478">
        <f ca="1">C84/Financeiros!$D$4</f>
        <v>0</v>
      </c>
      <c r="E84" s="473">
        <f t="shared" ca="1" si="3"/>
        <v>0</v>
      </c>
    </row>
    <row r="85" spans="2:5" ht="15.75" customHeight="1">
      <c r="B85" s="68" t="str">
        <f>Financeiros!C68</f>
        <v>Conta Escassez H. - Importação julho- agosto/2021 - RTA 2022 - Perda RB Perda RB sobre Dist.</v>
      </c>
      <c r="C85" s="460">
        <f ca="1">Financeiros!D68</f>
        <v>0</v>
      </c>
      <c r="D85" s="478">
        <f ca="1">C85/Financeiros!$D$4</f>
        <v>0</v>
      </c>
      <c r="E85" s="473">
        <f t="shared" ca="1" si="3"/>
        <v>0</v>
      </c>
    </row>
    <row r="86" spans="2:5" ht="15.75" customHeight="1">
      <c r="B86" s="68" t="str">
        <f>Financeiros!C69</f>
        <v>Conta Escassez H. - Importação julho- agosto/2021 - RTA 2022 - Perda RB sobre Merc. Cat.</v>
      </c>
      <c r="C86" s="460">
        <f ca="1">Financeiros!D69</f>
        <v>0</v>
      </c>
      <c r="D86" s="478">
        <f ca="1">C86/Financeiros!$D$4</f>
        <v>0</v>
      </c>
      <c r="E86" s="473">
        <f t="shared" ca="1" si="3"/>
        <v>0</v>
      </c>
    </row>
    <row r="87" spans="2:5" ht="15.75" customHeight="1">
      <c r="B87" s="68" t="str">
        <f>Financeiros!C70</f>
        <v>Conta Escassez H. - Bônus Redução Voluntária</v>
      </c>
      <c r="C87" s="460">
        <f>Financeiros!D70</f>
        <v>-1106885.699880603</v>
      </c>
      <c r="D87" s="478">
        <f ca="1">C87/Financeiros!$D$4</f>
        <v>-1.0532449870466868E-2</v>
      </c>
      <c r="E87" s="473">
        <f t="shared" ca="1" si="3"/>
        <v>1</v>
      </c>
    </row>
    <row r="88" spans="2:5" ht="15.75" customHeight="1">
      <c r="B88" s="68" t="str">
        <f>Financeiros!C71</f>
        <v>Conta Escassez H. - Diferimento de energia - RTA 2022 - Energia de Revenda</v>
      </c>
      <c r="C88" s="460">
        <f ca="1">Financeiros!D71</f>
        <v>0</v>
      </c>
      <c r="D88" s="478">
        <f ca="1">C88/Financeiros!$D$4</f>
        <v>0</v>
      </c>
      <c r="E88" s="473">
        <f t="shared" ca="1" si="3"/>
        <v>0</v>
      </c>
    </row>
    <row r="89" spans="2:5" ht="15.75" customHeight="1">
      <c r="B89" s="68" t="str">
        <f>Financeiros!C72</f>
        <v>Conta Escassez H. - Diferimento de energia - RTA 2022 - Perda Não Técnica</v>
      </c>
      <c r="C89" s="460">
        <f ca="1">Financeiros!D72</f>
        <v>0</v>
      </c>
      <c r="D89" s="478">
        <f ca="1">C89/Financeiros!$D$4</f>
        <v>0</v>
      </c>
      <c r="E89" s="473">
        <f t="shared" ca="1" si="3"/>
        <v>0</v>
      </c>
    </row>
    <row r="90" spans="2:5" ht="15.75" customHeight="1">
      <c r="B90" s="68" t="str">
        <f>Financeiros!C73</f>
        <v>Conta Escassez H. - Diferimento de energia - RTA 2022 - Perda Técnica</v>
      </c>
      <c r="C90" s="460">
        <f ca="1">Financeiros!D73</f>
        <v>0</v>
      </c>
      <c r="D90" s="478">
        <f ca="1">C90/Financeiros!$D$4</f>
        <v>0</v>
      </c>
      <c r="E90" s="473">
        <f t="shared" ca="1" si="3"/>
        <v>0</v>
      </c>
    </row>
    <row r="91" spans="2:5" ht="15.75" customHeight="1">
      <c r="B91" s="68" t="str">
        <f>Financeiros!C74</f>
        <v>Conta Escassez H. - Diferimento de energia - RTA 2022 - Perda RB Perda RB sobre Dist.</v>
      </c>
      <c r="C91" s="460">
        <f ca="1">Financeiros!D74</f>
        <v>0</v>
      </c>
      <c r="D91" s="478">
        <f ca="1">C91/Financeiros!$D$4</f>
        <v>0</v>
      </c>
      <c r="E91" s="473">
        <f t="shared" ca="1" si="3"/>
        <v>0</v>
      </c>
    </row>
    <row r="92" spans="2:5" ht="15.75" customHeight="1">
      <c r="B92" s="68" t="str">
        <f>Financeiros!C75</f>
        <v>Conta Escassez H. - Diferimento de energia - RTA 2022 - Perda RB sobre Merc. Cat.</v>
      </c>
      <c r="C92" s="460">
        <f ca="1">Financeiros!D75</f>
        <v>0</v>
      </c>
      <c r="D92" s="478">
        <f ca="1">C92/Financeiros!$D$4</f>
        <v>0</v>
      </c>
      <c r="E92" s="473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460">
        <f ca="1">Financeiros!D76</f>
        <v>-1428391.4329839994</v>
      </c>
      <c r="D93" s="478">
        <f ca="1">C93/Financeiros!$D$4</f>
        <v>-1.3591702526223907E-2</v>
      </c>
      <c r="E93" s="473">
        <f t="shared" ca="1" si="3"/>
        <v>1</v>
      </c>
    </row>
    <row r="94" spans="2:5" ht="15.75" customHeight="1">
      <c r="B94" s="68" t="str">
        <f>Financeiros!C77</f>
        <v>Sobrecontratação/Reversão de Energia - Perda Não Técnica</v>
      </c>
      <c r="C94" s="460">
        <f>Financeiros!D77</f>
        <v>0</v>
      </c>
      <c r="D94" s="478">
        <f ca="1">C94/Financeiros!$D$4</f>
        <v>0</v>
      </c>
      <c r="E94" s="473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460">
        <f ca="1">Financeiros!D78</f>
        <v>-12791.37094897138</v>
      </c>
      <c r="D95" s="478">
        <f ca="1">C95/Financeiros!$D$4</f>
        <v>-1.2171489188912611E-4</v>
      </c>
      <c r="E95" s="473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460">
        <f ca="1">Financeiros!D79</f>
        <v>-388.37705466253851</v>
      </c>
      <c r="D96" s="478">
        <f ca="1">C96/Financeiros!$D$4</f>
        <v>-3.6955594055592156E-6</v>
      </c>
      <c r="E96" s="473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460">
        <f ca="1">Financeiros!D80</f>
        <v>-3630.4366612716981</v>
      </c>
      <c r="D97" s="478">
        <f ca="1">C97/Financeiros!$D$4</f>
        <v>-3.4545023164427762E-5</v>
      </c>
      <c r="E97" s="473">
        <f t="shared" ca="1" si="3"/>
        <v>1</v>
      </c>
    </row>
    <row r="98" spans="2:5" ht="15.75" customHeight="1">
      <c r="B98" s="68">
        <f>Financeiros!C81</f>
        <v>0</v>
      </c>
      <c r="C98" s="460">
        <f>Financeiros!D81</f>
        <v>0</v>
      </c>
      <c r="D98" s="478">
        <f ca="1">C98/Financeiros!$D$4</f>
        <v>0</v>
      </c>
      <c r="E98" s="473">
        <f t="shared" ca="1" si="3"/>
        <v>0</v>
      </c>
    </row>
    <row r="99" spans="2:5" ht="15.75" customHeight="1">
      <c r="B99" s="820" t="str">
        <f>Financeiros!C82</f>
        <v>Reversão de Risco Hidrológico</v>
      </c>
      <c r="C99" s="971">
        <f>Financeiros!D82</f>
        <v>-1315990.2960016439</v>
      </c>
      <c r="D99" s="972">
        <f ca="1">C99/Financeiros!$D$4</f>
        <v>-1.2522161795163925E-2</v>
      </c>
      <c r="E99" s="473">
        <f t="shared" ca="1" si="3"/>
        <v>1</v>
      </c>
    </row>
    <row r="100" spans="2:5" ht="15.75" customHeight="1">
      <c r="B100" s="736"/>
      <c r="C100" s="973"/>
      <c r="D100" s="974"/>
    </row>
    <row r="101" spans="2:5" ht="15.75" customHeight="1">
      <c r="C101" s="460"/>
      <c r="D101" s="478"/>
    </row>
    <row r="102" spans="2:5" ht="15.75" customHeight="1">
      <c r="C102" s="460"/>
      <c r="D102" s="478"/>
    </row>
    <row r="103" spans="2:5" ht="15.75" customHeight="1">
      <c r="C103" s="460"/>
      <c r="D103" s="478"/>
    </row>
    <row r="104" spans="2:5" ht="15.75" customHeight="1">
      <c r="C104" s="460"/>
      <c r="D104" s="478"/>
    </row>
    <row r="105" spans="2:5" ht="15.75" customHeight="1">
      <c r="C105" s="460"/>
      <c r="D105" s="478"/>
    </row>
    <row r="106" spans="2:5" ht="15.75" customHeight="1">
      <c r="C106" s="460"/>
      <c r="D106" s="478"/>
    </row>
    <row r="107" spans="2:5" ht="15.75" customHeight="1">
      <c r="C107" s="460"/>
      <c r="D107" s="478"/>
    </row>
    <row r="108" spans="2:5" ht="15.75" customHeight="1">
      <c r="C108" s="460"/>
      <c r="D108" s="478"/>
    </row>
    <row r="109" spans="2:5" ht="15.75" customHeight="1">
      <c r="C109" s="460"/>
      <c r="D109" s="478"/>
    </row>
    <row r="110" spans="2:5" ht="15.75" customHeight="1">
      <c r="C110" s="460"/>
      <c r="D110" s="478"/>
    </row>
    <row r="111" spans="2:5" ht="15.75" customHeight="1">
      <c r="C111" s="460"/>
      <c r="D111" s="478"/>
    </row>
    <row r="112" spans="2:5" ht="15.75" customHeight="1">
      <c r="C112" s="460"/>
      <c r="D112" s="478"/>
    </row>
    <row r="113" spans="3:4" ht="15.75" customHeight="1">
      <c r="C113" s="460"/>
      <c r="D113" s="47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28" zoomScale="90" zoomScaleNormal="90" workbookViewId="0">
      <selection activeCell="D35" sqref="D35:D45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bestFit="1" customWidth="1"/>
    <col min="4" max="4" width="19.5703125" style="95" bestFit="1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994" t="s">
        <v>952</v>
      </c>
      <c r="C1" s="1091"/>
      <c r="D1" s="995"/>
      <c r="E1" s="995"/>
      <c r="F1" s="995"/>
      <c r="G1" s="1204" t="s">
        <v>953</v>
      </c>
      <c r="H1" s="1205">
        <f ca="1">LnkTXTIRTEco</f>
        <v>0.12970000000000001</v>
      </c>
      <c r="I1" s="70"/>
      <c r="J1" s="70"/>
      <c r="P1" s="1206" t="s">
        <v>954</v>
      </c>
      <c r="Q1" s="1207"/>
      <c r="S1" s="1208" t="s">
        <v>955</v>
      </c>
      <c r="T1" s="1207" t="s">
        <v>956</v>
      </c>
      <c r="W1" s="1206" t="s">
        <v>955</v>
      </c>
      <c r="X1" s="1207" t="s">
        <v>956</v>
      </c>
    </row>
    <row r="2" spans="2:24" ht="14.25">
      <c r="B2" s="138" t="str">
        <f>CAPA!C9</f>
        <v>Cermissões</v>
      </c>
      <c r="C2" s="70"/>
      <c r="D2" s="70"/>
      <c r="G2" s="121" t="s">
        <v>957</v>
      </c>
      <c r="H2" s="122">
        <f ca="1">LnkTXTIRTTotal</f>
        <v>-9.4E-2</v>
      </c>
      <c r="P2" s="1209">
        <f>DATE(YEAR(P4),MONTH(P4)-1,1)</f>
        <v>44378</v>
      </c>
      <c r="Q2" s="693"/>
      <c r="S2" s="692" t="s">
        <v>958</v>
      </c>
      <c r="T2" s="693" t="s">
        <v>959</v>
      </c>
      <c r="W2" s="692" t="s">
        <v>960</v>
      </c>
      <c r="X2" s="693" t="s">
        <v>959</v>
      </c>
    </row>
    <row r="3" spans="2:24" ht="14.25">
      <c r="P3" s="1206" t="s">
        <v>954</v>
      </c>
      <c r="Q3" s="1207"/>
      <c r="S3" s="1208" t="s">
        <v>955</v>
      </c>
      <c r="T3" s="1207" t="s">
        <v>956</v>
      </c>
      <c r="W3" s="1206" t="s">
        <v>955</v>
      </c>
      <c r="X3" s="1207" t="s">
        <v>956</v>
      </c>
    </row>
    <row r="4" spans="2:24" ht="14.25">
      <c r="P4" s="1209">
        <f>DATE(YEAR(P6),MONTH(P6)-1,1)</f>
        <v>44409</v>
      </c>
      <c r="Q4" s="693"/>
      <c r="S4" s="692" t="s">
        <v>602</v>
      </c>
      <c r="T4" s="693" t="s">
        <v>959</v>
      </c>
      <c r="W4" s="692" t="s">
        <v>960</v>
      </c>
      <c r="X4" s="693" t="s">
        <v>959</v>
      </c>
    </row>
    <row r="5" spans="2:24" ht="14.25">
      <c r="P5" s="1206" t="s">
        <v>954</v>
      </c>
      <c r="Q5" s="1207"/>
      <c r="S5" s="1206" t="s">
        <v>955</v>
      </c>
      <c r="T5" s="1207" t="s">
        <v>956</v>
      </c>
      <c r="V5" s="96"/>
      <c r="W5" s="1206" t="s">
        <v>955</v>
      </c>
      <c r="X5" s="1207" t="s">
        <v>956</v>
      </c>
    </row>
    <row r="6" spans="2:24" ht="14.25">
      <c r="B6" s="112" t="s">
        <v>961</v>
      </c>
      <c r="F6" s="112" t="s">
        <v>962</v>
      </c>
      <c r="I6" s="112" t="s">
        <v>963</v>
      </c>
      <c r="P6" s="1209">
        <f>DATE(YEAR(P8),MONTH(P8)-1,1)</f>
        <v>44440</v>
      </c>
      <c r="Q6" s="693"/>
      <c r="S6" s="692" t="str">
        <f>"=A3"</f>
        <v>=A3</v>
      </c>
      <c r="T6" s="693" t="s">
        <v>959</v>
      </c>
      <c r="W6" s="692" t="s">
        <v>960</v>
      </c>
      <c r="X6" s="693" t="s">
        <v>959</v>
      </c>
    </row>
    <row r="7" spans="2:24" ht="14.25">
      <c r="B7" s="1210" t="s">
        <v>855</v>
      </c>
      <c r="C7" s="1210" t="s">
        <v>120</v>
      </c>
      <c r="D7" s="1210" t="s">
        <v>964</v>
      </c>
      <c r="E7" s="97"/>
      <c r="F7" s="1210" t="s">
        <v>855</v>
      </c>
      <c r="G7" s="1210" t="s">
        <v>964</v>
      </c>
      <c r="I7" s="1211" t="s">
        <v>855</v>
      </c>
      <c r="J7" s="1211" t="s">
        <v>965</v>
      </c>
      <c r="L7" s="428" t="s">
        <v>966</v>
      </c>
      <c r="M7" s="428"/>
      <c r="N7" s="428" t="s">
        <v>802</v>
      </c>
      <c r="P7" s="1206" t="s">
        <v>954</v>
      </c>
      <c r="Q7" s="1207"/>
      <c r="S7" s="1206" t="s">
        <v>955</v>
      </c>
      <c r="T7" s="1207" t="s">
        <v>956</v>
      </c>
      <c r="W7" s="1206" t="s">
        <v>955</v>
      </c>
      <c r="X7" s="1207" t="s">
        <v>956</v>
      </c>
    </row>
    <row r="8" spans="2:24" ht="14.25">
      <c r="B8" s="1212" t="s">
        <v>967</v>
      </c>
      <c r="C8" s="1213">
        <f ca="1">SUM(C9:C15)</f>
        <v>143286.06900000005</v>
      </c>
      <c r="D8" s="1214">
        <f ca="1">SUM(D9:D15)</f>
        <v>104184345.79447997</v>
      </c>
      <c r="E8" s="97"/>
      <c r="F8" s="97" t="s">
        <v>968</v>
      </c>
      <c r="G8" s="116">
        <f t="shared" ref="G8:G14" ca="1" si="0">SUM(INDIRECT("dados_Mercadobase["&amp;F8&amp;"]"))</f>
        <v>0</v>
      </c>
      <c r="I8" s="229" t="s">
        <v>233</v>
      </c>
      <c r="J8" s="117">
        <f ca="1">SUM(INDIRECT("dados_MercadoBase[ICMS]"))/SUM(INDIRECT("dados_MercadoBase[[PisPasep]:[ICMS]]"),INDIRECT("dados_MercadoBase[FinTotAj]"))</f>
        <v>0.16842982451197178</v>
      </c>
      <c r="L8" s="1215" t="s">
        <v>969</v>
      </c>
      <c r="M8" s="1216"/>
      <c r="N8" s="1217">
        <f>DSUM('BD MERCADO'!A2:AAA999998,"Total",S27:S28)</f>
        <v>17464775.008970004</v>
      </c>
      <c r="P8" s="1209">
        <f>DATE(YEAR(P10),MONTH(P10)-1,1)</f>
        <v>44470</v>
      </c>
      <c r="Q8" s="693"/>
      <c r="S8" s="692" t="str">
        <f>"=A3a"</f>
        <v>=A3a</v>
      </c>
      <c r="T8" s="693" t="s">
        <v>959</v>
      </c>
      <c r="W8" s="692" t="s">
        <v>960</v>
      </c>
      <c r="X8" s="693" t="s">
        <v>959</v>
      </c>
    </row>
    <row r="9" spans="2:24" ht="14.25">
      <c r="B9" s="113" t="s">
        <v>958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18" t="s">
        <v>832</v>
      </c>
      <c r="J9" s="1219">
        <f ca="1">SUM(INDIRECT("dados_MercadoBase[[PisPasep]:[Cofins]]"))/SUM(INDIRECT("dados_MercadoBase[[PisPasep]:[ICMS]]"),INDIRECT("dados_MercadoBase[FinTotAj]"))</f>
        <v>1.2688091209208052E-2</v>
      </c>
      <c r="L9" s="97" t="s">
        <v>970</v>
      </c>
      <c r="M9" s="427"/>
      <c r="N9" s="116">
        <f>DSUM('BD MERCADO'!A2:AAA999998,"Total",S29:S30)</f>
        <v>3010183.8022499988</v>
      </c>
      <c r="P9" s="1206" t="s">
        <v>954</v>
      </c>
      <c r="Q9" s="1207"/>
      <c r="S9" s="1206" t="s">
        <v>955</v>
      </c>
      <c r="T9" s="1207" t="s">
        <v>956</v>
      </c>
      <c r="X9" s="98"/>
    </row>
    <row r="10" spans="2:24" ht="14.25">
      <c r="B10" s="113" t="s">
        <v>602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971</v>
      </c>
      <c r="G10" s="116">
        <f t="shared" ca="1" si="0"/>
        <v>387051.4383655666</v>
      </c>
      <c r="L10" s="97" t="s">
        <v>972</v>
      </c>
      <c r="M10" s="427"/>
      <c r="N10" s="116">
        <f>DSUM('BD MERCADO'!A2:AAA999998,"Total",S31:S32)</f>
        <v>8314207.7855799999</v>
      </c>
      <c r="P10" s="1209">
        <f>DATE(YEAR(P12),MONTH(P12)-1,1)</f>
        <v>44501</v>
      </c>
      <c r="Q10" s="693"/>
      <c r="S10" s="692" t="s">
        <v>597</v>
      </c>
      <c r="T10" s="693" t="s">
        <v>959</v>
      </c>
      <c r="U10" s="95" t="s">
        <v>973</v>
      </c>
      <c r="X10" s="98"/>
    </row>
    <row r="11" spans="2:24" ht="14.25">
      <c r="B11" s="113" t="s">
        <v>599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1309794.7702300339</v>
      </c>
      <c r="L11" s="97" t="s">
        <v>974</v>
      </c>
      <c r="M11" s="427"/>
      <c r="N11" s="116">
        <f>DSUM('BD MERCADO'!A2:AAA999998,"Total",S33:S34)</f>
        <v>69740663.056059957</v>
      </c>
      <c r="P11" s="1206" t="s">
        <v>954</v>
      </c>
      <c r="Q11" s="1207"/>
      <c r="S11" s="1206" t="s">
        <v>955</v>
      </c>
      <c r="T11" s="1207" t="s">
        <v>956</v>
      </c>
      <c r="X11" s="98"/>
    </row>
    <row r="12" spans="2:24" ht="14.25">
      <c r="B12" s="113" t="s">
        <v>601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8073828.0044489624</v>
      </c>
      <c r="I12" s="112" t="s">
        <v>975</v>
      </c>
      <c r="L12" s="97" t="s">
        <v>976</v>
      </c>
      <c r="M12" s="427"/>
      <c r="N12" s="116">
        <f>DSUM('BD MERCADO'!A2:AAA999998,"Total",S35:S36)</f>
        <v>2601355.2198000001</v>
      </c>
      <c r="P12" s="1209">
        <f>DATE(YEAR(P14),MONTH(P14)-1,1)</f>
        <v>44531</v>
      </c>
      <c r="Q12" s="693"/>
      <c r="S12" s="692" t="s">
        <v>977</v>
      </c>
      <c r="T12" s="693" t="s">
        <v>959</v>
      </c>
      <c r="X12" s="98"/>
    </row>
    <row r="13" spans="2:24" ht="14.25">
      <c r="B13" s="113" t="s">
        <v>597</v>
      </c>
      <c r="C13" s="99">
        <f t="shared" ca="1" si="2"/>
        <v>50254.15199999998</v>
      </c>
      <c r="D13" s="114">
        <f t="shared" ca="1" si="1"/>
        <v>32954941.275470015</v>
      </c>
      <c r="E13" s="97"/>
      <c r="F13" s="97" t="s">
        <v>40</v>
      </c>
      <c r="G13" s="116">
        <f t="shared" ca="1" si="0"/>
        <v>231416.72552077883</v>
      </c>
      <c r="I13" s="1211" t="s">
        <v>855</v>
      </c>
      <c r="J13" s="1211" t="s">
        <v>978</v>
      </c>
      <c r="L13" s="97" t="s">
        <v>979</v>
      </c>
      <c r="M13" s="427"/>
      <c r="N13" s="116">
        <f>DSUM('BD MERCADO'!A2:AAA999998,"Total",S37:S38)</f>
        <v>2837676.4944599997</v>
      </c>
      <c r="P13" s="1206" t="s">
        <v>954</v>
      </c>
      <c r="Q13" s="1207"/>
      <c r="S13" s="1206" t="s">
        <v>955</v>
      </c>
      <c r="T13" s="1207" t="s">
        <v>956</v>
      </c>
      <c r="X13" s="98"/>
    </row>
    <row r="14" spans="2:24" ht="14.25">
      <c r="B14" s="113" t="s">
        <v>980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20" t="s">
        <v>981</v>
      </c>
      <c r="J14" s="1221">
        <f>CAPA!D41</f>
        <v>134568.58900000001</v>
      </c>
      <c r="L14" s="97" t="s">
        <v>982</v>
      </c>
      <c r="M14" s="427"/>
      <c r="N14" s="116">
        <f>DSUM('BD MERCADO'!A2:AAA999998,"Total",S39:S40)</f>
        <v>828808.98239999998</v>
      </c>
      <c r="P14" s="1209">
        <f>DATE(YEAR(P16),MONTH(P16)-1,1)</f>
        <v>44562</v>
      </c>
      <c r="Q14" s="693"/>
      <c r="S14" s="692" t="s">
        <v>960</v>
      </c>
      <c r="T14" s="693" t="s">
        <v>959</v>
      </c>
      <c r="X14" s="98"/>
    </row>
    <row r="15" spans="2:24" ht="14.25">
      <c r="B15" s="113" t="s">
        <v>604</v>
      </c>
      <c r="C15" s="99">
        <f t="shared" ca="1" si="2"/>
        <v>93031.917000000059</v>
      </c>
      <c r="D15" s="114">
        <f t="shared" ca="1" si="1"/>
        <v>71229404.519009948</v>
      </c>
      <c r="E15" s="97"/>
      <c r="F15" s="97" t="s">
        <v>120</v>
      </c>
      <c r="G15" s="116">
        <f ca="1">SUM(C79:C84)</f>
        <v>32947321.16528523</v>
      </c>
      <c r="I15" s="1222" t="s">
        <v>911</v>
      </c>
      <c r="J15" s="1223">
        <f ca="1">IFERROR(Mercado_RA0_MWh/J14-1,0)</f>
        <v>6.478094230444853E-2</v>
      </c>
      <c r="L15" s="1224" t="s">
        <v>983</v>
      </c>
      <c r="M15" s="1225"/>
      <c r="N15" s="1226">
        <f ca="1">D25-SUM(N8:N14)</f>
        <v>295229.54496000707</v>
      </c>
      <c r="P15" s="1206" t="s">
        <v>954</v>
      </c>
      <c r="Q15" s="1207"/>
      <c r="S15" s="1206" t="s">
        <v>984</v>
      </c>
      <c r="T15" s="1207" t="s">
        <v>956</v>
      </c>
      <c r="X15" s="98"/>
    </row>
    <row r="16" spans="2:24" ht="14.25">
      <c r="B16" s="1212" t="s">
        <v>985</v>
      </c>
      <c r="C16" s="1227">
        <f ca="1">DSUM(MercadoBase,"TUSD_E",INDIRECT("Mercado_CriterioResBr"))</f>
        <v>2860.4669999999987</v>
      </c>
      <c r="D16" s="1228">
        <f ca="1">DSUM(MercadoBase,"Total",INDIRECT("Mercado_CriterioResBr"))</f>
        <v>2058620.8905599995</v>
      </c>
      <c r="E16" s="97"/>
      <c r="F16" s="97" t="s">
        <v>986</v>
      </c>
      <c r="G16" s="116">
        <f ca="1">SUM(C87:C97)</f>
        <v>62143875.996304765</v>
      </c>
      <c r="P16" s="1209">
        <f>DATE(YEAR(P18),MONTH(P18)-1,1)</f>
        <v>44593</v>
      </c>
      <c r="Q16" s="693"/>
      <c r="S16" s="692" t="s">
        <v>987</v>
      </c>
      <c r="T16" s="693" t="s">
        <v>959</v>
      </c>
      <c r="X16" s="98"/>
    </row>
    <row r="17" spans="2:24" ht="14.25">
      <c r="B17" s="1212" t="s">
        <v>988</v>
      </c>
      <c r="C17" s="1227">
        <f ca="1">DSUM(MercadoBase,"TUSD_E",INDIRECT("Mercado_Criterio"&amp;$B17))</f>
        <v>0</v>
      </c>
      <c r="D17" s="1228">
        <f ca="1">DSUM(MercadoBase,"Total",INDIRECT("Mercado_Criterio"&amp;$B17))</f>
        <v>0</v>
      </c>
      <c r="E17" s="97"/>
      <c r="F17" s="1229" t="s">
        <v>837</v>
      </c>
      <c r="G17" s="1230">
        <f ca="1">SUM(G8:G16)</f>
        <v>105093288.10015534</v>
      </c>
      <c r="I17" s="228" t="str">
        <f>"Dado referente à "&amp;TEXT(P20,"mmmm/aaaa")</f>
        <v>Dado referente à abril/2022</v>
      </c>
      <c r="L17" s="79"/>
      <c r="P17" s="1206" t="s">
        <v>954</v>
      </c>
      <c r="Q17" s="1207"/>
      <c r="S17" s="1206" t="s">
        <v>956</v>
      </c>
      <c r="T17" s="1207"/>
      <c r="X17" s="98"/>
    </row>
    <row r="18" spans="2:24" ht="14.25">
      <c r="B18" s="1212" t="s">
        <v>989</v>
      </c>
      <c r="C18" s="1227">
        <f ca="1">DSUM(MercadoBase,"TUSD_E",INDIRECT("Mercado_Criterio"&amp;$B18))</f>
        <v>0</v>
      </c>
      <c r="D18" s="1228">
        <f ca="1">DSUM(MercadoBase,"Total",INDIRECT("Mercado_Criterio"&amp;$B18))</f>
        <v>908554.10000000009</v>
      </c>
      <c r="E18" s="97"/>
      <c r="I18" s="1231" t="s">
        <v>990</v>
      </c>
      <c r="J18" s="1232">
        <f>DSUM('BD MERCADO'!B2:BU724,"UC",C101:C102)</f>
        <v>27762</v>
      </c>
      <c r="L18" s="79"/>
      <c r="P18" s="1209">
        <f>DATE(YEAR(P20),MONTH(P20)-1,1)</f>
        <v>44621</v>
      </c>
      <c r="Q18" s="693"/>
      <c r="S18" s="692" t="s">
        <v>867</v>
      </c>
      <c r="T18" s="693"/>
      <c r="X18" s="98"/>
    </row>
    <row r="19" spans="2:24" ht="14.25">
      <c r="B19" s="115" t="s">
        <v>991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206" t="s">
        <v>954</v>
      </c>
      <c r="Q19" s="1207"/>
      <c r="S19" s="1206" t="s">
        <v>956</v>
      </c>
      <c r="T19" s="1207" t="s">
        <v>955</v>
      </c>
      <c r="X19" s="98"/>
    </row>
    <row r="20" spans="2:24" ht="14.25">
      <c r="B20" s="115" t="s">
        <v>992</v>
      </c>
      <c r="C20" s="99">
        <f ca="1">DSUM(MercadoBase,"TUSD_E",INDIRECT("Mercado_Criterio"&amp;$B20))</f>
        <v>0</v>
      </c>
      <c r="D20" s="114">
        <f ca="1">DSUM(MercadoBase,"Total",INDIRECT("Mercado_Criterio"&amp;$B20))</f>
        <v>0</v>
      </c>
      <c r="L20" s="79"/>
      <c r="P20" s="1209">
        <f>DATE(YEAR(P22),MONTH(P22)-1,1)</f>
        <v>44652</v>
      </c>
      <c r="Q20" s="693"/>
      <c r="S20" s="692" t="s">
        <v>989</v>
      </c>
      <c r="T20" s="693" t="s">
        <v>958</v>
      </c>
    </row>
    <row r="21" spans="2:24" ht="14.25">
      <c r="B21" s="115" t="s">
        <v>993</v>
      </c>
      <c r="C21" s="99"/>
      <c r="D21" s="114">
        <f ca="1">DSUM(MercadoBase,"Total",INDIRECT("Mercado_Criterio"&amp;$B21))</f>
        <v>0</v>
      </c>
      <c r="E21" s="632"/>
      <c r="F21" s="633"/>
      <c r="G21" s="631"/>
      <c r="L21" s="79"/>
      <c r="P21" s="1206" t="s">
        <v>954</v>
      </c>
      <c r="Q21" s="1207"/>
      <c r="S21" s="1206" t="s">
        <v>956</v>
      </c>
      <c r="T21" s="1207"/>
    </row>
    <row r="22" spans="2:24" ht="14.25">
      <c r="B22" s="115" t="s">
        <v>994</v>
      </c>
      <c r="C22" s="99">
        <f ca="1">C18-C19</f>
        <v>0</v>
      </c>
      <c r="D22" s="114">
        <f ca="1">D18-D19</f>
        <v>908554.10000000009</v>
      </c>
      <c r="F22" s="634"/>
      <c r="G22" s="635"/>
      <c r="L22" s="79"/>
      <c r="M22" s="101"/>
      <c r="N22" s="98"/>
      <c r="O22" s="98"/>
      <c r="P22" s="1209">
        <f>DATE(YEAR(P24),MONTH(P24)-1,1)</f>
        <v>44682</v>
      </c>
      <c r="Q22" s="693"/>
      <c r="S22" s="692" t="s">
        <v>829</v>
      </c>
      <c r="T22" s="693"/>
      <c r="X22" s="98"/>
    </row>
    <row r="23" spans="2:24" ht="14.25">
      <c r="B23" s="1212" t="s">
        <v>995</v>
      </c>
      <c r="C23" s="1227">
        <v>0</v>
      </c>
      <c r="D23" s="1228">
        <v>0</v>
      </c>
      <c r="E23" s="632"/>
      <c r="F23" s="634"/>
      <c r="G23" s="635"/>
      <c r="L23" s="79"/>
      <c r="M23" s="101"/>
      <c r="N23" s="98"/>
      <c r="O23" s="98"/>
      <c r="P23" s="1206" t="s">
        <v>954</v>
      </c>
      <c r="Q23" s="1207"/>
      <c r="S23" s="1206" t="s">
        <v>956</v>
      </c>
      <c r="T23" s="1207"/>
      <c r="X23" s="98"/>
    </row>
    <row r="24" spans="2:24" ht="14.25">
      <c r="B24" s="1212" t="s">
        <v>996</v>
      </c>
      <c r="C24" s="1233"/>
      <c r="D24" s="1234"/>
      <c r="E24" s="632"/>
      <c r="F24" s="634"/>
      <c r="G24" s="635"/>
      <c r="L24" s="79"/>
      <c r="P24" s="1209">
        <f>SAS_RA0_DataFim</f>
        <v>44713</v>
      </c>
      <c r="Q24" s="693"/>
      <c r="S24" s="692" t="s">
        <v>993</v>
      </c>
      <c r="T24" s="693"/>
      <c r="X24" s="98"/>
    </row>
    <row r="25" spans="2:24" ht="14.25">
      <c r="B25" s="1235" t="s">
        <v>837</v>
      </c>
      <c r="C25" s="1236">
        <f ca="1">C18+C8+C24+C20+C21+SuprimentoE</f>
        <v>143286.06900000005</v>
      </c>
      <c r="D25" s="1237">
        <f ca="1">D18+D8+D24+D20+D21+D17</f>
        <v>105092899.89447996</v>
      </c>
      <c r="E25" s="632"/>
      <c r="N25" s="69">
        <f>SUMIFS('BD MERCADO'!$P$3:$P$6000,'BD MERCADO'!$D$3:$D$6000,"A4",'BD MERCADO'!$I$3:$I$6000,U10)</f>
        <v>1066.1229999999996</v>
      </c>
      <c r="S25" s="102" t="s">
        <v>956</v>
      </c>
      <c r="T25" s="103"/>
      <c r="X25" s="98"/>
    </row>
    <row r="26" spans="2:24" ht="14.25">
      <c r="F26" s="634"/>
      <c r="G26" s="635"/>
      <c r="S26" s="692" t="s">
        <v>997</v>
      </c>
      <c r="T26" s="693"/>
      <c r="X26" s="98"/>
    </row>
    <row r="27" spans="2:24" ht="14.25">
      <c r="F27" s="634"/>
      <c r="G27" s="635"/>
      <c r="I27" s="98"/>
      <c r="S27" s="1238" t="s">
        <v>588</v>
      </c>
      <c r="T27" s="1239"/>
      <c r="X27" s="98"/>
    </row>
    <row r="28" spans="2:24" ht="14.25">
      <c r="F28" s="228"/>
      <c r="G28" s="636"/>
      <c r="I28" s="98"/>
      <c r="S28" s="1240" t="s">
        <v>969</v>
      </c>
      <c r="T28" s="1241"/>
      <c r="X28" s="98"/>
    </row>
    <row r="29" spans="2:24" ht="14.25">
      <c r="I29" s="98"/>
      <c r="S29" s="1238" t="s">
        <v>588</v>
      </c>
      <c r="T29" s="1239"/>
    </row>
    <row r="30" spans="2:24" ht="14.25">
      <c r="I30" s="98"/>
      <c r="S30" s="1240" t="s">
        <v>970</v>
      </c>
      <c r="T30" s="1241"/>
    </row>
    <row r="31" spans="2:24" ht="16.5">
      <c r="B31"/>
      <c r="C31"/>
      <c r="H31" s="98"/>
      <c r="I31" s="98"/>
      <c r="S31" s="1238" t="s">
        <v>588</v>
      </c>
      <c r="T31" s="1239"/>
      <c r="X31" s="98"/>
    </row>
    <row r="32" spans="2:24" ht="14.25">
      <c r="H32" s="98"/>
      <c r="I32" s="98"/>
      <c r="S32" s="1240" t="s">
        <v>998</v>
      </c>
      <c r="T32" s="1241"/>
      <c r="X32" s="98"/>
    </row>
    <row r="33" spans="2:24" ht="14.25">
      <c r="B33" s="1646" t="s">
        <v>999</v>
      </c>
      <c r="C33" s="68" t="s">
        <v>1000</v>
      </c>
      <c r="D33" s="68" t="s">
        <v>2344</v>
      </c>
      <c r="S33" s="1238" t="s">
        <v>588</v>
      </c>
      <c r="T33" s="1239"/>
      <c r="X33" s="98"/>
    </row>
    <row r="34" spans="2:24" ht="14.25">
      <c r="B34" s="1647">
        <v>44378</v>
      </c>
      <c r="C34" s="93">
        <v>7617.7150000000029</v>
      </c>
      <c r="D34" s="93">
        <v>7617.7150000000029</v>
      </c>
      <c r="S34" s="1240" t="s">
        <v>974</v>
      </c>
      <c r="T34" s="1241"/>
      <c r="X34" s="98"/>
    </row>
    <row r="35" spans="2:24" ht="14.25">
      <c r="B35" s="1647">
        <v>44409</v>
      </c>
      <c r="C35" s="93">
        <v>8969.3859999999986</v>
      </c>
      <c r="D35" s="93">
        <v>8969.3859999999986</v>
      </c>
      <c r="S35" s="1238" t="s">
        <v>588</v>
      </c>
      <c r="T35" s="1239"/>
    </row>
    <row r="36" spans="2:24" ht="14.25">
      <c r="B36" s="1647">
        <v>44440</v>
      </c>
      <c r="C36" s="93">
        <v>8304.8669999999984</v>
      </c>
      <c r="D36" s="93">
        <v>8304.8669999999984</v>
      </c>
      <c r="M36" s="98"/>
      <c r="S36" s="1240" t="s">
        <v>976</v>
      </c>
      <c r="T36" s="1241"/>
    </row>
    <row r="37" spans="2:24" ht="14.25">
      <c r="B37" s="1647">
        <v>44470</v>
      </c>
      <c r="C37" s="93">
        <v>10090.165999999999</v>
      </c>
      <c r="D37" s="93">
        <v>10090.165999999999</v>
      </c>
      <c r="M37" s="98"/>
      <c r="S37" s="1238" t="s">
        <v>588</v>
      </c>
      <c r="T37" s="1239"/>
    </row>
    <row r="38" spans="2:24" ht="14.25">
      <c r="B38" s="1647">
        <v>44501</v>
      </c>
      <c r="C38" s="93">
        <v>17228.352999999999</v>
      </c>
      <c r="D38" s="93">
        <v>17228.352999999999</v>
      </c>
      <c r="M38" s="98"/>
      <c r="S38" s="1240" t="s">
        <v>979</v>
      </c>
      <c r="T38" s="1241"/>
    </row>
    <row r="39" spans="2:24" ht="14.25">
      <c r="B39" s="1647">
        <v>44531</v>
      </c>
      <c r="C39" s="93">
        <v>19562.929000000004</v>
      </c>
      <c r="D39" s="93">
        <v>19562.929000000004</v>
      </c>
      <c r="S39" s="1238" t="s">
        <v>588</v>
      </c>
      <c r="T39" s="1239"/>
    </row>
    <row r="40" spans="2:24" ht="14.25">
      <c r="B40" s="1647">
        <v>44562</v>
      </c>
      <c r="C40" s="93">
        <v>17780.263000000003</v>
      </c>
      <c r="D40" s="93">
        <v>17780.263000000003</v>
      </c>
      <c r="S40" s="1240" t="s">
        <v>1001</v>
      </c>
      <c r="T40" s="1241"/>
    </row>
    <row r="41" spans="2:24" ht="14.25">
      <c r="B41" s="1647">
        <v>44593</v>
      </c>
      <c r="C41" s="93">
        <v>16752.272000000004</v>
      </c>
      <c r="D41" s="93">
        <v>16752.272000000004</v>
      </c>
      <c r="N41" s="98"/>
      <c r="O41" s="98"/>
      <c r="P41" s="98"/>
      <c r="Q41" s="98"/>
      <c r="R41" s="98"/>
      <c r="S41" s="1238" t="s">
        <v>588</v>
      </c>
      <c r="T41" s="1239"/>
    </row>
    <row r="42" spans="2:24" ht="14.25">
      <c r="B42" s="1647">
        <v>44621</v>
      </c>
      <c r="C42" s="93">
        <v>11748.674999999997</v>
      </c>
      <c r="D42" s="93">
        <v>11748.674999999997</v>
      </c>
      <c r="N42" s="98"/>
      <c r="O42" s="98"/>
      <c r="P42" s="98"/>
      <c r="Q42" s="98"/>
      <c r="R42" s="98"/>
      <c r="S42" s="1240" t="s">
        <v>1002</v>
      </c>
      <c r="T42" s="1241"/>
    </row>
    <row r="43" spans="2:24" ht="14.25">
      <c r="B43" s="1647">
        <v>44652</v>
      </c>
      <c r="C43" s="93">
        <v>8918.1029999999992</v>
      </c>
      <c r="D43" s="93">
        <v>8918.1029999999992</v>
      </c>
      <c r="N43" s="98"/>
      <c r="O43" s="98"/>
      <c r="P43" s="98"/>
      <c r="Q43" s="98"/>
      <c r="R43" s="98"/>
      <c r="S43" s="1206" t="s">
        <v>955</v>
      </c>
      <c r="T43" s="1207" t="s">
        <v>956</v>
      </c>
    </row>
    <row r="44" spans="2:24" ht="14.25">
      <c r="B44" s="1647">
        <v>44682</v>
      </c>
      <c r="C44" s="93">
        <v>8156.6699999999992</v>
      </c>
      <c r="D44" s="93">
        <v>8156.6699999999992</v>
      </c>
      <c r="S44" s="692" t="s">
        <v>602</v>
      </c>
      <c r="T44" s="693" t="s">
        <v>989</v>
      </c>
    </row>
    <row r="45" spans="2:24" ht="14.25">
      <c r="B45" s="1647">
        <v>44713</v>
      </c>
      <c r="C45" s="93">
        <v>8156.6699999999992</v>
      </c>
      <c r="D45" s="93">
        <v>8156.6699999999992</v>
      </c>
      <c r="S45" s="1206" t="s">
        <v>955</v>
      </c>
      <c r="T45" s="1207" t="s">
        <v>956</v>
      </c>
    </row>
    <row r="46" spans="2:24" ht="14.25">
      <c r="B46" s="1647" t="s">
        <v>1003</v>
      </c>
      <c r="C46" s="93">
        <v>143286.06900000002</v>
      </c>
      <c r="D46" s="93">
        <v>143286.06900000002</v>
      </c>
      <c r="S46" s="692" t="s">
        <v>599</v>
      </c>
      <c r="T46" s="693" t="s">
        <v>989</v>
      </c>
    </row>
    <row r="47" spans="2:24" ht="16.5">
      <c r="B47"/>
      <c r="C47"/>
      <c r="D47"/>
      <c r="S47" s="1206" t="s">
        <v>955</v>
      </c>
      <c r="T47" s="1207" t="s">
        <v>956</v>
      </c>
    </row>
    <row r="48" spans="2:24" ht="16.5">
      <c r="B48"/>
      <c r="C48"/>
      <c r="D48"/>
      <c r="S48" s="692" t="s">
        <v>601</v>
      </c>
      <c r="T48" s="693" t="s">
        <v>989</v>
      </c>
    </row>
    <row r="49" spans="2:21" ht="16.5">
      <c r="B49"/>
      <c r="C49"/>
      <c r="D49"/>
      <c r="S49" s="1206" t="s">
        <v>955</v>
      </c>
      <c r="T49" s="1207" t="s">
        <v>956</v>
      </c>
    </row>
    <row r="50" spans="2:21" ht="16.5">
      <c r="B50"/>
      <c r="C50"/>
      <c r="D50"/>
      <c r="S50" s="692" t="s">
        <v>597</v>
      </c>
      <c r="T50" s="693" t="s">
        <v>989</v>
      </c>
    </row>
    <row r="51" spans="2:21" ht="16.5">
      <c r="B51"/>
      <c r="C51"/>
      <c r="S51" s="1206" t="s">
        <v>955</v>
      </c>
      <c r="T51" s="1207" t="s">
        <v>956</v>
      </c>
    </row>
    <row r="52" spans="2:21" ht="16.5">
      <c r="B52"/>
      <c r="C52"/>
      <c r="S52" s="692" t="s">
        <v>960</v>
      </c>
      <c r="T52" s="693" t="s">
        <v>989</v>
      </c>
    </row>
    <row r="53" spans="2:21" ht="16.5">
      <c r="B53"/>
      <c r="C53"/>
      <c r="S53" s="1206" t="s">
        <v>955</v>
      </c>
      <c r="T53" s="1207" t="s">
        <v>956</v>
      </c>
    </row>
    <row r="54" spans="2:21" ht="14.25">
      <c r="S54" s="692" t="s">
        <v>977</v>
      </c>
      <c r="T54" s="693" t="s">
        <v>989</v>
      </c>
    </row>
    <row r="55" spans="2:21" ht="14.25"/>
    <row r="56" spans="2:21" ht="14.25"/>
    <row r="57" spans="2:21" ht="14.25"/>
    <row r="58" spans="2:21" ht="14.25">
      <c r="B58" s="112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1004</v>
      </c>
      <c r="K61" s="68"/>
    </row>
    <row r="62" spans="2:21" ht="14.25">
      <c r="B62" s="1242" t="s">
        <v>1005</v>
      </c>
      <c r="C62" s="1242"/>
      <c r="D62" s="1242" t="s">
        <v>968</v>
      </c>
      <c r="E62" s="1242" t="s">
        <v>49</v>
      </c>
      <c r="F62" s="1242" t="s">
        <v>971</v>
      </c>
      <c r="G62" s="1242" t="s">
        <v>47</v>
      </c>
      <c r="H62" s="1242" t="s">
        <v>41</v>
      </c>
      <c r="I62" s="1242" t="s">
        <v>40</v>
      </c>
      <c r="J62" s="1242" t="s">
        <v>126</v>
      </c>
      <c r="K62" s="1242" t="s">
        <v>1006</v>
      </c>
      <c r="L62" s="1242" t="s">
        <v>1007</v>
      </c>
      <c r="M62" s="1242" t="s">
        <v>1008</v>
      </c>
      <c r="N62" s="1242" t="s">
        <v>1009</v>
      </c>
      <c r="O62" s="1242" t="s">
        <v>1010</v>
      </c>
      <c r="P62" s="1242" t="s">
        <v>1011</v>
      </c>
      <c r="Q62" s="1242" t="s">
        <v>1012</v>
      </c>
      <c r="R62" s="1242" t="s">
        <v>1013</v>
      </c>
      <c r="S62" s="1242" t="s">
        <v>2169</v>
      </c>
      <c r="T62" s="1242" t="s">
        <v>1133</v>
      </c>
      <c r="U62" s="1242" t="s">
        <v>2256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20271.056406802618</v>
      </c>
      <c r="G63" s="104">
        <f t="shared" ca="1" si="4"/>
        <v>68473.214316883546</v>
      </c>
      <c r="H63" s="104">
        <f t="shared" ca="1" si="4"/>
        <v>435089.24017547927</v>
      </c>
      <c r="I63" s="104">
        <f t="shared" ca="1" si="4"/>
        <v>12927.381838614998</v>
      </c>
      <c r="J63" s="104">
        <f t="shared" ca="1" si="4"/>
        <v>0</v>
      </c>
      <c r="K63" s="104">
        <f t="shared" ca="1" si="4"/>
        <v>24569.7619822544</v>
      </c>
      <c r="L63" s="104">
        <f t="shared" ca="1" si="4"/>
        <v>0</v>
      </c>
      <c r="M63" s="104">
        <f t="shared" ca="1" si="4"/>
        <v>0</v>
      </c>
      <c r="N63" s="104">
        <f t="shared" ca="1" si="4"/>
        <v>2900.4058607999996</v>
      </c>
      <c r="O63" s="104">
        <f t="shared" ca="1" si="4"/>
        <v>292761.53724399966</v>
      </c>
      <c r="P63" s="104">
        <f t="shared" ca="1" si="4"/>
        <v>35452.133687999987</v>
      </c>
      <c r="Q63" s="104">
        <f t="shared" ca="1" si="4"/>
        <v>30136.985699999994</v>
      </c>
      <c r="R63" s="104">
        <f t="shared" ca="1" si="4"/>
        <v>3003888.874234431</v>
      </c>
      <c r="S63" s="104">
        <f ca="1">DSUM(MercadoBase,S$62,INDIRECT("P"&amp;5+2*(ROW()-65)&amp;":P"&amp;6+2*(ROW()-65)))</f>
        <v>0</v>
      </c>
      <c r="T63" s="104">
        <f t="shared" ca="1" si="4"/>
        <v>-1685150.7159729113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24019.268722451583</v>
      </c>
      <c r="G64" s="104">
        <f t="shared" ca="1" si="4"/>
        <v>81310.923106917908</v>
      </c>
      <c r="H64" s="104">
        <f t="shared" ca="1" si="4"/>
        <v>508756.13998620404</v>
      </c>
      <c r="I64" s="104">
        <f t="shared" ca="1" si="4"/>
        <v>14827.137406602256</v>
      </c>
      <c r="J64" s="104">
        <f t="shared" ca="1" si="4"/>
        <v>0</v>
      </c>
      <c r="K64" s="104">
        <f t="shared" ca="1" si="4"/>
        <v>24444.823683502098</v>
      </c>
      <c r="L64" s="104">
        <f t="shared" ca="1" si="4"/>
        <v>0</v>
      </c>
      <c r="M64" s="104">
        <f t="shared" ca="1" si="4"/>
        <v>0</v>
      </c>
      <c r="N64" s="104">
        <f t="shared" ca="1" si="4"/>
        <v>3007.5799601999979</v>
      </c>
      <c r="O64" s="104">
        <f t="shared" ca="1" si="4"/>
        <v>323253.29741519975</v>
      </c>
      <c r="P64" s="104">
        <f t="shared" ca="1" si="4"/>
        <v>208875.57629</v>
      </c>
      <c r="Q64" s="104">
        <f t="shared" ca="1" si="4"/>
        <v>31467.093359999995</v>
      </c>
      <c r="R64" s="104">
        <f t="shared" ca="1" si="4"/>
        <v>3509691.6071774815</v>
      </c>
      <c r="S64" s="104">
        <f t="shared" ca="1" si="4"/>
        <v>0</v>
      </c>
      <c r="T64" s="104">
        <f t="shared" ca="1" si="4"/>
        <v>-1968900.8389787991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22255.514545799459</v>
      </c>
      <c r="G65" s="104">
        <f t="shared" ca="1" si="4"/>
        <v>75109.53689746189</v>
      </c>
      <c r="H65" s="104">
        <f t="shared" ca="1" si="4"/>
        <v>474322.19893819804</v>
      </c>
      <c r="I65" s="104">
        <f t="shared" ca="1" si="4"/>
        <v>14011.743214229666</v>
      </c>
      <c r="J65" s="104">
        <f t="shared" ca="1" si="4"/>
        <v>0</v>
      </c>
      <c r="K65" s="104">
        <f t="shared" ca="1" si="4"/>
        <v>49123.688277368296</v>
      </c>
      <c r="L65" s="104">
        <f t="shared" ca="1" si="4"/>
        <v>0</v>
      </c>
      <c r="M65" s="104">
        <f t="shared" ca="1" si="4"/>
        <v>0</v>
      </c>
      <c r="N65" s="104">
        <f t="shared" ca="1" si="4"/>
        <v>2858.9424959999983</v>
      </c>
      <c r="O65" s="104">
        <f t="shared" ca="1" si="4"/>
        <v>324786.46641359956</v>
      </c>
      <c r="P65" s="104">
        <f t="shared" ca="1" si="4"/>
        <v>107524.76782600002</v>
      </c>
      <c r="Q65" s="104">
        <f t="shared" ca="1" si="4"/>
        <v>32633.738700000002</v>
      </c>
      <c r="R65" s="104">
        <f t="shared" ca="1" si="4"/>
        <v>3467062.9542295565</v>
      </c>
      <c r="S65" s="104">
        <f t="shared" ca="1" si="4"/>
        <v>0</v>
      </c>
      <c r="T65" s="104">
        <f t="shared" ca="1" si="4"/>
        <v>-1944986.6037844408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27194.890478716625</v>
      </c>
      <c r="G66" s="104">
        <f t="shared" ca="1" si="4"/>
        <v>92149.699366744651</v>
      </c>
      <c r="H66" s="104">
        <f t="shared" ca="1" si="4"/>
        <v>570521.18203324033</v>
      </c>
      <c r="I66" s="104">
        <f t="shared" ca="1" si="4"/>
        <v>16411.697773683867</v>
      </c>
      <c r="J66" s="104">
        <f t="shared" ca="1" si="4"/>
        <v>0</v>
      </c>
      <c r="K66" s="104">
        <f t="shared" ca="1" si="4"/>
        <v>49098.867069330096</v>
      </c>
      <c r="L66" s="104">
        <f t="shared" ca="1" si="4"/>
        <v>0</v>
      </c>
      <c r="M66" s="104">
        <f t="shared" ca="1" si="4"/>
        <v>0</v>
      </c>
      <c r="N66" s="104">
        <f t="shared" ca="1" si="4"/>
        <v>2926.1392427999954</v>
      </c>
      <c r="O66" s="104">
        <f t="shared" ca="1" si="4"/>
        <v>341573.66430719971</v>
      </c>
      <c r="P66" s="104">
        <f t="shared" ca="1" si="4"/>
        <v>271466.99064199999</v>
      </c>
      <c r="Q66" s="104">
        <f t="shared" ca="1" si="4"/>
        <v>33065.665560000009</v>
      </c>
      <c r="R66" s="104">
        <f t="shared" ca="1" si="4"/>
        <v>3756760.3710056911</v>
      </c>
      <c r="S66" s="104">
        <f t="shared" ca="1" si="4"/>
        <v>0</v>
      </c>
      <c r="T66" s="104">
        <f t="shared" ca="1" si="4"/>
        <v>-2107503.8704793444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46899.047943550519</v>
      </c>
      <c r="G67" s="104">
        <f t="shared" ca="1" si="4"/>
        <v>159963.15606521262</v>
      </c>
      <c r="H67" s="104">
        <f t="shared" ca="1" si="4"/>
        <v>961317.84253919008</v>
      </c>
      <c r="I67" s="104">
        <f t="shared" ca="1" si="4"/>
        <v>26486.631075316913</v>
      </c>
      <c r="J67" s="104">
        <f t="shared" ca="1" si="4"/>
        <v>0</v>
      </c>
      <c r="K67" s="104">
        <f t="shared" ca="1" si="4"/>
        <v>49290.194945428593</v>
      </c>
      <c r="L67" s="104">
        <f t="shared" ca="1" si="4"/>
        <v>0</v>
      </c>
      <c r="M67" s="104">
        <f t="shared" ca="1" si="4"/>
        <v>0</v>
      </c>
      <c r="N67" s="104">
        <f t="shared" ca="1" si="4"/>
        <v>3200.4353484000067</v>
      </c>
      <c r="O67" s="104">
        <f t="shared" ca="1" si="4"/>
        <v>426203.89303479972</v>
      </c>
      <c r="P67" s="104">
        <f t="shared" ca="1" si="4"/>
        <v>954800.74300999998</v>
      </c>
      <c r="Q67" s="104">
        <f t="shared" ca="1" si="4"/>
        <v>34275.086099999993</v>
      </c>
      <c r="R67" s="104">
        <f t="shared" ca="1" si="4"/>
        <v>4426009.6044512</v>
      </c>
      <c r="S67" s="104">
        <f t="shared" ca="1" si="4"/>
        <v>0</v>
      </c>
      <c r="T67" s="104">
        <f t="shared" ca="1" si="4"/>
        <v>-2482945.7966366312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53325.220142345148</v>
      </c>
      <c r="G68" s="104">
        <f t="shared" ca="1" si="4"/>
        <v>182114.31955491903</v>
      </c>
      <c r="H68" s="104">
        <f t="shared" ca="1" si="4"/>
        <v>1089624.431319904</v>
      </c>
      <c r="I68" s="104">
        <f t="shared" ca="1" si="4"/>
        <v>29811.306601964385</v>
      </c>
      <c r="J68" s="104">
        <f t="shared" ca="1" si="4"/>
        <v>0</v>
      </c>
      <c r="K68" s="104">
        <f t="shared" ca="1" si="4"/>
        <v>49044.508839883201</v>
      </c>
      <c r="L68" s="104">
        <f t="shared" ca="1" si="4"/>
        <v>0</v>
      </c>
      <c r="M68" s="104">
        <f t="shared" ca="1" si="4"/>
        <v>0</v>
      </c>
      <c r="N68" s="104">
        <f t="shared" ca="1" si="4"/>
        <v>3273.1412136000013</v>
      </c>
      <c r="O68" s="104">
        <f t="shared" ca="1" si="4"/>
        <v>462127.85298559972</v>
      </c>
      <c r="P68" s="104">
        <f t="shared" ca="1" si="4"/>
        <v>1155205.7592600002</v>
      </c>
      <c r="Q68" s="104">
        <f t="shared" ca="1" si="4"/>
        <v>34217.990129999998</v>
      </c>
      <c r="R68" s="104">
        <f t="shared" ca="1" si="4"/>
        <v>4710106.4988308027</v>
      </c>
      <c r="S68" s="104">
        <f t="shared" ca="1" si="4"/>
        <v>0</v>
      </c>
      <c r="T68" s="104">
        <f t="shared" ca="1" si="4"/>
        <v>-2642321.2279569665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48408.818527943615</v>
      </c>
      <c r="G69" s="104">
        <f t="shared" ca="1" si="4"/>
        <v>164670.97184796672</v>
      </c>
      <c r="H69" s="104">
        <f t="shared" ca="1" si="4"/>
        <v>1001581.3735615251</v>
      </c>
      <c r="I69" s="104">
        <f t="shared" ca="1" si="4"/>
        <v>28092.816532786121</v>
      </c>
      <c r="J69" s="104">
        <f t="shared" ca="1" si="4"/>
        <v>0</v>
      </c>
      <c r="K69" s="104">
        <f t="shared" ca="1" si="4"/>
        <v>49272.616515792091</v>
      </c>
      <c r="L69" s="104">
        <f t="shared" ca="1" si="4"/>
        <v>0</v>
      </c>
      <c r="M69" s="104">
        <f t="shared" ca="1" si="4"/>
        <v>0</v>
      </c>
      <c r="N69" s="104">
        <f t="shared" ca="1" si="4"/>
        <v>3709.7750910000004</v>
      </c>
      <c r="O69" s="104">
        <f t="shared" ca="1" si="4"/>
        <v>488565.65678319969</v>
      </c>
      <c r="P69" s="104">
        <f t="shared" ca="1" si="4"/>
        <v>799240.6514979999</v>
      </c>
      <c r="Q69" s="104">
        <f t="shared" ca="1" si="4"/>
        <v>35925.721859999998</v>
      </c>
      <c r="R69" s="104">
        <f t="shared" ca="1" si="4"/>
        <v>5241659.917801247</v>
      </c>
      <c r="S69" s="104">
        <f t="shared" ca="1" si="4"/>
        <v>0</v>
      </c>
      <c r="T69" s="104">
        <f t="shared" ca="1" si="4"/>
        <v>-2940517.2205714341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45596.707625630828</v>
      </c>
      <c r="G70" s="104">
        <f t="shared" ca="1" si="4"/>
        <v>154911.05418901838</v>
      </c>
      <c r="H70" s="104">
        <f t="shared" ca="1" si="4"/>
        <v>950713.63893811568</v>
      </c>
      <c r="I70" s="104">
        <f t="shared" ca="1" si="4"/>
        <v>26991.321874188641</v>
      </c>
      <c r="J70" s="104">
        <f t="shared" ca="1" si="4"/>
        <v>0</v>
      </c>
      <c r="K70" s="104">
        <f t="shared" ca="1" si="4"/>
        <v>49263.162677462402</v>
      </c>
      <c r="L70" s="104">
        <f t="shared" ca="1" si="4"/>
        <v>0</v>
      </c>
      <c r="M70" s="104">
        <f t="shared" ca="1" si="4"/>
        <v>0</v>
      </c>
      <c r="N70" s="104">
        <f t="shared" ca="1" si="4"/>
        <v>3683.0993597999977</v>
      </c>
      <c r="O70" s="104">
        <f t="shared" ca="1" si="4"/>
        <v>506938.09180279961</v>
      </c>
      <c r="P70" s="104">
        <f t="shared" ca="1" si="4"/>
        <v>715101.64070800005</v>
      </c>
      <c r="Q70" s="104">
        <f t="shared" ca="1" si="4"/>
        <v>36620.600269999995</v>
      </c>
      <c r="R70" s="104">
        <f t="shared" ca="1" si="4"/>
        <v>5268542.8720341064</v>
      </c>
      <c r="S70" s="104">
        <f t="shared" ca="1" si="4"/>
        <v>0</v>
      </c>
      <c r="T70" s="104">
        <f t="shared" ca="1" si="4"/>
        <v>-2955598.2809800068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31722.632078328563</v>
      </c>
      <c r="G71" s="104">
        <f t="shared" ca="1" si="4"/>
        <v>106368.68635437486</v>
      </c>
      <c r="H71" s="104">
        <f t="shared" ca="1" si="4"/>
        <v>664067.59578014701</v>
      </c>
      <c r="I71" s="104">
        <f t="shared" ca="1" si="4"/>
        <v>19504.79312769699</v>
      </c>
      <c r="J71" s="104">
        <f t="shared" ca="1" si="4"/>
        <v>0</v>
      </c>
      <c r="K71" s="104">
        <f t="shared" ca="1" si="4"/>
        <v>49213.404734819997</v>
      </c>
      <c r="L71" s="104">
        <f t="shared" ca="1" si="4"/>
        <v>0</v>
      </c>
      <c r="M71" s="104">
        <f t="shared" ca="1" si="4"/>
        <v>0</v>
      </c>
      <c r="N71" s="104">
        <f t="shared" ca="1" si="4"/>
        <v>3007.9786464000044</v>
      </c>
      <c r="O71" s="104">
        <f t="shared" ca="1" si="4"/>
        <v>415385.75914839946</v>
      </c>
      <c r="P71" s="104">
        <f t="shared" ca="1" si="4"/>
        <v>252508.49881599998</v>
      </c>
      <c r="Q71" s="104">
        <f t="shared" ca="1" si="4"/>
        <v>51081.128350000006</v>
      </c>
      <c r="R71" s="104">
        <f t="shared" ca="1" si="4"/>
        <v>4499377.4465097589</v>
      </c>
      <c r="S71" s="104">
        <f t="shared" ca="1" si="4"/>
        <v>0</v>
      </c>
      <c r="T71" s="104">
        <f t="shared" ca="1" si="4"/>
        <v>-2524104.4002836705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23891.988140297322</v>
      </c>
      <c r="G72" s="104">
        <f t="shared" ca="1" si="4"/>
        <v>79761.961152553427</v>
      </c>
      <c r="H72" s="104">
        <f t="shared" ca="1" si="4"/>
        <v>503022.54483988468</v>
      </c>
      <c r="I72" s="104">
        <f t="shared" ca="1" si="4"/>
        <v>15008.361588109961</v>
      </c>
      <c r="J72" s="104">
        <f t="shared" ca="1" si="4"/>
        <v>0</v>
      </c>
      <c r="K72" s="104">
        <f t="shared" ca="1" si="4"/>
        <v>24682.44</v>
      </c>
      <c r="L72" s="104">
        <f t="shared" ca="1" si="4"/>
        <v>0</v>
      </c>
      <c r="M72" s="104">
        <f t="shared" ca="1" si="4"/>
        <v>0</v>
      </c>
      <c r="N72" s="104">
        <f t="shared" ca="1" si="4"/>
        <v>3444.757500600007</v>
      </c>
      <c r="O72" s="104">
        <f t="shared" ca="1" si="4"/>
        <v>334277.72681839962</v>
      </c>
      <c r="P72" s="104">
        <f t="shared" ca="1" si="4"/>
        <v>54554.684991999988</v>
      </c>
      <c r="Q72" s="104">
        <f t="shared" ca="1" si="4"/>
        <v>49426.446698999993</v>
      </c>
      <c r="R72" s="104">
        <f t="shared" ca="1" si="4"/>
        <v>3448388.8489880566</v>
      </c>
      <c r="S72" s="104">
        <f t="shared" ca="1" si="4"/>
        <v>0</v>
      </c>
      <c r="T72" s="104">
        <f t="shared" ca="1" si="4"/>
        <v>-1934510.6231022698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21733.146876850191</v>
      </c>
      <c r="G73" s="104">
        <f t="shared" ca="1" si="4"/>
        <v>72480.623688990003</v>
      </c>
      <c r="H73" s="104">
        <f t="shared" ca="1" si="4"/>
        <v>457405.9081685376</v>
      </c>
      <c r="I73" s="104">
        <f t="shared" ca="1" si="4"/>
        <v>13671.767243792408</v>
      </c>
      <c r="J73" s="104">
        <f t="shared" ca="1" si="4"/>
        <v>0</v>
      </c>
      <c r="K73" s="104">
        <f t="shared" ca="1" si="4"/>
        <v>24754.864999999998</v>
      </c>
      <c r="L73" s="104">
        <f t="shared" ca="1" si="4"/>
        <v>0</v>
      </c>
      <c r="M73" s="104">
        <f t="shared" ca="1" si="4"/>
        <v>0</v>
      </c>
      <c r="N73" s="104">
        <f t="shared" ca="1" si="4"/>
        <v>2988.914197199997</v>
      </c>
      <c r="O73" s="104">
        <f t="shared" ca="1" si="4"/>
        <v>295546.94133759983</v>
      </c>
      <c r="P73" s="104">
        <f t="shared" ca="1" si="4"/>
        <v>28757.476039999994</v>
      </c>
      <c r="Q73" s="104">
        <f t="shared" ca="1" si="4"/>
        <v>48927.466016999999</v>
      </c>
      <c r="R73" s="104">
        <f t="shared" ca="1" si="4"/>
        <v>3092732.1098441835</v>
      </c>
      <c r="S73" s="104">
        <f t="shared" ca="1" si="4"/>
        <v>0</v>
      </c>
      <c r="T73" s="104">
        <f t="shared" ca="1" si="4"/>
        <v>-1734990.8559931638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21733.146876850191</v>
      </c>
      <c r="G74" s="104">
        <f t="shared" ca="1" si="4"/>
        <v>72480.623688990003</v>
      </c>
      <c r="H74" s="104">
        <f t="shared" ca="1" si="4"/>
        <v>457405.9081685376</v>
      </c>
      <c r="I74" s="104">
        <f t="shared" ca="1" si="4"/>
        <v>13671.767243792408</v>
      </c>
      <c r="J74" s="104">
        <f t="shared" ca="1" si="4"/>
        <v>0</v>
      </c>
      <c r="K74" s="104">
        <f t="shared" ca="1" si="4"/>
        <v>24754.864999999998</v>
      </c>
      <c r="L74" s="104">
        <f t="shared" ca="1" si="4"/>
        <v>0</v>
      </c>
      <c r="M74" s="104">
        <f t="shared" ca="1" si="4"/>
        <v>0</v>
      </c>
      <c r="N74" s="104">
        <f t="shared" ca="1" si="4"/>
        <v>2988.914197199997</v>
      </c>
      <c r="O74" s="104">
        <f t="shared" ca="1" si="4"/>
        <v>295546.94133759983</v>
      </c>
      <c r="P74" s="104">
        <f t="shared" ca="1" si="4"/>
        <v>28757.476039999994</v>
      </c>
      <c r="Q74" s="104">
        <f t="shared" ca="1" si="4"/>
        <v>48927.466016999999</v>
      </c>
      <c r="R74" s="104">
        <f t="shared" ca="1" si="4"/>
        <v>3092732.1098441835</v>
      </c>
      <c r="S74" s="104">
        <f t="shared" ca="1" si="4"/>
        <v>0</v>
      </c>
      <c r="T74" s="104">
        <f t="shared" ca="1" si="4"/>
        <v>-1734990.8559931638</v>
      </c>
      <c r="U74" s="104">
        <f t="shared" ca="1" si="4"/>
        <v>0</v>
      </c>
    </row>
    <row r="75" spans="2:21" ht="14.25">
      <c r="B75" s="1243" t="s">
        <v>1014</v>
      </c>
      <c r="C75" s="1244"/>
      <c r="D75" s="1244">
        <f t="shared" ref="D75:Q75" ca="1" si="5">SUM(D63:D74)</f>
        <v>0</v>
      </c>
      <c r="E75" s="1244">
        <f t="shared" ca="1" si="5"/>
        <v>0</v>
      </c>
      <c r="F75" s="1244">
        <f t="shared" ca="1" si="5"/>
        <v>387051.4383655666</v>
      </c>
      <c r="G75" s="1244">
        <f t="shared" ca="1" si="5"/>
        <v>1309794.7702300332</v>
      </c>
      <c r="H75" s="1244">
        <f t="shared" ca="1" si="5"/>
        <v>8073828.0044489643</v>
      </c>
      <c r="I75" s="1244">
        <f t="shared" ca="1" si="5"/>
        <v>231416.72552077865</v>
      </c>
      <c r="J75" s="1244">
        <f t="shared" ca="1" si="5"/>
        <v>0</v>
      </c>
      <c r="K75" s="1244">
        <f t="shared" ca="1" si="5"/>
        <v>467513.19872584118</v>
      </c>
      <c r="L75" s="1244">
        <f t="shared" ca="1" si="5"/>
        <v>0</v>
      </c>
      <c r="M75" s="1244">
        <f t="shared" ca="1" si="5"/>
        <v>0</v>
      </c>
      <c r="N75" s="1244">
        <f t="shared" ca="1" si="5"/>
        <v>37990.083114000001</v>
      </c>
      <c r="O75" s="1244">
        <f t="shared" ca="1" si="5"/>
        <v>4506967.8286283957</v>
      </c>
      <c r="P75" s="1244">
        <f t="shared" ca="1" si="5"/>
        <v>4612246.3988100002</v>
      </c>
      <c r="Q75" s="1244">
        <f t="shared" ca="1" si="5"/>
        <v>466705.38876300002</v>
      </c>
      <c r="R75" s="1244">
        <f t="shared" ref="R75:S75" ca="1" si="6">SUM(R63:R74)</f>
        <v>47516953.214950703</v>
      </c>
      <c r="S75" s="1244">
        <f t="shared" ca="1" si="6"/>
        <v>0</v>
      </c>
      <c r="T75" s="1244">
        <f t="shared" ref="T75:U75" ca="1" si="7">SUM(T63:T74)</f>
        <v>-26656521.290732805</v>
      </c>
      <c r="U75" s="1244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1015</v>
      </c>
    </row>
    <row r="78" spans="2:21" ht="14.25">
      <c r="J78" s="95" t="s">
        <v>1016</v>
      </c>
      <c r="K78" s="1245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46" t="s">
        <v>1017</v>
      </c>
      <c r="C79" s="1247">
        <f t="shared" ref="C79:C84" ca="1" si="8">SUM(INDIRECT("dados_MercadoBase["&amp;B79&amp;"]"))</f>
        <v>29053936.188151553</v>
      </c>
      <c r="J79" s="95" t="s">
        <v>1018</v>
      </c>
      <c r="K79" s="1248"/>
      <c r="L79" s="1248"/>
      <c r="M79" s="1248">
        <f>SUMIFS(M63:M74,$B$63:$B$74,42826)</f>
        <v>0</v>
      </c>
      <c r="N79" s="1248">
        <f>SUMIFS(N63:N74,$B$63:$B$74,42826)</f>
        <v>0</v>
      </c>
      <c r="O79" s="1248">
        <f>SUMIFS(O63:O74,$B$63:$B$74,42826)</f>
        <v>0</v>
      </c>
      <c r="P79" s="1248">
        <f>SUMIFS(P63:P74,$B$63:$B$74,42826)</f>
        <v>0</v>
      </c>
      <c r="Q79" s="1248">
        <f>SUMIFS(Q63:Q74,$B$63:$B$74,42826)</f>
        <v>0</v>
      </c>
    </row>
    <row r="80" spans="2:21" ht="14.25">
      <c r="B80" s="118" t="s">
        <v>1019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1020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1021</v>
      </c>
      <c r="C82" s="104">
        <f t="shared" ca="1" si="8"/>
        <v>0</v>
      </c>
    </row>
    <row r="83" spans="2:13" ht="14.25">
      <c r="B83" s="118" t="s">
        <v>1022</v>
      </c>
      <c r="C83" s="104">
        <f t="shared" ca="1" si="8"/>
        <v>3893384.9771336778</v>
      </c>
    </row>
    <row r="84" spans="2:13" ht="14.25">
      <c r="B84" s="118" t="s">
        <v>1021</v>
      </c>
      <c r="C84" s="104">
        <f t="shared" ca="1" si="8"/>
        <v>0</v>
      </c>
    </row>
    <row r="85" spans="2:13" ht="14.25">
      <c r="B85" s="1249"/>
      <c r="C85" s="1250"/>
    </row>
    <row r="86" spans="2:13" ht="14.25"/>
    <row r="87" spans="2:13" ht="14.25">
      <c r="B87" s="1246" t="s">
        <v>1023</v>
      </c>
      <c r="C87" s="1247">
        <f t="shared" ref="C87:C97" ca="1" si="9">SUM(INDIRECT("dados_MercadoBase["&amp;B87&amp;"]"))</f>
        <v>0</v>
      </c>
    </row>
    <row r="88" spans="2:13" ht="14.25">
      <c r="B88" s="118" t="s">
        <v>1024</v>
      </c>
      <c r="C88" s="104">
        <f t="shared" ca="1" si="9"/>
        <v>0</v>
      </c>
    </row>
    <row r="89" spans="2:13" ht="14.25">
      <c r="B89" s="118" t="s">
        <v>1025</v>
      </c>
      <c r="C89" s="104">
        <f t="shared" ca="1" si="9"/>
        <v>936445.15140714962</v>
      </c>
    </row>
    <row r="90" spans="2:13" ht="14.25">
      <c r="B90" s="118" t="s">
        <v>1026</v>
      </c>
      <c r="C90" s="104">
        <f t="shared" ca="1" si="9"/>
        <v>0</v>
      </c>
    </row>
    <row r="91" spans="2:13" ht="14.25">
      <c r="B91" s="118" t="s">
        <v>1027</v>
      </c>
      <c r="C91" s="104">
        <f t="shared" ca="1" si="9"/>
        <v>1419503.3240589856</v>
      </c>
    </row>
    <row r="92" spans="2:13" ht="14.25">
      <c r="B92" s="118" t="s">
        <v>1028</v>
      </c>
      <c r="C92" s="104">
        <f t="shared" ca="1" si="9"/>
        <v>0</v>
      </c>
      <c r="G92" s="105"/>
    </row>
    <row r="93" spans="2:13" ht="14.25">
      <c r="B93" s="118" t="s">
        <v>1029</v>
      </c>
      <c r="C93" s="104">
        <f t="shared" ca="1" si="9"/>
        <v>0</v>
      </c>
      <c r="E93" s="106"/>
      <c r="G93" s="79"/>
    </row>
    <row r="94" spans="2:13" ht="14.25">
      <c r="B94" s="118" t="s">
        <v>1030</v>
      </c>
      <c r="C94" s="104">
        <f t="shared" ca="1" si="9"/>
        <v>0</v>
      </c>
      <c r="E94" s="106"/>
      <c r="G94" s="106"/>
    </row>
    <row r="95" spans="2:13" ht="14.25">
      <c r="B95" s="118" t="s">
        <v>1031</v>
      </c>
      <c r="C95" s="104">
        <f t="shared" ca="1" si="9"/>
        <v>0</v>
      </c>
      <c r="E95" s="106"/>
      <c r="G95" s="106"/>
    </row>
    <row r="96" spans="2:13" ht="14.25">
      <c r="B96" s="118" t="s">
        <v>1032</v>
      </c>
      <c r="C96" s="104">
        <f ca="1">SUM(INDIRECT("dados_MercadoBase["&amp;B96&amp;"]"))</f>
        <v>12270974.305887993</v>
      </c>
      <c r="E96" s="106"/>
      <c r="G96" s="106"/>
    </row>
    <row r="97" spans="1:7" ht="14.25">
      <c r="B97" s="1249" t="s">
        <v>1033</v>
      </c>
      <c r="C97" s="1250">
        <f t="shared" ca="1" si="9"/>
        <v>47516953.214950636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1034</v>
      </c>
      <c r="C100" s="231"/>
      <c r="D100" s="232"/>
      <c r="E100" s="106"/>
      <c r="G100" s="252"/>
    </row>
    <row r="101" spans="1:7" ht="12.75" customHeight="1">
      <c r="A101" s="232"/>
      <c r="B101" s="1238" t="s">
        <v>1035</v>
      </c>
      <c r="C101" s="1239" t="s">
        <v>954</v>
      </c>
      <c r="D101" s="232"/>
    </row>
    <row r="102" spans="1:7" ht="12.75" customHeight="1">
      <c r="A102" s="232"/>
      <c r="B102" s="1240" t="s">
        <v>1036</v>
      </c>
      <c r="C102" s="1251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1037</v>
      </c>
      <c r="E109" s="111"/>
    </row>
    <row r="111" spans="1:7" ht="12.75" customHeight="1">
      <c r="B111" s="1210" t="s">
        <v>855</v>
      </c>
      <c r="C111" s="1210" t="s">
        <v>120</v>
      </c>
      <c r="D111" s="1210" t="s">
        <v>964</v>
      </c>
    </row>
    <row r="112" spans="1:7" ht="12.75" customHeight="1">
      <c r="B112" s="1212" t="s">
        <v>989</v>
      </c>
      <c r="C112" s="1213"/>
      <c r="D112" s="1214"/>
    </row>
    <row r="113" spans="2:4" ht="12.75" customHeight="1">
      <c r="B113" s="113"/>
      <c r="C113" s="99"/>
      <c r="D113" s="114"/>
    </row>
    <row r="114" spans="2:4" ht="12.75" customHeight="1">
      <c r="B114" s="113" t="s">
        <v>602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599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601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597</v>
      </c>
      <c r="C117" s="99">
        <f ca="1">DSUM(MercadoBase,"TUSD_E",INDIRECT("Mercado_Livre"&amp;$B117))</f>
        <v>0</v>
      </c>
      <c r="D117" s="114">
        <f t="shared" ca="1" si="11"/>
        <v>908554.10000000009</v>
      </c>
    </row>
    <row r="118" spans="2:4" ht="12.75" customHeight="1">
      <c r="B118" s="113" t="s">
        <v>977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604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35" t="s">
        <v>846</v>
      </c>
      <c r="C120" s="1236">
        <f ca="1">SUM(C114:C119)</f>
        <v>0</v>
      </c>
      <c r="D120" s="1237">
        <f ca="1">SUM(D114:D119)</f>
        <v>908554.10000000009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714" activePane="bottomLeft" state="frozen"/>
      <selection pane="bottomLeft" activeCell="A721" sqref="A721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8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3"/>
      <c r="S1" s="503"/>
      <c r="T1" s="503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1038</v>
      </c>
      <c r="B2" s="264" t="s">
        <v>1035</v>
      </c>
      <c r="C2" s="265" t="s">
        <v>58</v>
      </c>
      <c r="D2" s="264" t="s">
        <v>955</v>
      </c>
      <c r="E2" s="265" t="s">
        <v>588</v>
      </c>
      <c r="F2" s="265" t="s">
        <v>984</v>
      </c>
      <c r="G2" s="265" t="s">
        <v>1039</v>
      </c>
      <c r="H2" s="265" t="s">
        <v>1040</v>
      </c>
      <c r="I2" s="265" t="s">
        <v>1041</v>
      </c>
      <c r="J2" s="265" t="s">
        <v>1042</v>
      </c>
      <c r="K2" s="498" t="s">
        <v>954</v>
      </c>
      <c r="L2" s="291" t="s">
        <v>1043</v>
      </c>
      <c r="M2" s="291" t="s">
        <v>1044</v>
      </c>
      <c r="N2" s="291" t="s">
        <v>1045</v>
      </c>
      <c r="O2" s="291" t="s">
        <v>1046</v>
      </c>
      <c r="P2" s="291" t="s">
        <v>1047</v>
      </c>
      <c r="Q2" s="291" t="s">
        <v>1048</v>
      </c>
      <c r="R2" s="265" t="s">
        <v>1049</v>
      </c>
      <c r="S2" s="265" t="s">
        <v>1050</v>
      </c>
      <c r="T2" s="265" t="s">
        <v>1051</v>
      </c>
      <c r="U2" s="265" t="s">
        <v>1052</v>
      </c>
      <c r="V2" s="265" t="s">
        <v>1053</v>
      </c>
      <c r="W2" s="265" t="s">
        <v>846</v>
      </c>
      <c r="X2" s="265" t="s">
        <v>1054</v>
      </c>
      <c r="Y2" s="265" t="s">
        <v>39</v>
      </c>
      <c r="Z2" s="265" t="s">
        <v>41</v>
      </c>
      <c r="AA2" s="265" t="s">
        <v>126</v>
      </c>
      <c r="AB2" s="265" t="s">
        <v>1030</v>
      </c>
      <c r="AC2" s="265" t="s">
        <v>1031</v>
      </c>
      <c r="AD2" s="265" t="s">
        <v>1032</v>
      </c>
      <c r="AE2" s="265" t="s">
        <v>1033</v>
      </c>
      <c r="AF2" s="265" t="s">
        <v>1017</v>
      </c>
      <c r="AG2" s="265" t="s">
        <v>971</v>
      </c>
      <c r="AH2" s="265" t="s">
        <v>1055</v>
      </c>
      <c r="AI2" s="265" t="s">
        <v>49</v>
      </c>
      <c r="AJ2" s="265" t="s">
        <v>1029</v>
      </c>
      <c r="AK2" s="265" t="s">
        <v>968</v>
      </c>
      <c r="AL2" s="265" t="s">
        <v>47</v>
      </c>
      <c r="AM2" s="265" t="s">
        <v>38</v>
      </c>
      <c r="AN2" s="265" t="s">
        <v>40</v>
      </c>
      <c r="AO2" s="265" t="s">
        <v>1025</v>
      </c>
      <c r="AP2" s="265" t="s">
        <v>1027</v>
      </c>
      <c r="AQ2" s="265" t="s">
        <v>1026</v>
      </c>
      <c r="AR2" s="265" t="s">
        <v>1023</v>
      </c>
      <c r="AS2" s="265" t="s">
        <v>1024</v>
      </c>
      <c r="AT2" s="265" t="s">
        <v>1028</v>
      </c>
      <c r="AU2" s="265" t="s">
        <v>1056</v>
      </c>
      <c r="AV2" s="265" t="s">
        <v>1057</v>
      </c>
      <c r="AW2" s="265" t="s">
        <v>1058</v>
      </c>
      <c r="AX2" s="265" t="s">
        <v>1059</v>
      </c>
      <c r="AY2" s="265" t="s">
        <v>1060</v>
      </c>
      <c r="AZ2" s="265" t="s">
        <v>1061</v>
      </c>
      <c r="BA2" s="265" t="s">
        <v>1062</v>
      </c>
      <c r="BB2" s="265" t="s">
        <v>1063</v>
      </c>
      <c r="BC2" s="265" t="s">
        <v>1064</v>
      </c>
      <c r="BD2" s="265" t="s">
        <v>1065</v>
      </c>
      <c r="BE2" s="265" t="s">
        <v>1066</v>
      </c>
      <c r="BF2" s="265" t="s">
        <v>1067</v>
      </c>
      <c r="BG2" s="265" t="s">
        <v>1068</v>
      </c>
      <c r="BH2" s="265" t="s">
        <v>1069</v>
      </c>
      <c r="BI2" s="265" t="s">
        <v>1070</v>
      </c>
      <c r="BJ2" s="265" t="s">
        <v>1071</v>
      </c>
      <c r="BK2" s="265" t="s">
        <v>233</v>
      </c>
      <c r="BL2" s="265" t="s">
        <v>1072</v>
      </c>
      <c r="BM2" s="265" t="s">
        <v>1073</v>
      </c>
      <c r="BN2" s="265" t="s">
        <v>1006</v>
      </c>
      <c r="BO2" s="265" t="s">
        <v>1007</v>
      </c>
      <c r="BP2" s="265" t="s">
        <v>1008</v>
      </c>
      <c r="BQ2" s="265" t="s">
        <v>1009</v>
      </c>
      <c r="BR2" s="291" t="s">
        <v>1010</v>
      </c>
      <c r="BS2" s="291" t="s">
        <v>1011</v>
      </c>
      <c r="BT2" s="291" t="s">
        <v>1012</v>
      </c>
      <c r="BU2" s="291" t="s">
        <v>1074</v>
      </c>
      <c r="BV2" s="291" t="s">
        <v>1075</v>
      </c>
      <c r="BW2" s="266" t="s">
        <v>1076</v>
      </c>
      <c r="BX2" s="266" t="s">
        <v>1077</v>
      </c>
      <c r="BY2" s="266" t="s">
        <v>1078</v>
      </c>
      <c r="BZ2" s="266" t="s">
        <v>1079</v>
      </c>
      <c r="CA2" s="266" t="s">
        <v>1080</v>
      </c>
      <c r="CB2" s="266" t="s">
        <v>1081</v>
      </c>
      <c r="CC2" s="266" t="s">
        <v>1082</v>
      </c>
      <c r="CD2" s="266" t="s">
        <v>1083</v>
      </c>
      <c r="CE2" s="266" t="s">
        <v>1084</v>
      </c>
      <c r="CF2" s="266" t="s">
        <v>1085</v>
      </c>
      <c r="CG2" s="266" t="s">
        <v>1086</v>
      </c>
      <c r="CH2" s="266" t="s">
        <v>1087</v>
      </c>
      <c r="CI2" s="266" t="s">
        <v>1088</v>
      </c>
      <c r="CJ2" s="291" t="s">
        <v>1089</v>
      </c>
      <c r="CK2" s="266" t="s">
        <v>1090</v>
      </c>
      <c r="CL2" s="266" t="s">
        <v>1091</v>
      </c>
      <c r="CM2" s="266" t="s">
        <v>1092</v>
      </c>
      <c r="CN2" s="266" t="s">
        <v>1093</v>
      </c>
      <c r="CO2" s="291" t="s">
        <v>1094</v>
      </c>
      <c r="CP2" s="291" t="s">
        <v>1095</v>
      </c>
      <c r="CQ2" s="291" t="s">
        <v>1096</v>
      </c>
      <c r="CR2" s="291" t="s">
        <v>1097</v>
      </c>
      <c r="CS2" s="291" t="s">
        <v>1098</v>
      </c>
      <c r="CT2" s="291" t="s">
        <v>1099</v>
      </c>
      <c r="CU2" s="291" t="s">
        <v>1100</v>
      </c>
      <c r="CV2" s="291" t="s">
        <v>1101</v>
      </c>
      <c r="CW2" s="291" t="s">
        <v>1102</v>
      </c>
      <c r="CX2" s="291" t="s">
        <v>1103</v>
      </c>
      <c r="CY2" s="291" t="s">
        <v>1104</v>
      </c>
      <c r="CZ2" s="291" t="s">
        <v>1105</v>
      </c>
      <c r="DA2" s="291" t="s">
        <v>1106</v>
      </c>
      <c r="DB2" s="291" t="s">
        <v>1107</v>
      </c>
      <c r="DC2" s="291" t="s">
        <v>1108</v>
      </c>
      <c r="DD2" s="291" t="s">
        <v>1109</v>
      </c>
      <c r="DE2" s="291" t="s">
        <v>1110</v>
      </c>
      <c r="DF2" s="291" t="s">
        <v>1111</v>
      </c>
      <c r="DG2" s="291" t="s">
        <v>1112</v>
      </c>
      <c r="DH2" s="291" t="s">
        <v>1113</v>
      </c>
      <c r="DI2" s="291" t="s">
        <v>1114</v>
      </c>
      <c r="DJ2" s="291" t="s">
        <v>1115</v>
      </c>
      <c r="DK2" s="291" t="s">
        <v>1116</v>
      </c>
      <c r="DL2" s="291" t="s">
        <v>1117</v>
      </c>
      <c r="DM2" s="291" t="s">
        <v>1118</v>
      </c>
      <c r="DN2" s="291" t="s">
        <v>1119</v>
      </c>
      <c r="DO2" s="291" t="s">
        <v>1120</v>
      </c>
      <c r="DP2" s="291" t="s">
        <v>1121</v>
      </c>
      <c r="DQ2" s="291" t="s">
        <v>1122</v>
      </c>
      <c r="DR2" s="291" t="s">
        <v>2256</v>
      </c>
      <c r="DS2" s="291" t="s">
        <v>1123</v>
      </c>
      <c r="DT2" s="266" t="s">
        <v>1124</v>
      </c>
      <c r="DU2" s="266" t="s">
        <v>1125</v>
      </c>
      <c r="DV2" s="266" t="s">
        <v>1126</v>
      </c>
      <c r="DW2" s="266" t="s">
        <v>1127</v>
      </c>
      <c r="DX2" s="266" t="s">
        <v>1128</v>
      </c>
      <c r="DY2" s="291" t="s">
        <v>1129</v>
      </c>
      <c r="DZ2" s="266" t="s">
        <v>1130</v>
      </c>
      <c r="EA2" s="266" t="s">
        <v>1131</v>
      </c>
      <c r="EB2" s="266" t="s">
        <v>1132</v>
      </c>
      <c r="EC2" s="291" t="s">
        <v>1133</v>
      </c>
      <c r="ED2" s="266" t="s">
        <v>1134</v>
      </c>
      <c r="EE2" s="266" t="s">
        <v>1135</v>
      </c>
      <c r="EF2" s="266" t="s">
        <v>1136</v>
      </c>
      <c r="EG2" s="266" t="s">
        <v>1137</v>
      </c>
      <c r="EH2" s="266" t="s">
        <v>1138</v>
      </c>
      <c r="EI2" s="266" t="s">
        <v>1139</v>
      </c>
      <c r="EJ2" s="266" t="s">
        <v>1140</v>
      </c>
      <c r="EK2" s="266" t="s">
        <v>1141</v>
      </c>
      <c r="EL2" s="266" t="s">
        <v>1142</v>
      </c>
      <c r="EM2" s="266" t="s">
        <v>1143</v>
      </c>
      <c r="EN2" s="266" t="s">
        <v>1144</v>
      </c>
      <c r="EO2" s="266" t="s">
        <v>1145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1146</v>
      </c>
      <c r="EW2" s="266" t="s">
        <v>1147</v>
      </c>
      <c r="EX2" s="266" t="s">
        <v>1148</v>
      </c>
      <c r="EY2" s="266" t="s">
        <v>1149</v>
      </c>
      <c r="EZ2" s="266" t="s">
        <v>1150</v>
      </c>
      <c r="FA2" s="266" t="s">
        <v>1151</v>
      </c>
      <c r="FB2" s="266" t="s">
        <v>1152</v>
      </c>
      <c r="FC2" s="266" t="s">
        <v>1153</v>
      </c>
      <c r="FD2" s="266" t="s">
        <v>1154</v>
      </c>
      <c r="FE2" s="266" t="s">
        <v>1155</v>
      </c>
      <c r="FF2" s="266" t="s">
        <v>1156</v>
      </c>
      <c r="FG2" s="266" t="s">
        <v>1157</v>
      </c>
      <c r="FH2" s="266" t="s">
        <v>1158</v>
      </c>
      <c r="FI2" s="266" t="s">
        <v>1159</v>
      </c>
    </row>
    <row r="3" spans="1:165" customFormat="1">
      <c r="A3" s="408">
        <v>1</v>
      </c>
      <c r="B3" s="408" t="s">
        <v>1036</v>
      </c>
      <c r="C3" s="408" t="s">
        <v>2235</v>
      </c>
      <c r="D3" s="408" t="s">
        <v>1955</v>
      </c>
      <c r="E3" s="408" t="s">
        <v>969</v>
      </c>
      <c r="F3" s="408" t="s">
        <v>969</v>
      </c>
      <c r="G3" s="408" t="s">
        <v>1322</v>
      </c>
      <c r="H3" s="408" t="s">
        <v>1322</v>
      </c>
      <c r="I3" s="408" t="s">
        <v>1322</v>
      </c>
      <c r="J3" s="408" t="s">
        <v>2236</v>
      </c>
      <c r="K3" s="824">
        <v>44378</v>
      </c>
      <c r="L3" s="408">
        <v>0</v>
      </c>
      <c r="M3" s="408">
        <v>0</v>
      </c>
      <c r="N3" s="408">
        <v>1323.96</v>
      </c>
      <c r="O3" s="408">
        <v>1323.96</v>
      </c>
      <c r="P3" s="408">
        <v>1323.96</v>
      </c>
      <c r="Q3" s="408">
        <v>1323.96</v>
      </c>
      <c r="R3" s="408"/>
      <c r="S3" s="408">
        <v>581.32000000000005</v>
      </c>
      <c r="T3" s="408">
        <v>209.4</v>
      </c>
      <c r="U3" s="408"/>
      <c r="V3" s="408">
        <v>1046881.6512</v>
      </c>
      <c r="W3" s="408">
        <v>1046881.6512</v>
      </c>
      <c r="X3" s="408">
        <v>799764.5172</v>
      </c>
      <c r="Y3" s="408">
        <v>0</v>
      </c>
      <c r="Z3" s="408">
        <v>81473.72798282154</v>
      </c>
      <c r="AA3" s="408">
        <v>0</v>
      </c>
      <c r="AB3" s="408">
        <v>0</v>
      </c>
      <c r="AC3" s="408">
        <v>0</v>
      </c>
      <c r="AD3" s="408">
        <v>98226.108063866559</v>
      </c>
      <c r="AE3" s="408">
        <v>510261.21672962094</v>
      </c>
      <c r="AF3" s="408">
        <v>273597.32139748544</v>
      </c>
      <c r="AG3" s="408">
        <v>3644.8154939862652</v>
      </c>
      <c r="AH3" s="408">
        <v>0</v>
      </c>
      <c r="AI3" s="408">
        <v>0</v>
      </c>
      <c r="AJ3" s="408">
        <v>0</v>
      </c>
      <c r="AK3" s="408">
        <v>0</v>
      </c>
      <c r="AL3" s="408">
        <v>12590.332194079192</v>
      </c>
      <c r="AM3" s="408"/>
      <c r="AN3" s="408">
        <v>2413.5318355847908</v>
      </c>
      <c r="AO3" s="408">
        <v>7545.8845669487027</v>
      </c>
      <c r="AP3" s="408">
        <v>11366.448113337301</v>
      </c>
      <c r="AQ3" s="408">
        <v>0</v>
      </c>
      <c r="AR3" s="408">
        <v>0</v>
      </c>
      <c r="AS3" s="408">
        <v>0</v>
      </c>
      <c r="AT3" s="408">
        <v>0</v>
      </c>
      <c r="AU3" s="408">
        <v>0</v>
      </c>
      <c r="AV3" s="408">
        <v>0</v>
      </c>
      <c r="AW3" s="408">
        <v>0</v>
      </c>
      <c r="AX3" s="408">
        <v>0</v>
      </c>
      <c r="AY3" s="408">
        <v>0</v>
      </c>
      <c r="AZ3" s="408">
        <v>0</v>
      </c>
      <c r="BA3" s="408"/>
      <c r="BB3" s="408">
        <v>0</v>
      </c>
      <c r="BC3" s="408">
        <v>0</v>
      </c>
      <c r="BD3" s="408">
        <v>0</v>
      </c>
      <c r="BE3" s="408">
        <v>0</v>
      </c>
      <c r="BF3" s="408">
        <v>0</v>
      </c>
      <c r="BG3" s="408">
        <v>45772.320406310806</v>
      </c>
      <c r="BH3" s="408">
        <v>0</v>
      </c>
      <c r="BI3" s="408">
        <v>1295.1199999999999</v>
      </c>
      <c r="BJ3" s="408">
        <v>6032.25</v>
      </c>
      <c r="BK3" s="408">
        <v>391966.78</v>
      </c>
      <c r="BL3" s="408">
        <v>9305</v>
      </c>
      <c r="BM3" s="408"/>
      <c r="BN3" s="408"/>
      <c r="BO3" s="408"/>
      <c r="BP3" s="408"/>
      <c r="BQ3" s="408"/>
      <c r="BR3" s="408"/>
      <c r="BS3" s="408"/>
      <c r="BT3" s="408"/>
      <c r="BU3" s="408"/>
      <c r="BV3" s="408">
        <v>319369.64180379623</v>
      </c>
      <c r="BW3" s="408"/>
      <c r="BX3" s="408"/>
      <c r="BY3" s="408"/>
      <c r="BZ3" s="408"/>
      <c r="CA3" s="408"/>
      <c r="CB3" s="408"/>
      <c r="CC3" s="408"/>
      <c r="CD3" s="408"/>
      <c r="CE3" s="408"/>
      <c r="CF3" s="408"/>
      <c r="CG3" s="408"/>
      <c r="CH3" s="408"/>
      <c r="CI3" s="408">
        <v>799764.5172</v>
      </c>
      <c r="CJ3" s="408">
        <v>-247117.16399999999</v>
      </c>
      <c r="CK3" s="408"/>
      <c r="CL3" s="408"/>
      <c r="CM3" s="408"/>
      <c r="CN3" s="408"/>
      <c r="CO3" s="408">
        <v>-277343.14080000011</v>
      </c>
      <c r="CP3" s="408">
        <v>30226.006799999981</v>
      </c>
      <c r="CQ3" s="408">
        <v>31</v>
      </c>
      <c r="CR3" s="408">
        <v>39114.90306401928</v>
      </c>
      <c r="CS3" s="408">
        <v>911.02996569334482</v>
      </c>
      <c r="CT3" s="408">
        <v>1372.2943603066542</v>
      </c>
      <c r="CU3" s="408">
        <v>0</v>
      </c>
      <c r="CV3" s="408">
        <v>0</v>
      </c>
      <c r="CW3" s="408">
        <v>0</v>
      </c>
      <c r="CX3" s="408">
        <v>0</v>
      </c>
      <c r="CY3" s="408">
        <v>0</v>
      </c>
      <c r="CZ3" s="408">
        <v>3220.0912691058184</v>
      </c>
      <c r="DA3" s="408">
        <v>0</v>
      </c>
      <c r="DB3" s="408">
        <v>0</v>
      </c>
      <c r="DC3" s="408">
        <v>30216.850459935609</v>
      </c>
      <c r="DD3" s="408">
        <v>0</v>
      </c>
      <c r="DE3" s="408">
        <v>0</v>
      </c>
      <c r="DF3" s="408">
        <v>0</v>
      </c>
      <c r="DG3" s="408">
        <v>5055.2225944943348</v>
      </c>
      <c r="DH3" s="408">
        <v>0</v>
      </c>
      <c r="DI3" s="408">
        <v>-1420.2600340181962</v>
      </c>
      <c r="DJ3" s="408"/>
      <c r="DK3" s="408">
        <v>0</v>
      </c>
      <c r="DL3" s="408">
        <v>0</v>
      </c>
      <c r="DM3" s="408">
        <v>0</v>
      </c>
      <c r="DN3" s="408">
        <v>0</v>
      </c>
      <c r="DO3" s="408">
        <v>-184.52355688136231</v>
      </c>
      <c r="DP3" s="408">
        <v>-55.801994616896536</v>
      </c>
      <c r="DQ3" s="408">
        <v>0</v>
      </c>
      <c r="DR3" s="408">
        <v>0</v>
      </c>
      <c r="DS3" s="408"/>
      <c r="DT3" s="408"/>
      <c r="DU3" s="408"/>
      <c r="DV3" s="408">
        <v>510261.21672962094</v>
      </c>
      <c r="DW3" s="408">
        <v>0</v>
      </c>
      <c r="DX3" s="408">
        <v>0</v>
      </c>
      <c r="DY3" s="408">
        <v>-277343.14080000005</v>
      </c>
      <c r="DZ3" s="408">
        <v>30226.006800000032</v>
      </c>
      <c r="EA3" s="408">
        <v>0</v>
      </c>
      <c r="EB3" s="408">
        <v>0</v>
      </c>
      <c r="EC3" s="408">
        <v>-286251.28648418281</v>
      </c>
      <c r="ED3" s="408">
        <v>0</v>
      </c>
      <c r="EE3" s="408">
        <v>0</v>
      </c>
      <c r="EF3" s="408">
        <v>0</v>
      </c>
      <c r="EG3" s="408">
        <v>0</v>
      </c>
      <c r="EH3" s="408">
        <v>0</v>
      </c>
      <c r="EI3" s="408">
        <v>0</v>
      </c>
      <c r="EJ3" s="408">
        <v>0</v>
      </c>
      <c r="EK3" s="408">
        <v>0</v>
      </c>
      <c r="EL3" s="408">
        <v>0</v>
      </c>
      <c r="EM3" s="408">
        <v>0</v>
      </c>
      <c r="EN3" s="408">
        <v>0</v>
      </c>
      <c r="EO3" s="408">
        <v>0</v>
      </c>
      <c r="EP3" s="408">
        <v>0</v>
      </c>
      <c r="EQ3" s="408">
        <v>0</v>
      </c>
      <c r="ER3" s="408">
        <v>0</v>
      </c>
      <c r="ES3" s="408">
        <v>0</v>
      </c>
      <c r="ET3" s="408">
        <v>0</v>
      </c>
      <c r="EU3" s="408">
        <v>0</v>
      </c>
      <c r="EV3" s="408">
        <v>238</v>
      </c>
      <c r="EW3" s="408">
        <v>0</v>
      </c>
      <c r="EX3" s="408">
        <v>0</v>
      </c>
      <c r="EY3" s="408">
        <v>0</v>
      </c>
      <c r="EZ3" s="408"/>
      <c r="FA3" s="408">
        <v>0</v>
      </c>
      <c r="FB3" s="408"/>
      <c r="FC3" s="408"/>
      <c r="FD3" s="408"/>
      <c r="FE3" s="408"/>
      <c r="FF3" s="408">
        <v>0</v>
      </c>
      <c r="FG3" s="408">
        <v>0</v>
      </c>
      <c r="FH3" s="408">
        <v>0</v>
      </c>
      <c r="FI3" s="408">
        <v>0</v>
      </c>
    </row>
    <row r="4" spans="1:165" customFormat="1">
      <c r="A4" s="408">
        <v>2</v>
      </c>
      <c r="B4" s="408" t="s">
        <v>2237</v>
      </c>
      <c r="C4" s="408" t="s">
        <v>2235</v>
      </c>
      <c r="D4" s="408" t="s">
        <v>1955</v>
      </c>
      <c r="E4" s="408" t="s">
        <v>969</v>
      </c>
      <c r="F4" s="408" t="s">
        <v>969</v>
      </c>
      <c r="G4" s="408" t="s">
        <v>1322</v>
      </c>
      <c r="H4" s="408" t="s">
        <v>1322</v>
      </c>
      <c r="I4" s="408" t="s">
        <v>1322</v>
      </c>
      <c r="J4" s="408" t="s">
        <v>2236</v>
      </c>
      <c r="K4" s="824">
        <v>44378</v>
      </c>
      <c r="L4" s="408">
        <v>0</v>
      </c>
      <c r="M4" s="408">
        <v>0</v>
      </c>
      <c r="N4" s="408">
        <v>-0.33900000000000002</v>
      </c>
      <c r="O4" s="408">
        <v>-0.33900000000000002</v>
      </c>
      <c r="P4" s="408">
        <v>-0.33900000000000002</v>
      </c>
      <c r="Q4" s="408">
        <v>-0.33900000000000002</v>
      </c>
      <c r="R4" s="408"/>
      <c r="S4" s="408">
        <v>581.32000000000005</v>
      </c>
      <c r="T4" s="408">
        <v>209.4</v>
      </c>
      <c r="U4" s="408"/>
      <c r="V4" s="408">
        <v>-268.05408</v>
      </c>
      <c r="W4" s="408">
        <v>-268.05408</v>
      </c>
      <c r="X4" s="408">
        <v>-204.77973</v>
      </c>
      <c r="Y4" s="408">
        <v>0</v>
      </c>
      <c r="Z4" s="408">
        <v>-20.86135063459357</v>
      </c>
      <c r="AA4" s="408">
        <v>0</v>
      </c>
      <c r="AB4" s="408">
        <v>0</v>
      </c>
      <c r="AC4" s="408">
        <v>0</v>
      </c>
      <c r="AD4" s="408">
        <v>-25.150798085781116</v>
      </c>
      <c r="AE4" s="408">
        <v>-130.65240073064254</v>
      </c>
      <c r="AF4" s="408">
        <v>-70.054602823157481</v>
      </c>
      <c r="AG4" s="408">
        <v>-0.93325512285971179</v>
      </c>
      <c r="AH4" s="408">
        <v>0</v>
      </c>
      <c r="AI4" s="408">
        <v>0</v>
      </c>
      <c r="AJ4" s="408">
        <v>0</v>
      </c>
      <c r="AK4" s="408">
        <v>0</v>
      </c>
      <c r="AL4" s="408">
        <v>-3.2237549576972464</v>
      </c>
      <c r="AM4" s="408"/>
      <c r="AN4" s="408">
        <v>-0.61798490306598697</v>
      </c>
      <c r="AO4" s="408">
        <v>-1.932123982745408</v>
      </c>
      <c r="AP4" s="408">
        <v>-2.9103793999979946</v>
      </c>
      <c r="AQ4" s="408">
        <v>0</v>
      </c>
      <c r="AR4" s="408">
        <v>0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  <c r="AY4" s="408">
        <v>0</v>
      </c>
      <c r="AZ4" s="408">
        <v>0</v>
      </c>
      <c r="BA4" s="408"/>
      <c r="BB4" s="408">
        <v>0</v>
      </c>
      <c r="BC4" s="408">
        <v>0</v>
      </c>
      <c r="BD4" s="408">
        <v>0</v>
      </c>
      <c r="BE4" s="408">
        <v>0</v>
      </c>
      <c r="BF4" s="408">
        <v>0</v>
      </c>
      <c r="BG4" s="408">
        <v>-11.720004092071788</v>
      </c>
      <c r="BH4" s="408">
        <v>0</v>
      </c>
      <c r="BI4" s="408">
        <v>-0.68</v>
      </c>
      <c r="BJ4" s="408">
        <v>-3.18</v>
      </c>
      <c r="BK4" s="408">
        <v>-127.56</v>
      </c>
      <c r="BL4" s="408">
        <v>0</v>
      </c>
      <c r="BM4" s="408"/>
      <c r="BN4" s="408"/>
      <c r="BO4" s="408"/>
      <c r="BP4" s="408"/>
      <c r="BQ4" s="408"/>
      <c r="BR4" s="408"/>
      <c r="BS4" s="408"/>
      <c r="BT4" s="408"/>
      <c r="BU4" s="408"/>
      <c r="BV4" s="408">
        <v>-81.77460691522927</v>
      </c>
      <c r="BW4" s="408"/>
      <c r="BX4" s="408"/>
      <c r="BY4" s="408"/>
      <c r="BZ4" s="408"/>
      <c r="CA4" s="408"/>
      <c r="CB4" s="408"/>
      <c r="CC4" s="408"/>
      <c r="CD4" s="408"/>
      <c r="CE4" s="408"/>
      <c r="CF4" s="408"/>
      <c r="CG4" s="408"/>
      <c r="CH4" s="408"/>
      <c r="CI4" s="408">
        <v>-205.38380000000001</v>
      </c>
      <c r="CJ4" s="408">
        <v>62.640280000000018</v>
      </c>
      <c r="CK4" s="408"/>
      <c r="CL4" s="408"/>
      <c r="CM4" s="408"/>
      <c r="CN4" s="408"/>
      <c r="CO4" s="408">
        <v>71.013720000000035</v>
      </c>
      <c r="CP4" s="408">
        <v>-7.7393699999999948</v>
      </c>
      <c r="CQ4" s="408">
        <v>31</v>
      </c>
      <c r="CR4" s="408">
        <v>-10.015372170384722</v>
      </c>
      <c r="CS4" s="408">
        <v>-0.23326925161639611</v>
      </c>
      <c r="CT4" s="408">
        <v>-0.35137601448983036</v>
      </c>
      <c r="CU4" s="408">
        <v>0</v>
      </c>
      <c r="CV4" s="408">
        <v>0</v>
      </c>
      <c r="CW4" s="408">
        <v>0</v>
      </c>
      <c r="CX4" s="408">
        <v>0</v>
      </c>
      <c r="CY4" s="408">
        <v>0</v>
      </c>
      <c r="CZ4" s="408">
        <v>-0.82450447160553963</v>
      </c>
      <c r="DA4" s="408">
        <v>0</v>
      </c>
      <c r="DB4" s="408">
        <v>0</v>
      </c>
      <c r="DC4" s="408">
        <v>-7.7370255188360346</v>
      </c>
      <c r="DD4" s="408">
        <v>0</v>
      </c>
      <c r="DE4" s="408">
        <v>0</v>
      </c>
      <c r="DF4" s="408">
        <v>0</v>
      </c>
      <c r="DG4" s="408">
        <v>-1.2943899056871651</v>
      </c>
      <c r="DH4" s="408">
        <v>0</v>
      </c>
      <c r="DI4" s="408">
        <v>0.36365762676528846</v>
      </c>
      <c r="DJ4" s="408"/>
      <c r="DK4" s="408">
        <v>0</v>
      </c>
      <c r="DL4" s="408">
        <v>0</v>
      </c>
      <c r="DM4" s="408">
        <v>0</v>
      </c>
      <c r="DN4" s="408">
        <v>0</v>
      </c>
      <c r="DO4" s="408">
        <v>4.7247262593115735E-2</v>
      </c>
      <c r="DP4" s="408">
        <v>1.4288102491863741E-2</v>
      </c>
      <c r="DQ4" s="408">
        <v>0</v>
      </c>
      <c r="DR4" s="408">
        <v>0</v>
      </c>
      <c r="DS4" s="408"/>
      <c r="DT4" s="408"/>
      <c r="DU4" s="408"/>
      <c r="DV4" s="408">
        <v>-130.65240073064254</v>
      </c>
      <c r="DW4" s="408">
        <v>0</v>
      </c>
      <c r="DX4" s="408">
        <v>0</v>
      </c>
      <c r="DY4" s="408">
        <v>71.013720000000021</v>
      </c>
      <c r="DZ4" s="408">
        <v>-7.7393699999999939</v>
      </c>
      <c r="EA4" s="408">
        <v>0</v>
      </c>
      <c r="EB4" s="408">
        <v>0</v>
      </c>
      <c r="EC4" s="408">
        <v>73.294650985028227</v>
      </c>
      <c r="ED4" s="408">
        <v>0</v>
      </c>
      <c r="EE4" s="408">
        <v>0</v>
      </c>
      <c r="EF4" s="408">
        <v>0</v>
      </c>
      <c r="EG4" s="408">
        <v>0</v>
      </c>
      <c r="EH4" s="408">
        <v>0</v>
      </c>
      <c r="EI4" s="408">
        <v>0</v>
      </c>
      <c r="EJ4" s="408">
        <v>0</v>
      </c>
      <c r="EK4" s="408">
        <v>0</v>
      </c>
      <c r="EL4" s="408">
        <v>0</v>
      </c>
      <c r="EM4" s="408">
        <v>0</v>
      </c>
      <c r="EN4" s="408">
        <v>0</v>
      </c>
      <c r="EO4" s="408">
        <v>0</v>
      </c>
      <c r="EP4" s="408">
        <v>0</v>
      </c>
      <c r="EQ4" s="408">
        <v>0</v>
      </c>
      <c r="ER4" s="408">
        <v>0</v>
      </c>
      <c r="ES4" s="408">
        <v>0</v>
      </c>
      <c r="ET4" s="408">
        <v>0</v>
      </c>
      <c r="EU4" s="408">
        <v>0</v>
      </c>
      <c r="EV4" s="408">
        <v>238</v>
      </c>
      <c r="EW4" s="408">
        <v>0</v>
      </c>
      <c r="EX4" s="408">
        <v>0</v>
      </c>
      <c r="EY4" s="408">
        <v>0</v>
      </c>
      <c r="EZ4" s="408"/>
      <c r="FA4" s="408">
        <v>0</v>
      </c>
      <c r="FB4" s="408"/>
      <c r="FC4" s="408"/>
      <c r="FD4" s="408"/>
      <c r="FE4" s="408"/>
      <c r="FF4" s="408">
        <v>0</v>
      </c>
      <c r="FG4" s="408">
        <v>0</v>
      </c>
      <c r="FH4" s="408">
        <v>0</v>
      </c>
      <c r="FI4" s="408">
        <v>0</v>
      </c>
    </row>
    <row r="5" spans="1:165" customFormat="1">
      <c r="A5" s="408">
        <v>3</v>
      </c>
      <c r="B5" s="408" t="s">
        <v>2238</v>
      </c>
      <c r="C5" s="408" t="s">
        <v>2235</v>
      </c>
      <c r="D5" s="408" t="s">
        <v>1955</v>
      </c>
      <c r="E5" s="408" t="s">
        <v>969</v>
      </c>
      <c r="F5" s="408" t="s">
        <v>969</v>
      </c>
      <c r="G5" s="408" t="s">
        <v>1322</v>
      </c>
      <c r="H5" s="408" t="s">
        <v>1322</v>
      </c>
      <c r="I5" s="408" t="s">
        <v>1322</v>
      </c>
      <c r="J5" s="408" t="s">
        <v>2236</v>
      </c>
      <c r="K5" s="824">
        <v>44378</v>
      </c>
      <c r="L5" s="408">
        <v>0</v>
      </c>
      <c r="M5" s="408">
        <v>0</v>
      </c>
      <c r="N5" s="408">
        <v>58.061</v>
      </c>
      <c r="O5" s="408">
        <v>58.061</v>
      </c>
      <c r="P5" s="408">
        <v>58.061</v>
      </c>
      <c r="Q5" s="408">
        <v>58.061</v>
      </c>
      <c r="R5" s="408"/>
      <c r="S5" s="408">
        <v>581.32000000000005</v>
      </c>
      <c r="T5" s="408">
        <v>209.4</v>
      </c>
      <c r="U5" s="408"/>
      <c r="V5" s="408">
        <v>45909.993920000008</v>
      </c>
      <c r="W5" s="408">
        <v>45909.993920000008</v>
      </c>
      <c r="X5" s="408">
        <v>35072.90827</v>
      </c>
      <c r="Y5" s="408">
        <v>0</v>
      </c>
      <c r="Z5" s="408">
        <v>3572.9524460033549</v>
      </c>
      <c r="AA5" s="408">
        <v>0</v>
      </c>
      <c r="AB5" s="408">
        <v>0</v>
      </c>
      <c r="AC5" s="408">
        <v>0</v>
      </c>
      <c r="AD5" s="408">
        <v>4307.6120579897852</v>
      </c>
      <c r="AE5" s="408">
        <v>22377.017813633734</v>
      </c>
      <c r="AF5" s="408">
        <v>11998.348951372702</v>
      </c>
      <c r="AG5" s="408">
        <v>159.839898785716</v>
      </c>
      <c r="AH5" s="408">
        <v>0</v>
      </c>
      <c r="AI5" s="408">
        <v>0</v>
      </c>
      <c r="AJ5" s="408">
        <v>0</v>
      </c>
      <c r="AK5" s="408">
        <v>0</v>
      </c>
      <c r="AL5" s="408">
        <v>552.1369811175806</v>
      </c>
      <c r="AM5" s="408"/>
      <c r="AN5" s="408">
        <v>105.84313114134002</v>
      </c>
      <c r="AO5" s="408">
        <v>330.91755328077028</v>
      </c>
      <c r="AP5" s="408">
        <v>498.46471487694265</v>
      </c>
      <c r="AQ5" s="408">
        <v>0</v>
      </c>
      <c r="AR5" s="408">
        <v>0</v>
      </c>
      <c r="AS5" s="408">
        <v>0</v>
      </c>
      <c r="AT5" s="408">
        <v>0</v>
      </c>
      <c r="AU5" s="408">
        <v>0</v>
      </c>
      <c r="AV5" s="408">
        <v>0</v>
      </c>
      <c r="AW5" s="408">
        <v>0</v>
      </c>
      <c r="AX5" s="408">
        <v>0</v>
      </c>
      <c r="AY5" s="408">
        <v>0</v>
      </c>
      <c r="AZ5" s="408">
        <v>0</v>
      </c>
      <c r="BA5" s="408"/>
      <c r="BB5" s="408">
        <v>0</v>
      </c>
      <c r="BC5" s="408">
        <v>0</v>
      </c>
      <c r="BD5" s="408">
        <v>0</v>
      </c>
      <c r="BE5" s="408">
        <v>0</v>
      </c>
      <c r="BF5" s="408">
        <v>0</v>
      </c>
      <c r="BG5" s="408">
        <v>2007.30134982236</v>
      </c>
      <c r="BH5" s="408">
        <v>0</v>
      </c>
      <c r="BI5" s="408">
        <v>58.25</v>
      </c>
      <c r="BJ5" s="408">
        <v>265.31</v>
      </c>
      <c r="BK5" s="408">
        <v>38688.949999999997</v>
      </c>
      <c r="BL5" s="408">
        <v>542</v>
      </c>
      <c r="BM5" s="408"/>
      <c r="BN5" s="408"/>
      <c r="BO5" s="408"/>
      <c r="BP5" s="408"/>
      <c r="BQ5" s="408"/>
      <c r="BR5" s="408"/>
      <c r="BS5" s="408"/>
      <c r="BT5" s="408"/>
      <c r="BU5" s="408"/>
      <c r="BV5" s="408">
        <v>14005.650301195063</v>
      </c>
      <c r="BW5" s="408"/>
      <c r="BX5" s="408"/>
      <c r="BY5" s="408"/>
      <c r="BZ5" s="408"/>
      <c r="CA5" s="408"/>
      <c r="CB5" s="408"/>
      <c r="CC5" s="408"/>
      <c r="CD5" s="408"/>
      <c r="CE5" s="408"/>
      <c r="CF5" s="408"/>
      <c r="CG5" s="408"/>
      <c r="CH5" s="408"/>
      <c r="CI5" s="408">
        <v>35072.304199999999</v>
      </c>
      <c r="CJ5" s="408">
        <v>-10837.719720000016</v>
      </c>
      <c r="CK5" s="408"/>
      <c r="CL5" s="408"/>
      <c r="CM5" s="408"/>
      <c r="CN5" s="408"/>
      <c r="CO5" s="408">
        <v>-12162.618280000004</v>
      </c>
      <c r="CP5" s="408">
        <v>1325.532629999999</v>
      </c>
      <c r="CQ5" s="408">
        <v>31</v>
      </c>
      <c r="CR5" s="408">
        <v>1715.3466772410211</v>
      </c>
      <c r="CS5" s="408">
        <v>39.952348135986995</v>
      </c>
      <c r="CT5" s="408">
        <v>60.180657160159342</v>
      </c>
      <c r="CU5" s="408">
        <v>0</v>
      </c>
      <c r="CV5" s="408">
        <v>0</v>
      </c>
      <c r="CW5" s="408">
        <v>0</v>
      </c>
      <c r="CX5" s="408">
        <v>0</v>
      </c>
      <c r="CY5" s="408">
        <v>0</v>
      </c>
      <c r="CZ5" s="408">
        <v>141.21402397017482</v>
      </c>
      <c r="DA5" s="408">
        <v>0</v>
      </c>
      <c r="DB5" s="408">
        <v>0</v>
      </c>
      <c r="DC5" s="408">
        <v>1325.1310874605879</v>
      </c>
      <c r="DD5" s="408">
        <v>0</v>
      </c>
      <c r="DE5" s="408">
        <v>0</v>
      </c>
      <c r="DF5" s="408">
        <v>0</v>
      </c>
      <c r="DG5" s="408">
        <v>221.69195372891591</v>
      </c>
      <c r="DH5" s="408">
        <v>0</v>
      </c>
      <c r="DI5" s="408">
        <v>-62.284145922181324</v>
      </c>
      <c r="DJ5" s="408"/>
      <c r="DK5" s="408">
        <v>0</v>
      </c>
      <c r="DL5" s="408">
        <v>0</v>
      </c>
      <c r="DM5" s="408">
        <v>0</v>
      </c>
      <c r="DN5" s="408">
        <v>0</v>
      </c>
      <c r="DO5" s="408">
        <v>-8.0921041693773077</v>
      </c>
      <c r="DP5" s="408">
        <v>-2.4471431232451266</v>
      </c>
      <c r="DQ5" s="408">
        <v>0</v>
      </c>
      <c r="DR5" s="408">
        <v>0</v>
      </c>
      <c r="DS5" s="408"/>
      <c r="DT5" s="408"/>
      <c r="DU5" s="408"/>
      <c r="DV5" s="408">
        <v>22377.017813633734</v>
      </c>
      <c r="DW5" s="408">
        <v>0</v>
      </c>
      <c r="DX5" s="408">
        <v>0</v>
      </c>
      <c r="DY5" s="408">
        <v>-12162.618280000006</v>
      </c>
      <c r="DZ5" s="408">
        <v>1325.5326299999979</v>
      </c>
      <c r="EA5" s="408">
        <v>0</v>
      </c>
      <c r="EB5" s="408">
        <v>0</v>
      </c>
      <c r="EC5" s="408">
        <v>-12553.276492158475</v>
      </c>
      <c r="ED5" s="408">
        <v>0</v>
      </c>
      <c r="EE5" s="408">
        <v>0</v>
      </c>
      <c r="EF5" s="408">
        <v>0</v>
      </c>
      <c r="EG5" s="408">
        <v>0</v>
      </c>
      <c r="EH5" s="408">
        <v>0</v>
      </c>
      <c r="EI5" s="408">
        <v>0</v>
      </c>
      <c r="EJ5" s="408">
        <v>0</v>
      </c>
      <c r="EK5" s="408">
        <v>0</v>
      </c>
      <c r="EL5" s="408">
        <v>0</v>
      </c>
      <c r="EM5" s="408">
        <v>0</v>
      </c>
      <c r="EN5" s="408">
        <v>0</v>
      </c>
      <c r="EO5" s="408">
        <v>0</v>
      </c>
      <c r="EP5" s="408">
        <v>0</v>
      </c>
      <c r="EQ5" s="408">
        <v>0</v>
      </c>
      <c r="ER5" s="408">
        <v>0</v>
      </c>
      <c r="ES5" s="408">
        <v>0</v>
      </c>
      <c r="ET5" s="408">
        <v>0</v>
      </c>
      <c r="EU5" s="408">
        <v>0</v>
      </c>
      <c r="EV5" s="408">
        <v>238</v>
      </c>
      <c r="EW5" s="408">
        <v>0</v>
      </c>
      <c r="EX5" s="408">
        <v>0</v>
      </c>
      <c r="EY5" s="408">
        <v>0</v>
      </c>
      <c r="EZ5" s="408"/>
      <c r="FA5" s="408">
        <v>0</v>
      </c>
      <c r="FB5" s="408"/>
      <c r="FC5" s="408"/>
      <c r="FD5" s="408"/>
      <c r="FE5" s="408"/>
      <c r="FF5" s="408">
        <v>0</v>
      </c>
      <c r="FG5" s="408">
        <v>0</v>
      </c>
      <c r="FH5" s="408">
        <v>0</v>
      </c>
      <c r="FI5" s="408">
        <v>0</v>
      </c>
    </row>
    <row r="6" spans="1:165" customFormat="1">
      <c r="A6" s="408">
        <v>4</v>
      </c>
      <c r="B6" s="408" t="s">
        <v>1036</v>
      </c>
      <c r="C6" s="408" t="s">
        <v>2235</v>
      </c>
      <c r="D6" s="408" t="s">
        <v>1955</v>
      </c>
      <c r="E6" s="408" t="s">
        <v>969</v>
      </c>
      <c r="F6" s="408" t="s">
        <v>2239</v>
      </c>
      <c r="G6" s="408" t="s">
        <v>1322</v>
      </c>
      <c r="H6" s="408" t="s">
        <v>1322</v>
      </c>
      <c r="I6" s="408" t="s">
        <v>1322</v>
      </c>
      <c r="J6" s="408" t="s">
        <v>2236</v>
      </c>
      <c r="K6" s="824">
        <v>44378</v>
      </c>
      <c r="L6" s="408">
        <v>0</v>
      </c>
      <c r="M6" s="408">
        <v>0</v>
      </c>
      <c r="N6" s="408">
        <v>37.229999999999997</v>
      </c>
      <c r="O6" s="408">
        <v>37.229999999999997</v>
      </c>
      <c r="P6" s="408">
        <v>37.229999999999997</v>
      </c>
      <c r="Q6" s="408">
        <v>37.229999999999997</v>
      </c>
      <c r="R6" s="408"/>
      <c r="S6" s="408">
        <v>510.28</v>
      </c>
      <c r="T6" s="408">
        <v>209.4</v>
      </c>
      <c r="U6" s="408"/>
      <c r="V6" s="408">
        <v>26793.686399999999</v>
      </c>
      <c r="W6" s="408">
        <v>26793.686399999999</v>
      </c>
      <c r="X6" s="408">
        <v>19889.382899999997</v>
      </c>
      <c r="Y6" s="408">
        <v>0</v>
      </c>
      <c r="Z6" s="408">
        <v>0</v>
      </c>
      <c r="AA6" s="408">
        <v>0</v>
      </c>
      <c r="AB6" s="408">
        <v>0</v>
      </c>
      <c r="AC6" s="408">
        <v>0</v>
      </c>
      <c r="AD6" s="408">
        <v>2762.1363207481736</v>
      </c>
      <c r="AE6" s="408">
        <v>14348.63976165729</v>
      </c>
      <c r="AF6" s="408">
        <v>7693.6072657998602</v>
      </c>
      <c r="AG6" s="408">
        <v>102.492885616717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/>
      <c r="AN6" s="408">
        <v>67.868961478308819</v>
      </c>
      <c r="AO6" s="408">
        <v>212.19166925549123</v>
      </c>
      <c r="AP6" s="408">
        <v>319.62662260154963</v>
      </c>
      <c r="AQ6" s="408">
        <v>0</v>
      </c>
      <c r="AR6" s="408">
        <v>0</v>
      </c>
      <c r="AS6" s="408">
        <v>0</v>
      </c>
      <c r="AT6" s="408">
        <v>0</v>
      </c>
      <c r="AU6" s="408">
        <v>0</v>
      </c>
      <c r="AV6" s="408">
        <v>0</v>
      </c>
      <c r="AW6" s="408">
        <v>0</v>
      </c>
      <c r="AX6" s="408">
        <v>0</v>
      </c>
      <c r="AY6" s="408">
        <v>0</v>
      </c>
      <c r="AZ6" s="408">
        <v>0</v>
      </c>
      <c r="BA6" s="408"/>
      <c r="BB6" s="408">
        <v>0</v>
      </c>
      <c r="BC6" s="408">
        <v>0</v>
      </c>
      <c r="BD6" s="408">
        <v>0</v>
      </c>
      <c r="BE6" s="408">
        <v>0</v>
      </c>
      <c r="BF6" s="408">
        <v>0</v>
      </c>
      <c r="BG6" s="408">
        <v>1287.1261131204501</v>
      </c>
      <c r="BH6" s="408">
        <v>0</v>
      </c>
      <c r="BI6" s="408">
        <v>10.77</v>
      </c>
      <c r="BJ6" s="408">
        <v>38.229999999999997</v>
      </c>
      <c r="BK6" s="408">
        <v>2913.43</v>
      </c>
      <c r="BL6" s="408">
        <v>113</v>
      </c>
      <c r="BM6" s="408"/>
      <c r="BN6" s="408"/>
      <c r="BO6" s="408"/>
      <c r="BP6" s="408"/>
      <c r="BQ6" s="408"/>
      <c r="BR6" s="408"/>
      <c r="BS6" s="408"/>
      <c r="BT6" s="408">
        <v>12928.117499999998</v>
      </c>
      <c r="BU6" s="408"/>
      <c r="BV6" s="408">
        <v>8980.7333789203112</v>
      </c>
      <c r="BW6" s="408"/>
      <c r="BX6" s="408"/>
      <c r="BY6" s="408"/>
      <c r="BZ6" s="408"/>
      <c r="CA6" s="408"/>
      <c r="CB6" s="408"/>
      <c r="CC6" s="408"/>
      <c r="CD6" s="408"/>
      <c r="CE6" s="408"/>
      <c r="CF6" s="408"/>
      <c r="CG6" s="408"/>
      <c r="CH6" s="408"/>
      <c r="CI6" s="408">
        <v>6961.2654000000002</v>
      </c>
      <c r="CJ6" s="408">
        <v>-2416.6292999999987</v>
      </c>
      <c r="CK6" s="408"/>
      <c r="CL6" s="408"/>
      <c r="CM6" s="408"/>
      <c r="CN6" s="408"/>
      <c r="CO6" s="408">
        <v>-7754.2643999999982</v>
      </c>
      <c r="CP6" s="408">
        <v>849.96089999999936</v>
      </c>
      <c r="CQ6" s="408">
        <v>31</v>
      </c>
      <c r="CR6" s="408">
        <v>1145.045117800104</v>
      </c>
      <c r="CS6" s="408">
        <v>25.618331084597145</v>
      </c>
      <c r="CT6" s="408">
        <v>38.589171148838886</v>
      </c>
      <c r="CU6" s="408">
        <v>0</v>
      </c>
      <c r="CV6" s="408">
        <v>0</v>
      </c>
      <c r="CW6" s="408">
        <v>0</v>
      </c>
      <c r="CX6" s="408">
        <v>0</v>
      </c>
      <c r="CY6" s="408">
        <v>0</v>
      </c>
      <c r="CZ6" s="408">
        <v>90.549561881634872</v>
      </c>
      <c r="DA6" s="408">
        <v>0</v>
      </c>
      <c r="DB6" s="408">
        <v>0</v>
      </c>
      <c r="DC6" s="408">
        <v>849.70342202438133</v>
      </c>
      <c r="DD6" s="408">
        <v>0</v>
      </c>
      <c r="DE6" s="408">
        <v>0</v>
      </c>
      <c r="DF6" s="408">
        <v>0</v>
      </c>
      <c r="DG6" s="408">
        <v>142.15379406705961</v>
      </c>
      <c r="DH6" s="408">
        <v>0</v>
      </c>
      <c r="DI6" s="408">
        <v>0</v>
      </c>
      <c r="DJ6" s="408"/>
      <c r="DK6" s="408">
        <v>0</v>
      </c>
      <c r="DL6" s="408">
        <v>0</v>
      </c>
      <c r="DM6" s="408">
        <v>0</v>
      </c>
      <c r="DN6" s="408">
        <v>0</v>
      </c>
      <c r="DO6" s="408">
        <v>0</v>
      </c>
      <c r="DP6" s="408">
        <v>-1.5691624064073295</v>
      </c>
      <c r="DQ6" s="408">
        <v>0</v>
      </c>
      <c r="DR6" s="408">
        <v>0</v>
      </c>
      <c r="DS6" s="408"/>
      <c r="DT6" s="408"/>
      <c r="DU6" s="408"/>
      <c r="DV6" s="408">
        <v>14348.63976165729</v>
      </c>
      <c r="DW6" s="408">
        <v>0</v>
      </c>
      <c r="DX6" s="408">
        <v>0</v>
      </c>
      <c r="DY6" s="408">
        <v>-7754.2644</v>
      </c>
      <c r="DZ6" s="408">
        <v>849.96090000000004</v>
      </c>
      <c r="EA6" s="408">
        <v>0</v>
      </c>
      <c r="EB6" s="408">
        <v>0</v>
      </c>
      <c r="EC6" s="408">
        <v>-8049.4391037539845</v>
      </c>
      <c r="ED6" s="408">
        <v>0</v>
      </c>
      <c r="EE6" s="408">
        <v>0</v>
      </c>
      <c r="EF6" s="408">
        <v>0</v>
      </c>
      <c r="EG6" s="408">
        <v>0</v>
      </c>
      <c r="EH6" s="408">
        <v>0</v>
      </c>
      <c r="EI6" s="408">
        <v>0</v>
      </c>
      <c r="EJ6" s="408">
        <v>0</v>
      </c>
      <c r="EK6" s="408">
        <v>0</v>
      </c>
      <c r="EL6" s="408">
        <v>0</v>
      </c>
      <c r="EM6" s="408">
        <v>0</v>
      </c>
      <c r="EN6" s="408">
        <v>0</v>
      </c>
      <c r="EO6" s="408">
        <v>0</v>
      </c>
      <c r="EP6" s="408">
        <v>0</v>
      </c>
      <c r="EQ6" s="408">
        <v>0</v>
      </c>
      <c r="ER6" s="408">
        <v>0</v>
      </c>
      <c r="ES6" s="408">
        <v>0</v>
      </c>
      <c r="ET6" s="408">
        <v>0</v>
      </c>
      <c r="EU6" s="408">
        <v>0</v>
      </c>
      <c r="EV6" s="408">
        <v>238</v>
      </c>
      <c r="EW6" s="408">
        <v>0</v>
      </c>
      <c r="EX6" s="408">
        <v>0</v>
      </c>
      <c r="EY6" s="408">
        <v>0</v>
      </c>
      <c r="EZ6" s="408"/>
      <c r="FA6" s="408">
        <v>0</v>
      </c>
      <c r="FB6" s="408"/>
      <c r="FC6" s="408"/>
      <c r="FD6" s="408"/>
      <c r="FE6" s="408"/>
      <c r="FF6" s="408">
        <v>0</v>
      </c>
      <c r="FG6" s="408">
        <v>0</v>
      </c>
      <c r="FH6" s="408">
        <v>0</v>
      </c>
      <c r="FI6" s="408">
        <v>0</v>
      </c>
    </row>
    <row r="7" spans="1:165" customFormat="1">
      <c r="A7" s="408">
        <v>5</v>
      </c>
      <c r="B7" s="408" t="s">
        <v>2237</v>
      </c>
      <c r="C7" s="408" t="s">
        <v>2235</v>
      </c>
      <c r="D7" s="408" t="s">
        <v>1955</v>
      </c>
      <c r="E7" s="408" t="s">
        <v>969</v>
      </c>
      <c r="F7" s="408" t="s">
        <v>2239</v>
      </c>
      <c r="G7" s="408" t="s">
        <v>1322</v>
      </c>
      <c r="H7" s="408" t="s">
        <v>1322</v>
      </c>
      <c r="I7" s="408" t="s">
        <v>1322</v>
      </c>
      <c r="J7" s="408" t="s">
        <v>2236</v>
      </c>
      <c r="K7" s="824">
        <v>44378</v>
      </c>
      <c r="L7" s="408">
        <v>0</v>
      </c>
      <c r="M7" s="408">
        <v>0</v>
      </c>
      <c r="N7" s="408">
        <v>0</v>
      </c>
      <c r="O7" s="408">
        <v>0</v>
      </c>
      <c r="P7" s="408">
        <v>0</v>
      </c>
      <c r="Q7" s="408">
        <v>0</v>
      </c>
      <c r="R7" s="408"/>
      <c r="S7" s="408"/>
      <c r="T7" s="408"/>
      <c r="U7" s="408"/>
      <c r="V7" s="408"/>
      <c r="W7" s="408"/>
      <c r="X7" s="408"/>
      <c r="Y7" s="408"/>
      <c r="Z7" s="408"/>
      <c r="AA7" s="408">
        <v>0</v>
      </c>
      <c r="AB7" s="408"/>
      <c r="AC7" s="408"/>
      <c r="AD7" s="408"/>
      <c r="AE7" s="408"/>
      <c r="AF7" s="408"/>
      <c r="AG7" s="408"/>
      <c r="AH7" s="408"/>
      <c r="AI7" s="408"/>
      <c r="AJ7" s="408"/>
      <c r="AK7" s="408"/>
      <c r="AL7" s="408"/>
      <c r="AM7" s="408"/>
      <c r="AN7" s="408"/>
      <c r="AO7" s="408"/>
      <c r="AP7" s="408"/>
      <c r="AQ7" s="408"/>
      <c r="AR7" s="408"/>
      <c r="AS7" s="408"/>
      <c r="AT7" s="408"/>
      <c r="AU7" s="408"/>
      <c r="AV7" s="408"/>
      <c r="AW7" s="408"/>
      <c r="AX7" s="408"/>
      <c r="AY7" s="408"/>
      <c r="AZ7" s="408">
        <v>0</v>
      </c>
      <c r="BA7" s="408"/>
      <c r="BB7" s="408"/>
      <c r="BC7" s="408"/>
      <c r="BD7" s="408"/>
      <c r="BE7" s="408"/>
      <c r="BF7" s="408"/>
      <c r="BG7" s="408"/>
      <c r="BH7" s="408"/>
      <c r="BI7" s="408">
        <v>-0.02</v>
      </c>
      <c r="BJ7" s="408">
        <v>-0.02</v>
      </c>
      <c r="BK7" s="408">
        <v>-3.48</v>
      </c>
      <c r="BL7" s="408">
        <v>0</v>
      </c>
      <c r="BM7" s="408"/>
      <c r="BN7" s="408"/>
      <c r="BO7" s="408"/>
      <c r="BP7" s="408"/>
      <c r="BQ7" s="408"/>
      <c r="BR7" s="408"/>
      <c r="BS7" s="408"/>
      <c r="BT7" s="408"/>
      <c r="BU7" s="408"/>
      <c r="BV7" s="408"/>
      <c r="BW7" s="408"/>
      <c r="BX7" s="408"/>
      <c r="BY7" s="408"/>
      <c r="BZ7" s="408"/>
      <c r="CA7" s="408"/>
      <c r="CB7" s="408"/>
      <c r="CC7" s="408"/>
      <c r="CD7" s="408"/>
      <c r="CE7" s="408"/>
      <c r="CF7" s="408"/>
      <c r="CG7" s="408"/>
      <c r="CH7" s="408"/>
      <c r="CI7" s="408"/>
      <c r="CJ7" s="408">
        <v>-0.03</v>
      </c>
      <c r="CK7" s="408"/>
      <c r="CL7" s="408"/>
      <c r="CM7" s="408"/>
      <c r="CN7" s="408"/>
      <c r="CO7" s="408">
        <v>0</v>
      </c>
      <c r="CP7" s="408">
        <v>0</v>
      </c>
      <c r="CQ7" s="408">
        <v>31</v>
      </c>
      <c r="CR7" s="408"/>
      <c r="CS7" s="408"/>
      <c r="CT7" s="408"/>
      <c r="CU7" s="408"/>
      <c r="CV7" s="408"/>
      <c r="CW7" s="408"/>
      <c r="CX7" s="408"/>
      <c r="CY7" s="408"/>
      <c r="CZ7" s="408"/>
      <c r="DA7" s="408"/>
      <c r="DB7" s="408"/>
      <c r="DC7" s="408"/>
      <c r="DD7" s="408"/>
      <c r="DE7" s="408"/>
      <c r="DF7" s="408"/>
      <c r="DG7" s="408"/>
      <c r="DH7" s="408"/>
      <c r="DI7" s="408"/>
      <c r="DJ7" s="408"/>
      <c r="DK7" s="408">
        <v>0</v>
      </c>
      <c r="DL7" s="408"/>
      <c r="DM7" s="408"/>
      <c r="DN7" s="408"/>
      <c r="DO7" s="408"/>
      <c r="DP7" s="408"/>
      <c r="DQ7" s="408"/>
      <c r="DR7" s="408"/>
      <c r="DS7" s="408"/>
      <c r="DT7" s="408"/>
      <c r="DU7" s="408"/>
      <c r="DV7" s="408"/>
      <c r="DW7" s="408"/>
      <c r="DX7" s="408"/>
      <c r="DY7" s="408"/>
      <c r="DZ7" s="408"/>
      <c r="EA7" s="408"/>
      <c r="EB7" s="408"/>
      <c r="EC7" s="408"/>
      <c r="ED7" s="408"/>
      <c r="EE7" s="408"/>
      <c r="EF7" s="408"/>
      <c r="EG7" s="408"/>
      <c r="EH7" s="408"/>
      <c r="EI7" s="408"/>
      <c r="EJ7" s="408"/>
      <c r="EK7" s="408"/>
      <c r="EL7" s="408"/>
      <c r="EM7" s="408"/>
      <c r="EN7" s="408"/>
      <c r="EO7" s="408"/>
      <c r="EP7" s="408"/>
      <c r="EQ7" s="408"/>
      <c r="ER7" s="408"/>
      <c r="ES7" s="408"/>
      <c r="ET7" s="408"/>
      <c r="EU7" s="408"/>
      <c r="EV7" s="408">
        <v>238</v>
      </c>
      <c r="EW7" s="408"/>
      <c r="EX7" s="408"/>
      <c r="EY7" s="408"/>
      <c r="EZ7" s="408"/>
      <c r="FA7" s="408">
        <v>0</v>
      </c>
      <c r="FB7" s="408"/>
      <c r="FC7" s="408"/>
      <c r="FD7" s="408"/>
      <c r="FE7" s="408"/>
      <c r="FF7" s="408">
        <v>0</v>
      </c>
      <c r="FG7" s="408">
        <v>0</v>
      </c>
      <c r="FH7" s="408">
        <v>0</v>
      </c>
      <c r="FI7" s="408">
        <v>0</v>
      </c>
    </row>
    <row r="8" spans="1:165" customFormat="1">
      <c r="A8" s="408">
        <v>6</v>
      </c>
      <c r="B8" s="408" t="s">
        <v>1036</v>
      </c>
      <c r="C8" s="408" t="s">
        <v>2235</v>
      </c>
      <c r="D8" s="408" t="s">
        <v>1955</v>
      </c>
      <c r="E8" s="408" t="s">
        <v>969</v>
      </c>
      <c r="F8" s="408" t="s">
        <v>2240</v>
      </c>
      <c r="G8" s="408" t="s">
        <v>1322</v>
      </c>
      <c r="H8" s="408" t="s">
        <v>1322</v>
      </c>
      <c r="I8" s="408" t="s">
        <v>1322</v>
      </c>
      <c r="J8" s="408" t="s">
        <v>2236</v>
      </c>
      <c r="K8" s="824">
        <v>44378</v>
      </c>
      <c r="L8" s="408">
        <v>0</v>
      </c>
      <c r="M8" s="408">
        <v>0</v>
      </c>
      <c r="N8" s="408">
        <v>68.700999999999993</v>
      </c>
      <c r="O8" s="408">
        <v>68.700999999999993</v>
      </c>
      <c r="P8" s="408">
        <v>68.700999999999993</v>
      </c>
      <c r="Q8" s="408">
        <v>68.700999999999993</v>
      </c>
      <c r="R8" s="408"/>
      <c r="S8" s="408">
        <v>510.28</v>
      </c>
      <c r="T8" s="408">
        <v>209.4</v>
      </c>
      <c r="U8" s="408"/>
      <c r="V8" s="408">
        <v>49442.735679999991</v>
      </c>
      <c r="W8" s="408">
        <v>49442.735679999991</v>
      </c>
      <c r="X8" s="408">
        <v>36702.135229999993</v>
      </c>
      <c r="Y8" s="408">
        <v>0</v>
      </c>
      <c r="Z8" s="408">
        <v>0</v>
      </c>
      <c r="AA8" s="408">
        <v>0</v>
      </c>
      <c r="AB8" s="408">
        <v>0</v>
      </c>
      <c r="AC8" s="408">
        <v>0</v>
      </c>
      <c r="AD8" s="408">
        <v>5097.0058386172514</v>
      </c>
      <c r="AE8" s="408">
        <v>26477.730332141215</v>
      </c>
      <c r="AF8" s="408">
        <v>14197.112886589208</v>
      </c>
      <c r="AG8" s="408">
        <v>189.13144600467567</v>
      </c>
      <c r="AH8" s="408">
        <v>0</v>
      </c>
      <c r="AI8" s="408">
        <v>0</v>
      </c>
      <c r="AJ8" s="408">
        <v>0</v>
      </c>
      <c r="AK8" s="408">
        <v>0</v>
      </c>
      <c r="AL8" s="408">
        <v>0</v>
      </c>
      <c r="AM8" s="408"/>
      <c r="AN8" s="408">
        <v>125.23947146175918</v>
      </c>
      <c r="AO8" s="408">
        <v>391.56002872741078</v>
      </c>
      <c r="AP8" s="408">
        <v>589.81113616301536</v>
      </c>
      <c r="AQ8" s="408">
        <v>0</v>
      </c>
      <c r="AR8" s="408">
        <v>0</v>
      </c>
      <c r="AS8" s="408">
        <v>0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  <c r="AY8" s="408">
        <v>0</v>
      </c>
      <c r="AZ8" s="408">
        <v>0</v>
      </c>
      <c r="BA8" s="408"/>
      <c r="BB8" s="408">
        <v>0</v>
      </c>
      <c r="BC8" s="408">
        <v>0</v>
      </c>
      <c r="BD8" s="408">
        <v>0</v>
      </c>
      <c r="BE8" s="408">
        <v>0</v>
      </c>
      <c r="BF8" s="408">
        <v>0</v>
      </c>
      <c r="BG8" s="408">
        <v>2375.1504458095096</v>
      </c>
      <c r="BH8" s="408">
        <v>0</v>
      </c>
      <c r="BI8" s="408">
        <v>29.9</v>
      </c>
      <c r="BJ8" s="408">
        <v>164.99</v>
      </c>
      <c r="BK8" s="408">
        <v>10524.4</v>
      </c>
      <c r="BL8" s="408">
        <v>362</v>
      </c>
      <c r="BM8" s="408"/>
      <c r="BN8" s="408"/>
      <c r="BO8" s="408"/>
      <c r="BP8" s="408"/>
      <c r="BQ8" s="408"/>
      <c r="BR8" s="408"/>
      <c r="BS8" s="408"/>
      <c r="BT8" s="408">
        <v>14680.716689999997</v>
      </c>
      <c r="BU8" s="408"/>
      <c r="BV8" s="408">
        <v>16572.263332398717</v>
      </c>
      <c r="BW8" s="408"/>
      <c r="BX8" s="408"/>
      <c r="BY8" s="408"/>
      <c r="BZ8" s="408"/>
      <c r="CA8" s="408"/>
      <c r="CB8" s="408"/>
      <c r="CC8" s="408"/>
      <c r="CD8" s="408"/>
      <c r="CE8" s="408"/>
      <c r="CF8" s="408"/>
      <c r="CG8" s="408"/>
      <c r="CH8" s="408"/>
      <c r="CI8" s="408">
        <v>22021.098000000002</v>
      </c>
      <c r="CJ8" s="408">
        <v>-7644.7108099999932</v>
      </c>
      <c r="CK8" s="408"/>
      <c r="CL8" s="408"/>
      <c r="CM8" s="408"/>
      <c r="CN8" s="408"/>
      <c r="CO8" s="408">
        <v>-14309.044279999996</v>
      </c>
      <c r="CP8" s="408">
        <v>1568.4438299999988</v>
      </c>
      <c r="CQ8" s="408">
        <v>31</v>
      </c>
      <c r="CR8" s="408">
        <v>2112.9665495026857</v>
      </c>
      <c r="CS8" s="408">
        <v>47.273837331262655</v>
      </c>
      <c r="CT8" s="408">
        <v>71.209096081020107</v>
      </c>
      <c r="CU8" s="408">
        <v>0</v>
      </c>
      <c r="CV8" s="408">
        <v>0</v>
      </c>
      <c r="CW8" s="408">
        <v>0</v>
      </c>
      <c r="CX8" s="408">
        <v>0</v>
      </c>
      <c r="CY8" s="408">
        <v>0</v>
      </c>
      <c r="CZ8" s="408">
        <v>167.092276412307</v>
      </c>
      <c r="DA8" s="408">
        <v>0</v>
      </c>
      <c r="DB8" s="408">
        <v>0</v>
      </c>
      <c r="DC8" s="408">
        <v>1567.9687025650564</v>
      </c>
      <c r="DD8" s="408">
        <v>0</v>
      </c>
      <c r="DE8" s="408">
        <v>0</v>
      </c>
      <c r="DF8" s="408">
        <v>0</v>
      </c>
      <c r="DG8" s="408">
        <v>262.3182327746722</v>
      </c>
      <c r="DH8" s="408">
        <v>0</v>
      </c>
      <c r="DI8" s="408">
        <v>0</v>
      </c>
      <c r="DJ8" s="408"/>
      <c r="DK8" s="408">
        <v>0</v>
      </c>
      <c r="DL8" s="408">
        <v>0</v>
      </c>
      <c r="DM8" s="408">
        <v>0</v>
      </c>
      <c r="DN8" s="408">
        <v>0</v>
      </c>
      <c r="DO8" s="408">
        <v>0</v>
      </c>
      <c r="DP8" s="408">
        <v>-2.8955956616328251</v>
      </c>
      <c r="DQ8" s="408">
        <v>0</v>
      </c>
      <c r="DR8" s="408">
        <v>0</v>
      </c>
      <c r="DS8" s="408"/>
      <c r="DT8" s="408"/>
      <c r="DU8" s="408"/>
      <c r="DV8" s="408">
        <v>26477.730332141215</v>
      </c>
      <c r="DW8" s="408">
        <v>0</v>
      </c>
      <c r="DX8" s="408">
        <v>0</v>
      </c>
      <c r="DY8" s="408">
        <v>-14309.044279999995</v>
      </c>
      <c r="DZ8" s="408">
        <v>1568.4438299999983</v>
      </c>
      <c r="EA8" s="408">
        <v>0</v>
      </c>
      <c r="EB8" s="408">
        <v>0</v>
      </c>
      <c r="EC8" s="408">
        <v>-14853.733974402428</v>
      </c>
      <c r="ED8" s="408">
        <v>0</v>
      </c>
      <c r="EE8" s="408">
        <v>0</v>
      </c>
      <c r="EF8" s="408">
        <v>0</v>
      </c>
      <c r="EG8" s="408">
        <v>0</v>
      </c>
      <c r="EH8" s="408">
        <v>0</v>
      </c>
      <c r="EI8" s="408">
        <v>0</v>
      </c>
      <c r="EJ8" s="408">
        <v>0</v>
      </c>
      <c r="EK8" s="408">
        <v>0</v>
      </c>
      <c r="EL8" s="408">
        <v>0</v>
      </c>
      <c r="EM8" s="408">
        <v>0</v>
      </c>
      <c r="EN8" s="408">
        <v>0</v>
      </c>
      <c r="EO8" s="408">
        <v>0</v>
      </c>
      <c r="EP8" s="408">
        <v>0</v>
      </c>
      <c r="EQ8" s="408">
        <v>0</v>
      </c>
      <c r="ER8" s="408">
        <v>0</v>
      </c>
      <c r="ES8" s="408">
        <v>0</v>
      </c>
      <c r="ET8" s="408">
        <v>0</v>
      </c>
      <c r="EU8" s="408">
        <v>0</v>
      </c>
      <c r="EV8" s="408">
        <v>238</v>
      </c>
      <c r="EW8" s="408">
        <v>0</v>
      </c>
      <c r="EX8" s="408">
        <v>0</v>
      </c>
      <c r="EY8" s="408">
        <v>0</v>
      </c>
      <c r="EZ8" s="408"/>
      <c r="FA8" s="408">
        <v>0</v>
      </c>
      <c r="FB8" s="408"/>
      <c r="FC8" s="408"/>
      <c r="FD8" s="408"/>
      <c r="FE8" s="408"/>
      <c r="FF8" s="408">
        <v>0</v>
      </c>
      <c r="FG8" s="408">
        <v>0</v>
      </c>
      <c r="FH8" s="408">
        <v>0</v>
      </c>
      <c r="FI8" s="408">
        <v>0</v>
      </c>
    </row>
    <row r="9" spans="1:165" customFormat="1">
      <c r="A9" s="408">
        <v>7</v>
      </c>
      <c r="B9" s="408" t="s">
        <v>2237</v>
      </c>
      <c r="C9" s="408" t="s">
        <v>2235</v>
      </c>
      <c r="D9" s="408" t="s">
        <v>1955</v>
      </c>
      <c r="E9" s="408" t="s">
        <v>969</v>
      </c>
      <c r="F9" s="408" t="s">
        <v>2240</v>
      </c>
      <c r="G9" s="408" t="s">
        <v>1322</v>
      </c>
      <c r="H9" s="408" t="s">
        <v>1322</v>
      </c>
      <c r="I9" s="408" t="s">
        <v>1322</v>
      </c>
      <c r="J9" s="408" t="s">
        <v>2236</v>
      </c>
      <c r="K9" s="824">
        <v>44378</v>
      </c>
      <c r="L9" s="408">
        <v>0</v>
      </c>
      <c r="M9" s="408">
        <v>0</v>
      </c>
      <c r="N9" s="408">
        <v>-0.14000000000000001</v>
      </c>
      <c r="O9" s="408">
        <v>-0.14000000000000001</v>
      </c>
      <c r="P9" s="408">
        <v>-0.14000000000000001</v>
      </c>
      <c r="Q9" s="408">
        <v>-0.14000000000000001</v>
      </c>
      <c r="R9" s="408"/>
      <c r="S9" s="408">
        <v>510.28</v>
      </c>
      <c r="T9" s="408">
        <v>209.4</v>
      </c>
      <c r="U9" s="408"/>
      <c r="V9" s="408">
        <v>-100.7552</v>
      </c>
      <c r="W9" s="408">
        <v>-100.7552</v>
      </c>
      <c r="X9" s="408">
        <v>-74.792200000000008</v>
      </c>
      <c r="Y9" s="408">
        <v>0</v>
      </c>
      <c r="Z9" s="408">
        <v>0</v>
      </c>
      <c r="AA9" s="408">
        <v>0</v>
      </c>
      <c r="AB9" s="408">
        <v>0</v>
      </c>
      <c r="AC9" s="408">
        <v>0</v>
      </c>
      <c r="AD9" s="408">
        <v>-10.38676027141403</v>
      </c>
      <c r="AE9" s="408">
        <v>-53.956743664572144</v>
      </c>
      <c r="AF9" s="408">
        <v>-28.931104410743504</v>
      </c>
      <c r="AG9" s="408">
        <v>-0.38541509498631166</v>
      </c>
      <c r="AH9" s="408">
        <v>0</v>
      </c>
      <c r="AI9" s="408">
        <v>0</v>
      </c>
      <c r="AJ9" s="408">
        <v>0</v>
      </c>
      <c r="AK9" s="408">
        <v>0</v>
      </c>
      <c r="AL9" s="408">
        <v>0</v>
      </c>
      <c r="AM9" s="408"/>
      <c r="AN9" s="408">
        <v>-0.25521500421604182</v>
      </c>
      <c r="AO9" s="408">
        <v>-0.79792730850842808</v>
      </c>
      <c r="AP9" s="408">
        <v>-1.2019265958693783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  <c r="AY9" s="408">
        <v>0</v>
      </c>
      <c r="AZ9" s="408">
        <v>0</v>
      </c>
      <c r="BA9" s="408"/>
      <c r="BB9" s="408">
        <v>0</v>
      </c>
      <c r="BC9" s="408">
        <v>0</v>
      </c>
      <c r="BD9" s="408">
        <v>0</v>
      </c>
      <c r="BE9" s="408">
        <v>0</v>
      </c>
      <c r="BF9" s="408">
        <v>0</v>
      </c>
      <c r="BG9" s="408">
        <v>-4.8401196840414462</v>
      </c>
      <c r="BH9" s="408">
        <v>0</v>
      </c>
      <c r="BI9" s="408">
        <v>-0.13</v>
      </c>
      <c r="BJ9" s="408">
        <v>-0.63</v>
      </c>
      <c r="BK9" s="408">
        <v>-20.94</v>
      </c>
      <c r="BL9" s="408">
        <v>0</v>
      </c>
      <c r="BM9" s="408"/>
      <c r="BN9" s="408"/>
      <c r="BO9" s="408"/>
      <c r="BP9" s="408"/>
      <c r="BQ9" s="408"/>
      <c r="BR9" s="408"/>
      <c r="BS9" s="408"/>
      <c r="BT9" s="408">
        <v>-29.916600000000003</v>
      </c>
      <c r="BU9" s="408"/>
      <c r="BV9" s="408">
        <v>-33.771224094784948</v>
      </c>
      <c r="BW9" s="408"/>
      <c r="BX9" s="408"/>
      <c r="BY9" s="408"/>
      <c r="BZ9" s="408"/>
      <c r="CA9" s="408"/>
      <c r="CB9" s="408"/>
      <c r="CC9" s="408"/>
      <c r="CD9" s="408"/>
      <c r="CE9" s="408"/>
      <c r="CF9" s="408"/>
      <c r="CG9" s="408"/>
      <c r="CH9" s="408"/>
      <c r="CI9" s="408">
        <v>-44.875600000000006</v>
      </c>
      <c r="CJ9" s="408">
        <v>15.547800000000002</v>
      </c>
      <c r="CK9" s="408"/>
      <c r="CL9" s="408"/>
      <c r="CM9" s="408"/>
      <c r="CN9" s="408"/>
      <c r="CO9" s="408">
        <v>29.159199999999998</v>
      </c>
      <c r="CP9" s="408">
        <v>-3.1961999999999979</v>
      </c>
      <c r="CQ9" s="408">
        <v>31</v>
      </c>
      <c r="CR9" s="408">
        <v>-4.3058371338172279</v>
      </c>
      <c r="CS9" s="408">
        <v>-9.6335384148364289E-2</v>
      </c>
      <c r="CT9" s="408">
        <v>-0.14511103843237838</v>
      </c>
      <c r="CU9" s="408">
        <v>0</v>
      </c>
      <c r="CV9" s="408">
        <v>0</v>
      </c>
      <c r="CW9" s="408">
        <v>0</v>
      </c>
      <c r="CX9" s="408">
        <v>0</v>
      </c>
      <c r="CY9" s="408">
        <v>0</v>
      </c>
      <c r="CZ9" s="408">
        <v>-0.34050332160700947</v>
      </c>
      <c r="DA9" s="408">
        <v>0</v>
      </c>
      <c r="DB9" s="408">
        <v>0</v>
      </c>
      <c r="DC9" s="408">
        <v>-3.1952317776903989</v>
      </c>
      <c r="DD9" s="408">
        <v>0</v>
      </c>
      <c r="DE9" s="408">
        <v>0</v>
      </c>
      <c r="DF9" s="408">
        <v>0</v>
      </c>
      <c r="DG9" s="408">
        <v>-0.53455630323363756</v>
      </c>
      <c r="DH9" s="408">
        <v>0</v>
      </c>
      <c r="DI9" s="408">
        <v>0</v>
      </c>
      <c r="DJ9" s="408"/>
      <c r="DK9" s="408">
        <v>0</v>
      </c>
      <c r="DL9" s="408">
        <v>0</v>
      </c>
      <c r="DM9" s="408">
        <v>0</v>
      </c>
      <c r="DN9" s="408">
        <v>0</v>
      </c>
      <c r="DO9" s="408">
        <v>0</v>
      </c>
      <c r="DP9" s="408">
        <v>5.900691294574989E-3</v>
      </c>
      <c r="DQ9" s="408">
        <v>0</v>
      </c>
      <c r="DR9" s="408">
        <v>0</v>
      </c>
      <c r="DS9" s="408"/>
      <c r="DT9" s="408"/>
      <c r="DU9" s="408"/>
      <c r="DV9" s="408">
        <v>-53.956743664572144</v>
      </c>
      <c r="DW9" s="408">
        <v>0</v>
      </c>
      <c r="DX9" s="408">
        <v>0</v>
      </c>
      <c r="DY9" s="408">
        <v>29.159199999999998</v>
      </c>
      <c r="DZ9" s="408">
        <v>-3.1961999999999975</v>
      </c>
      <c r="EA9" s="408">
        <v>0</v>
      </c>
      <c r="EB9" s="408">
        <v>0</v>
      </c>
      <c r="EC9" s="408">
        <v>30.269177397946759</v>
      </c>
      <c r="ED9" s="408">
        <v>0</v>
      </c>
      <c r="EE9" s="408">
        <v>0</v>
      </c>
      <c r="EF9" s="408">
        <v>0</v>
      </c>
      <c r="EG9" s="408">
        <v>0</v>
      </c>
      <c r="EH9" s="408">
        <v>0</v>
      </c>
      <c r="EI9" s="408">
        <v>0</v>
      </c>
      <c r="EJ9" s="408">
        <v>0</v>
      </c>
      <c r="EK9" s="408">
        <v>0</v>
      </c>
      <c r="EL9" s="408">
        <v>0</v>
      </c>
      <c r="EM9" s="408">
        <v>0</v>
      </c>
      <c r="EN9" s="408">
        <v>0</v>
      </c>
      <c r="EO9" s="408">
        <v>0</v>
      </c>
      <c r="EP9" s="408">
        <v>0</v>
      </c>
      <c r="EQ9" s="408">
        <v>0</v>
      </c>
      <c r="ER9" s="408">
        <v>0</v>
      </c>
      <c r="ES9" s="408">
        <v>0</v>
      </c>
      <c r="ET9" s="408">
        <v>0</v>
      </c>
      <c r="EU9" s="408">
        <v>0</v>
      </c>
      <c r="EV9" s="408">
        <v>238</v>
      </c>
      <c r="EW9" s="408">
        <v>0</v>
      </c>
      <c r="EX9" s="408">
        <v>0</v>
      </c>
      <c r="EY9" s="408">
        <v>0</v>
      </c>
      <c r="EZ9" s="408"/>
      <c r="FA9" s="408">
        <v>0</v>
      </c>
      <c r="FB9" s="408"/>
      <c r="FC9" s="408"/>
      <c r="FD9" s="408"/>
      <c r="FE9" s="408"/>
      <c r="FF9" s="408">
        <v>0</v>
      </c>
      <c r="FG9" s="408">
        <v>0</v>
      </c>
      <c r="FH9" s="408">
        <v>0</v>
      </c>
      <c r="FI9" s="408">
        <v>0</v>
      </c>
    </row>
    <row r="10" spans="1:165" customFormat="1">
      <c r="A10" s="408">
        <v>8</v>
      </c>
      <c r="B10" s="408" t="s">
        <v>1036</v>
      </c>
      <c r="C10" s="408" t="s">
        <v>2235</v>
      </c>
      <c r="D10" s="408" t="s">
        <v>1955</v>
      </c>
      <c r="E10" s="408" t="s">
        <v>969</v>
      </c>
      <c r="F10" s="408" t="s">
        <v>2241</v>
      </c>
      <c r="G10" s="408" t="s">
        <v>1322</v>
      </c>
      <c r="H10" s="408" t="s">
        <v>1322</v>
      </c>
      <c r="I10" s="408" t="s">
        <v>1322</v>
      </c>
      <c r="J10" s="408" t="s">
        <v>2236</v>
      </c>
      <c r="K10" s="824">
        <v>44378</v>
      </c>
      <c r="L10" s="408">
        <v>0</v>
      </c>
      <c r="M10" s="408">
        <v>0</v>
      </c>
      <c r="N10" s="408">
        <v>48.045000000000002</v>
      </c>
      <c r="O10" s="408">
        <v>48.045000000000002</v>
      </c>
      <c r="P10" s="408">
        <v>48.045000000000002</v>
      </c>
      <c r="Q10" s="408">
        <v>48.045000000000002</v>
      </c>
      <c r="R10" s="408"/>
      <c r="S10" s="408">
        <v>510.28</v>
      </c>
      <c r="T10" s="408">
        <v>209.4</v>
      </c>
      <c r="U10" s="408"/>
      <c r="V10" s="408">
        <v>34577.025600000001</v>
      </c>
      <c r="W10" s="408">
        <v>34577.025600000001</v>
      </c>
      <c r="X10" s="408">
        <v>25667.08035</v>
      </c>
      <c r="Y10" s="408">
        <v>0</v>
      </c>
      <c r="Z10" s="408">
        <v>0</v>
      </c>
      <c r="AA10" s="408">
        <v>0</v>
      </c>
      <c r="AB10" s="408">
        <v>0</v>
      </c>
      <c r="AC10" s="408">
        <v>0</v>
      </c>
      <c r="AD10" s="408">
        <v>3564.5135517149074</v>
      </c>
      <c r="AE10" s="408">
        <v>18516.798209745488</v>
      </c>
      <c r="AF10" s="408">
        <v>9928.535081529797</v>
      </c>
      <c r="AG10" s="408">
        <v>132.26620170440958</v>
      </c>
      <c r="AH10" s="408">
        <v>0</v>
      </c>
      <c r="AI10" s="408">
        <v>0</v>
      </c>
      <c r="AJ10" s="408">
        <v>0</v>
      </c>
      <c r="AK10" s="408">
        <v>0</v>
      </c>
      <c r="AL10" s="408">
        <v>0</v>
      </c>
      <c r="AM10" s="408"/>
      <c r="AN10" s="408">
        <v>87.584320553998054</v>
      </c>
      <c r="AO10" s="408">
        <v>273.83155383776733</v>
      </c>
      <c r="AP10" s="408">
        <v>412.47545213245917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  <c r="AY10" s="408">
        <v>0</v>
      </c>
      <c r="AZ10" s="408">
        <v>0</v>
      </c>
      <c r="BA10" s="408"/>
      <c r="BB10" s="408">
        <v>0</v>
      </c>
      <c r="BC10" s="408">
        <v>0</v>
      </c>
      <c r="BD10" s="408">
        <v>0</v>
      </c>
      <c r="BE10" s="408">
        <v>0</v>
      </c>
      <c r="BF10" s="408">
        <v>0</v>
      </c>
      <c r="BG10" s="408">
        <v>1661.025358712652</v>
      </c>
      <c r="BH10" s="408">
        <v>0</v>
      </c>
      <c r="BI10" s="408">
        <v>41.34</v>
      </c>
      <c r="BJ10" s="408">
        <v>194.42</v>
      </c>
      <c r="BK10" s="408">
        <v>12751.09</v>
      </c>
      <c r="BL10" s="408">
        <v>625</v>
      </c>
      <c r="BM10" s="408"/>
      <c r="BN10" s="408"/>
      <c r="BO10" s="408"/>
      <c r="BP10" s="408"/>
      <c r="BQ10" s="408"/>
      <c r="BR10" s="408"/>
      <c r="BS10" s="408"/>
      <c r="BT10" s="408">
        <v>2567.0443499999992</v>
      </c>
      <c r="BU10" s="408"/>
      <c r="BV10" s="408">
        <v>11589.560440242449</v>
      </c>
      <c r="BW10" s="408"/>
      <c r="BX10" s="408"/>
      <c r="BY10" s="408"/>
      <c r="BZ10" s="408"/>
      <c r="CA10" s="408"/>
      <c r="CB10" s="408"/>
      <c r="CC10" s="408"/>
      <c r="CD10" s="408"/>
      <c r="CE10" s="408"/>
      <c r="CF10" s="408"/>
      <c r="CG10" s="408"/>
      <c r="CH10" s="408"/>
      <c r="CI10" s="408">
        <v>23102.44</v>
      </c>
      <c r="CJ10" s="408">
        <v>-8016.8169500000004</v>
      </c>
      <c r="CK10" s="408"/>
      <c r="CL10" s="408"/>
      <c r="CM10" s="408"/>
      <c r="CN10" s="408"/>
      <c r="CO10" s="408">
        <v>-10006.812599999999</v>
      </c>
      <c r="CP10" s="408">
        <v>1096.8673499999993</v>
      </c>
      <c r="CQ10" s="408">
        <v>31</v>
      </c>
      <c r="CR10" s="408">
        <v>1477.6710363874827</v>
      </c>
      <c r="CS10" s="408">
        <v>33.060239510058295</v>
      </c>
      <c r="CT10" s="408">
        <v>49.798998867740067</v>
      </c>
      <c r="CU10" s="408">
        <v>0</v>
      </c>
      <c r="CV10" s="408">
        <v>0</v>
      </c>
      <c r="CW10" s="408">
        <v>0</v>
      </c>
      <c r="CX10" s="408">
        <v>0</v>
      </c>
      <c r="CY10" s="408">
        <v>0</v>
      </c>
      <c r="CZ10" s="408">
        <v>116.85344347577666</v>
      </c>
      <c r="DA10" s="408">
        <v>0</v>
      </c>
      <c r="DB10" s="408">
        <v>0</v>
      </c>
      <c r="DC10" s="408">
        <v>1096.5350768509652</v>
      </c>
      <c r="DD10" s="408">
        <v>0</v>
      </c>
      <c r="DE10" s="408">
        <v>0</v>
      </c>
      <c r="DF10" s="408">
        <v>0</v>
      </c>
      <c r="DG10" s="408">
        <v>183.44826849185802</v>
      </c>
      <c r="DH10" s="408">
        <v>0</v>
      </c>
      <c r="DI10" s="408">
        <v>0</v>
      </c>
      <c r="DJ10" s="408"/>
      <c r="DK10" s="408">
        <v>0</v>
      </c>
      <c r="DL10" s="408">
        <v>0</v>
      </c>
      <c r="DM10" s="408">
        <v>0</v>
      </c>
      <c r="DN10" s="408">
        <v>0</v>
      </c>
      <c r="DO10" s="408">
        <v>0</v>
      </c>
      <c r="DP10" s="408">
        <v>-2.0249908089132447</v>
      </c>
      <c r="DQ10" s="408">
        <v>0</v>
      </c>
      <c r="DR10" s="408">
        <v>0</v>
      </c>
      <c r="DS10" s="408"/>
      <c r="DT10" s="408"/>
      <c r="DU10" s="408"/>
      <c r="DV10" s="408">
        <v>18516.798209745488</v>
      </c>
      <c r="DW10" s="408">
        <v>0</v>
      </c>
      <c r="DX10" s="408">
        <v>0</v>
      </c>
      <c r="DY10" s="408">
        <v>-10006.812600000001</v>
      </c>
      <c r="DZ10" s="408">
        <v>1096.8673499999986</v>
      </c>
      <c r="EA10" s="408">
        <v>0</v>
      </c>
      <c r="EB10" s="408">
        <v>0</v>
      </c>
      <c r="EC10" s="408">
        <v>-10387.73305774537</v>
      </c>
      <c r="ED10" s="408">
        <v>0</v>
      </c>
      <c r="EE10" s="408">
        <v>0</v>
      </c>
      <c r="EF10" s="408">
        <v>0</v>
      </c>
      <c r="EG10" s="408">
        <v>0</v>
      </c>
      <c r="EH10" s="408">
        <v>0</v>
      </c>
      <c r="EI10" s="408">
        <v>0</v>
      </c>
      <c r="EJ10" s="408">
        <v>0</v>
      </c>
      <c r="EK10" s="408">
        <v>0</v>
      </c>
      <c r="EL10" s="408">
        <v>0</v>
      </c>
      <c r="EM10" s="408">
        <v>0</v>
      </c>
      <c r="EN10" s="408">
        <v>0</v>
      </c>
      <c r="EO10" s="408">
        <v>0</v>
      </c>
      <c r="EP10" s="408">
        <v>0</v>
      </c>
      <c r="EQ10" s="408">
        <v>0</v>
      </c>
      <c r="ER10" s="408">
        <v>0</v>
      </c>
      <c r="ES10" s="408">
        <v>0</v>
      </c>
      <c r="ET10" s="408">
        <v>0</v>
      </c>
      <c r="EU10" s="408">
        <v>0</v>
      </c>
      <c r="EV10" s="408">
        <v>238</v>
      </c>
      <c r="EW10" s="408">
        <v>0</v>
      </c>
      <c r="EX10" s="408">
        <v>0</v>
      </c>
      <c r="EY10" s="408">
        <v>0</v>
      </c>
      <c r="EZ10" s="408"/>
      <c r="FA10" s="408">
        <v>0</v>
      </c>
      <c r="FB10" s="408"/>
      <c r="FC10" s="408"/>
      <c r="FD10" s="408"/>
      <c r="FE10" s="408"/>
      <c r="FF10" s="408">
        <v>0</v>
      </c>
      <c r="FG10" s="408">
        <v>0</v>
      </c>
      <c r="FH10" s="408">
        <v>0</v>
      </c>
      <c r="FI10" s="408">
        <v>0</v>
      </c>
    </row>
    <row r="11" spans="1:165" customFormat="1">
      <c r="A11" s="408">
        <v>9</v>
      </c>
      <c r="B11" s="408" t="s">
        <v>2237</v>
      </c>
      <c r="C11" s="408" t="s">
        <v>2235</v>
      </c>
      <c r="D11" s="408" t="s">
        <v>1955</v>
      </c>
      <c r="E11" s="408" t="s">
        <v>969</v>
      </c>
      <c r="F11" s="408" t="s">
        <v>2241</v>
      </c>
      <c r="G11" s="408" t="s">
        <v>1322</v>
      </c>
      <c r="H11" s="408" t="s">
        <v>1322</v>
      </c>
      <c r="I11" s="408" t="s">
        <v>1322</v>
      </c>
      <c r="J11" s="408" t="s">
        <v>2236</v>
      </c>
      <c r="K11" s="824">
        <v>44378</v>
      </c>
      <c r="L11" s="408">
        <v>0</v>
      </c>
      <c r="M11" s="408">
        <v>0</v>
      </c>
      <c r="N11" s="408">
        <v>-0.16800000000000001</v>
      </c>
      <c r="O11" s="408">
        <v>-0.16800000000000001</v>
      </c>
      <c r="P11" s="408">
        <v>-0.16800000000000001</v>
      </c>
      <c r="Q11" s="408">
        <v>-0.16800000000000001</v>
      </c>
      <c r="R11" s="408"/>
      <c r="S11" s="408">
        <v>510.28</v>
      </c>
      <c r="T11" s="408">
        <v>209.4</v>
      </c>
      <c r="U11" s="408"/>
      <c r="V11" s="408">
        <v>-120.90624</v>
      </c>
      <c r="W11" s="408">
        <v>-120.90624</v>
      </c>
      <c r="X11" s="408">
        <v>-89.750640000000004</v>
      </c>
      <c r="Y11" s="408">
        <v>0</v>
      </c>
      <c r="Z11" s="408">
        <v>0</v>
      </c>
      <c r="AA11" s="408">
        <v>0</v>
      </c>
      <c r="AB11" s="408">
        <v>0</v>
      </c>
      <c r="AC11" s="408">
        <v>0</v>
      </c>
      <c r="AD11" s="408">
        <v>-12.464112325696837</v>
      </c>
      <c r="AE11" s="408">
        <v>-64.748092397486573</v>
      </c>
      <c r="AF11" s="408">
        <v>-34.717325292892205</v>
      </c>
      <c r="AG11" s="408">
        <v>-0.46249811398357399</v>
      </c>
      <c r="AH11" s="408">
        <v>0</v>
      </c>
      <c r="AI11" s="408">
        <v>0</v>
      </c>
      <c r="AJ11" s="408">
        <v>0</v>
      </c>
      <c r="AK11" s="408">
        <v>0</v>
      </c>
      <c r="AL11" s="408">
        <v>0</v>
      </c>
      <c r="AM11" s="408"/>
      <c r="AN11" s="408">
        <v>-0.30625800505925016</v>
      </c>
      <c r="AO11" s="408">
        <v>-0.95751277021011372</v>
      </c>
      <c r="AP11" s="408">
        <v>-1.442311915043254</v>
      </c>
      <c r="AQ11" s="408">
        <v>0</v>
      </c>
      <c r="AR11" s="408">
        <v>0</v>
      </c>
      <c r="AS11" s="408">
        <v>0</v>
      </c>
      <c r="AT11" s="408">
        <v>0</v>
      </c>
      <c r="AU11" s="408">
        <v>0</v>
      </c>
      <c r="AV11" s="408">
        <v>0</v>
      </c>
      <c r="AW11" s="408">
        <v>0</v>
      </c>
      <c r="AX11" s="408">
        <v>0</v>
      </c>
      <c r="AY11" s="408">
        <v>0</v>
      </c>
      <c r="AZ11" s="408">
        <v>0</v>
      </c>
      <c r="BA11" s="408"/>
      <c r="BB11" s="408">
        <v>0</v>
      </c>
      <c r="BC11" s="408">
        <v>0</v>
      </c>
      <c r="BD11" s="408">
        <v>0</v>
      </c>
      <c r="BE11" s="408">
        <v>0</v>
      </c>
      <c r="BF11" s="408">
        <v>0</v>
      </c>
      <c r="BG11" s="408">
        <v>-5.8081436208497355</v>
      </c>
      <c r="BH11" s="408">
        <v>0</v>
      </c>
      <c r="BI11" s="408">
        <v>-0.26</v>
      </c>
      <c r="BJ11" s="408">
        <v>-1.23</v>
      </c>
      <c r="BK11" s="408">
        <v>-41.1</v>
      </c>
      <c r="BL11" s="408">
        <v>0</v>
      </c>
      <c r="BM11" s="408"/>
      <c r="BN11" s="408"/>
      <c r="BO11" s="408"/>
      <c r="BP11" s="408"/>
      <c r="BQ11" s="408"/>
      <c r="BR11" s="408"/>
      <c r="BS11" s="408"/>
      <c r="BT11" s="408">
        <v>-8.9762399999999971</v>
      </c>
      <c r="BU11" s="408"/>
      <c r="BV11" s="408">
        <v>-40.525468913741939</v>
      </c>
      <c r="BW11" s="408"/>
      <c r="BX11" s="408"/>
      <c r="BY11" s="408"/>
      <c r="BZ11" s="408"/>
      <c r="CA11" s="408"/>
      <c r="CB11" s="408"/>
      <c r="CC11" s="408"/>
      <c r="CD11" s="408"/>
      <c r="CE11" s="408"/>
      <c r="CF11" s="408"/>
      <c r="CG11" s="408"/>
      <c r="CH11" s="408"/>
      <c r="CI11" s="408">
        <v>-81.736000000000004</v>
      </c>
      <c r="CJ11" s="408">
        <v>27.049279999999996</v>
      </c>
      <c r="CK11" s="408"/>
      <c r="CL11" s="408"/>
      <c r="CM11" s="408"/>
      <c r="CN11" s="408"/>
      <c r="CO11" s="408">
        <v>34.991039999999998</v>
      </c>
      <c r="CP11" s="408">
        <v>-3.8354399999999975</v>
      </c>
      <c r="CQ11" s="408">
        <v>31</v>
      </c>
      <c r="CR11" s="408">
        <v>-5.1670045605806436</v>
      </c>
      <c r="CS11" s="408">
        <v>-0.11560246097803717</v>
      </c>
      <c r="CT11" s="408">
        <v>-0.17413324611885406</v>
      </c>
      <c r="CU11" s="408">
        <v>0</v>
      </c>
      <c r="CV11" s="408">
        <v>0</v>
      </c>
      <c r="CW11" s="408">
        <v>0</v>
      </c>
      <c r="CX11" s="408">
        <v>0</v>
      </c>
      <c r="CY11" s="408">
        <v>0</v>
      </c>
      <c r="CZ11" s="408">
        <v>-0.40860398592840852</v>
      </c>
      <c r="DA11" s="408">
        <v>0</v>
      </c>
      <c r="DB11" s="408">
        <v>0</v>
      </c>
      <c r="DC11" s="408">
        <v>-3.834278133228473</v>
      </c>
      <c r="DD11" s="408">
        <v>0</v>
      </c>
      <c r="DE11" s="408">
        <v>0</v>
      </c>
      <c r="DF11" s="408">
        <v>0</v>
      </c>
      <c r="DG11" s="408">
        <v>-0.64146756388036508</v>
      </c>
      <c r="DH11" s="408">
        <v>0</v>
      </c>
      <c r="DI11" s="408">
        <v>0</v>
      </c>
      <c r="DJ11" s="408"/>
      <c r="DK11" s="408">
        <v>0</v>
      </c>
      <c r="DL11" s="408">
        <v>0</v>
      </c>
      <c r="DM11" s="408">
        <v>0</v>
      </c>
      <c r="DN11" s="408">
        <v>0</v>
      </c>
      <c r="DO11" s="408">
        <v>0</v>
      </c>
      <c r="DP11" s="408">
        <v>7.0808295534899868E-3</v>
      </c>
      <c r="DQ11" s="408">
        <v>0</v>
      </c>
      <c r="DR11" s="408">
        <v>0</v>
      </c>
      <c r="DS11" s="408"/>
      <c r="DT11" s="408"/>
      <c r="DU11" s="408"/>
      <c r="DV11" s="408">
        <v>-64.748092397486573</v>
      </c>
      <c r="DW11" s="408">
        <v>0</v>
      </c>
      <c r="DX11" s="408">
        <v>0</v>
      </c>
      <c r="DY11" s="408">
        <v>34.991039999999998</v>
      </c>
      <c r="DZ11" s="408">
        <v>-3.8354399999999984</v>
      </c>
      <c r="EA11" s="408">
        <v>0</v>
      </c>
      <c r="EB11" s="408">
        <v>0</v>
      </c>
      <c r="EC11" s="408">
        <v>36.323012877536115</v>
      </c>
      <c r="ED11" s="408">
        <v>0</v>
      </c>
      <c r="EE11" s="408">
        <v>0</v>
      </c>
      <c r="EF11" s="408">
        <v>0</v>
      </c>
      <c r="EG11" s="408">
        <v>0</v>
      </c>
      <c r="EH11" s="408">
        <v>0</v>
      </c>
      <c r="EI11" s="408">
        <v>0</v>
      </c>
      <c r="EJ11" s="408">
        <v>0</v>
      </c>
      <c r="EK11" s="408">
        <v>0</v>
      </c>
      <c r="EL11" s="408">
        <v>0</v>
      </c>
      <c r="EM11" s="408">
        <v>0</v>
      </c>
      <c r="EN11" s="408">
        <v>0</v>
      </c>
      <c r="EO11" s="408">
        <v>0</v>
      </c>
      <c r="EP11" s="408">
        <v>0</v>
      </c>
      <c r="EQ11" s="408">
        <v>0</v>
      </c>
      <c r="ER11" s="408">
        <v>0</v>
      </c>
      <c r="ES11" s="408">
        <v>0</v>
      </c>
      <c r="ET11" s="408">
        <v>0</v>
      </c>
      <c r="EU11" s="408">
        <v>0</v>
      </c>
      <c r="EV11" s="408">
        <v>238</v>
      </c>
      <c r="EW11" s="408">
        <v>0</v>
      </c>
      <c r="EX11" s="408">
        <v>0</v>
      </c>
      <c r="EY11" s="408">
        <v>0</v>
      </c>
      <c r="EZ11" s="408"/>
      <c r="FA11" s="408">
        <v>0</v>
      </c>
      <c r="FB11" s="408"/>
      <c r="FC11" s="408"/>
      <c r="FD11" s="408"/>
      <c r="FE11" s="408"/>
      <c r="FF11" s="408">
        <v>0</v>
      </c>
      <c r="FG11" s="408">
        <v>0</v>
      </c>
      <c r="FH11" s="408">
        <v>0</v>
      </c>
      <c r="FI11" s="408">
        <v>0</v>
      </c>
    </row>
    <row r="12" spans="1:165" customFormat="1">
      <c r="A12" s="408">
        <v>10</v>
      </c>
      <c r="B12" s="408" t="s">
        <v>1036</v>
      </c>
      <c r="C12" s="408" t="s">
        <v>2235</v>
      </c>
      <c r="D12" s="408" t="s">
        <v>1955</v>
      </c>
      <c r="E12" s="408" t="s">
        <v>969</v>
      </c>
      <c r="F12" s="408" t="s">
        <v>2242</v>
      </c>
      <c r="G12" s="408" t="s">
        <v>1322</v>
      </c>
      <c r="H12" s="408" t="s">
        <v>1322</v>
      </c>
      <c r="I12" s="408" t="s">
        <v>1322</v>
      </c>
      <c r="J12" s="408" t="s">
        <v>2236</v>
      </c>
      <c r="K12" s="824">
        <v>44378</v>
      </c>
      <c r="L12" s="408">
        <v>0</v>
      </c>
      <c r="M12" s="408">
        <v>0</v>
      </c>
      <c r="N12" s="408">
        <v>9.2569999999999997</v>
      </c>
      <c r="O12" s="408">
        <v>9.2569999999999997</v>
      </c>
      <c r="P12" s="408">
        <v>9.2569999999999997</v>
      </c>
      <c r="Q12" s="408">
        <v>9.2569999999999997</v>
      </c>
      <c r="R12" s="408"/>
      <c r="S12" s="408">
        <v>510.28</v>
      </c>
      <c r="T12" s="408">
        <v>209.4</v>
      </c>
      <c r="U12" s="408"/>
      <c r="V12" s="408">
        <v>6662.0777599999992</v>
      </c>
      <c r="W12" s="408">
        <v>6662.0777599999992</v>
      </c>
      <c r="X12" s="408">
        <v>4945.3671099999992</v>
      </c>
      <c r="Y12" s="408">
        <v>0</v>
      </c>
      <c r="Z12" s="408">
        <v>0</v>
      </c>
      <c r="AA12" s="408">
        <v>0</v>
      </c>
      <c r="AB12" s="408">
        <v>0</v>
      </c>
      <c r="AC12" s="408">
        <v>0</v>
      </c>
      <c r="AD12" s="408">
        <v>686.7874273748547</v>
      </c>
      <c r="AE12" s="408">
        <v>3567.6969721638875</v>
      </c>
      <c r="AF12" s="408">
        <v>1912.9659537875184</v>
      </c>
      <c r="AG12" s="408">
        <v>25.484196673487762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/>
      <c r="AN12" s="408">
        <v>16.875180671627849</v>
      </c>
      <c r="AO12" s="408">
        <v>52.76009353473227</v>
      </c>
      <c r="AP12" s="408">
        <v>79.47310355687739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  <c r="AY12" s="408">
        <v>0</v>
      </c>
      <c r="AZ12" s="408">
        <v>0</v>
      </c>
      <c r="BA12" s="408"/>
      <c r="BB12" s="408">
        <v>0</v>
      </c>
      <c r="BC12" s="408">
        <v>0</v>
      </c>
      <c r="BD12" s="408">
        <v>0</v>
      </c>
      <c r="BE12" s="408">
        <v>0</v>
      </c>
      <c r="BF12" s="408">
        <v>0</v>
      </c>
      <c r="BG12" s="408">
        <v>320.03562796551188</v>
      </c>
      <c r="BH12" s="408">
        <v>0</v>
      </c>
      <c r="BI12" s="408">
        <v>10.94</v>
      </c>
      <c r="BJ12" s="408">
        <v>51.34</v>
      </c>
      <c r="BK12" s="408">
        <v>3372.57</v>
      </c>
      <c r="BL12" s="408">
        <v>141</v>
      </c>
      <c r="BM12" s="408"/>
      <c r="BN12" s="408"/>
      <c r="BO12" s="408"/>
      <c r="BP12" s="408"/>
      <c r="BQ12" s="408"/>
      <c r="BR12" s="408"/>
      <c r="BS12" s="408"/>
      <c r="BT12" s="408"/>
      <c r="BU12" s="408"/>
      <c r="BV12" s="408">
        <v>2233.0015817530302</v>
      </c>
      <c r="BW12" s="408"/>
      <c r="BX12" s="408"/>
      <c r="BY12" s="408"/>
      <c r="BZ12" s="408"/>
      <c r="CA12" s="408"/>
      <c r="CB12" s="408"/>
      <c r="CC12" s="408"/>
      <c r="CD12" s="408"/>
      <c r="CE12" s="408"/>
      <c r="CF12" s="408"/>
      <c r="CG12" s="408"/>
      <c r="CH12" s="408"/>
      <c r="CI12" s="408">
        <v>4946.9697999999999</v>
      </c>
      <c r="CJ12" s="408">
        <v>-1715.13796</v>
      </c>
      <c r="CK12" s="408"/>
      <c r="CL12" s="408"/>
      <c r="CM12" s="408"/>
      <c r="CN12" s="408"/>
      <c r="CO12" s="408">
        <v>-1928.0479599999996</v>
      </c>
      <c r="CP12" s="408">
        <v>211.33730999999983</v>
      </c>
      <c r="CQ12" s="408">
        <v>31</v>
      </c>
      <c r="CR12" s="408">
        <v>284.70810248389944</v>
      </c>
      <c r="CS12" s="408">
        <v>6.3698332218671965</v>
      </c>
      <c r="CT12" s="408">
        <v>9.594949162632318</v>
      </c>
      <c r="CU12" s="408">
        <v>0</v>
      </c>
      <c r="CV12" s="408">
        <v>0</v>
      </c>
      <c r="CW12" s="408">
        <v>0</v>
      </c>
      <c r="CX12" s="408">
        <v>0</v>
      </c>
      <c r="CY12" s="408">
        <v>0</v>
      </c>
      <c r="CZ12" s="408">
        <v>22.514566057972047</v>
      </c>
      <c r="DA12" s="408">
        <v>0</v>
      </c>
      <c r="DB12" s="408">
        <v>0</v>
      </c>
      <c r="DC12" s="408">
        <v>211.27328975771456</v>
      </c>
      <c r="DD12" s="408">
        <v>0</v>
      </c>
      <c r="DE12" s="408">
        <v>0</v>
      </c>
      <c r="DF12" s="408">
        <v>0</v>
      </c>
      <c r="DG12" s="408">
        <v>35.345626421669863</v>
      </c>
      <c r="DH12" s="408">
        <v>0</v>
      </c>
      <c r="DI12" s="408">
        <v>0</v>
      </c>
      <c r="DJ12" s="408"/>
      <c r="DK12" s="408">
        <v>0</v>
      </c>
      <c r="DL12" s="408">
        <v>0</v>
      </c>
      <c r="DM12" s="408">
        <v>0</v>
      </c>
      <c r="DN12" s="408">
        <v>0</v>
      </c>
      <c r="DO12" s="408">
        <v>0</v>
      </c>
      <c r="DP12" s="408">
        <v>-0.39016213795628829</v>
      </c>
      <c r="DQ12" s="408">
        <v>0</v>
      </c>
      <c r="DR12" s="408">
        <v>0</v>
      </c>
      <c r="DS12" s="408"/>
      <c r="DT12" s="408"/>
      <c r="DU12" s="408"/>
      <c r="DV12" s="408">
        <v>3567.6969721638875</v>
      </c>
      <c r="DW12" s="408">
        <v>0</v>
      </c>
      <c r="DX12" s="408">
        <v>0</v>
      </c>
      <c r="DY12" s="408">
        <v>-1928.0479599999994</v>
      </c>
      <c r="DZ12" s="408">
        <v>211.33730999999966</v>
      </c>
      <c r="EA12" s="408">
        <v>0</v>
      </c>
      <c r="EB12" s="408">
        <v>0</v>
      </c>
      <c r="EC12" s="408">
        <v>-2001.4412512342365</v>
      </c>
      <c r="ED12" s="408">
        <v>0</v>
      </c>
      <c r="EE12" s="408">
        <v>0</v>
      </c>
      <c r="EF12" s="408">
        <v>0</v>
      </c>
      <c r="EG12" s="408">
        <v>0</v>
      </c>
      <c r="EH12" s="408">
        <v>0</v>
      </c>
      <c r="EI12" s="408">
        <v>0</v>
      </c>
      <c r="EJ12" s="408">
        <v>0</v>
      </c>
      <c r="EK12" s="408">
        <v>0</v>
      </c>
      <c r="EL12" s="408">
        <v>0</v>
      </c>
      <c r="EM12" s="408">
        <v>0</v>
      </c>
      <c r="EN12" s="408">
        <v>0</v>
      </c>
      <c r="EO12" s="408">
        <v>0</v>
      </c>
      <c r="EP12" s="408">
        <v>0</v>
      </c>
      <c r="EQ12" s="408">
        <v>0</v>
      </c>
      <c r="ER12" s="408">
        <v>0</v>
      </c>
      <c r="ES12" s="408">
        <v>0</v>
      </c>
      <c r="ET12" s="408">
        <v>0</v>
      </c>
      <c r="EU12" s="408">
        <v>0</v>
      </c>
      <c r="EV12" s="408">
        <v>238</v>
      </c>
      <c r="EW12" s="408">
        <v>0</v>
      </c>
      <c r="EX12" s="408">
        <v>0</v>
      </c>
      <c r="EY12" s="408">
        <v>0</v>
      </c>
      <c r="EZ12" s="408"/>
      <c r="FA12" s="408">
        <v>0</v>
      </c>
      <c r="FB12" s="408"/>
      <c r="FC12" s="408"/>
      <c r="FD12" s="408"/>
      <c r="FE12" s="408"/>
      <c r="FF12" s="408">
        <v>0</v>
      </c>
      <c r="FG12" s="408">
        <v>0</v>
      </c>
      <c r="FH12" s="408">
        <v>0</v>
      </c>
      <c r="FI12" s="408">
        <v>0</v>
      </c>
    </row>
    <row r="13" spans="1:165" customFormat="1">
      <c r="A13" s="408">
        <v>11</v>
      </c>
      <c r="B13" s="408" t="s">
        <v>1036</v>
      </c>
      <c r="C13" s="408" t="s">
        <v>2321</v>
      </c>
      <c r="D13" s="408" t="s">
        <v>1955</v>
      </c>
      <c r="E13" s="408" t="s">
        <v>969</v>
      </c>
      <c r="F13" s="408" t="s">
        <v>969</v>
      </c>
      <c r="G13" s="408" t="s">
        <v>1322</v>
      </c>
      <c r="H13" s="408" t="s">
        <v>1322</v>
      </c>
      <c r="I13" s="408" t="s">
        <v>973</v>
      </c>
      <c r="J13" s="408" t="s">
        <v>2236</v>
      </c>
      <c r="K13" s="824">
        <v>44378</v>
      </c>
      <c r="L13" s="408">
        <v>0</v>
      </c>
      <c r="M13" s="408">
        <v>0</v>
      </c>
      <c r="N13" s="408">
        <v>4.8000000000000001E-2</v>
      </c>
      <c r="O13" s="408">
        <v>4.8000000000000001E-2</v>
      </c>
      <c r="P13" s="408">
        <v>4.8000000000000001E-2</v>
      </c>
      <c r="Q13" s="408">
        <v>4.8000000000000001E-2</v>
      </c>
      <c r="R13" s="408"/>
      <c r="S13" s="408">
        <v>1292.1099999999999</v>
      </c>
      <c r="T13" s="408">
        <v>209.4</v>
      </c>
      <c r="U13" s="408"/>
      <c r="V13" s="408">
        <v>72.072479999999999</v>
      </c>
      <c r="W13" s="408">
        <v>72.072479999999999</v>
      </c>
      <c r="X13" s="408">
        <v>47.845439999999996</v>
      </c>
      <c r="Y13" s="408">
        <v>0</v>
      </c>
      <c r="Z13" s="408">
        <v>2.9538195588805056</v>
      </c>
      <c r="AA13" s="408">
        <v>0</v>
      </c>
      <c r="AB13" s="408">
        <v>0</v>
      </c>
      <c r="AC13" s="408">
        <v>0</v>
      </c>
      <c r="AD13" s="408">
        <v>8.9013532229398091</v>
      </c>
      <c r="AE13" s="408">
        <v>46.248653779350676</v>
      </c>
      <c r="AF13" s="408">
        <v>9.9192357979692005</v>
      </c>
      <c r="AG13" s="408">
        <v>0.13214231828102113</v>
      </c>
      <c r="AH13" s="408">
        <v>0</v>
      </c>
      <c r="AI13" s="408">
        <v>0</v>
      </c>
      <c r="AJ13" s="408">
        <v>0</v>
      </c>
      <c r="AK13" s="408">
        <v>0</v>
      </c>
      <c r="AL13" s="408">
        <v>0.45646087896598181</v>
      </c>
      <c r="AM13" s="408"/>
      <c r="AN13" s="408">
        <v>8.7502287159785766E-2</v>
      </c>
      <c r="AO13" s="408">
        <v>0.68394385308191519</v>
      </c>
      <c r="AP13" s="408">
        <v>1.0302227964594672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  <c r="AY13" s="408">
        <v>0</v>
      </c>
      <c r="AZ13" s="408">
        <v>0</v>
      </c>
      <c r="BA13" s="408"/>
      <c r="BB13" s="408">
        <v>0</v>
      </c>
      <c r="BC13" s="408">
        <v>0</v>
      </c>
      <c r="BD13" s="408">
        <v>0</v>
      </c>
      <c r="BE13" s="408">
        <v>0</v>
      </c>
      <c r="BF13" s="408">
        <v>0</v>
      </c>
      <c r="BG13" s="408">
        <v>1.6594696059570673</v>
      </c>
      <c r="BH13" s="408">
        <v>0</v>
      </c>
      <c r="BI13" s="408">
        <v>0</v>
      </c>
      <c r="BJ13" s="408">
        <v>0</v>
      </c>
      <c r="BK13" s="408">
        <v>0</v>
      </c>
      <c r="BL13" s="408">
        <v>0</v>
      </c>
      <c r="BM13" s="408"/>
      <c r="BN13" s="408"/>
      <c r="BO13" s="408"/>
      <c r="BP13" s="408"/>
      <c r="BQ13" s="408"/>
      <c r="BR13" s="408"/>
      <c r="BS13" s="408"/>
      <c r="BT13" s="408"/>
      <c r="BU13" s="408"/>
      <c r="BV13" s="408">
        <v>11.578705403926268</v>
      </c>
      <c r="BW13" s="408"/>
      <c r="BX13" s="408"/>
      <c r="BY13" s="408"/>
      <c r="BZ13" s="408"/>
      <c r="CA13" s="408"/>
      <c r="CB13" s="408"/>
      <c r="CC13" s="408"/>
      <c r="CD13" s="408"/>
      <c r="CE13" s="408"/>
      <c r="CF13" s="408"/>
      <c r="CG13" s="408"/>
      <c r="CH13" s="408"/>
      <c r="CI13" s="408">
        <v>49.838999999999999</v>
      </c>
      <c r="CJ13" s="408">
        <v>-22.263480000000001</v>
      </c>
      <c r="CK13" s="408"/>
      <c r="CL13" s="408"/>
      <c r="CM13" s="408"/>
      <c r="CN13" s="408"/>
      <c r="CO13" s="408">
        <v>-25.322879999999998</v>
      </c>
      <c r="CP13" s="408">
        <v>1.0958399999999993</v>
      </c>
      <c r="CQ13" s="408">
        <v>31</v>
      </c>
      <c r="CR13" s="408">
        <v>1.7173430452405576</v>
      </c>
      <c r="CS13" s="408">
        <v>8.2573930131211171E-2</v>
      </c>
      <c r="CT13" s="408">
        <v>0.12438089008489439</v>
      </c>
      <c r="CU13" s="408">
        <v>0</v>
      </c>
      <c r="CV13" s="408">
        <v>0</v>
      </c>
      <c r="CW13" s="408">
        <v>0</v>
      </c>
      <c r="CX13" s="408">
        <v>0</v>
      </c>
      <c r="CY13" s="408">
        <v>0</v>
      </c>
      <c r="CZ13" s="408">
        <v>0.29180805756633532</v>
      </c>
      <c r="DA13" s="408">
        <v>0</v>
      </c>
      <c r="DB13" s="408">
        <v>0</v>
      </c>
      <c r="DC13" s="408">
        <v>1.0955080380652795</v>
      </c>
      <c r="DD13" s="408">
        <v>0</v>
      </c>
      <c r="DE13" s="408">
        <v>0</v>
      </c>
      <c r="DF13" s="408">
        <v>0</v>
      </c>
      <c r="DG13" s="408">
        <v>0.18327644682296151</v>
      </c>
      <c r="DH13" s="408">
        <v>0</v>
      </c>
      <c r="DI13" s="408">
        <v>-5.149134538269573E-2</v>
      </c>
      <c r="DJ13" s="408"/>
      <c r="DK13" s="408">
        <v>0</v>
      </c>
      <c r="DL13" s="408">
        <v>0</v>
      </c>
      <c r="DM13" s="408">
        <v>0</v>
      </c>
      <c r="DN13" s="408">
        <v>0</v>
      </c>
      <c r="DO13" s="408">
        <v>-6.6898778892907629E-3</v>
      </c>
      <c r="DP13" s="408">
        <v>-2.0230941581400042E-3</v>
      </c>
      <c r="DQ13" s="408">
        <v>0</v>
      </c>
      <c r="DR13" s="408">
        <v>0</v>
      </c>
      <c r="DS13" s="408"/>
      <c r="DT13" s="408"/>
      <c r="DU13" s="408"/>
      <c r="DV13" s="408">
        <v>46.248653779350676</v>
      </c>
      <c r="DW13" s="408">
        <v>0</v>
      </c>
      <c r="DX13" s="408">
        <v>0</v>
      </c>
      <c r="DY13" s="408">
        <v>-25.322879999999998</v>
      </c>
      <c r="DZ13" s="408">
        <v>1.0958400000000008</v>
      </c>
      <c r="EA13" s="408">
        <v>0</v>
      </c>
      <c r="EB13" s="408">
        <v>0</v>
      </c>
      <c r="EC13" s="408">
        <v>-25.94501837186597</v>
      </c>
      <c r="ED13" s="408">
        <v>0</v>
      </c>
      <c r="EE13" s="408">
        <v>0</v>
      </c>
      <c r="EF13" s="408">
        <v>0</v>
      </c>
      <c r="EG13" s="408">
        <v>0</v>
      </c>
      <c r="EH13" s="408">
        <v>0</v>
      </c>
      <c r="EI13" s="408">
        <v>0</v>
      </c>
      <c r="EJ13" s="408">
        <v>0</v>
      </c>
      <c r="EK13" s="408">
        <v>0</v>
      </c>
      <c r="EL13" s="408">
        <v>0</v>
      </c>
      <c r="EM13" s="408">
        <v>0</v>
      </c>
      <c r="EN13" s="408">
        <v>0</v>
      </c>
      <c r="EO13" s="408">
        <v>0</v>
      </c>
      <c r="EP13" s="408">
        <v>0</v>
      </c>
      <c r="EQ13" s="408">
        <v>0</v>
      </c>
      <c r="ER13" s="408">
        <v>0</v>
      </c>
      <c r="ES13" s="408">
        <v>0</v>
      </c>
      <c r="ET13" s="408">
        <v>0</v>
      </c>
      <c r="EU13" s="408">
        <v>0</v>
      </c>
      <c r="EV13" s="408">
        <v>238</v>
      </c>
      <c r="EW13" s="408">
        <v>0</v>
      </c>
      <c r="EX13" s="408">
        <v>0</v>
      </c>
      <c r="EY13" s="408">
        <v>0</v>
      </c>
      <c r="EZ13" s="408"/>
      <c r="FA13" s="408">
        <v>0</v>
      </c>
      <c r="FB13" s="408"/>
      <c r="FC13" s="408"/>
      <c r="FD13" s="408"/>
      <c r="FE13" s="408"/>
      <c r="FF13" s="408">
        <v>0</v>
      </c>
      <c r="FG13" s="408">
        <v>0</v>
      </c>
      <c r="FH13" s="408">
        <v>0</v>
      </c>
      <c r="FI13" s="408">
        <v>0</v>
      </c>
    </row>
    <row r="14" spans="1:165" customFormat="1">
      <c r="A14" s="408">
        <v>12</v>
      </c>
      <c r="B14" s="408" t="s">
        <v>1036</v>
      </c>
      <c r="C14" s="408" t="s">
        <v>2321</v>
      </c>
      <c r="D14" s="408" t="s">
        <v>1955</v>
      </c>
      <c r="E14" s="408" t="s">
        <v>969</v>
      </c>
      <c r="F14" s="408" t="s">
        <v>969</v>
      </c>
      <c r="G14" s="408" t="s">
        <v>1322</v>
      </c>
      <c r="H14" s="408" t="s">
        <v>1322</v>
      </c>
      <c r="I14" s="408" t="s">
        <v>2244</v>
      </c>
      <c r="J14" s="408" t="s">
        <v>2236</v>
      </c>
      <c r="K14" s="824">
        <v>44378</v>
      </c>
      <c r="L14" s="408">
        <v>0</v>
      </c>
      <c r="M14" s="408">
        <v>0</v>
      </c>
      <c r="N14" s="408">
        <v>0.443</v>
      </c>
      <c r="O14" s="408">
        <v>0.443</v>
      </c>
      <c r="P14" s="408">
        <v>0.443</v>
      </c>
      <c r="Q14" s="408">
        <v>0.443</v>
      </c>
      <c r="R14" s="408"/>
      <c r="S14" s="408">
        <v>344.38</v>
      </c>
      <c r="T14" s="408">
        <v>209.4</v>
      </c>
      <c r="U14" s="408"/>
      <c r="V14" s="408">
        <v>245.32454000000001</v>
      </c>
      <c r="W14" s="408">
        <v>245.32454000000001</v>
      </c>
      <c r="X14" s="408">
        <v>209.60544999999999</v>
      </c>
      <c r="Y14" s="408">
        <v>0</v>
      </c>
      <c r="Z14" s="408">
        <v>27.261293012168</v>
      </c>
      <c r="AA14" s="408">
        <v>0</v>
      </c>
      <c r="AB14" s="408">
        <v>0</v>
      </c>
      <c r="AC14" s="408">
        <v>0</v>
      </c>
      <c r="AD14" s="408">
        <v>16.433338572272934</v>
      </c>
      <c r="AE14" s="408">
        <v>85.367276583591149</v>
      </c>
      <c r="AF14" s="408">
        <v>91.546280385424083</v>
      </c>
      <c r="AG14" s="408">
        <v>1.2195634791352574</v>
      </c>
      <c r="AH14" s="408">
        <v>0</v>
      </c>
      <c r="AI14" s="408">
        <v>0</v>
      </c>
      <c r="AJ14" s="408">
        <v>0</v>
      </c>
      <c r="AK14" s="408">
        <v>0</v>
      </c>
      <c r="AL14" s="408">
        <v>4.2127535287902065</v>
      </c>
      <c r="AM14" s="408"/>
      <c r="AN14" s="408">
        <v>0.80757319191218946</v>
      </c>
      <c r="AO14" s="408">
        <v>1.2624349916758344</v>
      </c>
      <c r="AP14" s="408">
        <v>1.9016195784647665</v>
      </c>
      <c r="AQ14" s="408">
        <v>0</v>
      </c>
      <c r="AR14" s="408">
        <v>0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  <c r="AY14" s="408">
        <v>0</v>
      </c>
      <c r="AZ14" s="408">
        <v>0</v>
      </c>
      <c r="BA14" s="408"/>
      <c r="BB14" s="408">
        <v>0</v>
      </c>
      <c r="BC14" s="408">
        <v>0</v>
      </c>
      <c r="BD14" s="408">
        <v>0</v>
      </c>
      <c r="BE14" s="408">
        <v>0</v>
      </c>
      <c r="BF14" s="408">
        <v>0</v>
      </c>
      <c r="BG14" s="408">
        <v>15.315521571645434</v>
      </c>
      <c r="BH14" s="408">
        <v>0</v>
      </c>
      <c r="BI14" s="408">
        <v>0</v>
      </c>
      <c r="BJ14" s="408">
        <v>0</v>
      </c>
      <c r="BK14" s="408">
        <v>0</v>
      </c>
      <c r="BL14" s="408">
        <v>0</v>
      </c>
      <c r="BM14" s="408"/>
      <c r="BN14" s="408"/>
      <c r="BO14" s="408"/>
      <c r="BP14" s="408"/>
      <c r="BQ14" s="408"/>
      <c r="BR14" s="408"/>
      <c r="BS14" s="408"/>
      <c r="BT14" s="408"/>
      <c r="BU14" s="408"/>
      <c r="BV14" s="408">
        <v>106.86180195706952</v>
      </c>
      <c r="BW14" s="408"/>
      <c r="BX14" s="408"/>
      <c r="BY14" s="408"/>
      <c r="BZ14" s="408"/>
      <c r="CA14" s="408"/>
      <c r="CB14" s="408"/>
      <c r="CC14" s="408"/>
      <c r="CD14" s="408"/>
      <c r="CE14" s="408"/>
      <c r="CF14" s="408"/>
      <c r="CG14" s="408"/>
      <c r="CH14" s="408"/>
      <c r="CI14" s="408">
        <v>208.18599999999998</v>
      </c>
      <c r="CJ14" s="408">
        <v>-37.168540000000007</v>
      </c>
      <c r="CK14" s="408"/>
      <c r="CL14" s="408"/>
      <c r="CM14" s="408"/>
      <c r="CN14" s="408"/>
      <c r="CO14" s="408">
        <v>-45.832780000000007</v>
      </c>
      <c r="CP14" s="408">
        <v>10.113689999999993</v>
      </c>
      <c r="CQ14" s="408">
        <v>31</v>
      </c>
      <c r="CR14" s="408">
        <v>12.167207093148306</v>
      </c>
      <c r="CS14" s="408">
        <v>0.15241633992044523</v>
      </c>
      <c r="CT14" s="408">
        <v>0.22958639294837191</v>
      </c>
      <c r="CU14" s="408">
        <v>0</v>
      </c>
      <c r="CV14" s="408">
        <v>0</v>
      </c>
      <c r="CW14" s="408">
        <v>0</v>
      </c>
      <c r="CX14" s="408">
        <v>0</v>
      </c>
      <c r="CY14" s="408">
        <v>0</v>
      </c>
      <c r="CZ14" s="408">
        <v>0.53872489811394431</v>
      </c>
      <c r="DA14" s="408">
        <v>0</v>
      </c>
      <c r="DB14" s="408">
        <v>0</v>
      </c>
      <c r="DC14" s="408">
        <v>10.110626267977466</v>
      </c>
      <c r="DD14" s="408">
        <v>0</v>
      </c>
      <c r="DE14" s="408">
        <v>0</v>
      </c>
      <c r="DF14" s="408">
        <v>0</v>
      </c>
      <c r="DG14" s="408">
        <v>1.691488873803582</v>
      </c>
      <c r="DH14" s="408">
        <v>0</v>
      </c>
      <c r="DI14" s="408">
        <v>-0.47522220842779817</v>
      </c>
      <c r="DJ14" s="408"/>
      <c r="DK14" s="408">
        <v>0</v>
      </c>
      <c r="DL14" s="408">
        <v>0</v>
      </c>
      <c r="DM14" s="408">
        <v>0</v>
      </c>
      <c r="DN14" s="408">
        <v>0</v>
      </c>
      <c r="DO14" s="408">
        <v>-6.1741998019912536E-2</v>
      </c>
      <c r="DP14" s="408">
        <v>-1.8671473167833796E-2</v>
      </c>
      <c r="DQ14" s="408">
        <v>0</v>
      </c>
      <c r="DR14" s="408">
        <v>0</v>
      </c>
      <c r="DS14" s="408"/>
      <c r="DT14" s="408"/>
      <c r="DU14" s="408"/>
      <c r="DV14" s="408">
        <v>85.367276583591149</v>
      </c>
      <c r="DW14" s="408">
        <v>0</v>
      </c>
      <c r="DX14" s="408">
        <v>0</v>
      </c>
      <c r="DY14" s="408">
        <v>-45.83278</v>
      </c>
      <c r="DZ14" s="408">
        <v>10.113689999999991</v>
      </c>
      <c r="EA14" s="408">
        <v>0</v>
      </c>
      <c r="EB14" s="408">
        <v>0</v>
      </c>
      <c r="EC14" s="408">
        <v>-47.890162811751708</v>
      </c>
      <c r="ED14" s="408">
        <v>0</v>
      </c>
      <c r="EE14" s="408">
        <v>0</v>
      </c>
      <c r="EF14" s="408">
        <v>0</v>
      </c>
      <c r="EG14" s="408">
        <v>0</v>
      </c>
      <c r="EH14" s="408">
        <v>0</v>
      </c>
      <c r="EI14" s="408">
        <v>0</v>
      </c>
      <c r="EJ14" s="408">
        <v>0</v>
      </c>
      <c r="EK14" s="408">
        <v>0</v>
      </c>
      <c r="EL14" s="408">
        <v>0</v>
      </c>
      <c r="EM14" s="408">
        <v>0</v>
      </c>
      <c r="EN14" s="408">
        <v>0</v>
      </c>
      <c r="EO14" s="408">
        <v>0</v>
      </c>
      <c r="EP14" s="408">
        <v>0</v>
      </c>
      <c r="EQ14" s="408">
        <v>0</v>
      </c>
      <c r="ER14" s="408">
        <v>0</v>
      </c>
      <c r="ES14" s="408">
        <v>0</v>
      </c>
      <c r="ET14" s="408">
        <v>0</v>
      </c>
      <c r="EU14" s="408">
        <v>0</v>
      </c>
      <c r="EV14" s="408">
        <v>238</v>
      </c>
      <c r="EW14" s="408">
        <v>0</v>
      </c>
      <c r="EX14" s="408">
        <v>0</v>
      </c>
      <c r="EY14" s="408">
        <v>0</v>
      </c>
      <c r="EZ14" s="408"/>
      <c r="FA14" s="408">
        <v>0</v>
      </c>
      <c r="FB14" s="408"/>
      <c r="FC14" s="408"/>
      <c r="FD14" s="408"/>
      <c r="FE14" s="408"/>
      <c r="FF14" s="408">
        <v>0</v>
      </c>
      <c r="FG14" s="408">
        <v>0</v>
      </c>
      <c r="FH14" s="408">
        <v>0</v>
      </c>
      <c r="FI14" s="408">
        <v>0</v>
      </c>
    </row>
    <row r="15" spans="1:165" customFormat="1">
      <c r="A15" s="408">
        <v>13</v>
      </c>
      <c r="B15" s="408" t="s">
        <v>1036</v>
      </c>
      <c r="C15" s="408" t="s">
        <v>2321</v>
      </c>
      <c r="D15" s="408" t="s">
        <v>1955</v>
      </c>
      <c r="E15" s="408" t="s">
        <v>969</v>
      </c>
      <c r="F15" s="408" t="s">
        <v>969</v>
      </c>
      <c r="G15" s="408" t="s">
        <v>1322</v>
      </c>
      <c r="H15" s="408" t="s">
        <v>1322</v>
      </c>
      <c r="I15" s="408" t="s">
        <v>1322</v>
      </c>
      <c r="J15" s="408" t="s">
        <v>2236</v>
      </c>
      <c r="K15" s="824">
        <v>44378</v>
      </c>
      <c r="L15" s="408">
        <v>0</v>
      </c>
      <c r="M15" s="408">
        <v>0</v>
      </c>
      <c r="N15" s="408">
        <v>0</v>
      </c>
      <c r="O15" s="408">
        <v>0</v>
      </c>
      <c r="P15" s="408">
        <v>0</v>
      </c>
      <c r="Q15" s="408">
        <v>0</v>
      </c>
      <c r="R15" s="408"/>
      <c r="S15" s="408"/>
      <c r="T15" s="408"/>
      <c r="U15" s="408"/>
      <c r="V15" s="408"/>
      <c r="W15" s="408"/>
      <c r="X15" s="408"/>
      <c r="Y15" s="408"/>
      <c r="Z15" s="408"/>
      <c r="AA15" s="408">
        <v>0</v>
      </c>
      <c r="AB15" s="408"/>
      <c r="AC15" s="408"/>
      <c r="AD15" s="408"/>
      <c r="AE15" s="408"/>
      <c r="AF15" s="408"/>
      <c r="AG15" s="408"/>
      <c r="AH15" s="408"/>
      <c r="AI15" s="408"/>
      <c r="AJ15" s="408"/>
      <c r="AK15" s="408"/>
      <c r="AL15" s="408"/>
      <c r="AM15" s="408"/>
      <c r="AN15" s="408"/>
      <c r="AO15" s="408"/>
      <c r="AP15" s="408"/>
      <c r="AQ15" s="408"/>
      <c r="AR15" s="408"/>
      <c r="AS15" s="408"/>
      <c r="AT15" s="408"/>
      <c r="AU15" s="408"/>
      <c r="AV15" s="408"/>
      <c r="AW15" s="408"/>
      <c r="AX15" s="408"/>
      <c r="AY15" s="408"/>
      <c r="AZ15" s="408">
        <v>0</v>
      </c>
      <c r="BA15" s="408"/>
      <c r="BB15" s="408"/>
      <c r="BC15" s="408"/>
      <c r="BD15" s="408"/>
      <c r="BE15" s="408"/>
      <c r="BF15" s="408"/>
      <c r="BG15" s="408"/>
      <c r="BH15" s="408"/>
      <c r="BI15" s="408">
        <v>0.48</v>
      </c>
      <c r="BJ15" s="408">
        <v>2.2200000000000002</v>
      </c>
      <c r="BK15" s="408">
        <v>148.15</v>
      </c>
      <c r="BL15" s="408">
        <v>2</v>
      </c>
      <c r="BM15" s="408"/>
      <c r="BN15" s="408"/>
      <c r="BO15" s="408"/>
      <c r="BP15" s="408"/>
      <c r="BQ15" s="408"/>
      <c r="BR15" s="408"/>
      <c r="BS15" s="408"/>
      <c r="BT15" s="408"/>
      <c r="BU15" s="408"/>
      <c r="BV15" s="408"/>
      <c r="BW15" s="408"/>
      <c r="BX15" s="408"/>
      <c r="BY15" s="408"/>
      <c r="BZ15" s="408"/>
      <c r="CA15" s="408"/>
      <c r="CB15" s="408"/>
      <c r="CC15" s="408"/>
      <c r="CD15" s="408"/>
      <c r="CE15" s="408"/>
      <c r="CF15" s="408"/>
      <c r="CG15" s="408"/>
      <c r="CH15" s="408"/>
      <c r="CI15" s="408"/>
      <c r="CJ15" s="408">
        <v>-0.03</v>
      </c>
      <c r="CK15" s="408"/>
      <c r="CL15" s="408"/>
      <c r="CM15" s="408"/>
      <c r="CN15" s="408"/>
      <c r="CO15" s="408">
        <v>0</v>
      </c>
      <c r="CP15" s="408">
        <v>0</v>
      </c>
      <c r="CQ15" s="408">
        <v>31</v>
      </c>
      <c r="CR15" s="408"/>
      <c r="CS15" s="408"/>
      <c r="CT15" s="408"/>
      <c r="CU15" s="408"/>
      <c r="CV15" s="408"/>
      <c r="CW15" s="408"/>
      <c r="CX15" s="408"/>
      <c r="CY15" s="408"/>
      <c r="CZ15" s="408"/>
      <c r="DA15" s="408"/>
      <c r="DB15" s="408"/>
      <c r="DC15" s="408"/>
      <c r="DD15" s="408"/>
      <c r="DE15" s="408"/>
      <c r="DF15" s="408"/>
      <c r="DG15" s="408"/>
      <c r="DH15" s="408"/>
      <c r="DI15" s="408"/>
      <c r="DJ15" s="408"/>
      <c r="DK15" s="408">
        <v>0</v>
      </c>
      <c r="DL15" s="408"/>
      <c r="DM15" s="408"/>
      <c r="DN15" s="408"/>
      <c r="DO15" s="408"/>
      <c r="DP15" s="408"/>
      <c r="DQ15" s="408"/>
      <c r="DR15" s="408"/>
      <c r="DS15" s="408"/>
      <c r="DT15" s="408"/>
      <c r="DU15" s="408"/>
      <c r="DV15" s="408"/>
      <c r="DW15" s="408"/>
      <c r="DX15" s="408"/>
      <c r="DY15" s="408"/>
      <c r="DZ15" s="408"/>
      <c r="EA15" s="408"/>
      <c r="EB15" s="408"/>
      <c r="EC15" s="408"/>
      <c r="ED15" s="408"/>
      <c r="EE15" s="408"/>
      <c r="EF15" s="408"/>
      <c r="EG15" s="408"/>
      <c r="EH15" s="408"/>
      <c r="EI15" s="408"/>
      <c r="EJ15" s="408"/>
      <c r="EK15" s="408"/>
      <c r="EL15" s="408"/>
      <c r="EM15" s="408"/>
      <c r="EN15" s="408"/>
      <c r="EO15" s="408"/>
      <c r="EP15" s="408"/>
      <c r="EQ15" s="408"/>
      <c r="ER15" s="408"/>
      <c r="ES15" s="408"/>
      <c r="ET15" s="408"/>
      <c r="EU15" s="408"/>
      <c r="EV15" s="408">
        <v>238</v>
      </c>
      <c r="EW15" s="408"/>
      <c r="EX15" s="408"/>
      <c r="EY15" s="408"/>
      <c r="EZ15" s="408"/>
      <c r="FA15" s="408">
        <v>0</v>
      </c>
      <c r="FB15" s="408"/>
      <c r="FC15" s="408"/>
      <c r="FD15" s="408"/>
      <c r="FE15" s="408"/>
      <c r="FF15" s="408">
        <v>0</v>
      </c>
      <c r="FG15" s="408">
        <v>0</v>
      </c>
      <c r="FH15" s="408">
        <v>0</v>
      </c>
      <c r="FI15" s="408">
        <v>0</v>
      </c>
    </row>
    <row r="16" spans="1:165" customFormat="1">
      <c r="A16" s="408">
        <v>14</v>
      </c>
      <c r="B16" s="408" t="s">
        <v>1036</v>
      </c>
      <c r="C16" s="408" t="s">
        <v>2321</v>
      </c>
      <c r="D16" s="408" t="s">
        <v>1955</v>
      </c>
      <c r="E16" s="408" t="s">
        <v>969</v>
      </c>
      <c r="F16" s="408" t="s">
        <v>969</v>
      </c>
      <c r="G16" s="408" t="s">
        <v>1322</v>
      </c>
      <c r="H16" s="408" t="s">
        <v>1322</v>
      </c>
      <c r="I16" s="408" t="s">
        <v>2322</v>
      </c>
      <c r="J16" s="408" t="s">
        <v>2236</v>
      </c>
      <c r="K16" s="824">
        <v>44378</v>
      </c>
      <c r="L16" s="408">
        <v>0</v>
      </c>
      <c r="M16" s="408">
        <v>0</v>
      </c>
      <c r="N16" s="408">
        <v>4.1000000000000002E-2</v>
      </c>
      <c r="O16" s="408">
        <v>4.1000000000000002E-2</v>
      </c>
      <c r="P16" s="408">
        <v>4.1000000000000002E-2</v>
      </c>
      <c r="Q16" s="408">
        <v>4.1000000000000002E-2</v>
      </c>
      <c r="R16" s="408"/>
      <c r="S16" s="408">
        <v>818.26</v>
      </c>
      <c r="T16" s="408">
        <v>209.4</v>
      </c>
      <c r="U16" s="408"/>
      <c r="V16" s="408">
        <v>42.134059999999998</v>
      </c>
      <c r="W16" s="408">
        <v>42.134059999999998</v>
      </c>
      <c r="X16" s="408">
        <v>30.134180000000001</v>
      </c>
      <c r="Y16" s="408">
        <v>0</v>
      </c>
      <c r="Z16" s="408">
        <v>2.5230542065437653</v>
      </c>
      <c r="AA16" s="408">
        <v>0</v>
      </c>
      <c r="AB16" s="408">
        <v>0</v>
      </c>
      <c r="AC16" s="408">
        <v>0</v>
      </c>
      <c r="AD16" s="408">
        <v>4.5627554049426022</v>
      </c>
      <c r="AE16" s="408">
        <v>23.70244064904686</v>
      </c>
      <c r="AF16" s="408">
        <v>8.4726805774320262</v>
      </c>
      <c r="AG16" s="408">
        <v>0.11287156353170555</v>
      </c>
      <c r="AH16" s="408">
        <v>0</v>
      </c>
      <c r="AI16" s="408">
        <v>0</v>
      </c>
      <c r="AJ16" s="408">
        <v>0</v>
      </c>
      <c r="AK16" s="408">
        <v>0</v>
      </c>
      <c r="AL16" s="408">
        <v>0.38989366745010945</v>
      </c>
      <c r="AM16" s="408"/>
      <c r="AN16" s="408">
        <v>7.4741536948983667E-2</v>
      </c>
      <c r="AO16" s="408">
        <v>0.35052332939666975</v>
      </c>
      <c r="AP16" s="408">
        <v>0.52798918318547527</v>
      </c>
      <c r="AQ16" s="408">
        <v>0</v>
      </c>
      <c r="AR16" s="408">
        <v>0</v>
      </c>
      <c r="AS16" s="408">
        <v>0</v>
      </c>
      <c r="AT16" s="408">
        <v>0</v>
      </c>
      <c r="AU16" s="408">
        <v>0</v>
      </c>
      <c r="AV16" s="408">
        <v>0</v>
      </c>
      <c r="AW16" s="408">
        <v>0</v>
      </c>
      <c r="AX16" s="408">
        <v>0</v>
      </c>
      <c r="AY16" s="408">
        <v>0</v>
      </c>
      <c r="AZ16" s="408">
        <v>0</v>
      </c>
      <c r="BA16" s="408"/>
      <c r="BB16" s="408">
        <v>0</v>
      </c>
      <c r="BC16" s="408">
        <v>0</v>
      </c>
      <c r="BD16" s="408">
        <v>0</v>
      </c>
      <c r="BE16" s="408">
        <v>0</v>
      </c>
      <c r="BF16" s="408">
        <v>0</v>
      </c>
      <c r="BG16" s="408">
        <v>1.417463621754995</v>
      </c>
      <c r="BH16" s="408">
        <v>0</v>
      </c>
      <c r="BI16" s="408">
        <v>0</v>
      </c>
      <c r="BJ16" s="408">
        <v>0</v>
      </c>
      <c r="BK16" s="408">
        <v>0</v>
      </c>
      <c r="BL16" s="408">
        <v>0</v>
      </c>
      <c r="BM16" s="408"/>
      <c r="BN16" s="408"/>
      <c r="BO16" s="408"/>
      <c r="BP16" s="408"/>
      <c r="BQ16" s="408"/>
      <c r="BR16" s="408"/>
      <c r="BS16" s="408"/>
      <c r="BT16" s="408"/>
      <c r="BU16" s="408"/>
      <c r="BV16" s="408">
        <v>9.8901441991870218</v>
      </c>
      <c r="BW16" s="408"/>
      <c r="BX16" s="408"/>
      <c r="BY16" s="408"/>
      <c r="BZ16" s="408"/>
      <c r="CA16" s="408"/>
      <c r="CB16" s="408"/>
      <c r="CC16" s="408"/>
      <c r="CD16" s="408"/>
      <c r="CE16" s="408"/>
      <c r="CF16" s="408"/>
      <c r="CG16" s="408"/>
      <c r="CH16" s="408"/>
      <c r="CI16" s="408">
        <v>29.3992</v>
      </c>
      <c r="CJ16" s="408">
        <v>-12.764859999999992</v>
      </c>
      <c r="CK16" s="408"/>
      <c r="CL16" s="408"/>
      <c r="CM16" s="408"/>
      <c r="CN16" s="408"/>
      <c r="CO16" s="408">
        <v>-12.93591</v>
      </c>
      <c r="CP16" s="408">
        <v>0.93602999999999936</v>
      </c>
      <c r="CQ16" s="408">
        <v>31</v>
      </c>
      <c r="CR16" s="408">
        <v>1.2965134040171193</v>
      </c>
      <c r="CS16" s="408">
        <v>4.2319393296005647E-2</v>
      </c>
      <c r="CT16" s="408">
        <v>6.3745206168509205E-2</v>
      </c>
      <c r="CU16" s="408">
        <v>0</v>
      </c>
      <c r="CV16" s="408">
        <v>0</v>
      </c>
      <c r="CW16" s="408">
        <v>0</v>
      </c>
      <c r="CX16" s="408">
        <v>0</v>
      </c>
      <c r="CY16" s="408">
        <v>0</v>
      </c>
      <c r="CZ16" s="408">
        <v>0.14957824484880078</v>
      </c>
      <c r="DA16" s="408">
        <v>0</v>
      </c>
      <c r="DB16" s="408">
        <v>0</v>
      </c>
      <c r="DC16" s="408">
        <v>0.93574644918075833</v>
      </c>
      <c r="DD16" s="408">
        <v>0</v>
      </c>
      <c r="DE16" s="408">
        <v>0</v>
      </c>
      <c r="DF16" s="408">
        <v>0</v>
      </c>
      <c r="DG16" s="408">
        <v>0.15654863166127964</v>
      </c>
      <c r="DH16" s="408">
        <v>0</v>
      </c>
      <c r="DI16" s="408">
        <v>-4.3982190847719593E-2</v>
      </c>
      <c r="DJ16" s="408"/>
      <c r="DK16" s="408">
        <v>0</v>
      </c>
      <c r="DL16" s="408">
        <v>0</v>
      </c>
      <c r="DM16" s="408">
        <v>0</v>
      </c>
      <c r="DN16" s="408">
        <v>0</v>
      </c>
      <c r="DO16" s="408">
        <v>-5.7142706971025081E-3</v>
      </c>
      <c r="DP16" s="408">
        <v>-1.7280595934112408E-3</v>
      </c>
      <c r="DQ16" s="408">
        <v>0</v>
      </c>
      <c r="DR16" s="408">
        <v>0</v>
      </c>
      <c r="DS16" s="408"/>
      <c r="DT16" s="408"/>
      <c r="DU16" s="408"/>
      <c r="DV16" s="408">
        <v>23.70244064904686</v>
      </c>
      <c r="DW16" s="408">
        <v>0</v>
      </c>
      <c r="DX16" s="408">
        <v>0</v>
      </c>
      <c r="DY16" s="408">
        <v>-12.935909999999996</v>
      </c>
      <c r="DZ16" s="408">
        <v>0.93603000000000058</v>
      </c>
      <c r="EA16" s="408">
        <v>0</v>
      </c>
      <c r="EB16" s="408">
        <v>0</v>
      </c>
      <c r="EC16" s="408">
        <v>-13.296825049903488</v>
      </c>
      <c r="ED16" s="408">
        <v>0</v>
      </c>
      <c r="EE16" s="408">
        <v>0</v>
      </c>
      <c r="EF16" s="408">
        <v>0</v>
      </c>
      <c r="EG16" s="408">
        <v>0</v>
      </c>
      <c r="EH16" s="408">
        <v>0</v>
      </c>
      <c r="EI16" s="408">
        <v>0</v>
      </c>
      <c r="EJ16" s="408">
        <v>0</v>
      </c>
      <c r="EK16" s="408">
        <v>0</v>
      </c>
      <c r="EL16" s="408">
        <v>0</v>
      </c>
      <c r="EM16" s="408">
        <v>0</v>
      </c>
      <c r="EN16" s="408">
        <v>0</v>
      </c>
      <c r="EO16" s="408">
        <v>0</v>
      </c>
      <c r="EP16" s="408">
        <v>0</v>
      </c>
      <c r="EQ16" s="408">
        <v>0</v>
      </c>
      <c r="ER16" s="408">
        <v>0</v>
      </c>
      <c r="ES16" s="408">
        <v>0</v>
      </c>
      <c r="ET16" s="408">
        <v>0</v>
      </c>
      <c r="EU16" s="408">
        <v>0</v>
      </c>
      <c r="EV16" s="408">
        <v>238</v>
      </c>
      <c r="EW16" s="408">
        <v>0</v>
      </c>
      <c r="EX16" s="408">
        <v>0</v>
      </c>
      <c r="EY16" s="408">
        <v>0</v>
      </c>
      <c r="EZ16" s="408"/>
      <c r="FA16" s="408">
        <v>0</v>
      </c>
      <c r="FB16" s="408"/>
      <c r="FC16" s="408"/>
      <c r="FD16" s="408"/>
      <c r="FE16" s="408"/>
      <c r="FF16" s="408">
        <v>0</v>
      </c>
      <c r="FG16" s="408">
        <v>0</v>
      </c>
      <c r="FH16" s="408">
        <v>0</v>
      </c>
      <c r="FI16" s="408">
        <v>0</v>
      </c>
    </row>
    <row r="17" spans="1:165" customFormat="1">
      <c r="A17" s="408">
        <v>15</v>
      </c>
      <c r="B17" s="408" t="s">
        <v>1036</v>
      </c>
      <c r="C17" s="408" t="s">
        <v>2235</v>
      </c>
      <c r="D17" s="408" t="s">
        <v>1958</v>
      </c>
      <c r="E17" s="408" t="s">
        <v>970</v>
      </c>
      <c r="F17" s="408" t="s">
        <v>1322</v>
      </c>
      <c r="G17" s="408" t="s">
        <v>1322</v>
      </c>
      <c r="H17" s="408" t="s">
        <v>1322</v>
      </c>
      <c r="I17" s="408" t="s">
        <v>1322</v>
      </c>
      <c r="J17" s="408" t="s">
        <v>2236</v>
      </c>
      <c r="K17" s="824">
        <v>44378</v>
      </c>
      <c r="L17" s="408">
        <v>0</v>
      </c>
      <c r="M17" s="408">
        <v>0</v>
      </c>
      <c r="N17" s="408">
        <v>8.5890000000000004</v>
      </c>
      <c r="O17" s="408">
        <v>8.5890000000000004</v>
      </c>
      <c r="P17" s="408">
        <v>8.5890000000000004</v>
      </c>
      <c r="Q17" s="408">
        <v>8.5890000000000004</v>
      </c>
      <c r="R17" s="408"/>
      <c r="S17" s="408">
        <v>581.32000000000005</v>
      </c>
      <c r="T17" s="408">
        <v>209.4</v>
      </c>
      <c r="U17" s="408"/>
      <c r="V17" s="408">
        <v>6791.4940800000013</v>
      </c>
      <c r="W17" s="408">
        <v>6791.4940800000013</v>
      </c>
      <c r="X17" s="408">
        <v>5188.3572299999996</v>
      </c>
      <c r="Y17" s="408">
        <v>0</v>
      </c>
      <c r="Z17" s="408">
        <v>528.54908731718047</v>
      </c>
      <c r="AA17" s="408">
        <v>0</v>
      </c>
      <c r="AB17" s="408">
        <v>0</v>
      </c>
      <c r="AC17" s="408">
        <v>0</v>
      </c>
      <c r="AD17" s="408">
        <v>637.22774265125076</v>
      </c>
      <c r="AE17" s="408">
        <v>3310.2462238215007</v>
      </c>
      <c r="AF17" s="408">
        <v>1774.9232555991139</v>
      </c>
      <c r="AG17" s="408">
        <v>23.645216077410218</v>
      </c>
      <c r="AH17" s="408">
        <v>0</v>
      </c>
      <c r="AI17" s="408">
        <v>0</v>
      </c>
      <c r="AJ17" s="408">
        <v>0</v>
      </c>
      <c r="AK17" s="408">
        <v>0</v>
      </c>
      <c r="AL17" s="408">
        <v>81.677968529975374</v>
      </c>
      <c r="AM17" s="408"/>
      <c r="AN17" s="408">
        <v>15.657440508654165</v>
      </c>
      <c r="AO17" s="408">
        <v>48.952840376992064</v>
      </c>
      <c r="AP17" s="408">
        <v>73.738196656586368</v>
      </c>
      <c r="AQ17" s="408">
        <v>0</v>
      </c>
      <c r="AR17" s="408">
        <v>0</v>
      </c>
      <c r="AS17" s="408">
        <v>0</v>
      </c>
      <c r="AT17" s="408">
        <v>0</v>
      </c>
      <c r="AU17" s="408">
        <v>0</v>
      </c>
      <c r="AV17" s="408">
        <v>0</v>
      </c>
      <c r="AW17" s="408">
        <v>0</v>
      </c>
      <c r="AX17" s="408">
        <v>0</v>
      </c>
      <c r="AY17" s="408">
        <v>0</v>
      </c>
      <c r="AZ17" s="408">
        <v>0</v>
      </c>
      <c r="BA17" s="408"/>
      <c r="BB17" s="408">
        <v>0</v>
      </c>
      <c r="BC17" s="408">
        <v>0</v>
      </c>
      <c r="BD17" s="408">
        <v>0</v>
      </c>
      <c r="BE17" s="408">
        <v>0</v>
      </c>
      <c r="BF17" s="408">
        <v>0</v>
      </c>
      <c r="BG17" s="408">
        <v>296.94134261594274</v>
      </c>
      <c r="BH17" s="408">
        <v>0</v>
      </c>
      <c r="BI17" s="408">
        <v>7.44</v>
      </c>
      <c r="BJ17" s="408">
        <v>33.71</v>
      </c>
      <c r="BK17" s="408">
        <v>1310.68</v>
      </c>
      <c r="BL17" s="408">
        <v>8</v>
      </c>
      <c r="BM17" s="408"/>
      <c r="BN17" s="408"/>
      <c r="BO17" s="408"/>
      <c r="BP17" s="408"/>
      <c r="BQ17" s="408"/>
      <c r="BR17" s="408"/>
      <c r="BS17" s="408"/>
      <c r="BT17" s="408"/>
      <c r="BU17" s="408"/>
      <c r="BV17" s="408">
        <v>2071.8645982150565</v>
      </c>
      <c r="BW17" s="408"/>
      <c r="BX17" s="408"/>
      <c r="BY17" s="408"/>
      <c r="BZ17" s="408"/>
      <c r="CA17" s="408"/>
      <c r="CB17" s="408"/>
      <c r="CC17" s="408"/>
      <c r="CD17" s="408"/>
      <c r="CE17" s="408"/>
      <c r="CF17" s="408"/>
      <c r="CG17" s="408"/>
      <c r="CH17" s="408"/>
      <c r="CI17" s="408">
        <v>5188.9612999999999</v>
      </c>
      <c r="CJ17" s="408">
        <v>-1602.562780000002</v>
      </c>
      <c r="CK17" s="408"/>
      <c r="CL17" s="408"/>
      <c r="CM17" s="408"/>
      <c r="CN17" s="408"/>
      <c r="CO17" s="408">
        <v>-1799.2237200000006</v>
      </c>
      <c r="CP17" s="408">
        <v>196.08686999999986</v>
      </c>
      <c r="CQ17" s="408">
        <v>31</v>
      </c>
      <c r="CR17" s="408">
        <v>253.75230552045559</v>
      </c>
      <c r="CS17" s="408">
        <v>5.910175817502143</v>
      </c>
      <c r="CT17" s="408">
        <v>8.9025622078263922</v>
      </c>
      <c r="CU17" s="408">
        <v>0</v>
      </c>
      <c r="CV17" s="408">
        <v>0</v>
      </c>
      <c r="CW17" s="408">
        <v>0</v>
      </c>
      <c r="CX17" s="408">
        <v>0</v>
      </c>
      <c r="CY17" s="408">
        <v>0</v>
      </c>
      <c r="CZ17" s="408">
        <v>20.889878780589925</v>
      </c>
      <c r="DA17" s="408">
        <v>0</v>
      </c>
      <c r="DB17" s="408">
        <v>0</v>
      </c>
      <c r="DC17" s="408">
        <v>196.02746956130591</v>
      </c>
      <c r="DD17" s="408">
        <v>0</v>
      </c>
      <c r="DE17" s="408">
        <v>0</v>
      </c>
      <c r="DF17" s="408">
        <v>0</v>
      </c>
      <c r="DG17" s="408">
        <v>32.795029203383649</v>
      </c>
      <c r="DH17" s="408">
        <v>0</v>
      </c>
      <c r="DI17" s="408">
        <v>-9.2137326144161307</v>
      </c>
      <c r="DJ17" s="408"/>
      <c r="DK17" s="408">
        <v>0</v>
      </c>
      <c r="DL17" s="408">
        <v>0</v>
      </c>
      <c r="DM17" s="408">
        <v>0</v>
      </c>
      <c r="DN17" s="408">
        <v>0</v>
      </c>
      <c r="DO17" s="408">
        <v>-1.1970700248149768</v>
      </c>
      <c r="DP17" s="408">
        <v>-0.3620074109221747</v>
      </c>
      <c r="DQ17" s="408">
        <v>0</v>
      </c>
      <c r="DR17" s="408">
        <v>0</v>
      </c>
      <c r="DS17" s="408"/>
      <c r="DT17" s="408"/>
      <c r="DU17" s="408"/>
      <c r="DV17" s="408">
        <v>3310.2462238215007</v>
      </c>
      <c r="DW17" s="408">
        <v>0</v>
      </c>
      <c r="DX17" s="408">
        <v>0</v>
      </c>
      <c r="DY17" s="408">
        <v>-1799.2237200000009</v>
      </c>
      <c r="DZ17" s="408">
        <v>196.08686999999986</v>
      </c>
      <c r="EA17" s="408">
        <v>0</v>
      </c>
      <c r="EB17" s="408">
        <v>0</v>
      </c>
      <c r="EC17" s="408">
        <v>-1857.0140333640336</v>
      </c>
      <c r="ED17" s="408">
        <v>0</v>
      </c>
      <c r="EE17" s="408">
        <v>0</v>
      </c>
      <c r="EF17" s="408">
        <v>0</v>
      </c>
      <c r="EG17" s="408">
        <v>0</v>
      </c>
      <c r="EH17" s="408">
        <v>0</v>
      </c>
      <c r="EI17" s="408">
        <v>0</v>
      </c>
      <c r="EJ17" s="408">
        <v>0</v>
      </c>
      <c r="EK17" s="408">
        <v>0</v>
      </c>
      <c r="EL17" s="408">
        <v>0</v>
      </c>
      <c r="EM17" s="408">
        <v>0</v>
      </c>
      <c r="EN17" s="408">
        <v>0</v>
      </c>
      <c r="EO17" s="408">
        <v>0</v>
      </c>
      <c r="EP17" s="408">
        <v>0</v>
      </c>
      <c r="EQ17" s="408">
        <v>0</v>
      </c>
      <c r="ER17" s="408">
        <v>0</v>
      </c>
      <c r="ES17" s="408">
        <v>0</v>
      </c>
      <c r="ET17" s="408">
        <v>0</v>
      </c>
      <c r="EU17" s="408">
        <v>0</v>
      </c>
      <c r="EV17" s="408">
        <v>238</v>
      </c>
      <c r="EW17" s="408">
        <v>0</v>
      </c>
      <c r="EX17" s="408">
        <v>0</v>
      </c>
      <c r="EY17" s="408">
        <v>0</v>
      </c>
      <c r="EZ17" s="408"/>
      <c r="FA17" s="408">
        <v>0</v>
      </c>
      <c r="FB17" s="408"/>
      <c r="FC17" s="408"/>
      <c r="FD17" s="408"/>
      <c r="FE17" s="408"/>
      <c r="FF17" s="408">
        <v>0</v>
      </c>
      <c r="FG17" s="408">
        <v>0</v>
      </c>
      <c r="FH17" s="408">
        <v>0</v>
      </c>
      <c r="FI17" s="408">
        <v>0</v>
      </c>
    </row>
    <row r="18" spans="1:165" customFormat="1">
      <c r="A18" s="408">
        <v>16</v>
      </c>
      <c r="B18" s="408" t="s">
        <v>2238</v>
      </c>
      <c r="C18" s="408" t="s">
        <v>2235</v>
      </c>
      <c r="D18" s="408" t="s">
        <v>1958</v>
      </c>
      <c r="E18" s="408" t="s">
        <v>970</v>
      </c>
      <c r="F18" s="408" t="s">
        <v>1322</v>
      </c>
      <c r="G18" s="408" t="s">
        <v>1322</v>
      </c>
      <c r="H18" s="408" t="s">
        <v>1322</v>
      </c>
      <c r="I18" s="408" t="s">
        <v>1322</v>
      </c>
      <c r="J18" s="408" t="s">
        <v>2236</v>
      </c>
      <c r="K18" s="824">
        <v>44378</v>
      </c>
      <c r="L18" s="408">
        <v>0</v>
      </c>
      <c r="M18" s="408">
        <v>0</v>
      </c>
      <c r="N18" s="408">
        <v>2.133</v>
      </c>
      <c r="O18" s="408">
        <v>2.133</v>
      </c>
      <c r="P18" s="408">
        <v>2.133</v>
      </c>
      <c r="Q18" s="408">
        <v>2.133</v>
      </c>
      <c r="R18" s="408"/>
      <c r="S18" s="408">
        <v>581.32000000000005</v>
      </c>
      <c r="T18" s="408">
        <v>209.4</v>
      </c>
      <c r="U18" s="408"/>
      <c r="V18" s="408">
        <v>1686.6057600000001</v>
      </c>
      <c r="W18" s="408">
        <v>1686.6057600000001</v>
      </c>
      <c r="X18" s="408">
        <v>1288.4813099999999</v>
      </c>
      <c r="Y18" s="408">
        <v>0</v>
      </c>
      <c r="Z18" s="408">
        <v>131.26035664775247</v>
      </c>
      <c r="AA18" s="408">
        <v>0</v>
      </c>
      <c r="AB18" s="408">
        <v>0</v>
      </c>
      <c r="AC18" s="408">
        <v>0</v>
      </c>
      <c r="AD18" s="408">
        <v>158.24971184947231</v>
      </c>
      <c r="AE18" s="408">
        <v>822.0695302609455</v>
      </c>
      <c r="AF18" s="408">
        <v>440.78604077225634</v>
      </c>
      <c r="AG18" s="408">
        <v>5.8720742686128764</v>
      </c>
      <c r="AH18" s="408">
        <v>0</v>
      </c>
      <c r="AI18" s="408">
        <v>0</v>
      </c>
      <c r="AJ18" s="408">
        <v>0</v>
      </c>
      <c r="AK18" s="408">
        <v>0</v>
      </c>
      <c r="AL18" s="408">
        <v>20.283980309050815</v>
      </c>
      <c r="AM18" s="408"/>
      <c r="AN18" s="408">
        <v>3.8883828856629798</v>
      </c>
      <c r="AO18" s="408">
        <v>12.156992493203408</v>
      </c>
      <c r="AP18" s="408">
        <v>18.312210207067029</v>
      </c>
      <c r="AQ18" s="408">
        <v>0</v>
      </c>
      <c r="AR18" s="408">
        <v>0</v>
      </c>
      <c r="AS18" s="408">
        <v>0</v>
      </c>
      <c r="AT18" s="408">
        <v>0</v>
      </c>
      <c r="AU18" s="408">
        <v>0</v>
      </c>
      <c r="AV18" s="408">
        <v>0</v>
      </c>
      <c r="AW18" s="408">
        <v>0</v>
      </c>
      <c r="AX18" s="408">
        <v>0</v>
      </c>
      <c r="AY18" s="408">
        <v>0</v>
      </c>
      <c r="AZ18" s="408">
        <v>0</v>
      </c>
      <c r="BA18" s="408"/>
      <c r="BB18" s="408">
        <v>0</v>
      </c>
      <c r="BC18" s="408">
        <v>0</v>
      </c>
      <c r="BD18" s="408">
        <v>0</v>
      </c>
      <c r="BE18" s="408">
        <v>0</v>
      </c>
      <c r="BF18" s="408">
        <v>0</v>
      </c>
      <c r="BG18" s="408">
        <v>73.742680614717173</v>
      </c>
      <c r="BH18" s="408">
        <v>0</v>
      </c>
      <c r="BI18" s="408">
        <v>1.86</v>
      </c>
      <c r="BJ18" s="408">
        <v>8.4</v>
      </c>
      <c r="BK18" s="408">
        <v>374.62</v>
      </c>
      <c r="BL18" s="408">
        <v>2</v>
      </c>
      <c r="BM18" s="408"/>
      <c r="BN18" s="408"/>
      <c r="BO18" s="408"/>
      <c r="BP18" s="408"/>
      <c r="BQ18" s="408"/>
      <c r="BR18" s="408"/>
      <c r="BS18" s="408"/>
      <c r="BT18" s="408"/>
      <c r="BU18" s="408"/>
      <c r="BV18" s="408">
        <v>514.52872138697353</v>
      </c>
      <c r="BW18" s="408"/>
      <c r="BX18" s="408"/>
      <c r="BY18" s="408"/>
      <c r="BZ18" s="408"/>
      <c r="CA18" s="408"/>
      <c r="CB18" s="408"/>
      <c r="CC18" s="408"/>
      <c r="CD18" s="408"/>
      <c r="CE18" s="408"/>
      <c r="CF18" s="408"/>
      <c r="CG18" s="408"/>
      <c r="CH18" s="408"/>
      <c r="CI18" s="408">
        <v>1286.6690999999998</v>
      </c>
      <c r="CJ18" s="408">
        <v>-399.96666000000027</v>
      </c>
      <c r="CK18" s="408"/>
      <c r="CL18" s="408"/>
      <c r="CM18" s="408"/>
      <c r="CN18" s="408"/>
      <c r="CO18" s="408">
        <v>-446.82084000000015</v>
      </c>
      <c r="CP18" s="408">
        <v>48.696389999999965</v>
      </c>
      <c r="CQ18" s="408">
        <v>31</v>
      </c>
      <c r="CR18" s="408">
        <v>63.017076222509104</v>
      </c>
      <c r="CS18" s="408">
        <v>1.4677383884890052</v>
      </c>
      <c r="CT18" s="408">
        <v>2.2108703212590193</v>
      </c>
      <c r="CU18" s="408">
        <v>0</v>
      </c>
      <c r="CV18" s="408">
        <v>0</v>
      </c>
      <c r="CW18" s="408">
        <v>0</v>
      </c>
      <c r="CX18" s="408">
        <v>0</v>
      </c>
      <c r="CY18" s="408">
        <v>0</v>
      </c>
      <c r="CZ18" s="408">
        <v>5.1878113213410586</v>
      </c>
      <c r="DA18" s="408">
        <v>0</v>
      </c>
      <c r="DB18" s="408">
        <v>0</v>
      </c>
      <c r="DC18" s="408">
        <v>48.68163844152582</v>
      </c>
      <c r="DD18" s="408">
        <v>0</v>
      </c>
      <c r="DE18" s="408">
        <v>0</v>
      </c>
      <c r="DF18" s="408">
        <v>0</v>
      </c>
      <c r="DG18" s="408">
        <v>8.1443471056953456</v>
      </c>
      <c r="DH18" s="408">
        <v>0</v>
      </c>
      <c r="DI18" s="408">
        <v>-2.2881466604435445</v>
      </c>
      <c r="DJ18" s="408"/>
      <c r="DK18" s="408">
        <v>0</v>
      </c>
      <c r="DL18" s="408">
        <v>0</v>
      </c>
      <c r="DM18" s="408">
        <v>0</v>
      </c>
      <c r="DN18" s="408">
        <v>0</v>
      </c>
      <c r="DO18" s="408">
        <v>-0.297281448705359</v>
      </c>
      <c r="DP18" s="408">
        <v>-8.9901246652346334E-2</v>
      </c>
      <c r="DQ18" s="408">
        <v>0</v>
      </c>
      <c r="DR18" s="408">
        <v>0</v>
      </c>
      <c r="DS18" s="408"/>
      <c r="DT18" s="408"/>
      <c r="DU18" s="408"/>
      <c r="DV18" s="408">
        <v>822.0695302609455</v>
      </c>
      <c r="DW18" s="408">
        <v>0</v>
      </c>
      <c r="DX18" s="408">
        <v>0</v>
      </c>
      <c r="DY18" s="408">
        <v>-446.8208400000002</v>
      </c>
      <c r="DZ18" s="408">
        <v>48.696389999999951</v>
      </c>
      <c r="EA18" s="408">
        <v>0</v>
      </c>
      <c r="EB18" s="408">
        <v>0</v>
      </c>
      <c r="EC18" s="408">
        <v>-461.17253849871736</v>
      </c>
      <c r="ED18" s="408">
        <v>0</v>
      </c>
      <c r="EE18" s="408">
        <v>0</v>
      </c>
      <c r="EF18" s="408">
        <v>0</v>
      </c>
      <c r="EG18" s="408">
        <v>0</v>
      </c>
      <c r="EH18" s="408">
        <v>0</v>
      </c>
      <c r="EI18" s="408">
        <v>0</v>
      </c>
      <c r="EJ18" s="408">
        <v>0</v>
      </c>
      <c r="EK18" s="408">
        <v>0</v>
      </c>
      <c r="EL18" s="408">
        <v>0</v>
      </c>
      <c r="EM18" s="408">
        <v>0</v>
      </c>
      <c r="EN18" s="408">
        <v>0</v>
      </c>
      <c r="EO18" s="408">
        <v>0</v>
      </c>
      <c r="EP18" s="408">
        <v>0</v>
      </c>
      <c r="EQ18" s="408">
        <v>0</v>
      </c>
      <c r="ER18" s="408">
        <v>0</v>
      </c>
      <c r="ES18" s="408">
        <v>0</v>
      </c>
      <c r="ET18" s="408">
        <v>0</v>
      </c>
      <c r="EU18" s="408">
        <v>0</v>
      </c>
      <c r="EV18" s="408">
        <v>238</v>
      </c>
      <c r="EW18" s="408">
        <v>0</v>
      </c>
      <c r="EX18" s="408">
        <v>0</v>
      </c>
      <c r="EY18" s="408">
        <v>0</v>
      </c>
      <c r="EZ18" s="408"/>
      <c r="FA18" s="408">
        <v>0</v>
      </c>
      <c r="FB18" s="408"/>
      <c r="FC18" s="408"/>
      <c r="FD18" s="408"/>
      <c r="FE18" s="408"/>
      <c r="FF18" s="408">
        <v>0</v>
      </c>
      <c r="FG18" s="408">
        <v>0</v>
      </c>
      <c r="FH18" s="408">
        <v>0</v>
      </c>
      <c r="FI18" s="408">
        <v>0</v>
      </c>
    </row>
    <row r="19" spans="1:165" customFormat="1">
      <c r="A19" s="408">
        <v>17</v>
      </c>
      <c r="B19" s="408" t="s">
        <v>1036</v>
      </c>
      <c r="C19" s="408" t="s">
        <v>2243</v>
      </c>
      <c r="D19" s="408" t="s">
        <v>597</v>
      </c>
      <c r="E19" s="408" t="s">
        <v>970</v>
      </c>
      <c r="F19" s="408" t="s">
        <v>1322</v>
      </c>
      <c r="G19" s="408" t="s">
        <v>1322</v>
      </c>
      <c r="H19" s="408" t="s">
        <v>1322</v>
      </c>
      <c r="I19" s="408" t="s">
        <v>973</v>
      </c>
      <c r="J19" s="408" t="s">
        <v>2236</v>
      </c>
      <c r="K19" s="824">
        <v>44378</v>
      </c>
      <c r="L19" s="408">
        <v>0</v>
      </c>
      <c r="M19" s="408">
        <v>0</v>
      </c>
      <c r="N19" s="408">
        <v>3.0790000000000002</v>
      </c>
      <c r="O19" s="408">
        <v>3.0790000000000002</v>
      </c>
      <c r="P19" s="408">
        <v>3.0790000000000002</v>
      </c>
      <c r="Q19" s="408">
        <v>3.0790000000000002</v>
      </c>
      <c r="R19" s="408"/>
      <c r="S19" s="408">
        <v>1614.19</v>
      </c>
      <c r="T19" s="408">
        <v>209.4</v>
      </c>
      <c r="U19" s="408"/>
      <c r="V19" s="408">
        <v>5614.8336099999997</v>
      </c>
      <c r="W19" s="408">
        <v>5614.8336099999997</v>
      </c>
      <c r="X19" s="408">
        <v>3732.2098499999997</v>
      </c>
      <c r="Y19" s="408">
        <v>0</v>
      </c>
      <c r="Z19" s="408">
        <v>164.84343889499962</v>
      </c>
      <c r="AA19" s="408">
        <v>0</v>
      </c>
      <c r="AB19" s="408">
        <v>0</v>
      </c>
      <c r="AC19" s="408">
        <v>0</v>
      </c>
      <c r="AD19" s="408">
        <v>958.8559922691669</v>
      </c>
      <c r="AE19" s="408">
        <v>3580.3739411023271</v>
      </c>
      <c r="AF19" s="408">
        <v>636.27764629056605</v>
      </c>
      <c r="AG19" s="408">
        <v>8.4763791247346685</v>
      </c>
      <c r="AH19" s="408">
        <v>0</v>
      </c>
      <c r="AI19" s="408">
        <v>0</v>
      </c>
      <c r="AJ19" s="408">
        <v>0</v>
      </c>
      <c r="AK19" s="408">
        <v>0</v>
      </c>
      <c r="AL19" s="408">
        <v>29.280063465338706</v>
      </c>
      <c r="AM19" s="408"/>
      <c r="AN19" s="408">
        <v>4.0884326258965018</v>
      </c>
      <c r="AO19" s="408">
        <v>74.496175222738202</v>
      </c>
      <c r="AP19" s="408">
        <v>110.96316910591993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  <c r="AY19" s="408">
        <v>0</v>
      </c>
      <c r="AZ19" s="408">
        <v>0</v>
      </c>
      <c r="BA19" s="408"/>
      <c r="BB19" s="408">
        <v>0</v>
      </c>
      <c r="BC19" s="408">
        <v>0</v>
      </c>
      <c r="BD19" s="408">
        <v>0</v>
      </c>
      <c r="BE19" s="408">
        <v>0</v>
      </c>
      <c r="BF19" s="408">
        <v>0</v>
      </c>
      <c r="BG19" s="408">
        <v>47.183939556198233</v>
      </c>
      <c r="BH19" s="408">
        <v>0</v>
      </c>
      <c r="BI19" s="408">
        <v>0</v>
      </c>
      <c r="BJ19" s="408">
        <v>0</v>
      </c>
      <c r="BK19" s="408">
        <v>0</v>
      </c>
      <c r="BL19" s="408">
        <v>0</v>
      </c>
      <c r="BM19" s="408"/>
      <c r="BN19" s="408"/>
      <c r="BO19" s="408"/>
      <c r="BP19" s="408"/>
      <c r="BQ19" s="408"/>
      <c r="BR19" s="408"/>
      <c r="BS19" s="408"/>
      <c r="BT19" s="408"/>
      <c r="BU19" s="408"/>
      <c r="BV19" s="408">
        <v>683.46158584676425</v>
      </c>
      <c r="BW19" s="408"/>
      <c r="BX19" s="408"/>
      <c r="BY19" s="408"/>
      <c r="BZ19" s="408"/>
      <c r="CA19" s="408"/>
      <c r="CB19" s="408"/>
      <c r="CC19" s="408"/>
      <c r="CD19" s="408"/>
      <c r="CE19" s="408"/>
      <c r="CF19" s="408"/>
      <c r="CG19" s="408"/>
      <c r="CH19" s="408"/>
      <c r="CI19" s="408">
        <v>3733.422</v>
      </c>
      <c r="CJ19" s="408">
        <v>-1881.4416100000003</v>
      </c>
      <c r="CK19" s="408"/>
      <c r="CL19" s="408"/>
      <c r="CM19" s="408"/>
      <c r="CN19" s="408"/>
      <c r="CO19" s="408">
        <v>-1952.9173300000004</v>
      </c>
      <c r="CP19" s="408">
        <v>70.29356999999996</v>
      </c>
      <c r="CQ19" s="408">
        <v>31</v>
      </c>
      <c r="CR19" s="408">
        <v>125.91069646863866</v>
      </c>
      <c r="CS19" s="408">
        <v>8.9940744991939994</v>
      </c>
      <c r="CT19" s="408">
        <v>13.396808716975741</v>
      </c>
      <c r="CU19" s="408">
        <v>0</v>
      </c>
      <c r="CV19" s="408">
        <v>0</v>
      </c>
      <c r="CW19" s="408">
        <v>0</v>
      </c>
      <c r="CX19" s="408">
        <v>0</v>
      </c>
      <c r="CY19" s="408">
        <v>0</v>
      </c>
      <c r="CZ19" s="408">
        <v>31.433636839487349</v>
      </c>
      <c r="DA19" s="408">
        <v>0</v>
      </c>
      <c r="DB19" s="408">
        <v>0</v>
      </c>
      <c r="DC19" s="408">
        <v>70.272276025062411</v>
      </c>
      <c r="DD19" s="408">
        <v>0</v>
      </c>
      <c r="DE19" s="408">
        <v>0</v>
      </c>
      <c r="DF19" s="408">
        <v>0</v>
      </c>
      <c r="DG19" s="408">
        <v>5.2111257463990768</v>
      </c>
      <c r="DH19" s="408">
        <v>0</v>
      </c>
      <c r="DI19" s="408">
        <v>-2.8735710753540502</v>
      </c>
      <c r="DJ19" s="408"/>
      <c r="DK19" s="408">
        <v>0</v>
      </c>
      <c r="DL19" s="408">
        <v>0</v>
      </c>
      <c r="DM19" s="408">
        <v>0</v>
      </c>
      <c r="DN19" s="408">
        <v>0</v>
      </c>
      <c r="DO19" s="408">
        <v>-0.42912779210679375</v>
      </c>
      <c r="DP19" s="408">
        <v>-9.4526491019580661E-2</v>
      </c>
      <c r="DQ19" s="408">
        <v>0</v>
      </c>
      <c r="DR19" s="408">
        <v>0</v>
      </c>
      <c r="DS19" s="408"/>
      <c r="DT19" s="408"/>
      <c r="DU19" s="408"/>
      <c r="DV19" s="408">
        <v>3580.3739411023271</v>
      </c>
      <c r="DW19" s="408">
        <v>0</v>
      </c>
      <c r="DX19" s="408">
        <v>0</v>
      </c>
      <c r="DY19" s="408">
        <v>-1952.9173300000002</v>
      </c>
      <c r="DZ19" s="408">
        <v>70.293569999999931</v>
      </c>
      <c r="EA19" s="408">
        <v>0</v>
      </c>
      <c r="EB19" s="408">
        <v>0</v>
      </c>
      <c r="EC19" s="408">
        <v>-2008.5529002257283</v>
      </c>
      <c r="ED19" s="408">
        <v>0</v>
      </c>
      <c r="EE19" s="408">
        <v>0</v>
      </c>
      <c r="EF19" s="408">
        <v>0</v>
      </c>
      <c r="EG19" s="408">
        <v>0</v>
      </c>
      <c r="EH19" s="408">
        <v>0</v>
      </c>
      <c r="EI19" s="408">
        <v>0</v>
      </c>
      <c r="EJ19" s="408">
        <v>0</v>
      </c>
      <c r="EK19" s="408">
        <v>0</v>
      </c>
      <c r="EL19" s="408">
        <v>0</v>
      </c>
      <c r="EM19" s="408">
        <v>0</v>
      </c>
      <c r="EN19" s="408">
        <v>0</v>
      </c>
      <c r="EO19" s="408">
        <v>0</v>
      </c>
      <c r="EP19" s="408">
        <v>0</v>
      </c>
      <c r="EQ19" s="408">
        <v>0</v>
      </c>
      <c r="ER19" s="408">
        <v>0</v>
      </c>
      <c r="ES19" s="408">
        <v>0</v>
      </c>
      <c r="ET19" s="408">
        <v>0</v>
      </c>
      <c r="EU19" s="408">
        <v>0</v>
      </c>
      <c r="EV19" s="408">
        <v>238</v>
      </c>
      <c r="EW19" s="408">
        <v>0</v>
      </c>
      <c r="EX19" s="408">
        <v>0</v>
      </c>
      <c r="EY19" s="408">
        <v>0</v>
      </c>
      <c r="EZ19" s="408"/>
      <c r="FA19" s="408">
        <v>0</v>
      </c>
      <c r="FB19" s="408"/>
      <c r="FC19" s="408"/>
      <c r="FD19" s="408"/>
      <c r="FE19" s="408"/>
      <c r="FF19" s="408">
        <v>0</v>
      </c>
      <c r="FG19" s="408">
        <v>0</v>
      </c>
      <c r="FH19" s="408">
        <v>0</v>
      </c>
      <c r="FI19" s="408">
        <v>0</v>
      </c>
    </row>
    <row r="20" spans="1:165" customFormat="1">
      <c r="A20" s="408">
        <v>18</v>
      </c>
      <c r="B20" s="408" t="s">
        <v>1036</v>
      </c>
      <c r="C20" s="408" t="s">
        <v>2243</v>
      </c>
      <c r="D20" s="408" t="s">
        <v>597</v>
      </c>
      <c r="E20" s="408" t="s">
        <v>970</v>
      </c>
      <c r="F20" s="408" t="s">
        <v>1322</v>
      </c>
      <c r="G20" s="408" t="s">
        <v>1322</v>
      </c>
      <c r="H20" s="408" t="s">
        <v>1322</v>
      </c>
      <c r="I20" s="408" t="s">
        <v>2244</v>
      </c>
      <c r="J20" s="408" t="s">
        <v>2236</v>
      </c>
      <c r="K20" s="824">
        <v>44378</v>
      </c>
      <c r="L20" s="408">
        <v>0</v>
      </c>
      <c r="M20" s="408">
        <v>0</v>
      </c>
      <c r="N20" s="408">
        <v>180.31</v>
      </c>
      <c r="O20" s="408">
        <v>180.31</v>
      </c>
      <c r="P20" s="408">
        <v>180.31</v>
      </c>
      <c r="Q20" s="408">
        <v>180.31</v>
      </c>
      <c r="R20" s="408"/>
      <c r="S20" s="408">
        <v>79.7</v>
      </c>
      <c r="T20" s="408">
        <v>209.4</v>
      </c>
      <c r="U20" s="408"/>
      <c r="V20" s="408">
        <v>52127.621000000006</v>
      </c>
      <c r="W20" s="408">
        <v>52127.621000000006</v>
      </c>
      <c r="X20" s="408">
        <v>56350.481199999995</v>
      </c>
      <c r="Y20" s="408">
        <v>0</v>
      </c>
      <c r="Z20" s="408">
        <v>9653.433084494116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37261.195973579721</v>
      </c>
      <c r="AG20" s="408">
        <v>496.3871126927275</v>
      </c>
      <c r="AH20" s="408">
        <v>0</v>
      </c>
      <c r="AI20" s="408">
        <v>0</v>
      </c>
      <c r="AJ20" s="408">
        <v>0</v>
      </c>
      <c r="AK20" s="408">
        <v>0</v>
      </c>
      <c r="AL20" s="408">
        <v>1714.6762726324203</v>
      </c>
      <c r="AM20" s="408"/>
      <c r="AN20" s="408">
        <v>239.4236072670991</v>
      </c>
      <c r="AO20" s="408">
        <v>0</v>
      </c>
      <c r="AP20" s="408">
        <v>0</v>
      </c>
      <c r="AQ20" s="408">
        <v>0</v>
      </c>
      <c r="AR20" s="408">
        <v>0</v>
      </c>
      <c r="AS20" s="408">
        <v>0</v>
      </c>
      <c r="AT20" s="408">
        <v>0</v>
      </c>
      <c r="AU20" s="408">
        <v>0</v>
      </c>
      <c r="AV20" s="408">
        <v>0</v>
      </c>
      <c r="AW20" s="408">
        <v>0</v>
      </c>
      <c r="AX20" s="408">
        <v>0</v>
      </c>
      <c r="AY20" s="408">
        <v>0</v>
      </c>
      <c r="AZ20" s="408">
        <v>0</v>
      </c>
      <c r="BA20" s="408"/>
      <c r="BB20" s="408">
        <v>0</v>
      </c>
      <c r="BC20" s="408">
        <v>0</v>
      </c>
      <c r="BD20" s="408">
        <v>0</v>
      </c>
      <c r="BE20" s="408">
        <v>0</v>
      </c>
      <c r="BF20" s="408">
        <v>0</v>
      </c>
      <c r="BG20" s="408">
        <v>2763.1491202916864</v>
      </c>
      <c r="BH20" s="408">
        <v>0</v>
      </c>
      <c r="BI20" s="408">
        <v>0</v>
      </c>
      <c r="BJ20" s="408">
        <v>0</v>
      </c>
      <c r="BK20" s="408">
        <v>0</v>
      </c>
      <c r="BL20" s="408">
        <v>0</v>
      </c>
      <c r="BM20" s="408"/>
      <c r="BN20" s="408"/>
      <c r="BO20" s="408"/>
      <c r="BP20" s="408"/>
      <c r="BQ20" s="408"/>
      <c r="BR20" s="408"/>
      <c r="BS20" s="408"/>
      <c r="BT20" s="408"/>
      <c r="BU20" s="408"/>
      <c r="BV20" s="408">
        <v>40024.345093871409</v>
      </c>
      <c r="BW20" s="408"/>
      <c r="BX20" s="408"/>
      <c r="BY20" s="408"/>
      <c r="BZ20" s="408"/>
      <c r="CA20" s="408"/>
      <c r="CB20" s="408"/>
      <c r="CC20" s="408"/>
      <c r="CD20" s="408"/>
      <c r="CE20" s="408"/>
      <c r="CF20" s="408"/>
      <c r="CG20" s="408"/>
      <c r="CH20" s="408"/>
      <c r="CI20" s="408">
        <v>56350.481199999995</v>
      </c>
      <c r="CJ20" s="408">
        <v>4222.8301999999894</v>
      </c>
      <c r="CK20" s="408"/>
      <c r="CL20" s="408"/>
      <c r="CM20" s="408"/>
      <c r="CN20" s="408"/>
      <c r="CO20" s="408">
        <v>106.38290000000062</v>
      </c>
      <c r="CP20" s="408">
        <v>4116.4772999999968</v>
      </c>
      <c r="CQ20" s="408">
        <v>31</v>
      </c>
      <c r="CR20" s="408">
        <v>4221.454520631567</v>
      </c>
      <c r="CS20" s="408">
        <v>0</v>
      </c>
      <c r="CT20" s="408">
        <v>0</v>
      </c>
      <c r="CU20" s="408">
        <v>0</v>
      </c>
      <c r="CV20" s="408">
        <v>0</v>
      </c>
      <c r="CW20" s="408">
        <v>0</v>
      </c>
      <c r="CX20" s="408">
        <v>0</v>
      </c>
      <c r="CY20" s="408">
        <v>0</v>
      </c>
      <c r="CZ20" s="408">
        <v>0</v>
      </c>
      <c r="DA20" s="408">
        <v>0</v>
      </c>
      <c r="DB20" s="408">
        <v>0</v>
      </c>
      <c r="DC20" s="408">
        <v>4115.230298823968</v>
      </c>
      <c r="DD20" s="408">
        <v>0</v>
      </c>
      <c r="DE20" s="408">
        <v>0</v>
      </c>
      <c r="DF20" s="408">
        <v>0</v>
      </c>
      <c r="DG20" s="408">
        <v>305.16988740929446</v>
      </c>
      <c r="DH20" s="408">
        <v>0</v>
      </c>
      <c r="DI20" s="408">
        <v>-168.279831307922</v>
      </c>
      <c r="DJ20" s="408"/>
      <c r="DK20" s="408">
        <v>0</v>
      </c>
      <c r="DL20" s="408">
        <v>0</v>
      </c>
      <c r="DM20" s="408">
        <v>0</v>
      </c>
      <c r="DN20" s="408">
        <v>0</v>
      </c>
      <c r="DO20" s="408">
        <v>-25.130247546208693</v>
      </c>
      <c r="DP20" s="408">
        <v>-5.5355867475610694</v>
      </c>
      <c r="DQ20" s="408">
        <v>0</v>
      </c>
      <c r="DR20" s="408">
        <v>0</v>
      </c>
      <c r="DS20" s="408"/>
      <c r="DT20" s="408"/>
      <c r="DU20" s="408"/>
      <c r="DV20" s="408">
        <v>0</v>
      </c>
      <c r="DW20" s="408">
        <v>0</v>
      </c>
      <c r="DX20" s="408">
        <v>0</v>
      </c>
      <c r="DY20" s="408">
        <v>106.38290000000052</v>
      </c>
      <c r="DZ20" s="408">
        <v>4116.4772999999914</v>
      </c>
      <c r="EA20" s="408">
        <v>0</v>
      </c>
      <c r="EB20" s="408">
        <v>0</v>
      </c>
      <c r="EC20" s="408">
        <v>0</v>
      </c>
      <c r="ED20" s="408">
        <v>0</v>
      </c>
      <c r="EE20" s="408">
        <v>0</v>
      </c>
      <c r="EF20" s="408">
        <v>0</v>
      </c>
      <c r="EG20" s="408">
        <v>0</v>
      </c>
      <c r="EH20" s="408">
        <v>0</v>
      </c>
      <c r="EI20" s="408">
        <v>0</v>
      </c>
      <c r="EJ20" s="408">
        <v>0</v>
      </c>
      <c r="EK20" s="408">
        <v>0</v>
      </c>
      <c r="EL20" s="408">
        <v>0</v>
      </c>
      <c r="EM20" s="408">
        <v>0</v>
      </c>
      <c r="EN20" s="408">
        <v>0</v>
      </c>
      <c r="EO20" s="408">
        <v>0</v>
      </c>
      <c r="EP20" s="408">
        <v>0</v>
      </c>
      <c r="EQ20" s="408">
        <v>0</v>
      </c>
      <c r="ER20" s="408">
        <v>0</v>
      </c>
      <c r="ES20" s="408">
        <v>0</v>
      </c>
      <c r="ET20" s="408">
        <v>0</v>
      </c>
      <c r="EU20" s="408">
        <v>0</v>
      </c>
      <c r="EV20" s="408">
        <v>238</v>
      </c>
      <c r="EW20" s="408">
        <v>0</v>
      </c>
      <c r="EX20" s="408">
        <v>0</v>
      </c>
      <c r="EY20" s="408">
        <v>0</v>
      </c>
      <c r="EZ20" s="408"/>
      <c r="FA20" s="408">
        <v>0</v>
      </c>
      <c r="FB20" s="408"/>
      <c r="FC20" s="408"/>
      <c r="FD20" s="408"/>
      <c r="FE20" s="408"/>
      <c r="FF20" s="408">
        <v>0</v>
      </c>
      <c r="FG20" s="408">
        <v>0</v>
      </c>
      <c r="FH20" s="408">
        <v>0</v>
      </c>
      <c r="FI20" s="408">
        <v>0</v>
      </c>
    </row>
    <row r="21" spans="1:165" customFormat="1">
      <c r="A21" s="408">
        <v>19</v>
      </c>
      <c r="B21" s="408" t="s">
        <v>1036</v>
      </c>
      <c r="C21" s="408" t="s">
        <v>2243</v>
      </c>
      <c r="D21" s="408" t="s">
        <v>597</v>
      </c>
      <c r="E21" s="408" t="s">
        <v>970</v>
      </c>
      <c r="F21" s="408" t="s">
        <v>1322</v>
      </c>
      <c r="G21" s="408" t="s">
        <v>1322</v>
      </c>
      <c r="H21" s="408" t="s">
        <v>1322</v>
      </c>
      <c r="I21" s="408" t="s">
        <v>1322</v>
      </c>
      <c r="J21" s="408" t="s">
        <v>2236</v>
      </c>
      <c r="K21" s="824">
        <v>44378</v>
      </c>
      <c r="L21" s="408">
        <v>1480</v>
      </c>
      <c r="M21" s="408">
        <v>1480</v>
      </c>
      <c r="N21" s="408">
        <v>0</v>
      </c>
      <c r="O21" s="408">
        <v>0</v>
      </c>
      <c r="P21" s="408">
        <v>0</v>
      </c>
      <c r="Q21" s="408">
        <v>0</v>
      </c>
      <c r="R21" s="408">
        <v>44.35</v>
      </c>
      <c r="S21" s="408"/>
      <c r="T21" s="408"/>
      <c r="U21" s="408">
        <v>65638</v>
      </c>
      <c r="V21" s="408"/>
      <c r="W21" s="408">
        <v>65638</v>
      </c>
      <c r="X21" s="408">
        <v>42875.6</v>
      </c>
      <c r="Y21" s="408">
        <v>0</v>
      </c>
      <c r="Z21" s="408">
        <v>0</v>
      </c>
      <c r="AA21" s="408">
        <v>0</v>
      </c>
      <c r="AB21" s="408">
        <v>0</v>
      </c>
      <c r="AC21" s="408">
        <v>0</v>
      </c>
      <c r="AD21" s="408">
        <v>19420.654258366245</v>
      </c>
      <c r="AE21" s="408">
        <v>42502.412502904081</v>
      </c>
      <c r="AF21" s="408"/>
      <c r="AG21" s="408"/>
      <c r="AH21" s="408"/>
      <c r="AI21" s="408">
        <v>0</v>
      </c>
      <c r="AJ21" s="408">
        <v>0</v>
      </c>
      <c r="AK21" s="408">
        <v>0</v>
      </c>
      <c r="AL21" s="408">
        <v>0</v>
      </c>
      <c r="AM21" s="408"/>
      <c r="AN21" s="408">
        <v>0</v>
      </c>
      <c r="AO21" s="408">
        <v>1467.7466236582311</v>
      </c>
      <c r="AP21" s="408">
        <v>2245.5912622440619</v>
      </c>
      <c r="AQ21" s="408">
        <v>0</v>
      </c>
      <c r="AR21" s="408">
        <v>0</v>
      </c>
      <c r="AS21" s="408"/>
      <c r="AT21" s="408"/>
      <c r="AU21" s="408">
        <v>0</v>
      </c>
      <c r="AV21" s="408">
        <v>0</v>
      </c>
      <c r="AW21" s="408">
        <v>0</v>
      </c>
      <c r="AX21" s="408"/>
      <c r="AY21" s="408"/>
      <c r="AZ21" s="408">
        <v>0</v>
      </c>
      <c r="BA21" s="408"/>
      <c r="BB21" s="408">
        <v>0</v>
      </c>
      <c r="BC21" s="408">
        <v>0</v>
      </c>
      <c r="BD21" s="408">
        <v>0</v>
      </c>
      <c r="BE21" s="408">
        <v>0</v>
      </c>
      <c r="BF21" s="408"/>
      <c r="BG21" s="408">
        <v>0</v>
      </c>
      <c r="BH21" s="408">
        <v>0</v>
      </c>
      <c r="BI21" s="408">
        <v>140.01</v>
      </c>
      <c r="BJ21" s="408">
        <v>630.16999999999996</v>
      </c>
      <c r="BK21" s="408">
        <v>23003.759999999998</v>
      </c>
      <c r="BL21" s="408">
        <v>6</v>
      </c>
      <c r="BM21" s="408"/>
      <c r="BN21" s="408"/>
      <c r="BO21" s="408"/>
      <c r="BP21" s="408"/>
      <c r="BQ21" s="408"/>
      <c r="BR21" s="408"/>
      <c r="BS21" s="408"/>
      <c r="BT21" s="408"/>
      <c r="BU21" s="408"/>
      <c r="BV21" s="408">
        <v>0</v>
      </c>
      <c r="BW21" s="408"/>
      <c r="BX21" s="408"/>
      <c r="BY21" s="408"/>
      <c r="BZ21" s="408"/>
      <c r="CA21" s="408"/>
      <c r="CB21" s="408"/>
      <c r="CC21" s="408"/>
      <c r="CD21" s="408"/>
      <c r="CE21" s="408"/>
      <c r="CF21" s="408"/>
      <c r="CG21" s="408"/>
      <c r="CH21" s="408"/>
      <c r="CI21" s="408">
        <v>42875.6</v>
      </c>
      <c r="CJ21" s="408">
        <v>-22762.429999999986</v>
      </c>
      <c r="CK21" s="408"/>
      <c r="CL21" s="408"/>
      <c r="CM21" s="408"/>
      <c r="CN21" s="408"/>
      <c r="CO21" s="408">
        <v>-22762.400000000005</v>
      </c>
      <c r="CP21" s="408">
        <v>0</v>
      </c>
      <c r="CQ21" s="408">
        <v>31</v>
      </c>
      <c r="CR21" s="408">
        <v>1084.975211414665</v>
      </c>
      <c r="CS21" s="408">
        <v>177.20403013513919</v>
      </c>
      <c r="CT21" s="408">
        <v>271.11479276586988</v>
      </c>
      <c r="CU21" s="408">
        <v>0</v>
      </c>
      <c r="CV21" s="408">
        <v>0</v>
      </c>
      <c r="CW21" s="408"/>
      <c r="CX21" s="408"/>
      <c r="CY21" s="408"/>
      <c r="CZ21" s="408">
        <v>636.65638851365657</v>
      </c>
      <c r="DA21" s="408">
        <v>0</v>
      </c>
      <c r="DB21" s="408">
        <v>0</v>
      </c>
      <c r="DC21" s="408"/>
      <c r="DD21" s="408"/>
      <c r="DE21" s="408">
        <v>0</v>
      </c>
      <c r="DF21" s="408">
        <v>0</v>
      </c>
      <c r="DG21" s="408">
        <v>0</v>
      </c>
      <c r="DH21" s="408">
        <v>0</v>
      </c>
      <c r="DI21" s="408">
        <v>0</v>
      </c>
      <c r="DJ21" s="408"/>
      <c r="DK21" s="408">
        <v>0</v>
      </c>
      <c r="DL21" s="408">
        <v>0</v>
      </c>
      <c r="DM21" s="408"/>
      <c r="DN21" s="408">
        <v>0</v>
      </c>
      <c r="DO21" s="408">
        <v>0</v>
      </c>
      <c r="DP21" s="408">
        <v>0</v>
      </c>
      <c r="DQ21" s="408">
        <v>0</v>
      </c>
      <c r="DR21" s="408">
        <v>0</v>
      </c>
      <c r="DS21" s="408"/>
      <c r="DT21" s="408"/>
      <c r="DU21" s="408">
        <v>42502.412502904081</v>
      </c>
      <c r="DV21" s="408"/>
      <c r="DW21" s="408">
        <v>0</v>
      </c>
      <c r="DX21" s="408">
        <v>0</v>
      </c>
      <c r="DY21" s="408">
        <v>-22762.400000000001</v>
      </c>
      <c r="DZ21" s="408"/>
      <c r="EA21" s="408">
        <v>0</v>
      </c>
      <c r="EB21" s="408"/>
      <c r="EC21" s="408">
        <v>-23843.415605079146</v>
      </c>
      <c r="ED21" s="408"/>
      <c r="EE21" s="408">
        <v>0</v>
      </c>
      <c r="EF21" s="408">
        <v>0</v>
      </c>
      <c r="EG21" s="408"/>
      <c r="EH21" s="408">
        <v>0</v>
      </c>
      <c r="EI21" s="408">
        <v>0</v>
      </c>
      <c r="EJ21" s="408">
        <v>0</v>
      </c>
      <c r="EK21" s="408">
        <v>0</v>
      </c>
      <c r="EL21" s="408">
        <v>0</v>
      </c>
      <c r="EM21" s="408"/>
      <c r="EN21" s="408"/>
      <c r="EO21" s="408">
        <v>0</v>
      </c>
      <c r="EP21" s="408">
        <v>0</v>
      </c>
      <c r="EQ21" s="408"/>
      <c r="ER21" s="408">
        <v>0</v>
      </c>
      <c r="ES21" s="408"/>
      <c r="ET21" s="408">
        <v>0</v>
      </c>
      <c r="EU21" s="408"/>
      <c r="EV21" s="408">
        <v>238</v>
      </c>
      <c r="EW21" s="408"/>
      <c r="EX21" s="408"/>
      <c r="EY21" s="408"/>
      <c r="EZ21" s="408"/>
      <c r="FA21" s="408">
        <v>0</v>
      </c>
      <c r="FB21" s="408"/>
      <c r="FC21" s="408"/>
      <c r="FD21" s="408"/>
      <c r="FE21" s="408"/>
      <c r="FF21" s="408">
        <v>0</v>
      </c>
      <c r="FG21" s="408">
        <v>0</v>
      </c>
      <c r="FH21" s="408">
        <v>0</v>
      </c>
      <c r="FI21" s="408">
        <v>0</v>
      </c>
    </row>
    <row r="22" spans="1:165" customFormat="1">
      <c r="A22" s="408">
        <v>20</v>
      </c>
      <c r="B22" s="408" t="s">
        <v>1036</v>
      </c>
      <c r="C22" s="408" t="s">
        <v>2235</v>
      </c>
      <c r="D22" s="408" t="s">
        <v>1958</v>
      </c>
      <c r="E22" s="408" t="s">
        <v>998</v>
      </c>
      <c r="F22" s="408" t="s">
        <v>1322</v>
      </c>
      <c r="G22" s="408" t="s">
        <v>1322</v>
      </c>
      <c r="H22" s="408" t="s">
        <v>1322</v>
      </c>
      <c r="I22" s="408" t="s">
        <v>1322</v>
      </c>
      <c r="J22" s="408" t="s">
        <v>2236</v>
      </c>
      <c r="K22" s="824">
        <v>44378</v>
      </c>
      <c r="L22" s="408">
        <v>0</v>
      </c>
      <c r="M22" s="408">
        <v>0</v>
      </c>
      <c r="N22" s="408">
        <v>286.92599999999999</v>
      </c>
      <c r="O22" s="408">
        <v>286.92599999999999</v>
      </c>
      <c r="P22" s="408">
        <v>286.92599999999999</v>
      </c>
      <c r="Q22" s="408">
        <v>286.92599999999999</v>
      </c>
      <c r="R22" s="408"/>
      <c r="S22" s="408">
        <v>581.32000000000005</v>
      </c>
      <c r="T22" s="408">
        <v>209.4</v>
      </c>
      <c r="U22" s="408"/>
      <c r="V22" s="408">
        <v>226878.12672</v>
      </c>
      <c r="W22" s="408">
        <v>226878.12672</v>
      </c>
      <c r="X22" s="408">
        <v>173323.38881999999</v>
      </c>
      <c r="Y22" s="408">
        <v>0</v>
      </c>
      <c r="Z22" s="408">
        <v>17656.825640653082</v>
      </c>
      <c r="AA22" s="408">
        <v>0</v>
      </c>
      <c r="AB22" s="408">
        <v>0</v>
      </c>
      <c r="AC22" s="408">
        <v>0</v>
      </c>
      <c r="AD22" s="408">
        <v>21287.36841168387</v>
      </c>
      <c r="AE22" s="408">
        <v>110582.80451929303</v>
      </c>
      <c r="AF22" s="408">
        <v>59293.471886835636</v>
      </c>
      <c r="AG22" s="408">
        <v>789.89722531458892</v>
      </c>
      <c r="AH22" s="408">
        <v>0</v>
      </c>
      <c r="AI22" s="408">
        <v>0</v>
      </c>
      <c r="AJ22" s="408">
        <v>0</v>
      </c>
      <c r="AK22" s="408">
        <v>0</v>
      </c>
      <c r="AL22" s="408">
        <v>2728.5519616290267</v>
      </c>
      <c r="AM22" s="408"/>
      <c r="AN22" s="408">
        <v>523.05585928351434</v>
      </c>
      <c r="AO22" s="408">
        <v>1635.3292208649229</v>
      </c>
      <c r="AP22" s="408">
        <v>2463.3142174744089</v>
      </c>
      <c r="AQ22" s="408">
        <v>0</v>
      </c>
      <c r="AR22" s="408">
        <v>0</v>
      </c>
      <c r="AS22" s="408">
        <v>0</v>
      </c>
      <c r="AT22" s="408">
        <v>0</v>
      </c>
      <c r="AU22" s="408">
        <v>0</v>
      </c>
      <c r="AV22" s="408">
        <v>0</v>
      </c>
      <c r="AW22" s="408">
        <v>0</v>
      </c>
      <c r="AX22" s="408">
        <v>0</v>
      </c>
      <c r="AY22" s="408">
        <v>0</v>
      </c>
      <c r="AZ22" s="408">
        <v>0</v>
      </c>
      <c r="BA22" s="408"/>
      <c r="BB22" s="408">
        <v>0</v>
      </c>
      <c r="BC22" s="408">
        <v>0</v>
      </c>
      <c r="BD22" s="408">
        <v>0</v>
      </c>
      <c r="BE22" s="408">
        <v>0</v>
      </c>
      <c r="BF22" s="408">
        <v>0</v>
      </c>
      <c r="BG22" s="408">
        <v>9919.6870033091127</v>
      </c>
      <c r="BH22" s="408">
        <v>0</v>
      </c>
      <c r="BI22" s="408">
        <v>291.02</v>
      </c>
      <c r="BJ22" s="408">
        <v>1319.01</v>
      </c>
      <c r="BK22" s="408">
        <v>87769.21</v>
      </c>
      <c r="BL22" s="408">
        <v>806</v>
      </c>
      <c r="BM22" s="408"/>
      <c r="BN22" s="408"/>
      <c r="BO22" s="408"/>
      <c r="BP22" s="408"/>
      <c r="BQ22" s="408"/>
      <c r="BR22" s="408"/>
      <c r="BS22" s="408"/>
      <c r="BT22" s="408"/>
      <c r="BU22" s="408"/>
      <c r="BV22" s="408">
        <v>69213.158890144754</v>
      </c>
      <c r="BW22" s="408"/>
      <c r="BX22" s="408"/>
      <c r="BY22" s="408"/>
      <c r="BZ22" s="408"/>
      <c r="CA22" s="408"/>
      <c r="CB22" s="408"/>
      <c r="CC22" s="408"/>
      <c r="CD22" s="408"/>
      <c r="CE22" s="408"/>
      <c r="CF22" s="408"/>
      <c r="CG22" s="408"/>
      <c r="CH22" s="408"/>
      <c r="CI22" s="408">
        <v>173325.8051</v>
      </c>
      <c r="CJ22" s="408">
        <v>-53552.35162000003</v>
      </c>
      <c r="CK22" s="408"/>
      <c r="CL22" s="408"/>
      <c r="CM22" s="408"/>
      <c r="CN22" s="408"/>
      <c r="CO22" s="408">
        <v>-60105.258480000019</v>
      </c>
      <c r="CP22" s="408">
        <v>6550.5205799999949</v>
      </c>
      <c r="CQ22" s="408">
        <v>31</v>
      </c>
      <c r="CR22" s="408">
        <v>8476.9046470790636</v>
      </c>
      <c r="CS22" s="408">
        <v>197.43661737252546</v>
      </c>
      <c r="CT22" s="408">
        <v>297.40092723748967</v>
      </c>
      <c r="CU22" s="408">
        <v>0</v>
      </c>
      <c r="CV22" s="408">
        <v>0</v>
      </c>
      <c r="CW22" s="408">
        <v>0</v>
      </c>
      <c r="CX22" s="408">
        <v>0</v>
      </c>
      <c r="CY22" s="408">
        <v>0</v>
      </c>
      <c r="CZ22" s="408">
        <v>697.85182896722836</v>
      </c>
      <c r="DA22" s="408">
        <v>0</v>
      </c>
      <c r="DB22" s="408">
        <v>0</v>
      </c>
      <c r="DC22" s="408">
        <v>6548.5362360399668</v>
      </c>
      <c r="DD22" s="408">
        <v>0</v>
      </c>
      <c r="DE22" s="408">
        <v>0</v>
      </c>
      <c r="DF22" s="408">
        <v>0</v>
      </c>
      <c r="DG22" s="408">
        <v>1095.557870440105</v>
      </c>
      <c r="DH22" s="408">
        <v>0</v>
      </c>
      <c r="DI22" s="408">
        <v>-307.79595344323752</v>
      </c>
      <c r="DJ22" s="408"/>
      <c r="DK22" s="408">
        <v>0</v>
      </c>
      <c r="DL22" s="408">
        <v>0</v>
      </c>
      <c r="DM22" s="408">
        <v>0</v>
      </c>
      <c r="DN22" s="408">
        <v>0</v>
      </c>
      <c r="DO22" s="408">
        <v>-39.989581317971442</v>
      </c>
      <c r="DP22" s="408">
        <v>-12.093298217051597</v>
      </c>
      <c r="DQ22" s="408">
        <v>0</v>
      </c>
      <c r="DR22" s="408">
        <v>0</v>
      </c>
      <c r="DS22" s="408"/>
      <c r="DT22" s="408"/>
      <c r="DU22" s="408"/>
      <c r="DV22" s="408">
        <v>110582.80451929303</v>
      </c>
      <c r="DW22" s="408">
        <v>0</v>
      </c>
      <c r="DX22" s="408">
        <v>0</v>
      </c>
      <c r="DY22" s="408">
        <v>-60105.258480000019</v>
      </c>
      <c r="DZ22" s="408">
        <v>6550.5205799999894</v>
      </c>
      <c r="EA22" s="408">
        <v>0</v>
      </c>
      <c r="EB22" s="408">
        <v>0</v>
      </c>
      <c r="EC22" s="408">
        <v>-62035.814243451932</v>
      </c>
      <c r="ED22" s="408">
        <v>0</v>
      </c>
      <c r="EE22" s="408">
        <v>0</v>
      </c>
      <c r="EF22" s="408">
        <v>0</v>
      </c>
      <c r="EG22" s="408">
        <v>0</v>
      </c>
      <c r="EH22" s="408">
        <v>0</v>
      </c>
      <c r="EI22" s="408">
        <v>0</v>
      </c>
      <c r="EJ22" s="408">
        <v>0</v>
      </c>
      <c r="EK22" s="408">
        <v>0</v>
      </c>
      <c r="EL22" s="408">
        <v>0</v>
      </c>
      <c r="EM22" s="408">
        <v>0</v>
      </c>
      <c r="EN22" s="408">
        <v>0</v>
      </c>
      <c r="EO22" s="408">
        <v>0</v>
      </c>
      <c r="EP22" s="408">
        <v>0</v>
      </c>
      <c r="EQ22" s="408">
        <v>0</v>
      </c>
      <c r="ER22" s="408">
        <v>0</v>
      </c>
      <c r="ES22" s="408">
        <v>0</v>
      </c>
      <c r="ET22" s="408">
        <v>0</v>
      </c>
      <c r="EU22" s="408">
        <v>0</v>
      </c>
      <c r="EV22" s="408">
        <v>238</v>
      </c>
      <c r="EW22" s="408">
        <v>0</v>
      </c>
      <c r="EX22" s="408">
        <v>0</v>
      </c>
      <c r="EY22" s="408">
        <v>0</v>
      </c>
      <c r="EZ22" s="408"/>
      <c r="FA22" s="408">
        <v>0</v>
      </c>
      <c r="FB22" s="408"/>
      <c r="FC22" s="408"/>
      <c r="FD22" s="408"/>
      <c r="FE22" s="408"/>
      <c r="FF22" s="408">
        <v>0</v>
      </c>
      <c r="FG22" s="408">
        <v>0</v>
      </c>
      <c r="FH22" s="408">
        <v>0</v>
      </c>
      <c r="FI22" s="408">
        <v>0</v>
      </c>
    </row>
    <row r="23" spans="1:165" customFormat="1">
      <c r="A23" s="408">
        <v>21</v>
      </c>
      <c r="B23" s="408" t="s">
        <v>2238</v>
      </c>
      <c r="C23" s="408" t="s">
        <v>2235</v>
      </c>
      <c r="D23" s="408" t="s">
        <v>1958</v>
      </c>
      <c r="E23" s="408" t="s">
        <v>998</v>
      </c>
      <c r="F23" s="408" t="s">
        <v>1322</v>
      </c>
      <c r="G23" s="408" t="s">
        <v>1322</v>
      </c>
      <c r="H23" s="408" t="s">
        <v>1322</v>
      </c>
      <c r="I23" s="408" t="s">
        <v>1322</v>
      </c>
      <c r="J23" s="408" t="s">
        <v>2236</v>
      </c>
      <c r="K23" s="824">
        <v>44378</v>
      </c>
      <c r="L23" s="408">
        <v>0</v>
      </c>
      <c r="M23" s="408">
        <v>0</v>
      </c>
      <c r="N23" s="408">
        <v>25.283000000000001</v>
      </c>
      <c r="O23" s="408">
        <v>25.283000000000001</v>
      </c>
      <c r="P23" s="408">
        <v>25.283000000000001</v>
      </c>
      <c r="Q23" s="408">
        <v>25.283000000000001</v>
      </c>
      <c r="R23" s="408"/>
      <c r="S23" s="408">
        <v>581.32000000000005</v>
      </c>
      <c r="T23" s="408">
        <v>209.4</v>
      </c>
      <c r="U23" s="408"/>
      <c r="V23" s="408">
        <v>19991.773760000004</v>
      </c>
      <c r="W23" s="408">
        <v>19991.773760000004</v>
      </c>
      <c r="X23" s="408">
        <v>15272.701809999999</v>
      </c>
      <c r="Y23" s="408">
        <v>0</v>
      </c>
      <c r="Z23" s="408">
        <v>1555.8629147328297</v>
      </c>
      <c r="AA23" s="408">
        <v>0</v>
      </c>
      <c r="AB23" s="408">
        <v>0</v>
      </c>
      <c r="AC23" s="408">
        <v>0</v>
      </c>
      <c r="AD23" s="408">
        <v>1875.7747138725779</v>
      </c>
      <c r="AE23" s="408">
        <v>9744.2025005098385</v>
      </c>
      <c r="AF23" s="408">
        <v>5224.7508058344856</v>
      </c>
      <c r="AG23" s="408">
        <v>69.603213189563689</v>
      </c>
      <c r="AH23" s="408">
        <v>0</v>
      </c>
      <c r="AI23" s="408">
        <v>0</v>
      </c>
      <c r="AJ23" s="408">
        <v>0</v>
      </c>
      <c r="AK23" s="408">
        <v>0</v>
      </c>
      <c r="AL23" s="408">
        <v>240.43125839368579</v>
      </c>
      <c r="AM23" s="408"/>
      <c r="AN23" s="408">
        <v>46.090006797101324</v>
      </c>
      <c r="AO23" s="408">
        <v>144.09997243584706</v>
      </c>
      <c r="AP23" s="408">
        <v>217.05935802403923</v>
      </c>
      <c r="AQ23" s="408">
        <v>0</v>
      </c>
      <c r="AR23" s="408">
        <v>0</v>
      </c>
      <c r="AS23" s="408">
        <v>0</v>
      </c>
      <c r="AT23" s="408">
        <v>0</v>
      </c>
      <c r="AU23" s="408">
        <v>0</v>
      </c>
      <c r="AV23" s="408">
        <v>0</v>
      </c>
      <c r="AW23" s="408">
        <v>0</v>
      </c>
      <c r="AX23" s="408">
        <v>0</v>
      </c>
      <c r="AY23" s="408">
        <v>0</v>
      </c>
      <c r="AZ23" s="408">
        <v>0</v>
      </c>
      <c r="BA23" s="408"/>
      <c r="BB23" s="408">
        <v>0</v>
      </c>
      <c r="BC23" s="408">
        <v>0</v>
      </c>
      <c r="BD23" s="408">
        <v>0</v>
      </c>
      <c r="BE23" s="408">
        <v>0</v>
      </c>
      <c r="BF23" s="408">
        <v>0</v>
      </c>
      <c r="BG23" s="408">
        <v>874.09104265442772</v>
      </c>
      <c r="BH23" s="408">
        <v>0</v>
      </c>
      <c r="BI23" s="408">
        <v>25.62</v>
      </c>
      <c r="BJ23" s="408">
        <v>116.18</v>
      </c>
      <c r="BK23" s="408">
        <v>16696.919999999998</v>
      </c>
      <c r="BL23" s="408">
        <v>59</v>
      </c>
      <c r="BM23" s="408"/>
      <c r="BN23" s="408"/>
      <c r="BO23" s="408"/>
      <c r="BP23" s="408"/>
      <c r="BQ23" s="408"/>
      <c r="BR23" s="408"/>
      <c r="BS23" s="408"/>
      <c r="BT23" s="408"/>
      <c r="BU23" s="408"/>
      <c r="BV23" s="408">
        <v>6098.8418484889135</v>
      </c>
      <c r="BW23" s="408"/>
      <c r="BX23" s="408"/>
      <c r="BY23" s="408"/>
      <c r="BZ23" s="408"/>
      <c r="CA23" s="408"/>
      <c r="CB23" s="408"/>
      <c r="CC23" s="408"/>
      <c r="CD23" s="408"/>
      <c r="CE23" s="408"/>
      <c r="CF23" s="408"/>
      <c r="CG23" s="408"/>
      <c r="CH23" s="408"/>
      <c r="CI23" s="408">
        <v>15270.8896</v>
      </c>
      <c r="CJ23" s="408">
        <v>-4720.9141599999984</v>
      </c>
      <c r="CK23" s="408"/>
      <c r="CL23" s="408"/>
      <c r="CM23" s="408"/>
      <c r="CN23" s="408"/>
      <c r="CO23" s="408">
        <v>-5296.2828400000026</v>
      </c>
      <c r="CP23" s="408">
        <v>577.21088999999961</v>
      </c>
      <c r="CQ23" s="408">
        <v>31</v>
      </c>
      <c r="CR23" s="408">
        <v>746.95768313816188</v>
      </c>
      <c r="CS23" s="408">
        <v>17.397482267307794</v>
      </c>
      <c r="CT23" s="408">
        <v>26.206017033470147</v>
      </c>
      <c r="CU23" s="408">
        <v>0</v>
      </c>
      <c r="CV23" s="408">
        <v>0</v>
      </c>
      <c r="CW23" s="408">
        <v>0</v>
      </c>
      <c r="CX23" s="408">
        <v>0</v>
      </c>
      <c r="CY23" s="408">
        <v>0</v>
      </c>
      <c r="CZ23" s="408">
        <v>61.492467715642761</v>
      </c>
      <c r="DA23" s="408">
        <v>0</v>
      </c>
      <c r="DB23" s="408">
        <v>0</v>
      </c>
      <c r="DC23" s="408">
        <v>577.0360359667593</v>
      </c>
      <c r="DD23" s="408">
        <v>0</v>
      </c>
      <c r="DE23" s="408">
        <v>0</v>
      </c>
      <c r="DF23" s="408">
        <v>0</v>
      </c>
      <c r="DG23" s="408">
        <v>96.537050104686159</v>
      </c>
      <c r="DH23" s="408">
        <v>0</v>
      </c>
      <c r="DI23" s="408">
        <v>-27.121993443972997</v>
      </c>
      <c r="DJ23" s="408"/>
      <c r="DK23" s="408">
        <v>0</v>
      </c>
      <c r="DL23" s="408">
        <v>0</v>
      </c>
      <c r="DM23" s="408">
        <v>0</v>
      </c>
      <c r="DN23" s="408">
        <v>0</v>
      </c>
      <c r="DO23" s="408">
        <v>-3.5237538057278925</v>
      </c>
      <c r="DP23" s="408">
        <v>-1.0656227000052851</v>
      </c>
      <c r="DQ23" s="408">
        <v>0</v>
      </c>
      <c r="DR23" s="408">
        <v>0</v>
      </c>
      <c r="DS23" s="408"/>
      <c r="DT23" s="408"/>
      <c r="DU23" s="408"/>
      <c r="DV23" s="408">
        <v>9744.2025005098385</v>
      </c>
      <c r="DW23" s="408">
        <v>0</v>
      </c>
      <c r="DX23" s="408">
        <v>0</v>
      </c>
      <c r="DY23" s="408">
        <v>-5296.2828400000017</v>
      </c>
      <c r="DZ23" s="408">
        <v>577.21088999999938</v>
      </c>
      <c r="EA23" s="408">
        <v>0</v>
      </c>
      <c r="EB23" s="408">
        <v>0</v>
      </c>
      <c r="EC23" s="408">
        <v>-5466.3972296591992</v>
      </c>
      <c r="ED23" s="408">
        <v>0</v>
      </c>
      <c r="EE23" s="408">
        <v>0</v>
      </c>
      <c r="EF23" s="408">
        <v>0</v>
      </c>
      <c r="EG23" s="408">
        <v>0</v>
      </c>
      <c r="EH23" s="408">
        <v>0</v>
      </c>
      <c r="EI23" s="408">
        <v>0</v>
      </c>
      <c r="EJ23" s="408">
        <v>0</v>
      </c>
      <c r="EK23" s="408">
        <v>0</v>
      </c>
      <c r="EL23" s="408">
        <v>0</v>
      </c>
      <c r="EM23" s="408">
        <v>0</v>
      </c>
      <c r="EN23" s="408">
        <v>0</v>
      </c>
      <c r="EO23" s="408">
        <v>0</v>
      </c>
      <c r="EP23" s="408">
        <v>0</v>
      </c>
      <c r="EQ23" s="408">
        <v>0</v>
      </c>
      <c r="ER23" s="408">
        <v>0</v>
      </c>
      <c r="ES23" s="408">
        <v>0</v>
      </c>
      <c r="ET23" s="408">
        <v>0</v>
      </c>
      <c r="EU23" s="408">
        <v>0</v>
      </c>
      <c r="EV23" s="408">
        <v>238</v>
      </c>
      <c r="EW23" s="408">
        <v>0</v>
      </c>
      <c r="EX23" s="408">
        <v>0</v>
      </c>
      <c r="EY23" s="408">
        <v>0</v>
      </c>
      <c r="EZ23" s="408"/>
      <c r="FA23" s="408">
        <v>0</v>
      </c>
      <c r="FB23" s="408"/>
      <c r="FC23" s="408"/>
      <c r="FD23" s="408"/>
      <c r="FE23" s="408"/>
      <c r="FF23" s="408">
        <v>0</v>
      </c>
      <c r="FG23" s="408">
        <v>0</v>
      </c>
      <c r="FH23" s="408">
        <v>0</v>
      </c>
      <c r="FI23" s="408">
        <v>0</v>
      </c>
    </row>
    <row r="24" spans="1:165" customFormat="1">
      <c r="A24" s="408">
        <v>22</v>
      </c>
      <c r="B24" s="408" t="s">
        <v>1036</v>
      </c>
      <c r="C24" s="408" t="s">
        <v>2243</v>
      </c>
      <c r="D24" s="408" t="s">
        <v>597</v>
      </c>
      <c r="E24" s="408" t="s">
        <v>998</v>
      </c>
      <c r="F24" s="408" t="s">
        <v>1322</v>
      </c>
      <c r="G24" s="408" t="s">
        <v>1322</v>
      </c>
      <c r="H24" s="408" t="s">
        <v>1322</v>
      </c>
      <c r="I24" s="408" t="s">
        <v>973</v>
      </c>
      <c r="J24" s="408" t="s">
        <v>2236</v>
      </c>
      <c r="K24" s="824">
        <v>44378</v>
      </c>
      <c r="L24" s="408">
        <v>0</v>
      </c>
      <c r="M24" s="408">
        <v>0</v>
      </c>
      <c r="N24" s="408">
        <v>16.800999999999998</v>
      </c>
      <c r="O24" s="408">
        <v>16.800999999999998</v>
      </c>
      <c r="P24" s="408">
        <v>16.800999999999998</v>
      </c>
      <c r="Q24" s="408">
        <v>16.800999999999998</v>
      </c>
      <c r="R24" s="408"/>
      <c r="S24" s="408">
        <v>1614.19</v>
      </c>
      <c r="T24" s="408">
        <v>209.4</v>
      </c>
      <c r="U24" s="408"/>
      <c r="V24" s="408">
        <v>30638.135589999998</v>
      </c>
      <c r="W24" s="408">
        <v>30638.135589999998</v>
      </c>
      <c r="X24" s="408">
        <v>20365.332149999995</v>
      </c>
      <c r="Y24" s="408">
        <v>0</v>
      </c>
      <c r="Z24" s="408">
        <v>899.49159365861919</v>
      </c>
      <c r="AA24" s="408">
        <v>0</v>
      </c>
      <c r="AB24" s="408">
        <v>0</v>
      </c>
      <c r="AC24" s="408">
        <v>0</v>
      </c>
      <c r="AD24" s="408">
        <v>5232.1336557694931</v>
      </c>
      <c r="AE24" s="408">
        <v>19536.81798780779</v>
      </c>
      <c r="AF24" s="408">
        <v>3471.9391800350108</v>
      </c>
      <c r="AG24" s="408">
        <v>46.252564363321575</v>
      </c>
      <c r="AH24" s="408">
        <v>0</v>
      </c>
      <c r="AI24" s="408">
        <v>0</v>
      </c>
      <c r="AJ24" s="408">
        <v>0</v>
      </c>
      <c r="AK24" s="408">
        <v>0</v>
      </c>
      <c r="AL24" s="408">
        <v>159.77081723973873</v>
      </c>
      <c r="AM24" s="408"/>
      <c r="AN24" s="408">
        <v>22.30911222724492</v>
      </c>
      <c r="AO24" s="408">
        <v>406.49894118779616</v>
      </c>
      <c r="AP24" s="408">
        <v>605.48626312067574</v>
      </c>
      <c r="AQ24" s="408">
        <v>0</v>
      </c>
      <c r="AR24" s="408">
        <v>0</v>
      </c>
      <c r="AS24" s="408">
        <v>0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  <c r="AY24" s="408">
        <v>0</v>
      </c>
      <c r="AZ24" s="408">
        <v>0</v>
      </c>
      <c r="BA24" s="408"/>
      <c r="BB24" s="408">
        <v>0</v>
      </c>
      <c r="BC24" s="408">
        <v>0</v>
      </c>
      <c r="BD24" s="408">
        <v>0</v>
      </c>
      <c r="BE24" s="408">
        <v>0</v>
      </c>
      <c r="BF24" s="408">
        <v>0</v>
      </c>
      <c r="BG24" s="408">
        <v>257.46585530486726</v>
      </c>
      <c r="BH24" s="408">
        <v>0</v>
      </c>
      <c r="BI24" s="408">
        <v>0</v>
      </c>
      <c r="BJ24" s="408">
        <v>0</v>
      </c>
      <c r="BK24" s="408">
        <v>0</v>
      </c>
      <c r="BL24" s="408">
        <v>0</v>
      </c>
      <c r="BM24" s="408"/>
      <c r="BN24" s="408"/>
      <c r="BO24" s="408"/>
      <c r="BP24" s="408"/>
      <c r="BQ24" s="408"/>
      <c r="BR24" s="408"/>
      <c r="BS24" s="408"/>
      <c r="BT24" s="408"/>
      <c r="BU24" s="408"/>
      <c r="BV24" s="408">
        <v>3729.4050353398779</v>
      </c>
      <c r="BW24" s="408"/>
      <c r="BX24" s="408"/>
      <c r="BY24" s="408"/>
      <c r="BZ24" s="408"/>
      <c r="CA24" s="408"/>
      <c r="CB24" s="408"/>
      <c r="CC24" s="408"/>
      <c r="CD24" s="408"/>
      <c r="CE24" s="408"/>
      <c r="CF24" s="408"/>
      <c r="CG24" s="408"/>
      <c r="CH24" s="408"/>
      <c r="CI24" s="408">
        <v>20364.12</v>
      </c>
      <c r="CJ24" s="408">
        <v>-10274.045589999994</v>
      </c>
      <c r="CK24" s="408"/>
      <c r="CL24" s="408"/>
      <c r="CM24" s="408"/>
      <c r="CN24" s="408"/>
      <c r="CO24" s="408">
        <v>-10656.370270000001</v>
      </c>
      <c r="CP24" s="408">
        <v>383.5668299999997</v>
      </c>
      <c r="CQ24" s="408">
        <v>31</v>
      </c>
      <c r="CR24" s="408">
        <v>687.04956523857982</v>
      </c>
      <c r="CS24" s="408">
        <v>49.077442566079355</v>
      </c>
      <c r="CT24" s="408">
        <v>73.10158598697933</v>
      </c>
      <c r="CU24" s="408">
        <v>0</v>
      </c>
      <c r="CV24" s="408">
        <v>0</v>
      </c>
      <c r="CW24" s="408">
        <v>0</v>
      </c>
      <c r="CX24" s="408">
        <v>0</v>
      </c>
      <c r="CY24" s="408">
        <v>0</v>
      </c>
      <c r="CZ24" s="408">
        <v>171.52209566100282</v>
      </c>
      <c r="DA24" s="408">
        <v>0</v>
      </c>
      <c r="DB24" s="408">
        <v>0</v>
      </c>
      <c r="DC24" s="408">
        <v>383.4506364069739</v>
      </c>
      <c r="DD24" s="408">
        <v>0</v>
      </c>
      <c r="DE24" s="408">
        <v>0</v>
      </c>
      <c r="DF24" s="408">
        <v>0</v>
      </c>
      <c r="DG24" s="408">
        <v>28.435246399886637</v>
      </c>
      <c r="DH24" s="408">
        <v>0</v>
      </c>
      <c r="DI24" s="408">
        <v>-15.680047949666573</v>
      </c>
      <c r="DJ24" s="408"/>
      <c r="DK24" s="408">
        <v>0</v>
      </c>
      <c r="DL24" s="408">
        <v>0</v>
      </c>
      <c r="DM24" s="408">
        <v>0</v>
      </c>
      <c r="DN24" s="408">
        <v>0</v>
      </c>
      <c r="DO24" s="408">
        <v>-2.3415966337077805</v>
      </c>
      <c r="DP24" s="408">
        <v>-0.51579719896718856</v>
      </c>
      <c r="DQ24" s="408">
        <v>0</v>
      </c>
      <c r="DR24" s="408">
        <v>0</v>
      </c>
      <c r="DS24" s="408"/>
      <c r="DT24" s="408"/>
      <c r="DU24" s="408"/>
      <c r="DV24" s="408">
        <v>19536.81798780779</v>
      </c>
      <c r="DW24" s="408">
        <v>0</v>
      </c>
      <c r="DX24" s="408">
        <v>0</v>
      </c>
      <c r="DY24" s="408">
        <v>-10656.370270000003</v>
      </c>
      <c r="DZ24" s="408">
        <v>383.56682999999975</v>
      </c>
      <c r="EA24" s="408">
        <v>0</v>
      </c>
      <c r="EB24" s="408">
        <v>0</v>
      </c>
      <c r="EC24" s="408">
        <v>-10959.953646213853</v>
      </c>
      <c r="ED24" s="408">
        <v>0</v>
      </c>
      <c r="EE24" s="408">
        <v>0</v>
      </c>
      <c r="EF24" s="408">
        <v>0</v>
      </c>
      <c r="EG24" s="408">
        <v>0</v>
      </c>
      <c r="EH24" s="408">
        <v>0</v>
      </c>
      <c r="EI24" s="408">
        <v>0</v>
      </c>
      <c r="EJ24" s="408">
        <v>0</v>
      </c>
      <c r="EK24" s="408">
        <v>0</v>
      </c>
      <c r="EL24" s="408">
        <v>0</v>
      </c>
      <c r="EM24" s="408">
        <v>0</v>
      </c>
      <c r="EN24" s="408">
        <v>0</v>
      </c>
      <c r="EO24" s="408">
        <v>0</v>
      </c>
      <c r="EP24" s="408">
        <v>0</v>
      </c>
      <c r="EQ24" s="408">
        <v>0</v>
      </c>
      <c r="ER24" s="408">
        <v>0</v>
      </c>
      <c r="ES24" s="408">
        <v>0</v>
      </c>
      <c r="ET24" s="408">
        <v>0</v>
      </c>
      <c r="EU24" s="408">
        <v>0</v>
      </c>
      <c r="EV24" s="408">
        <v>238</v>
      </c>
      <c r="EW24" s="408">
        <v>0</v>
      </c>
      <c r="EX24" s="408">
        <v>0</v>
      </c>
      <c r="EY24" s="408">
        <v>0</v>
      </c>
      <c r="EZ24" s="408"/>
      <c r="FA24" s="408">
        <v>0</v>
      </c>
      <c r="FB24" s="408"/>
      <c r="FC24" s="408"/>
      <c r="FD24" s="408"/>
      <c r="FE24" s="408"/>
      <c r="FF24" s="408">
        <v>0</v>
      </c>
      <c r="FG24" s="408">
        <v>0</v>
      </c>
      <c r="FH24" s="408">
        <v>0</v>
      </c>
      <c r="FI24" s="408">
        <v>0</v>
      </c>
    </row>
    <row r="25" spans="1:165" customFormat="1">
      <c r="A25" s="408">
        <v>23</v>
      </c>
      <c r="B25" s="408" t="s">
        <v>2238</v>
      </c>
      <c r="C25" s="408" t="s">
        <v>2243</v>
      </c>
      <c r="D25" s="408" t="s">
        <v>597</v>
      </c>
      <c r="E25" s="408" t="s">
        <v>998</v>
      </c>
      <c r="F25" s="408" t="s">
        <v>1322</v>
      </c>
      <c r="G25" s="408" t="s">
        <v>1322</v>
      </c>
      <c r="H25" s="408" t="s">
        <v>1322</v>
      </c>
      <c r="I25" s="408" t="s">
        <v>973</v>
      </c>
      <c r="J25" s="408" t="s">
        <v>2236</v>
      </c>
      <c r="K25" s="824">
        <v>44378</v>
      </c>
      <c r="L25" s="408">
        <v>0</v>
      </c>
      <c r="M25" s="408">
        <v>0</v>
      </c>
      <c r="N25" s="408">
        <v>0.251</v>
      </c>
      <c r="O25" s="408">
        <v>0.251</v>
      </c>
      <c r="P25" s="408">
        <v>0.251</v>
      </c>
      <c r="Q25" s="408">
        <v>0.251</v>
      </c>
      <c r="R25" s="408"/>
      <c r="S25" s="408">
        <v>1614.19</v>
      </c>
      <c r="T25" s="408">
        <v>209.4</v>
      </c>
      <c r="U25" s="408"/>
      <c r="V25" s="408">
        <v>457.72109</v>
      </c>
      <c r="W25" s="408">
        <v>457.72109</v>
      </c>
      <c r="X25" s="408">
        <v>304.24964999999997</v>
      </c>
      <c r="Y25" s="408">
        <v>0</v>
      </c>
      <c r="Z25" s="408">
        <v>13.438032855682009</v>
      </c>
      <c r="AA25" s="408">
        <v>0</v>
      </c>
      <c r="AB25" s="408">
        <v>0</v>
      </c>
      <c r="AC25" s="408">
        <v>0</v>
      </c>
      <c r="AD25" s="408">
        <v>78.165915576343252</v>
      </c>
      <c r="AE25" s="408">
        <v>291.8719906517324</v>
      </c>
      <c r="AF25" s="408">
        <v>51.869337193547274</v>
      </c>
      <c r="AG25" s="408">
        <v>0.69099420601117301</v>
      </c>
      <c r="AH25" s="408">
        <v>0</v>
      </c>
      <c r="AI25" s="408">
        <v>0</v>
      </c>
      <c r="AJ25" s="408">
        <v>0</v>
      </c>
      <c r="AK25" s="408">
        <v>0</v>
      </c>
      <c r="AL25" s="408">
        <v>2.3869100129262799</v>
      </c>
      <c r="AM25" s="408"/>
      <c r="AN25" s="408">
        <v>0.33328892143553812</v>
      </c>
      <c r="AO25" s="408">
        <v>6.0729262685635881</v>
      </c>
      <c r="AP25" s="408">
        <v>9.0457146624182858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  <c r="AY25" s="408">
        <v>0</v>
      </c>
      <c r="AZ25" s="408">
        <v>0</v>
      </c>
      <c r="BA25" s="408"/>
      <c r="BB25" s="408">
        <v>0</v>
      </c>
      <c r="BC25" s="408">
        <v>0</v>
      </c>
      <c r="BD25" s="408">
        <v>0</v>
      </c>
      <c r="BE25" s="408">
        <v>0</v>
      </c>
      <c r="BF25" s="408">
        <v>0</v>
      </c>
      <c r="BG25" s="408">
        <v>3.8464335266663707</v>
      </c>
      <c r="BH25" s="408">
        <v>0</v>
      </c>
      <c r="BI25" s="408">
        <v>0</v>
      </c>
      <c r="BJ25" s="408">
        <v>0</v>
      </c>
      <c r="BK25" s="408">
        <v>0</v>
      </c>
      <c r="BL25" s="408">
        <v>0</v>
      </c>
      <c r="BM25" s="408"/>
      <c r="BN25" s="408"/>
      <c r="BO25" s="408"/>
      <c r="BP25" s="408"/>
      <c r="BQ25" s="408"/>
      <c r="BR25" s="408"/>
      <c r="BS25" s="408"/>
      <c r="BT25" s="408"/>
      <c r="BU25" s="408"/>
      <c r="BV25" s="408">
        <v>55.715770720213648</v>
      </c>
      <c r="BW25" s="408"/>
      <c r="BX25" s="408"/>
      <c r="BY25" s="408"/>
      <c r="BZ25" s="408"/>
      <c r="CA25" s="408"/>
      <c r="CB25" s="408"/>
      <c r="CC25" s="408"/>
      <c r="CD25" s="408"/>
      <c r="CE25" s="408"/>
      <c r="CF25" s="408"/>
      <c r="CG25" s="408"/>
      <c r="CH25" s="408"/>
      <c r="CI25" s="408">
        <v>303.03749999999997</v>
      </c>
      <c r="CJ25" s="408">
        <v>-154.71359000000001</v>
      </c>
      <c r="CK25" s="408"/>
      <c r="CL25" s="408"/>
      <c r="CM25" s="408"/>
      <c r="CN25" s="408"/>
      <c r="CO25" s="408">
        <v>-159.20177000000001</v>
      </c>
      <c r="CP25" s="408">
        <v>5.7303299999999959</v>
      </c>
      <c r="CQ25" s="408">
        <v>31</v>
      </c>
      <c r="CR25" s="408">
        <v>10.264236704653541</v>
      </c>
      <c r="CS25" s="408">
        <v>0.73319671948609777</v>
      </c>
      <c r="CT25" s="408">
        <v>1.0921074985257917</v>
      </c>
      <c r="CU25" s="408">
        <v>0</v>
      </c>
      <c r="CV25" s="408">
        <v>0</v>
      </c>
      <c r="CW25" s="408">
        <v>0</v>
      </c>
      <c r="CX25" s="408">
        <v>0</v>
      </c>
      <c r="CY25" s="408">
        <v>0</v>
      </c>
      <c r="CZ25" s="408">
        <v>2.5624692584317472</v>
      </c>
      <c r="DA25" s="408">
        <v>0</v>
      </c>
      <c r="DB25" s="408">
        <v>0</v>
      </c>
      <c r="DC25" s="408">
        <v>5.728594115716362</v>
      </c>
      <c r="DD25" s="408">
        <v>0</v>
      </c>
      <c r="DE25" s="408">
        <v>0</v>
      </c>
      <c r="DF25" s="408">
        <v>0</v>
      </c>
      <c r="DG25" s="408">
        <v>0.42481083544857645</v>
      </c>
      <c r="DH25" s="408">
        <v>0</v>
      </c>
      <c r="DI25" s="408">
        <v>-0.23425343940041188</v>
      </c>
      <c r="DJ25" s="408"/>
      <c r="DK25" s="408">
        <v>0</v>
      </c>
      <c r="DL25" s="408">
        <v>0</v>
      </c>
      <c r="DM25" s="408">
        <v>0</v>
      </c>
      <c r="DN25" s="408">
        <v>0</v>
      </c>
      <c r="DO25" s="408">
        <v>-3.4982486462749929E-2</v>
      </c>
      <c r="DP25" s="408">
        <v>-7.7057970918852914E-3</v>
      </c>
      <c r="DQ25" s="408">
        <v>0</v>
      </c>
      <c r="DR25" s="408">
        <v>0</v>
      </c>
      <c r="DS25" s="408"/>
      <c r="DT25" s="408"/>
      <c r="DU25" s="408"/>
      <c r="DV25" s="408">
        <v>291.8719906517324</v>
      </c>
      <c r="DW25" s="408">
        <v>0</v>
      </c>
      <c r="DX25" s="408">
        <v>0</v>
      </c>
      <c r="DY25" s="408">
        <v>-159.20177000000004</v>
      </c>
      <c r="DZ25" s="408">
        <v>5.730329999999995</v>
      </c>
      <c r="EA25" s="408">
        <v>0</v>
      </c>
      <c r="EB25" s="408">
        <v>0</v>
      </c>
      <c r="EC25" s="408">
        <v>-163.7371802392523</v>
      </c>
      <c r="ED25" s="408">
        <v>0</v>
      </c>
      <c r="EE25" s="408">
        <v>0</v>
      </c>
      <c r="EF25" s="408">
        <v>0</v>
      </c>
      <c r="EG25" s="408">
        <v>0</v>
      </c>
      <c r="EH25" s="408">
        <v>0</v>
      </c>
      <c r="EI25" s="408">
        <v>0</v>
      </c>
      <c r="EJ25" s="408">
        <v>0</v>
      </c>
      <c r="EK25" s="408">
        <v>0</v>
      </c>
      <c r="EL25" s="408">
        <v>0</v>
      </c>
      <c r="EM25" s="408">
        <v>0</v>
      </c>
      <c r="EN25" s="408">
        <v>0</v>
      </c>
      <c r="EO25" s="408">
        <v>0</v>
      </c>
      <c r="EP25" s="408">
        <v>0</v>
      </c>
      <c r="EQ25" s="408">
        <v>0</v>
      </c>
      <c r="ER25" s="408">
        <v>0</v>
      </c>
      <c r="ES25" s="408">
        <v>0</v>
      </c>
      <c r="ET25" s="408">
        <v>0</v>
      </c>
      <c r="EU25" s="408">
        <v>0</v>
      </c>
      <c r="EV25" s="408">
        <v>238</v>
      </c>
      <c r="EW25" s="408">
        <v>0</v>
      </c>
      <c r="EX25" s="408">
        <v>0</v>
      </c>
      <c r="EY25" s="408">
        <v>0</v>
      </c>
      <c r="EZ25" s="408"/>
      <c r="FA25" s="408">
        <v>0</v>
      </c>
      <c r="FB25" s="408"/>
      <c r="FC25" s="408"/>
      <c r="FD25" s="408"/>
      <c r="FE25" s="408"/>
      <c r="FF25" s="408">
        <v>0</v>
      </c>
      <c r="FG25" s="408">
        <v>0</v>
      </c>
      <c r="FH25" s="408">
        <v>0</v>
      </c>
      <c r="FI25" s="408">
        <v>0</v>
      </c>
    </row>
    <row r="26" spans="1:165" customFormat="1">
      <c r="A26" s="408">
        <v>24</v>
      </c>
      <c r="B26" s="408" t="s">
        <v>1036</v>
      </c>
      <c r="C26" s="408" t="s">
        <v>2243</v>
      </c>
      <c r="D26" s="408" t="s">
        <v>597</v>
      </c>
      <c r="E26" s="408" t="s">
        <v>998</v>
      </c>
      <c r="F26" s="408" t="s">
        <v>1322</v>
      </c>
      <c r="G26" s="408" t="s">
        <v>1322</v>
      </c>
      <c r="H26" s="408" t="s">
        <v>1322</v>
      </c>
      <c r="I26" s="408" t="s">
        <v>2244</v>
      </c>
      <c r="J26" s="408" t="s">
        <v>2236</v>
      </c>
      <c r="K26" s="824">
        <v>44378</v>
      </c>
      <c r="L26" s="408">
        <v>0</v>
      </c>
      <c r="M26" s="408">
        <v>0</v>
      </c>
      <c r="N26" s="408">
        <v>300.32</v>
      </c>
      <c r="O26" s="408">
        <v>300.32</v>
      </c>
      <c r="P26" s="408">
        <v>300.32</v>
      </c>
      <c r="Q26" s="408">
        <v>300.32</v>
      </c>
      <c r="R26" s="408"/>
      <c r="S26" s="408">
        <v>79.7</v>
      </c>
      <c r="T26" s="408">
        <v>209.4</v>
      </c>
      <c r="U26" s="408"/>
      <c r="V26" s="408">
        <v>86822.512000000002</v>
      </c>
      <c r="W26" s="408">
        <v>86822.512000000002</v>
      </c>
      <c r="X26" s="408">
        <v>93856.006399999998</v>
      </c>
      <c r="Y26" s="408">
        <v>0</v>
      </c>
      <c r="Z26" s="408">
        <v>16078.526004854266</v>
      </c>
      <c r="AA26" s="408">
        <v>0</v>
      </c>
      <c r="AB26" s="408">
        <v>0</v>
      </c>
      <c r="AC26" s="408">
        <v>0</v>
      </c>
      <c r="AD26" s="408">
        <v>0</v>
      </c>
      <c r="AE26" s="408">
        <v>0</v>
      </c>
      <c r="AF26" s="408">
        <v>62061.351975960628</v>
      </c>
      <c r="AG26" s="408">
        <v>826.77043804492212</v>
      </c>
      <c r="AH26" s="408">
        <v>0</v>
      </c>
      <c r="AI26" s="408">
        <v>0</v>
      </c>
      <c r="AJ26" s="408">
        <v>0</v>
      </c>
      <c r="AK26" s="408">
        <v>0</v>
      </c>
      <c r="AL26" s="408">
        <v>2855.923566063826</v>
      </c>
      <c r="AM26" s="408"/>
      <c r="AN26" s="408">
        <v>398.77820273115856</v>
      </c>
      <c r="AO26" s="408">
        <v>0</v>
      </c>
      <c r="AP26" s="408">
        <v>0</v>
      </c>
      <c r="AQ26" s="408">
        <v>0</v>
      </c>
      <c r="AR26" s="408">
        <v>0</v>
      </c>
      <c r="AS26" s="408">
        <v>0</v>
      </c>
      <c r="AT26" s="408">
        <v>0</v>
      </c>
      <c r="AU26" s="408">
        <v>0</v>
      </c>
      <c r="AV26" s="408">
        <v>0</v>
      </c>
      <c r="AW26" s="408">
        <v>0</v>
      </c>
      <c r="AX26" s="408">
        <v>0</v>
      </c>
      <c r="AY26" s="408">
        <v>0</v>
      </c>
      <c r="AZ26" s="408">
        <v>0</v>
      </c>
      <c r="BA26" s="408"/>
      <c r="BB26" s="408">
        <v>0</v>
      </c>
      <c r="BC26" s="408">
        <v>0</v>
      </c>
      <c r="BD26" s="408">
        <v>0</v>
      </c>
      <c r="BE26" s="408">
        <v>0</v>
      </c>
      <c r="BF26" s="408">
        <v>0</v>
      </c>
      <c r="BG26" s="408">
        <v>4602.2347280017702</v>
      </c>
      <c r="BH26" s="408">
        <v>0</v>
      </c>
      <c r="BI26" s="408">
        <v>0</v>
      </c>
      <c r="BJ26" s="408">
        <v>0</v>
      </c>
      <c r="BK26" s="408">
        <v>0</v>
      </c>
      <c r="BL26" s="408">
        <v>0</v>
      </c>
      <c r="BM26" s="408"/>
      <c r="BN26" s="408"/>
      <c r="BO26" s="408"/>
      <c r="BP26" s="408"/>
      <c r="BQ26" s="408"/>
      <c r="BR26" s="408"/>
      <c r="BS26" s="408"/>
      <c r="BT26" s="408"/>
      <c r="BU26" s="408"/>
      <c r="BV26" s="408">
        <v>66663.586703962399</v>
      </c>
      <c r="BW26" s="408"/>
      <c r="BX26" s="408"/>
      <c r="BY26" s="408"/>
      <c r="BZ26" s="408"/>
      <c r="CA26" s="408"/>
      <c r="CB26" s="408"/>
      <c r="CC26" s="408"/>
      <c r="CD26" s="408"/>
      <c r="CE26" s="408"/>
      <c r="CF26" s="408"/>
      <c r="CG26" s="408"/>
      <c r="CH26" s="408"/>
      <c r="CI26" s="408">
        <v>93856.006399999998</v>
      </c>
      <c r="CJ26" s="408">
        <v>7033.4643999999971</v>
      </c>
      <c r="CK26" s="408"/>
      <c r="CL26" s="408"/>
      <c r="CM26" s="408"/>
      <c r="CN26" s="408"/>
      <c r="CO26" s="408">
        <v>177.18880000000101</v>
      </c>
      <c r="CP26" s="408">
        <v>6856.3055999999951</v>
      </c>
      <c r="CQ26" s="408">
        <v>31</v>
      </c>
      <c r="CR26" s="408">
        <v>7031.1531342469971</v>
      </c>
      <c r="CS26" s="408">
        <v>0</v>
      </c>
      <c r="CT26" s="408">
        <v>0</v>
      </c>
      <c r="CU26" s="408">
        <v>0</v>
      </c>
      <c r="CV26" s="408">
        <v>0</v>
      </c>
      <c r="CW26" s="408">
        <v>0</v>
      </c>
      <c r="CX26" s="408">
        <v>0</v>
      </c>
      <c r="CY26" s="408">
        <v>0</v>
      </c>
      <c r="CZ26" s="408">
        <v>0</v>
      </c>
      <c r="DA26" s="408">
        <v>0</v>
      </c>
      <c r="DB26" s="408">
        <v>0</v>
      </c>
      <c r="DC26" s="408">
        <v>6854.2286248284363</v>
      </c>
      <c r="DD26" s="408">
        <v>0</v>
      </c>
      <c r="DE26" s="408">
        <v>0</v>
      </c>
      <c r="DF26" s="408">
        <v>0</v>
      </c>
      <c r="DG26" s="408">
        <v>508.2836259040505</v>
      </c>
      <c r="DH26" s="408">
        <v>0</v>
      </c>
      <c r="DI26" s="408">
        <v>-280.28284032163901</v>
      </c>
      <c r="DJ26" s="408"/>
      <c r="DK26" s="408">
        <v>0</v>
      </c>
      <c r="DL26" s="408">
        <v>0</v>
      </c>
      <c r="DM26" s="408">
        <v>0</v>
      </c>
      <c r="DN26" s="408">
        <v>0</v>
      </c>
      <c r="DO26" s="408">
        <v>-41.856335993995799</v>
      </c>
      <c r="DP26" s="408">
        <v>-9.2199401698604788</v>
      </c>
      <c r="DQ26" s="408">
        <v>0</v>
      </c>
      <c r="DR26" s="408">
        <v>0</v>
      </c>
      <c r="DS26" s="408"/>
      <c r="DT26" s="408"/>
      <c r="DU26" s="408"/>
      <c r="DV26" s="408">
        <v>0</v>
      </c>
      <c r="DW26" s="408">
        <v>0</v>
      </c>
      <c r="DX26" s="408">
        <v>0</v>
      </c>
      <c r="DY26" s="408">
        <v>177.1887999999999</v>
      </c>
      <c r="DZ26" s="408">
        <v>6856.3055999999924</v>
      </c>
      <c r="EA26" s="408">
        <v>0</v>
      </c>
      <c r="EB26" s="408">
        <v>0</v>
      </c>
      <c r="EC26" s="408">
        <v>0</v>
      </c>
      <c r="ED26" s="408">
        <v>0</v>
      </c>
      <c r="EE26" s="408">
        <v>0</v>
      </c>
      <c r="EF26" s="408">
        <v>0</v>
      </c>
      <c r="EG26" s="408">
        <v>0</v>
      </c>
      <c r="EH26" s="408">
        <v>0</v>
      </c>
      <c r="EI26" s="408">
        <v>0</v>
      </c>
      <c r="EJ26" s="408">
        <v>0</v>
      </c>
      <c r="EK26" s="408">
        <v>0</v>
      </c>
      <c r="EL26" s="408">
        <v>0</v>
      </c>
      <c r="EM26" s="408">
        <v>0</v>
      </c>
      <c r="EN26" s="408">
        <v>0</v>
      </c>
      <c r="EO26" s="408">
        <v>0</v>
      </c>
      <c r="EP26" s="408">
        <v>0</v>
      </c>
      <c r="EQ26" s="408">
        <v>0</v>
      </c>
      <c r="ER26" s="408">
        <v>0</v>
      </c>
      <c r="ES26" s="408">
        <v>0</v>
      </c>
      <c r="ET26" s="408">
        <v>0</v>
      </c>
      <c r="EU26" s="408">
        <v>0</v>
      </c>
      <c r="EV26" s="408">
        <v>238</v>
      </c>
      <c r="EW26" s="408">
        <v>0</v>
      </c>
      <c r="EX26" s="408">
        <v>0</v>
      </c>
      <c r="EY26" s="408">
        <v>0</v>
      </c>
      <c r="EZ26" s="408"/>
      <c r="FA26" s="408">
        <v>0</v>
      </c>
      <c r="FB26" s="408"/>
      <c r="FC26" s="408"/>
      <c r="FD26" s="408"/>
      <c r="FE26" s="408"/>
      <c r="FF26" s="408">
        <v>0</v>
      </c>
      <c r="FG26" s="408">
        <v>0</v>
      </c>
      <c r="FH26" s="408">
        <v>0</v>
      </c>
      <c r="FI26" s="408">
        <v>0</v>
      </c>
    </row>
    <row r="27" spans="1:165" customFormat="1">
      <c r="A27" s="408">
        <v>25</v>
      </c>
      <c r="B27" s="408" t="s">
        <v>2238</v>
      </c>
      <c r="C27" s="408" t="s">
        <v>2243</v>
      </c>
      <c r="D27" s="408" t="s">
        <v>597</v>
      </c>
      <c r="E27" s="408" t="s">
        <v>998</v>
      </c>
      <c r="F27" s="408" t="s">
        <v>1322</v>
      </c>
      <c r="G27" s="408" t="s">
        <v>1322</v>
      </c>
      <c r="H27" s="408" t="s">
        <v>1322</v>
      </c>
      <c r="I27" s="408" t="s">
        <v>2244</v>
      </c>
      <c r="J27" s="408" t="s">
        <v>2236</v>
      </c>
      <c r="K27" s="824">
        <v>44378</v>
      </c>
      <c r="L27" s="408">
        <v>0</v>
      </c>
      <c r="M27" s="408">
        <v>0</v>
      </c>
      <c r="N27" s="408">
        <v>2.0720000000000001</v>
      </c>
      <c r="O27" s="408">
        <v>2.0720000000000001</v>
      </c>
      <c r="P27" s="408">
        <v>2.0720000000000001</v>
      </c>
      <c r="Q27" s="408">
        <v>2.0720000000000001</v>
      </c>
      <c r="R27" s="408"/>
      <c r="S27" s="408">
        <v>79.7</v>
      </c>
      <c r="T27" s="408">
        <v>209.4</v>
      </c>
      <c r="U27" s="408"/>
      <c r="V27" s="408">
        <v>599.01520000000005</v>
      </c>
      <c r="W27" s="408">
        <v>599.01520000000005</v>
      </c>
      <c r="X27" s="408">
        <v>647.54143999999997</v>
      </c>
      <c r="Y27" s="408">
        <v>0</v>
      </c>
      <c r="Z27" s="408">
        <v>110.93069353375746</v>
      </c>
      <c r="AA27" s="408">
        <v>0</v>
      </c>
      <c r="AB27" s="408">
        <v>0</v>
      </c>
      <c r="AC27" s="408">
        <v>0</v>
      </c>
      <c r="AD27" s="408">
        <v>0</v>
      </c>
      <c r="AE27" s="408">
        <v>0</v>
      </c>
      <c r="AF27" s="408">
        <v>428.1803452790038</v>
      </c>
      <c r="AG27" s="408">
        <v>5.7041434057974119</v>
      </c>
      <c r="AH27" s="408">
        <v>0</v>
      </c>
      <c r="AI27" s="408">
        <v>0</v>
      </c>
      <c r="AJ27" s="408">
        <v>0</v>
      </c>
      <c r="AK27" s="408">
        <v>0</v>
      </c>
      <c r="AL27" s="408">
        <v>19.703894608698214</v>
      </c>
      <c r="AM27" s="408"/>
      <c r="AN27" s="408">
        <v>2.7512934072288244</v>
      </c>
      <c r="AO27" s="408">
        <v>0</v>
      </c>
      <c r="AP27" s="408">
        <v>0</v>
      </c>
      <c r="AQ27" s="408">
        <v>0</v>
      </c>
      <c r="AR27" s="408">
        <v>0</v>
      </c>
      <c r="AS27" s="408">
        <v>0</v>
      </c>
      <c r="AT27" s="408">
        <v>0</v>
      </c>
      <c r="AU27" s="408">
        <v>0</v>
      </c>
      <c r="AV27" s="408">
        <v>0</v>
      </c>
      <c r="AW27" s="408">
        <v>0</v>
      </c>
      <c r="AX27" s="408">
        <v>0</v>
      </c>
      <c r="AY27" s="408">
        <v>0</v>
      </c>
      <c r="AZ27" s="408">
        <v>0</v>
      </c>
      <c r="BA27" s="408"/>
      <c r="BB27" s="408">
        <v>0</v>
      </c>
      <c r="BC27" s="408">
        <v>0</v>
      </c>
      <c r="BD27" s="408">
        <v>0</v>
      </c>
      <c r="BE27" s="408">
        <v>0</v>
      </c>
      <c r="BF27" s="408">
        <v>0</v>
      </c>
      <c r="BG27" s="408">
        <v>31.752232140449085</v>
      </c>
      <c r="BH27" s="408">
        <v>0</v>
      </c>
      <c r="BI27" s="408">
        <v>0</v>
      </c>
      <c r="BJ27" s="408">
        <v>0</v>
      </c>
      <c r="BK27" s="408">
        <v>0</v>
      </c>
      <c r="BL27" s="408">
        <v>0</v>
      </c>
      <c r="BM27" s="408"/>
      <c r="BN27" s="408"/>
      <c r="BO27" s="408"/>
      <c r="BP27" s="408"/>
      <c r="BQ27" s="408"/>
      <c r="BR27" s="408"/>
      <c r="BS27" s="408"/>
      <c r="BT27" s="408"/>
      <c r="BU27" s="408"/>
      <c r="BV27" s="408">
        <v>459.93257741945291</v>
      </c>
      <c r="BW27" s="408"/>
      <c r="BX27" s="408"/>
      <c r="BY27" s="408"/>
      <c r="BZ27" s="408"/>
      <c r="CA27" s="408"/>
      <c r="CB27" s="408"/>
      <c r="CC27" s="408"/>
      <c r="CD27" s="408"/>
      <c r="CE27" s="408"/>
      <c r="CF27" s="408"/>
      <c r="CG27" s="408"/>
      <c r="CH27" s="408"/>
      <c r="CI27" s="408">
        <v>646.91639999999995</v>
      </c>
      <c r="CJ27" s="408">
        <v>47.871199999999931</v>
      </c>
      <c r="CK27" s="408"/>
      <c r="CL27" s="408"/>
      <c r="CM27" s="408"/>
      <c r="CN27" s="408"/>
      <c r="CO27" s="408">
        <v>1.2224800000000071</v>
      </c>
      <c r="CP27" s="408">
        <v>47.303759999999968</v>
      </c>
      <c r="CQ27" s="408">
        <v>31</v>
      </c>
      <c r="CR27" s="408">
        <v>48.51008688785214</v>
      </c>
      <c r="CS27" s="408">
        <v>0</v>
      </c>
      <c r="CT27" s="408">
        <v>0</v>
      </c>
      <c r="CU27" s="408">
        <v>0</v>
      </c>
      <c r="CV27" s="408">
        <v>0</v>
      </c>
      <c r="CW27" s="408">
        <v>0</v>
      </c>
      <c r="CX27" s="408">
        <v>0</v>
      </c>
      <c r="CY27" s="408">
        <v>0</v>
      </c>
      <c r="CZ27" s="408">
        <v>0</v>
      </c>
      <c r="DA27" s="408">
        <v>0</v>
      </c>
      <c r="DB27" s="408">
        <v>0</v>
      </c>
      <c r="DC27" s="408">
        <v>47.289430309817931</v>
      </c>
      <c r="DD27" s="408">
        <v>0</v>
      </c>
      <c r="DE27" s="408">
        <v>0</v>
      </c>
      <c r="DF27" s="408">
        <v>0</v>
      </c>
      <c r="DG27" s="408">
        <v>3.5068049842607643</v>
      </c>
      <c r="DH27" s="408">
        <v>0</v>
      </c>
      <c r="DI27" s="408">
        <v>-1.9337574758472158</v>
      </c>
      <c r="DJ27" s="408"/>
      <c r="DK27" s="408">
        <v>0</v>
      </c>
      <c r="DL27" s="408">
        <v>0</v>
      </c>
      <c r="DM27" s="408">
        <v>0</v>
      </c>
      <c r="DN27" s="408">
        <v>0</v>
      </c>
      <c r="DO27" s="408">
        <v>-0.28877972888771808</v>
      </c>
      <c r="DP27" s="408">
        <v>-6.3611201491578395E-2</v>
      </c>
      <c r="DQ27" s="408">
        <v>0</v>
      </c>
      <c r="DR27" s="408">
        <v>0</v>
      </c>
      <c r="DS27" s="408"/>
      <c r="DT27" s="408"/>
      <c r="DU27" s="408"/>
      <c r="DV27" s="408">
        <v>0</v>
      </c>
      <c r="DW27" s="408">
        <v>0</v>
      </c>
      <c r="DX27" s="408">
        <v>0</v>
      </c>
      <c r="DY27" s="408">
        <v>1.2224799999999902</v>
      </c>
      <c r="DZ27" s="408">
        <v>47.303760000000011</v>
      </c>
      <c r="EA27" s="408">
        <v>0</v>
      </c>
      <c r="EB27" s="408">
        <v>0</v>
      </c>
      <c r="EC27" s="408">
        <v>0</v>
      </c>
      <c r="ED27" s="408">
        <v>0</v>
      </c>
      <c r="EE27" s="408">
        <v>0</v>
      </c>
      <c r="EF27" s="408">
        <v>0</v>
      </c>
      <c r="EG27" s="408">
        <v>0</v>
      </c>
      <c r="EH27" s="408">
        <v>0</v>
      </c>
      <c r="EI27" s="408">
        <v>0</v>
      </c>
      <c r="EJ27" s="408">
        <v>0</v>
      </c>
      <c r="EK27" s="408">
        <v>0</v>
      </c>
      <c r="EL27" s="408">
        <v>0</v>
      </c>
      <c r="EM27" s="408">
        <v>0</v>
      </c>
      <c r="EN27" s="408">
        <v>0</v>
      </c>
      <c r="EO27" s="408">
        <v>0</v>
      </c>
      <c r="EP27" s="408">
        <v>0</v>
      </c>
      <c r="EQ27" s="408">
        <v>0</v>
      </c>
      <c r="ER27" s="408">
        <v>0</v>
      </c>
      <c r="ES27" s="408">
        <v>0</v>
      </c>
      <c r="ET27" s="408">
        <v>0</v>
      </c>
      <c r="EU27" s="408">
        <v>0</v>
      </c>
      <c r="EV27" s="408">
        <v>238</v>
      </c>
      <c r="EW27" s="408">
        <v>0</v>
      </c>
      <c r="EX27" s="408">
        <v>0</v>
      </c>
      <c r="EY27" s="408">
        <v>0</v>
      </c>
      <c r="EZ27" s="408"/>
      <c r="FA27" s="408">
        <v>0</v>
      </c>
      <c r="FB27" s="408"/>
      <c r="FC27" s="408"/>
      <c r="FD27" s="408"/>
      <c r="FE27" s="408"/>
      <c r="FF27" s="408">
        <v>0</v>
      </c>
      <c r="FG27" s="408">
        <v>0</v>
      </c>
      <c r="FH27" s="408">
        <v>0</v>
      </c>
      <c r="FI27" s="408">
        <v>0</v>
      </c>
    </row>
    <row r="28" spans="1:165" customFormat="1">
      <c r="A28" s="408">
        <v>26</v>
      </c>
      <c r="B28" s="408" t="s">
        <v>1036</v>
      </c>
      <c r="C28" s="408" t="s">
        <v>2243</v>
      </c>
      <c r="D28" s="408" t="s">
        <v>597</v>
      </c>
      <c r="E28" s="408" t="s">
        <v>998</v>
      </c>
      <c r="F28" s="408" t="s">
        <v>1322</v>
      </c>
      <c r="G28" s="408" t="s">
        <v>1322</v>
      </c>
      <c r="H28" s="408" t="s">
        <v>1322</v>
      </c>
      <c r="I28" s="408" t="s">
        <v>1322</v>
      </c>
      <c r="J28" s="408" t="s">
        <v>2236</v>
      </c>
      <c r="K28" s="824">
        <v>44378</v>
      </c>
      <c r="L28" s="408">
        <v>4110</v>
      </c>
      <c r="M28" s="408">
        <v>4110</v>
      </c>
      <c r="N28" s="408">
        <v>0</v>
      </c>
      <c r="O28" s="408">
        <v>0</v>
      </c>
      <c r="P28" s="408">
        <v>0</v>
      </c>
      <c r="Q28" s="408">
        <v>0</v>
      </c>
      <c r="R28" s="408">
        <v>44.35</v>
      </c>
      <c r="S28" s="408"/>
      <c r="T28" s="408"/>
      <c r="U28" s="408">
        <v>182278.5</v>
      </c>
      <c r="V28" s="408"/>
      <c r="W28" s="408">
        <v>182278.5</v>
      </c>
      <c r="X28" s="408">
        <v>119066.7</v>
      </c>
      <c r="Y28" s="408">
        <v>0</v>
      </c>
      <c r="Z28" s="408">
        <v>0</v>
      </c>
      <c r="AA28" s="408">
        <v>0</v>
      </c>
      <c r="AB28" s="408">
        <v>0</v>
      </c>
      <c r="AC28" s="408">
        <v>0</v>
      </c>
      <c r="AD28" s="408">
        <v>53931.68175803058</v>
      </c>
      <c r="AE28" s="408">
        <v>118030.34823441606</v>
      </c>
      <c r="AF28" s="408"/>
      <c r="AG28" s="408"/>
      <c r="AH28" s="408"/>
      <c r="AI28" s="408">
        <v>0</v>
      </c>
      <c r="AJ28" s="408">
        <v>0</v>
      </c>
      <c r="AK28" s="408">
        <v>0</v>
      </c>
      <c r="AL28" s="408">
        <v>0</v>
      </c>
      <c r="AM28" s="408"/>
      <c r="AN28" s="408">
        <v>0</v>
      </c>
      <c r="AO28" s="408">
        <v>4075.9720427265743</v>
      </c>
      <c r="AP28" s="408">
        <v>6236.0676269074966</v>
      </c>
      <c r="AQ28" s="408">
        <v>0</v>
      </c>
      <c r="AR28" s="408">
        <v>0</v>
      </c>
      <c r="AS28" s="408"/>
      <c r="AT28" s="408"/>
      <c r="AU28" s="408">
        <v>0</v>
      </c>
      <c r="AV28" s="408">
        <v>0</v>
      </c>
      <c r="AW28" s="408">
        <v>0</v>
      </c>
      <c r="AX28" s="408"/>
      <c r="AY28" s="408"/>
      <c r="AZ28" s="408">
        <v>0</v>
      </c>
      <c r="BA28" s="408"/>
      <c r="BB28" s="408">
        <v>0</v>
      </c>
      <c r="BC28" s="408">
        <v>0</v>
      </c>
      <c r="BD28" s="408">
        <v>0</v>
      </c>
      <c r="BE28" s="408">
        <v>0</v>
      </c>
      <c r="BF28" s="408"/>
      <c r="BG28" s="408">
        <v>0</v>
      </c>
      <c r="BH28" s="408">
        <v>0</v>
      </c>
      <c r="BI28" s="408">
        <v>375.36</v>
      </c>
      <c r="BJ28" s="408">
        <v>1689.91</v>
      </c>
      <c r="BK28" s="408">
        <v>109396.58</v>
      </c>
      <c r="BL28" s="408">
        <v>35</v>
      </c>
      <c r="BM28" s="408"/>
      <c r="BN28" s="408"/>
      <c r="BO28" s="408"/>
      <c r="BP28" s="408"/>
      <c r="BQ28" s="408"/>
      <c r="BR28" s="408"/>
      <c r="BS28" s="408"/>
      <c r="BT28" s="408"/>
      <c r="BU28" s="408"/>
      <c r="BV28" s="408">
        <v>0</v>
      </c>
      <c r="BW28" s="408"/>
      <c r="BX28" s="408"/>
      <c r="BY28" s="408"/>
      <c r="BZ28" s="408"/>
      <c r="CA28" s="408"/>
      <c r="CB28" s="408"/>
      <c r="CC28" s="408"/>
      <c r="CD28" s="408"/>
      <c r="CE28" s="408"/>
      <c r="CF28" s="408"/>
      <c r="CG28" s="408"/>
      <c r="CH28" s="408"/>
      <c r="CI28" s="408">
        <v>119066.7</v>
      </c>
      <c r="CJ28" s="408">
        <v>-63211.830000000031</v>
      </c>
      <c r="CK28" s="408"/>
      <c r="CL28" s="408"/>
      <c r="CM28" s="408"/>
      <c r="CN28" s="408"/>
      <c r="CO28" s="408">
        <v>-63211.80000000001</v>
      </c>
      <c r="CP28" s="408">
        <v>0</v>
      </c>
      <c r="CQ28" s="408">
        <v>31</v>
      </c>
      <c r="CR28" s="408">
        <v>3013.0054857528958</v>
      </c>
      <c r="CS28" s="408">
        <v>492.10038098339328</v>
      </c>
      <c r="CT28" s="408">
        <v>752.89310693765219</v>
      </c>
      <c r="CU28" s="408">
        <v>0</v>
      </c>
      <c r="CV28" s="408">
        <v>0</v>
      </c>
      <c r="CW28" s="408"/>
      <c r="CX28" s="408"/>
      <c r="CY28" s="408"/>
      <c r="CZ28" s="408">
        <v>1768.0119978318471</v>
      </c>
      <c r="DA28" s="408">
        <v>0</v>
      </c>
      <c r="DB28" s="408">
        <v>0</v>
      </c>
      <c r="DC28" s="408"/>
      <c r="DD28" s="408"/>
      <c r="DE28" s="408">
        <v>0</v>
      </c>
      <c r="DF28" s="408">
        <v>0</v>
      </c>
      <c r="DG28" s="408">
        <v>0</v>
      </c>
      <c r="DH28" s="408">
        <v>0</v>
      </c>
      <c r="DI28" s="408">
        <v>0</v>
      </c>
      <c r="DJ28" s="408"/>
      <c r="DK28" s="408">
        <v>0</v>
      </c>
      <c r="DL28" s="408">
        <v>0</v>
      </c>
      <c r="DM28" s="408"/>
      <c r="DN28" s="408">
        <v>0</v>
      </c>
      <c r="DO28" s="408">
        <v>0</v>
      </c>
      <c r="DP28" s="408">
        <v>0</v>
      </c>
      <c r="DQ28" s="408">
        <v>0</v>
      </c>
      <c r="DR28" s="408">
        <v>0</v>
      </c>
      <c r="DS28" s="408"/>
      <c r="DT28" s="408"/>
      <c r="DU28" s="408">
        <v>118030.34823441606</v>
      </c>
      <c r="DV28" s="408"/>
      <c r="DW28" s="408">
        <v>0</v>
      </c>
      <c r="DX28" s="408">
        <v>0</v>
      </c>
      <c r="DY28" s="408">
        <v>-63211.8</v>
      </c>
      <c r="DZ28" s="408"/>
      <c r="EA28" s="408">
        <v>0</v>
      </c>
      <c r="EB28" s="408"/>
      <c r="EC28" s="408">
        <v>-66213.809551942759</v>
      </c>
      <c r="ED28" s="408"/>
      <c r="EE28" s="408">
        <v>0</v>
      </c>
      <c r="EF28" s="408">
        <v>0</v>
      </c>
      <c r="EG28" s="408"/>
      <c r="EH28" s="408">
        <v>0</v>
      </c>
      <c r="EI28" s="408">
        <v>0</v>
      </c>
      <c r="EJ28" s="408">
        <v>0</v>
      </c>
      <c r="EK28" s="408">
        <v>0</v>
      </c>
      <c r="EL28" s="408">
        <v>0</v>
      </c>
      <c r="EM28" s="408"/>
      <c r="EN28" s="408"/>
      <c r="EO28" s="408">
        <v>0</v>
      </c>
      <c r="EP28" s="408">
        <v>0</v>
      </c>
      <c r="EQ28" s="408"/>
      <c r="ER28" s="408">
        <v>0</v>
      </c>
      <c r="ES28" s="408"/>
      <c r="ET28" s="408">
        <v>0</v>
      </c>
      <c r="EU28" s="408"/>
      <c r="EV28" s="408">
        <v>238</v>
      </c>
      <c r="EW28" s="408"/>
      <c r="EX28" s="408"/>
      <c r="EY28" s="408"/>
      <c r="EZ28" s="408"/>
      <c r="FA28" s="408">
        <v>0</v>
      </c>
      <c r="FB28" s="408"/>
      <c r="FC28" s="408"/>
      <c r="FD28" s="408"/>
      <c r="FE28" s="408"/>
      <c r="FF28" s="408">
        <v>0</v>
      </c>
      <c r="FG28" s="408">
        <v>0</v>
      </c>
      <c r="FH28" s="408">
        <v>0</v>
      </c>
      <c r="FI28" s="408">
        <v>0</v>
      </c>
    </row>
    <row r="29" spans="1:165" customFormat="1">
      <c r="A29" s="408">
        <v>27</v>
      </c>
      <c r="B29" s="408" t="s">
        <v>2238</v>
      </c>
      <c r="C29" s="408" t="s">
        <v>2243</v>
      </c>
      <c r="D29" s="408" t="s">
        <v>597</v>
      </c>
      <c r="E29" s="408" t="s">
        <v>998</v>
      </c>
      <c r="F29" s="408" t="s">
        <v>1322</v>
      </c>
      <c r="G29" s="408" t="s">
        <v>1322</v>
      </c>
      <c r="H29" s="408" t="s">
        <v>1322</v>
      </c>
      <c r="I29" s="408" t="s">
        <v>1322</v>
      </c>
      <c r="J29" s="408" t="s">
        <v>2236</v>
      </c>
      <c r="K29" s="824">
        <v>44378</v>
      </c>
      <c r="L29" s="408">
        <v>113</v>
      </c>
      <c r="M29" s="408">
        <v>113</v>
      </c>
      <c r="N29" s="408">
        <v>0</v>
      </c>
      <c r="O29" s="408">
        <v>0</v>
      </c>
      <c r="P29" s="408">
        <v>0</v>
      </c>
      <c r="Q29" s="408">
        <v>0</v>
      </c>
      <c r="R29" s="408">
        <v>44.35</v>
      </c>
      <c r="S29" s="408"/>
      <c r="T29" s="408"/>
      <c r="U29" s="408">
        <v>5011.55</v>
      </c>
      <c r="V29" s="408"/>
      <c r="W29" s="408">
        <v>5011.55</v>
      </c>
      <c r="X29" s="408">
        <v>3273.6099999999997</v>
      </c>
      <c r="Y29" s="408">
        <v>0</v>
      </c>
      <c r="Z29" s="408">
        <v>0</v>
      </c>
      <c r="AA29" s="408">
        <v>0</v>
      </c>
      <c r="AB29" s="408">
        <v>0</v>
      </c>
      <c r="AC29" s="408">
        <v>0</v>
      </c>
      <c r="AD29" s="408">
        <v>1482.7931967536388</v>
      </c>
      <c r="AE29" s="408">
        <v>3245.116630289298</v>
      </c>
      <c r="AF29" s="408"/>
      <c r="AG29" s="408"/>
      <c r="AH29" s="408"/>
      <c r="AI29" s="408">
        <v>0</v>
      </c>
      <c r="AJ29" s="408">
        <v>0</v>
      </c>
      <c r="AK29" s="408">
        <v>0</v>
      </c>
      <c r="AL29" s="408">
        <v>0</v>
      </c>
      <c r="AM29" s="408"/>
      <c r="AN29" s="408">
        <v>0</v>
      </c>
      <c r="AO29" s="408">
        <v>112.06443815768927</v>
      </c>
      <c r="AP29" s="408">
        <v>171.45392745512095</v>
      </c>
      <c r="AQ29" s="408">
        <v>0</v>
      </c>
      <c r="AR29" s="408">
        <v>0</v>
      </c>
      <c r="AS29" s="408"/>
      <c r="AT29" s="408"/>
      <c r="AU29" s="408">
        <v>0</v>
      </c>
      <c r="AV29" s="408">
        <v>0</v>
      </c>
      <c r="AW29" s="408">
        <v>0</v>
      </c>
      <c r="AX29" s="408"/>
      <c r="AY29" s="408"/>
      <c r="AZ29" s="408">
        <v>0</v>
      </c>
      <c r="BA29" s="408"/>
      <c r="BB29" s="408">
        <v>0</v>
      </c>
      <c r="BC29" s="408">
        <v>0</v>
      </c>
      <c r="BD29" s="408">
        <v>0</v>
      </c>
      <c r="BE29" s="408">
        <v>0</v>
      </c>
      <c r="BF29" s="408"/>
      <c r="BG29" s="408">
        <v>0</v>
      </c>
      <c r="BH29" s="408">
        <v>0</v>
      </c>
      <c r="BI29" s="408">
        <v>5.78</v>
      </c>
      <c r="BJ29" s="408">
        <v>26.03</v>
      </c>
      <c r="BK29" s="408">
        <v>1753.7</v>
      </c>
      <c r="BL29" s="408">
        <v>1</v>
      </c>
      <c r="BM29" s="408"/>
      <c r="BN29" s="408"/>
      <c r="BO29" s="408"/>
      <c r="BP29" s="408"/>
      <c r="BQ29" s="408"/>
      <c r="BR29" s="408"/>
      <c r="BS29" s="408"/>
      <c r="BT29" s="408"/>
      <c r="BU29" s="408"/>
      <c r="BV29" s="408">
        <v>0</v>
      </c>
      <c r="BW29" s="408"/>
      <c r="BX29" s="408"/>
      <c r="BY29" s="408"/>
      <c r="BZ29" s="408"/>
      <c r="CA29" s="408"/>
      <c r="CB29" s="408"/>
      <c r="CC29" s="408"/>
      <c r="CD29" s="408"/>
      <c r="CE29" s="408"/>
      <c r="CF29" s="408"/>
      <c r="CG29" s="408"/>
      <c r="CH29" s="408"/>
      <c r="CI29" s="408">
        <v>3273.6099999999997</v>
      </c>
      <c r="CJ29" s="408">
        <v>-1737.9700000000012</v>
      </c>
      <c r="CK29" s="408"/>
      <c r="CL29" s="408"/>
      <c r="CM29" s="408"/>
      <c r="CN29" s="408"/>
      <c r="CO29" s="408">
        <v>-1737.9400000000003</v>
      </c>
      <c r="CP29" s="408">
        <v>0</v>
      </c>
      <c r="CQ29" s="408">
        <v>31</v>
      </c>
      <c r="CR29" s="408">
        <v>82.839323574228047</v>
      </c>
      <c r="CS29" s="408">
        <v>13.52976716572347</v>
      </c>
      <c r="CT29" s="408">
        <v>20.699980799015748</v>
      </c>
      <c r="CU29" s="408">
        <v>0</v>
      </c>
      <c r="CV29" s="408">
        <v>0</v>
      </c>
      <c r="CW29" s="408"/>
      <c r="CX29" s="408"/>
      <c r="CY29" s="408"/>
      <c r="CZ29" s="408">
        <v>48.609575609488729</v>
      </c>
      <c r="DA29" s="408">
        <v>0</v>
      </c>
      <c r="DB29" s="408">
        <v>0</v>
      </c>
      <c r="DC29" s="408"/>
      <c r="DD29" s="408"/>
      <c r="DE29" s="408">
        <v>0</v>
      </c>
      <c r="DF29" s="408">
        <v>0</v>
      </c>
      <c r="DG29" s="408">
        <v>0</v>
      </c>
      <c r="DH29" s="408">
        <v>0</v>
      </c>
      <c r="DI29" s="408">
        <v>0</v>
      </c>
      <c r="DJ29" s="408"/>
      <c r="DK29" s="408">
        <v>0</v>
      </c>
      <c r="DL29" s="408">
        <v>0</v>
      </c>
      <c r="DM29" s="408"/>
      <c r="DN29" s="408">
        <v>0</v>
      </c>
      <c r="DO29" s="408">
        <v>0</v>
      </c>
      <c r="DP29" s="408">
        <v>0</v>
      </c>
      <c r="DQ29" s="408">
        <v>0</v>
      </c>
      <c r="DR29" s="408">
        <v>0</v>
      </c>
      <c r="DS29" s="408"/>
      <c r="DT29" s="408"/>
      <c r="DU29" s="408">
        <v>3245.116630289298</v>
      </c>
      <c r="DV29" s="408"/>
      <c r="DW29" s="408">
        <v>0</v>
      </c>
      <c r="DX29" s="408">
        <v>0</v>
      </c>
      <c r="DY29" s="408">
        <v>-1737.9400000000005</v>
      </c>
      <c r="DZ29" s="408"/>
      <c r="EA29" s="408">
        <v>0</v>
      </c>
      <c r="EB29" s="408"/>
      <c r="EC29" s="408">
        <v>-1820.4770022796913</v>
      </c>
      <c r="ED29" s="408"/>
      <c r="EE29" s="408">
        <v>0</v>
      </c>
      <c r="EF29" s="408">
        <v>0</v>
      </c>
      <c r="EG29" s="408"/>
      <c r="EH29" s="408">
        <v>0</v>
      </c>
      <c r="EI29" s="408">
        <v>0</v>
      </c>
      <c r="EJ29" s="408">
        <v>0</v>
      </c>
      <c r="EK29" s="408">
        <v>0</v>
      </c>
      <c r="EL29" s="408">
        <v>0</v>
      </c>
      <c r="EM29" s="408"/>
      <c r="EN29" s="408"/>
      <c r="EO29" s="408">
        <v>0</v>
      </c>
      <c r="EP29" s="408">
        <v>0</v>
      </c>
      <c r="EQ29" s="408"/>
      <c r="ER29" s="408">
        <v>0</v>
      </c>
      <c r="ES29" s="408"/>
      <c r="ET29" s="408">
        <v>0</v>
      </c>
      <c r="EU29" s="408"/>
      <c r="EV29" s="408">
        <v>238</v>
      </c>
      <c r="EW29" s="408"/>
      <c r="EX29" s="408"/>
      <c r="EY29" s="408"/>
      <c r="EZ29" s="408"/>
      <c r="FA29" s="408">
        <v>0</v>
      </c>
      <c r="FB29" s="408"/>
      <c r="FC29" s="408"/>
      <c r="FD29" s="408"/>
      <c r="FE29" s="408"/>
      <c r="FF29" s="408">
        <v>0</v>
      </c>
      <c r="FG29" s="408">
        <v>0</v>
      </c>
      <c r="FH29" s="408">
        <v>0</v>
      </c>
      <c r="FI29" s="408">
        <v>0</v>
      </c>
    </row>
    <row r="30" spans="1:165" customFormat="1">
      <c r="A30" s="408">
        <v>28</v>
      </c>
      <c r="B30" s="408" t="s">
        <v>1036</v>
      </c>
      <c r="C30" s="408" t="s">
        <v>2235</v>
      </c>
      <c r="D30" s="408" t="s">
        <v>2245</v>
      </c>
      <c r="E30" s="408" t="s">
        <v>974</v>
      </c>
      <c r="F30" s="408" t="s">
        <v>1322</v>
      </c>
      <c r="G30" s="408" t="s">
        <v>1322</v>
      </c>
      <c r="H30" s="408" t="s">
        <v>1322</v>
      </c>
      <c r="I30" s="408" t="s">
        <v>1322</v>
      </c>
      <c r="J30" s="408" t="s">
        <v>2236</v>
      </c>
      <c r="K30" s="824">
        <v>44378</v>
      </c>
      <c r="L30" s="408">
        <v>0</v>
      </c>
      <c r="M30" s="408">
        <v>0</v>
      </c>
      <c r="N30" s="408">
        <v>3622.4189999999999</v>
      </c>
      <c r="O30" s="408">
        <v>3622.4189999999999</v>
      </c>
      <c r="P30" s="408">
        <v>3622.4189999999999</v>
      </c>
      <c r="Q30" s="408">
        <v>3622.4189999999999</v>
      </c>
      <c r="R30" s="408"/>
      <c r="S30" s="408">
        <v>581.32000000000005</v>
      </c>
      <c r="T30" s="408">
        <v>209.4</v>
      </c>
      <c r="U30" s="408"/>
      <c r="V30" s="408">
        <v>2864319.1516800001</v>
      </c>
      <c r="W30" s="408">
        <v>2864319.1516800001</v>
      </c>
      <c r="X30" s="408">
        <v>2188194.6453299997</v>
      </c>
      <c r="Y30" s="408">
        <v>0</v>
      </c>
      <c r="Z30" s="408">
        <v>222916.08526375753</v>
      </c>
      <c r="AA30" s="408">
        <v>0</v>
      </c>
      <c r="AB30" s="408">
        <v>0</v>
      </c>
      <c r="AC30" s="408">
        <v>0</v>
      </c>
      <c r="AD30" s="408">
        <v>268751.41254010954</v>
      </c>
      <c r="AE30" s="408">
        <v>1396099.5244905411</v>
      </c>
      <c r="AF30" s="408">
        <v>748575.58791757899</v>
      </c>
      <c r="AG30" s="408">
        <v>9972.392592608714</v>
      </c>
      <c r="AH30" s="408">
        <v>0</v>
      </c>
      <c r="AI30" s="408">
        <v>0</v>
      </c>
      <c r="AJ30" s="408">
        <v>0</v>
      </c>
      <c r="AK30" s="408">
        <v>0</v>
      </c>
      <c r="AL30" s="408">
        <v>34447.761681730684</v>
      </c>
      <c r="AM30" s="408"/>
      <c r="AN30" s="408">
        <v>6603.5405739804992</v>
      </c>
      <c r="AO30" s="408">
        <v>20645.907449712795</v>
      </c>
      <c r="AP30" s="408">
        <v>31099.155267732553</v>
      </c>
      <c r="AQ30" s="408">
        <v>0</v>
      </c>
      <c r="AR30" s="408">
        <v>0</v>
      </c>
      <c r="AS30" s="408">
        <v>0</v>
      </c>
      <c r="AT30" s="408">
        <v>0</v>
      </c>
      <c r="AU30" s="408">
        <v>0</v>
      </c>
      <c r="AV30" s="408">
        <v>0</v>
      </c>
      <c r="AW30" s="408">
        <v>0</v>
      </c>
      <c r="AX30" s="408">
        <v>0</v>
      </c>
      <c r="AY30" s="408">
        <v>0</v>
      </c>
      <c r="AZ30" s="408">
        <v>0</v>
      </c>
      <c r="BA30" s="408"/>
      <c r="BB30" s="408">
        <v>0</v>
      </c>
      <c r="BC30" s="408">
        <v>0</v>
      </c>
      <c r="BD30" s="408">
        <v>0</v>
      </c>
      <c r="BE30" s="408">
        <v>0</v>
      </c>
      <c r="BF30" s="408">
        <v>0</v>
      </c>
      <c r="BG30" s="408">
        <v>125235.29646961235</v>
      </c>
      <c r="BH30" s="408">
        <v>0</v>
      </c>
      <c r="BI30" s="408">
        <v>2355.34</v>
      </c>
      <c r="BJ30" s="408">
        <v>10892.85</v>
      </c>
      <c r="BK30" s="408">
        <v>255723.04</v>
      </c>
      <c r="BL30" s="408">
        <v>14114</v>
      </c>
      <c r="BM30" s="408"/>
      <c r="BN30" s="408"/>
      <c r="BO30" s="408"/>
      <c r="BP30" s="408"/>
      <c r="BQ30" s="408"/>
      <c r="BR30" s="408">
        <v>262589.15330999973</v>
      </c>
      <c r="BS30" s="408"/>
      <c r="BT30" s="408"/>
      <c r="BU30" s="408"/>
      <c r="BV30" s="408">
        <v>873810.88438719139</v>
      </c>
      <c r="BW30" s="408"/>
      <c r="BX30" s="408"/>
      <c r="BY30" s="408"/>
      <c r="BZ30" s="408"/>
      <c r="CA30" s="408"/>
      <c r="CB30" s="408"/>
      <c r="CC30" s="408"/>
      <c r="CD30" s="408"/>
      <c r="CE30" s="408"/>
      <c r="CF30" s="408"/>
      <c r="CG30" s="408"/>
      <c r="CH30" s="408"/>
      <c r="CI30" s="408">
        <v>1925606.0236000002</v>
      </c>
      <c r="CJ30" s="408">
        <v>-595054.26754999976</v>
      </c>
      <c r="CK30" s="408"/>
      <c r="CL30" s="408"/>
      <c r="CM30" s="408"/>
      <c r="CN30" s="408"/>
      <c r="CO30" s="408">
        <v>-758824.33212000027</v>
      </c>
      <c r="CP30" s="408">
        <v>82699.825769999938</v>
      </c>
      <c r="CQ30" s="408">
        <v>31</v>
      </c>
      <c r="CR30" s="408">
        <v>107020.27859018557</v>
      </c>
      <c r="CS30" s="408">
        <v>2492.6223279380938</v>
      </c>
      <c r="CT30" s="408">
        <v>3754.6641623369796</v>
      </c>
      <c r="CU30" s="408">
        <v>0</v>
      </c>
      <c r="CV30" s="408">
        <v>0</v>
      </c>
      <c r="CW30" s="408">
        <v>0</v>
      </c>
      <c r="CX30" s="408">
        <v>0</v>
      </c>
      <c r="CY30" s="408">
        <v>0</v>
      </c>
      <c r="CZ30" s="408">
        <v>8810.3264410881093</v>
      </c>
      <c r="DA30" s="408">
        <v>0</v>
      </c>
      <c r="DB30" s="408">
        <v>0</v>
      </c>
      <c r="DC30" s="408">
        <v>82674.773577924818</v>
      </c>
      <c r="DD30" s="408">
        <v>0</v>
      </c>
      <c r="DE30" s="408">
        <v>0</v>
      </c>
      <c r="DF30" s="408">
        <v>0</v>
      </c>
      <c r="DG30" s="408">
        <v>13831.33506716635</v>
      </c>
      <c r="DH30" s="408">
        <v>0</v>
      </c>
      <c r="DI30" s="408">
        <v>-3885.9005802049942</v>
      </c>
      <c r="DJ30" s="408"/>
      <c r="DK30" s="408">
        <v>0</v>
      </c>
      <c r="DL30" s="408">
        <v>0</v>
      </c>
      <c r="DM30" s="408">
        <v>0</v>
      </c>
      <c r="DN30" s="408">
        <v>0</v>
      </c>
      <c r="DO30" s="408">
        <v>-504.86543278847967</v>
      </c>
      <c r="DP30" s="408">
        <v>-152.67697327573569</v>
      </c>
      <c r="DQ30" s="408">
        <v>0</v>
      </c>
      <c r="DR30" s="408">
        <v>0</v>
      </c>
      <c r="DS30" s="408"/>
      <c r="DT30" s="408"/>
      <c r="DU30" s="408"/>
      <c r="DV30" s="408">
        <v>1396099.5244905411</v>
      </c>
      <c r="DW30" s="408">
        <v>0</v>
      </c>
      <c r="DX30" s="408">
        <v>0</v>
      </c>
      <c r="DY30" s="408">
        <v>-758824.33212000015</v>
      </c>
      <c r="DZ30" s="408">
        <v>82699.825769999996</v>
      </c>
      <c r="EA30" s="408">
        <v>0</v>
      </c>
      <c r="EB30" s="408">
        <v>0</v>
      </c>
      <c r="EC30" s="408">
        <v>-783197.45229066361</v>
      </c>
      <c r="ED30" s="408">
        <v>0</v>
      </c>
      <c r="EE30" s="408">
        <v>0</v>
      </c>
      <c r="EF30" s="408">
        <v>0</v>
      </c>
      <c r="EG30" s="408">
        <v>0</v>
      </c>
      <c r="EH30" s="408">
        <v>0</v>
      </c>
      <c r="EI30" s="408">
        <v>0</v>
      </c>
      <c r="EJ30" s="408">
        <v>0</v>
      </c>
      <c r="EK30" s="408">
        <v>0</v>
      </c>
      <c r="EL30" s="408">
        <v>0</v>
      </c>
      <c r="EM30" s="408">
        <v>0</v>
      </c>
      <c r="EN30" s="408">
        <v>0</v>
      </c>
      <c r="EO30" s="408">
        <v>0</v>
      </c>
      <c r="EP30" s="408">
        <v>0</v>
      </c>
      <c r="EQ30" s="408">
        <v>0</v>
      </c>
      <c r="ER30" s="408">
        <v>0</v>
      </c>
      <c r="ES30" s="408">
        <v>0</v>
      </c>
      <c r="ET30" s="408">
        <v>0</v>
      </c>
      <c r="EU30" s="408">
        <v>0</v>
      </c>
      <c r="EV30" s="408">
        <v>238</v>
      </c>
      <c r="EW30" s="408">
        <v>0</v>
      </c>
      <c r="EX30" s="408">
        <v>0</v>
      </c>
      <c r="EY30" s="408">
        <v>0</v>
      </c>
      <c r="EZ30" s="408"/>
      <c r="FA30" s="408">
        <v>0</v>
      </c>
      <c r="FB30" s="408"/>
      <c r="FC30" s="408"/>
      <c r="FD30" s="408"/>
      <c r="FE30" s="408"/>
      <c r="FF30" s="408">
        <v>0</v>
      </c>
      <c r="FG30" s="408">
        <v>0</v>
      </c>
      <c r="FH30" s="408">
        <v>0</v>
      </c>
      <c r="FI30" s="408">
        <v>0</v>
      </c>
    </row>
    <row r="31" spans="1:165" customFormat="1">
      <c r="A31" s="408">
        <v>29</v>
      </c>
      <c r="B31" s="408" t="s">
        <v>2237</v>
      </c>
      <c r="C31" s="408" t="s">
        <v>2235</v>
      </c>
      <c r="D31" s="408" t="s">
        <v>2245</v>
      </c>
      <c r="E31" s="408" t="s">
        <v>974</v>
      </c>
      <c r="F31" s="408" t="s">
        <v>1322</v>
      </c>
      <c r="G31" s="408" t="s">
        <v>1322</v>
      </c>
      <c r="H31" s="408" t="s">
        <v>1322</v>
      </c>
      <c r="I31" s="408" t="s">
        <v>1322</v>
      </c>
      <c r="J31" s="408" t="s">
        <v>2236</v>
      </c>
      <c r="K31" s="824">
        <v>44378</v>
      </c>
      <c r="L31" s="408">
        <v>0</v>
      </c>
      <c r="M31" s="408">
        <v>0</v>
      </c>
      <c r="N31" s="408">
        <v>-5.5789999999999997</v>
      </c>
      <c r="O31" s="408">
        <v>-5.5789999999999997</v>
      </c>
      <c r="P31" s="408">
        <v>-5.5789999999999997</v>
      </c>
      <c r="Q31" s="408">
        <v>-5.5789999999999997</v>
      </c>
      <c r="R31" s="408"/>
      <c r="S31" s="408">
        <v>581.32000000000005</v>
      </c>
      <c r="T31" s="408">
        <v>209.4</v>
      </c>
      <c r="U31" s="408"/>
      <c r="V31" s="408">
        <v>-4411.42688</v>
      </c>
      <c r="W31" s="408">
        <v>-4411.42688</v>
      </c>
      <c r="X31" s="408">
        <v>-3370.10653</v>
      </c>
      <c r="Y31" s="408">
        <v>0</v>
      </c>
      <c r="Z31" s="408">
        <v>-343.31998581238207</v>
      </c>
      <c r="AA31" s="408">
        <v>0</v>
      </c>
      <c r="AB31" s="408">
        <v>0</v>
      </c>
      <c r="AC31" s="408">
        <v>0</v>
      </c>
      <c r="AD31" s="408">
        <v>-413.91239681584904</v>
      </c>
      <c r="AE31" s="408">
        <v>-2150.1762350331996</v>
      </c>
      <c r="AF31" s="408">
        <v>-1152.9045107681284</v>
      </c>
      <c r="AG31" s="408">
        <v>-15.358791535204517</v>
      </c>
      <c r="AH31" s="408">
        <v>0</v>
      </c>
      <c r="AI31" s="408">
        <v>0</v>
      </c>
      <c r="AJ31" s="408">
        <v>0</v>
      </c>
      <c r="AK31" s="408">
        <v>0</v>
      </c>
      <c r="AL31" s="408">
        <v>-53.054067578150253</v>
      </c>
      <c r="AM31" s="408"/>
      <c r="AN31" s="408">
        <v>-10.170317918009266</v>
      </c>
      <c r="AO31" s="408">
        <v>-31.797403244060856</v>
      </c>
      <c r="AP31" s="408">
        <v>-47.896774845394724</v>
      </c>
      <c r="AQ31" s="408">
        <v>0</v>
      </c>
      <c r="AR31" s="408">
        <v>0</v>
      </c>
      <c r="AS31" s="408">
        <v>0</v>
      </c>
      <c r="AT31" s="408">
        <v>0</v>
      </c>
      <c r="AU31" s="408">
        <v>0</v>
      </c>
      <c r="AV31" s="408">
        <v>0</v>
      </c>
      <c r="AW31" s="408">
        <v>0</v>
      </c>
      <c r="AX31" s="408">
        <v>0</v>
      </c>
      <c r="AY31" s="408">
        <v>0</v>
      </c>
      <c r="AZ31" s="408">
        <v>0</v>
      </c>
      <c r="BA31" s="408"/>
      <c r="BB31" s="408">
        <v>0</v>
      </c>
      <c r="BC31" s="408">
        <v>0</v>
      </c>
      <c r="BD31" s="408">
        <v>0</v>
      </c>
      <c r="BE31" s="408">
        <v>0</v>
      </c>
      <c r="BF31" s="408">
        <v>0</v>
      </c>
      <c r="BG31" s="408">
        <v>-192.87876940905161</v>
      </c>
      <c r="BH31" s="408">
        <v>0</v>
      </c>
      <c r="BI31" s="408">
        <v>-6.77</v>
      </c>
      <c r="BJ31" s="408">
        <v>-31.32</v>
      </c>
      <c r="BK31" s="408">
        <v>-355.93</v>
      </c>
      <c r="BL31" s="408">
        <v>0</v>
      </c>
      <c r="BM31" s="408"/>
      <c r="BN31" s="408"/>
      <c r="BO31" s="408"/>
      <c r="BP31" s="408"/>
      <c r="BQ31" s="408"/>
      <c r="BR31" s="408">
        <v>-404.42170999999951</v>
      </c>
      <c r="BS31" s="408"/>
      <c r="BT31" s="408"/>
      <c r="BU31" s="408"/>
      <c r="BV31" s="408">
        <v>-1345.7832801771799</v>
      </c>
      <c r="BW31" s="408"/>
      <c r="BX31" s="408"/>
      <c r="BY31" s="408"/>
      <c r="BZ31" s="408"/>
      <c r="CA31" s="408"/>
      <c r="CB31" s="408"/>
      <c r="CC31" s="408"/>
      <c r="CD31" s="408"/>
      <c r="CE31" s="408"/>
      <c r="CF31" s="408"/>
      <c r="CG31" s="408"/>
      <c r="CH31" s="408"/>
      <c r="CI31" s="408">
        <v>-2966.2164000000002</v>
      </c>
      <c r="CJ31" s="408">
        <v>915.90074999999888</v>
      </c>
      <c r="CK31" s="408"/>
      <c r="CL31" s="408"/>
      <c r="CM31" s="408"/>
      <c r="CN31" s="408"/>
      <c r="CO31" s="408">
        <v>1168.6889200000003</v>
      </c>
      <c r="CP31" s="408">
        <v>-127.36856999999991</v>
      </c>
      <c r="CQ31" s="408">
        <v>31</v>
      </c>
      <c r="CR31" s="408">
        <v>-164.82525468606627</v>
      </c>
      <c r="CS31" s="408">
        <v>-3.8389650583123149</v>
      </c>
      <c r="CT31" s="408">
        <v>-5.7826748815302693</v>
      </c>
      <c r="CU31" s="408">
        <v>0</v>
      </c>
      <c r="CV31" s="408">
        <v>0</v>
      </c>
      <c r="CW31" s="408">
        <v>0</v>
      </c>
      <c r="CX31" s="408">
        <v>0</v>
      </c>
      <c r="CY31" s="408">
        <v>0</v>
      </c>
      <c r="CZ31" s="408">
        <v>-13.56905736603926</v>
      </c>
      <c r="DA31" s="408">
        <v>0</v>
      </c>
      <c r="DB31" s="408">
        <v>0</v>
      </c>
      <c r="DC31" s="408">
        <v>-127.32998634096248</v>
      </c>
      <c r="DD31" s="408">
        <v>0</v>
      </c>
      <c r="DE31" s="408">
        <v>0</v>
      </c>
      <c r="DF31" s="408">
        <v>0</v>
      </c>
      <c r="DG31" s="408">
        <v>-21.302068683860455</v>
      </c>
      <c r="DH31" s="408">
        <v>0</v>
      </c>
      <c r="DI31" s="408">
        <v>5.9847961643762346</v>
      </c>
      <c r="DJ31" s="408"/>
      <c r="DK31" s="408">
        <v>0</v>
      </c>
      <c r="DL31" s="408">
        <v>0</v>
      </c>
      <c r="DM31" s="408">
        <v>0</v>
      </c>
      <c r="DN31" s="408">
        <v>0</v>
      </c>
      <c r="DO31" s="408">
        <v>0.77755893217402416</v>
      </c>
      <c r="DP31" s="408">
        <v>0.23514254808881319</v>
      </c>
      <c r="DQ31" s="408">
        <v>0</v>
      </c>
      <c r="DR31" s="408">
        <v>0</v>
      </c>
      <c r="DS31" s="408"/>
      <c r="DT31" s="408"/>
      <c r="DU31" s="408"/>
      <c r="DV31" s="408">
        <v>-2150.1762350331996</v>
      </c>
      <c r="DW31" s="408">
        <v>0</v>
      </c>
      <c r="DX31" s="408">
        <v>0</v>
      </c>
      <c r="DY31" s="408">
        <v>1168.6889200000001</v>
      </c>
      <c r="DZ31" s="408">
        <v>-127.36856999999986</v>
      </c>
      <c r="EA31" s="408">
        <v>0</v>
      </c>
      <c r="EB31" s="408">
        <v>0</v>
      </c>
      <c r="EC31" s="408">
        <v>1206.2267193081782</v>
      </c>
      <c r="ED31" s="408">
        <v>0</v>
      </c>
      <c r="EE31" s="408">
        <v>0</v>
      </c>
      <c r="EF31" s="408">
        <v>0</v>
      </c>
      <c r="EG31" s="408">
        <v>0</v>
      </c>
      <c r="EH31" s="408">
        <v>0</v>
      </c>
      <c r="EI31" s="408">
        <v>0</v>
      </c>
      <c r="EJ31" s="408">
        <v>0</v>
      </c>
      <c r="EK31" s="408">
        <v>0</v>
      </c>
      <c r="EL31" s="408">
        <v>0</v>
      </c>
      <c r="EM31" s="408">
        <v>0</v>
      </c>
      <c r="EN31" s="408">
        <v>0</v>
      </c>
      <c r="EO31" s="408">
        <v>0</v>
      </c>
      <c r="EP31" s="408">
        <v>0</v>
      </c>
      <c r="EQ31" s="408">
        <v>0</v>
      </c>
      <c r="ER31" s="408">
        <v>0</v>
      </c>
      <c r="ES31" s="408">
        <v>0</v>
      </c>
      <c r="ET31" s="408">
        <v>0</v>
      </c>
      <c r="EU31" s="408">
        <v>0</v>
      </c>
      <c r="EV31" s="408">
        <v>238</v>
      </c>
      <c r="EW31" s="408">
        <v>0</v>
      </c>
      <c r="EX31" s="408">
        <v>0</v>
      </c>
      <c r="EY31" s="408">
        <v>0</v>
      </c>
      <c r="EZ31" s="408"/>
      <c r="FA31" s="408">
        <v>0</v>
      </c>
      <c r="FB31" s="408"/>
      <c r="FC31" s="408"/>
      <c r="FD31" s="408"/>
      <c r="FE31" s="408"/>
      <c r="FF31" s="408">
        <v>0</v>
      </c>
      <c r="FG31" s="408">
        <v>0</v>
      </c>
      <c r="FH31" s="408">
        <v>0</v>
      </c>
      <c r="FI31" s="408">
        <v>0</v>
      </c>
    </row>
    <row r="32" spans="1:165" customFormat="1">
      <c r="A32" s="408">
        <v>30</v>
      </c>
      <c r="B32" s="408" t="s">
        <v>2238</v>
      </c>
      <c r="C32" s="408" t="s">
        <v>2235</v>
      </c>
      <c r="D32" s="408" t="s">
        <v>2245</v>
      </c>
      <c r="E32" s="408" t="s">
        <v>974</v>
      </c>
      <c r="F32" s="408" t="s">
        <v>1322</v>
      </c>
      <c r="G32" s="408" t="s">
        <v>1322</v>
      </c>
      <c r="H32" s="408" t="s">
        <v>1322</v>
      </c>
      <c r="I32" s="408" t="s">
        <v>1322</v>
      </c>
      <c r="J32" s="408" t="s">
        <v>2236</v>
      </c>
      <c r="K32" s="824">
        <v>44378</v>
      </c>
      <c r="L32" s="408">
        <v>0</v>
      </c>
      <c r="M32" s="408">
        <v>0</v>
      </c>
      <c r="N32" s="408">
        <v>131.06399999999999</v>
      </c>
      <c r="O32" s="408">
        <v>131.06399999999999</v>
      </c>
      <c r="P32" s="408">
        <v>131.06399999999999</v>
      </c>
      <c r="Q32" s="408">
        <v>131.06399999999999</v>
      </c>
      <c r="R32" s="408"/>
      <c r="S32" s="408">
        <v>581.32000000000005</v>
      </c>
      <c r="T32" s="408">
        <v>209.4</v>
      </c>
      <c r="U32" s="408"/>
      <c r="V32" s="408">
        <v>103634.92608</v>
      </c>
      <c r="W32" s="408">
        <v>103634.92608</v>
      </c>
      <c r="X32" s="408">
        <v>79171.83047999999</v>
      </c>
      <c r="Y32" s="408">
        <v>0</v>
      </c>
      <c r="Z32" s="408">
        <v>8065.4043055232196</v>
      </c>
      <c r="AA32" s="408">
        <v>0</v>
      </c>
      <c r="AB32" s="408">
        <v>0</v>
      </c>
      <c r="AC32" s="408">
        <v>0</v>
      </c>
      <c r="AD32" s="408">
        <v>9723.7882015186296</v>
      </c>
      <c r="AE32" s="408">
        <v>50512.761797524872</v>
      </c>
      <c r="AF32" s="408">
        <v>27084.473346354898</v>
      </c>
      <c r="AG32" s="408">
        <v>360.81460006632818</v>
      </c>
      <c r="AH32" s="408">
        <v>0</v>
      </c>
      <c r="AI32" s="408">
        <v>0</v>
      </c>
      <c r="AJ32" s="408">
        <v>0</v>
      </c>
      <c r="AK32" s="408">
        <v>0</v>
      </c>
      <c r="AL32" s="408">
        <v>1246.3664300166131</v>
      </c>
      <c r="AM32" s="408"/>
      <c r="AN32" s="408">
        <v>238.924995089795</v>
      </c>
      <c r="AO32" s="408">
        <v>746.99674830249</v>
      </c>
      <c r="AP32" s="408">
        <v>1125.20933829303</v>
      </c>
      <c r="AQ32" s="408">
        <v>0</v>
      </c>
      <c r="AR32" s="408">
        <v>0</v>
      </c>
      <c r="AS32" s="408">
        <v>0</v>
      </c>
      <c r="AT32" s="408">
        <v>0</v>
      </c>
      <c r="AU32" s="408">
        <v>0</v>
      </c>
      <c r="AV32" s="408">
        <v>0</v>
      </c>
      <c r="AW32" s="408">
        <v>0</v>
      </c>
      <c r="AX32" s="408">
        <v>0</v>
      </c>
      <c r="AY32" s="408">
        <v>0</v>
      </c>
      <c r="AZ32" s="408">
        <v>0</v>
      </c>
      <c r="BA32" s="408"/>
      <c r="BB32" s="408">
        <v>0</v>
      </c>
      <c r="BC32" s="408">
        <v>0</v>
      </c>
      <c r="BD32" s="408">
        <v>0</v>
      </c>
      <c r="BE32" s="408">
        <v>0</v>
      </c>
      <c r="BF32" s="408">
        <v>0</v>
      </c>
      <c r="BG32" s="408">
        <v>4531.181759065772</v>
      </c>
      <c r="BH32" s="408">
        <v>0</v>
      </c>
      <c r="BI32" s="408">
        <v>81.349999999999994</v>
      </c>
      <c r="BJ32" s="408">
        <v>374.02</v>
      </c>
      <c r="BK32" s="408">
        <v>5390.63</v>
      </c>
      <c r="BL32" s="408">
        <v>444</v>
      </c>
      <c r="BM32" s="408"/>
      <c r="BN32" s="408"/>
      <c r="BO32" s="408"/>
      <c r="BP32" s="408"/>
      <c r="BQ32" s="408"/>
      <c r="BR32" s="408">
        <v>9500.8293599999888</v>
      </c>
      <c r="BS32" s="408"/>
      <c r="BT32" s="408"/>
      <c r="BU32" s="408"/>
      <c r="BV32" s="408">
        <v>31615.655105420672</v>
      </c>
      <c r="BW32" s="408"/>
      <c r="BX32" s="408"/>
      <c r="BY32" s="408"/>
      <c r="BZ32" s="408"/>
      <c r="CA32" s="408"/>
      <c r="CB32" s="408"/>
      <c r="CC32" s="408"/>
      <c r="CD32" s="408"/>
      <c r="CE32" s="408"/>
      <c r="CF32" s="408"/>
      <c r="CG32" s="408"/>
      <c r="CH32" s="408"/>
      <c r="CI32" s="408">
        <v>69668.874800000005</v>
      </c>
      <c r="CJ32" s="408">
        <v>-21532.039599999975</v>
      </c>
      <c r="CK32" s="408"/>
      <c r="CL32" s="408"/>
      <c r="CM32" s="408"/>
      <c r="CN32" s="408"/>
      <c r="CO32" s="408">
        <v>-27455.286720000007</v>
      </c>
      <c r="CP32" s="408">
        <v>2992.1911199999977</v>
      </c>
      <c r="CQ32" s="408">
        <v>31</v>
      </c>
      <c r="CR32" s="408">
        <v>3872.1378706174073</v>
      </c>
      <c r="CS32" s="408">
        <v>90.186434200151552</v>
      </c>
      <c r="CT32" s="408">
        <v>135.84880815072302</v>
      </c>
      <c r="CU32" s="408">
        <v>0</v>
      </c>
      <c r="CV32" s="408">
        <v>0</v>
      </c>
      <c r="CW32" s="408">
        <v>0</v>
      </c>
      <c r="CX32" s="408">
        <v>0</v>
      </c>
      <c r="CY32" s="408">
        <v>0</v>
      </c>
      <c r="CZ32" s="408">
        <v>318.76948102214919</v>
      </c>
      <c r="DA32" s="408">
        <v>0</v>
      </c>
      <c r="DB32" s="408">
        <v>0</v>
      </c>
      <c r="DC32" s="408">
        <v>2991.284697937248</v>
      </c>
      <c r="DD32" s="408">
        <v>0</v>
      </c>
      <c r="DE32" s="408">
        <v>0</v>
      </c>
      <c r="DF32" s="408">
        <v>0</v>
      </c>
      <c r="DG32" s="408">
        <v>500.43633805009631</v>
      </c>
      <c r="DH32" s="408">
        <v>0</v>
      </c>
      <c r="DI32" s="408">
        <v>-140.59711856745071</v>
      </c>
      <c r="DJ32" s="408"/>
      <c r="DK32" s="408">
        <v>0</v>
      </c>
      <c r="DL32" s="408">
        <v>0</v>
      </c>
      <c r="DM32" s="408">
        <v>0</v>
      </c>
      <c r="DN32" s="408">
        <v>0</v>
      </c>
      <c r="DO32" s="408">
        <v>-18.266711576708303</v>
      </c>
      <c r="DP32" s="408">
        <v>-5.5240585988012469</v>
      </c>
      <c r="DQ32" s="408">
        <v>0</v>
      </c>
      <c r="DR32" s="408">
        <v>0</v>
      </c>
      <c r="DS32" s="408"/>
      <c r="DT32" s="408"/>
      <c r="DU32" s="408"/>
      <c r="DV32" s="408">
        <v>50512.761797524872</v>
      </c>
      <c r="DW32" s="408">
        <v>0</v>
      </c>
      <c r="DX32" s="408">
        <v>0</v>
      </c>
      <c r="DY32" s="408">
        <v>-27455.286720000004</v>
      </c>
      <c r="DZ32" s="408">
        <v>2992.1911199999995</v>
      </c>
      <c r="EA32" s="408">
        <v>0</v>
      </c>
      <c r="EB32" s="408">
        <v>0</v>
      </c>
      <c r="EC32" s="408">
        <v>-28337.13904631781</v>
      </c>
      <c r="ED32" s="408">
        <v>0</v>
      </c>
      <c r="EE32" s="408">
        <v>0</v>
      </c>
      <c r="EF32" s="408">
        <v>0</v>
      </c>
      <c r="EG32" s="408">
        <v>0</v>
      </c>
      <c r="EH32" s="408">
        <v>0</v>
      </c>
      <c r="EI32" s="408">
        <v>0</v>
      </c>
      <c r="EJ32" s="408">
        <v>0</v>
      </c>
      <c r="EK32" s="408">
        <v>0</v>
      </c>
      <c r="EL32" s="408">
        <v>0</v>
      </c>
      <c r="EM32" s="408">
        <v>0</v>
      </c>
      <c r="EN32" s="408">
        <v>0</v>
      </c>
      <c r="EO32" s="408">
        <v>0</v>
      </c>
      <c r="EP32" s="408">
        <v>0</v>
      </c>
      <c r="EQ32" s="408">
        <v>0</v>
      </c>
      <c r="ER32" s="408">
        <v>0</v>
      </c>
      <c r="ES32" s="408">
        <v>0</v>
      </c>
      <c r="ET32" s="408">
        <v>0</v>
      </c>
      <c r="EU32" s="408">
        <v>0</v>
      </c>
      <c r="EV32" s="408">
        <v>238</v>
      </c>
      <c r="EW32" s="408">
        <v>0</v>
      </c>
      <c r="EX32" s="408">
        <v>0</v>
      </c>
      <c r="EY32" s="408">
        <v>0</v>
      </c>
      <c r="EZ32" s="408"/>
      <c r="FA32" s="408">
        <v>0</v>
      </c>
      <c r="FB32" s="408"/>
      <c r="FC32" s="408"/>
      <c r="FD32" s="408"/>
      <c r="FE32" s="408"/>
      <c r="FF32" s="408">
        <v>0</v>
      </c>
      <c r="FG32" s="408">
        <v>0</v>
      </c>
      <c r="FH32" s="408">
        <v>0</v>
      </c>
      <c r="FI32" s="408">
        <v>0</v>
      </c>
    </row>
    <row r="33" spans="1:165" customFormat="1">
      <c r="A33" s="408">
        <v>31</v>
      </c>
      <c r="B33" s="408" t="s">
        <v>2238</v>
      </c>
      <c r="C33" s="408" t="s">
        <v>2235</v>
      </c>
      <c r="D33" s="408" t="s">
        <v>2245</v>
      </c>
      <c r="E33" s="408" t="s">
        <v>974</v>
      </c>
      <c r="F33" s="408" t="s">
        <v>1322</v>
      </c>
      <c r="G33" s="408" t="s">
        <v>1322</v>
      </c>
      <c r="H33" s="408" t="s">
        <v>1322</v>
      </c>
      <c r="I33" s="408" t="s">
        <v>1322</v>
      </c>
      <c r="J33" s="408" t="s">
        <v>2236</v>
      </c>
      <c r="K33" s="824">
        <v>44378</v>
      </c>
      <c r="L33" s="408">
        <v>0</v>
      </c>
      <c r="M33" s="408">
        <v>0</v>
      </c>
      <c r="N33" s="408">
        <v>-6.0000000000000001E-3</v>
      </c>
      <c r="O33" s="408">
        <v>-6.0000000000000001E-3</v>
      </c>
      <c r="P33" s="408">
        <v>-6.0000000000000001E-3</v>
      </c>
      <c r="Q33" s="408">
        <v>-6.0000000000000001E-3</v>
      </c>
      <c r="R33" s="408"/>
      <c r="S33" s="408">
        <v>581.32000000000005</v>
      </c>
      <c r="T33" s="408">
        <v>209.4</v>
      </c>
      <c r="U33" s="408"/>
      <c r="V33" s="408">
        <v>-4.7443200000000001</v>
      </c>
      <c r="W33" s="408">
        <v>-4.7443200000000001</v>
      </c>
      <c r="X33" s="408">
        <v>-3.6244199999999998</v>
      </c>
      <c r="Y33" s="408">
        <v>0</v>
      </c>
      <c r="Z33" s="408">
        <v>-0.3692274448600632</v>
      </c>
      <c r="AA33" s="408">
        <v>0</v>
      </c>
      <c r="AB33" s="408">
        <v>0</v>
      </c>
      <c r="AC33" s="408">
        <v>0</v>
      </c>
      <c r="AD33" s="408">
        <v>-0.44514686877488696</v>
      </c>
      <c r="AE33" s="408">
        <v>-2.3124318713388061</v>
      </c>
      <c r="AF33" s="408">
        <v>-1.2399044747461501</v>
      </c>
      <c r="AG33" s="408">
        <v>-1.6517789785127641E-2</v>
      </c>
      <c r="AH33" s="408">
        <v>0</v>
      </c>
      <c r="AI33" s="408">
        <v>0</v>
      </c>
      <c r="AJ33" s="408">
        <v>0</v>
      </c>
      <c r="AK33" s="408">
        <v>0</v>
      </c>
      <c r="AL33" s="408">
        <v>-5.7057609870747726E-2</v>
      </c>
      <c r="AM33" s="408"/>
      <c r="AN33" s="408">
        <v>-1.0937785894973221E-2</v>
      </c>
      <c r="AO33" s="408">
        <v>-3.4196884650361206E-2</v>
      </c>
      <c r="AP33" s="408">
        <v>-5.1511139822973354E-2</v>
      </c>
      <c r="AQ33" s="408">
        <v>0</v>
      </c>
      <c r="AR33" s="408">
        <v>0</v>
      </c>
      <c r="AS33" s="408">
        <v>0</v>
      </c>
      <c r="AT33" s="408">
        <v>0</v>
      </c>
      <c r="AU33" s="408">
        <v>0</v>
      </c>
      <c r="AV33" s="408">
        <v>0</v>
      </c>
      <c r="AW33" s="408">
        <v>0</v>
      </c>
      <c r="AX33" s="408">
        <v>0</v>
      </c>
      <c r="AY33" s="408">
        <v>0</v>
      </c>
      <c r="AZ33" s="408">
        <v>0</v>
      </c>
      <c r="BA33" s="408"/>
      <c r="BB33" s="408">
        <v>0</v>
      </c>
      <c r="BC33" s="408">
        <v>0</v>
      </c>
      <c r="BD33" s="408">
        <v>0</v>
      </c>
      <c r="BE33" s="408">
        <v>0</v>
      </c>
      <c r="BF33" s="408">
        <v>0</v>
      </c>
      <c r="BG33" s="408">
        <v>-0.20743370074463341</v>
      </c>
      <c r="BH33" s="408">
        <v>0</v>
      </c>
      <c r="BI33" s="408">
        <v>-0.02</v>
      </c>
      <c r="BJ33" s="408">
        <v>0.02</v>
      </c>
      <c r="BK33" s="408">
        <v>15.97</v>
      </c>
      <c r="BL33" s="408">
        <v>1</v>
      </c>
      <c r="BM33" s="408"/>
      <c r="BN33" s="408"/>
      <c r="BO33" s="408"/>
      <c r="BP33" s="408"/>
      <c r="BQ33" s="408"/>
      <c r="BR33" s="408">
        <v>-0.43493999999999955</v>
      </c>
      <c r="BS33" s="408"/>
      <c r="BT33" s="408"/>
      <c r="BU33" s="408"/>
      <c r="BV33" s="408">
        <v>-1.4473381754907835</v>
      </c>
      <c r="BW33" s="408"/>
      <c r="BX33" s="408"/>
      <c r="BY33" s="408"/>
      <c r="BZ33" s="408"/>
      <c r="CA33" s="408"/>
      <c r="CB33" s="408"/>
      <c r="CC33" s="408"/>
      <c r="CD33" s="408"/>
      <c r="CE33" s="408"/>
      <c r="CF33" s="408"/>
      <c r="CG33" s="408"/>
      <c r="CH33" s="408"/>
      <c r="CI33" s="408">
        <v>-5.3158000000000003</v>
      </c>
      <c r="CJ33" s="408">
        <v>-1.1706999999999992</v>
      </c>
      <c r="CK33" s="408"/>
      <c r="CL33" s="408"/>
      <c r="CM33" s="408"/>
      <c r="CN33" s="408"/>
      <c r="CO33" s="408">
        <v>1.2568800000000004</v>
      </c>
      <c r="CP33" s="408">
        <v>-0.13697999999999991</v>
      </c>
      <c r="CQ33" s="408">
        <v>31</v>
      </c>
      <c r="CR33" s="408">
        <v>-0.17726322425459662</v>
      </c>
      <c r="CS33" s="408">
        <v>-4.1286593206441777E-3</v>
      </c>
      <c r="CT33" s="408">
        <v>-6.2190445042447848E-3</v>
      </c>
      <c r="CU33" s="408">
        <v>0</v>
      </c>
      <c r="CV33" s="408">
        <v>0</v>
      </c>
      <c r="CW33" s="408">
        <v>0</v>
      </c>
      <c r="CX33" s="408">
        <v>0</v>
      </c>
      <c r="CY33" s="408">
        <v>0</v>
      </c>
      <c r="CZ33" s="408">
        <v>-1.4592999497443193E-2</v>
      </c>
      <c r="DA33" s="408">
        <v>0</v>
      </c>
      <c r="DB33" s="408">
        <v>0</v>
      </c>
      <c r="DC33" s="408">
        <v>-0.13693850475815994</v>
      </c>
      <c r="DD33" s="408">
        <v>0</v>
      </c>
      <c r="DE33" s="408">
        <v>0</v>
      </c>
      <c r="DF33" s="408">
        <v>0</v>
      </c>
      <c r="DG33" s="408">
        <v>-2.2909555852870189E-2</v>
      </c>
      <c r="DH33" s="408">
        <v>0</v>
      </c>
      <c r="DI33" s="408">
        <v>6.4364181728369663E-3</v>
      </c>
      <c r="DJ33" s="408"/>
      <c r="DK33" s="408">
        <v>0</v>
      </c>
      <c r="DL33" s="408">
        <v>0</v>
      </c>
      <c r="DM33" s="408">
        <v>0</v>
      </c>
      <c r="DN33" s="408">
        <v>0</v>
      </c>
      <c r="DO33" s="408">
        <v>8.3623473616134536E-4</v>
      </c>
      <c r="DP33" s="408">
        <v>2.5288676976750052E-4</v>
      </c>
      <c r="DQ33" s="408">
        <v>0</v>
      </c>
      <c r="DR33" s="408">
        <v>0</v>
      </c>
      <c r="DS33" s="408"/>
      <c r="DT33" s="408"/>
      <c r="DU33" s="408"/>
      <c r="DV33" s="408">
        <v>-2.3124318713388061</v>
      </c>
      <c r="DW33" s="408">
        <v>0</v>
      </c>
      <c r="DX33" s="408">
        <v>0</v>
      </c>
      <c r="DY33" s="408">
        <v>1.2568800000000007</v>
      </c>
      <c r="DZ33" s="408">
        <v>-0.1369800000000001</v>
      </c>
      <c r="EA33" s="408">
        <v>0</v>
      </c>
      <c r="EB33" s="408">
        <v>0</v>
      </c>
      <c r="EC33" s="408">
        <v>1.2972504599120041</v>
      </c>
      <c r="ED33" s="408">
        <v>0</v>
      </c>
      <c r="EE33" s="408">
        <v>0</v>
      </c>
      <c r="EF33" s="408">
        <v>0</v>
      </c>
      <c r="EG33" s="408">
        <v>0</v>
      </c>
      <c r="EH33" s="408">
        <v>0</v>
      </c>
      <c r="EI33" s="408">
        <v>0</v>
      </c>
      <c r="EJ33" s="408">
        <v>0</v>
      </c>
      <c r="EK33" s="408">
        <v>0</v>
      </c>
      <c r="EL33" s="408">
        <v>0</v>
      </c>
      <c r="EM33" s="408">
        <v>0</v>
      </c>
      <c r="EN33" s="408">
        <v>0</v>
      </c>
      <c r="EO33" s="408">
        <v>0</v>
      </c>
      <c r="EP33" s="408">
        <v>0</v>
      </c>
      <c r="EQ33" s="408">
        <v>0</v>
      </c>
      <c r="ER33" s="408">
        <v>0</v>
      </c>
      <c r="ES33" s="408">
        <v>0</v>
      </c>
      <c r="ET33" s="408">
        <v>0</v>
      </c>
      <c r="EU33" s="408">
        <v>0</v>
      </c>
      <c r="EV33" s="408">
        <v>238</v>
      </c>
      <c r="EW33" s="408">
        <v>0</v>
      </c>
      <c r="EX33" s="408">
        <v>0</v>
      </c>
      <c r="EY33" s="408">
        <v>0</v>
      </c>
      <c r="EZ33" s="408"/>
      <c r="FA33" s="408">
        <v>0</v>
      </c>
      <c r="FB33" s="408"/>
      <c r="FC33" s="408"/>
      <c r="FD33" s="408"/>
      <c r="FE33" s="408"/>
      <c r="FF33" s="408">
        <v>0</v>
      </c>
      <c r="FG33" s="408">
        <v>0</v>
      </c>
      <c r="FH33" s="408">
        <v>0</v>
      </c>
      <c r="FI33" s="408">
        <v>0</v>
      </c>
    </row>
    <row r="34" spans="1:165" customFormat="1">
      <c r="A34" s="408">
        <v>32</v>
      </c>
      <c r="B34" s="408" t="s">
        <v>1036</v>
      </c>
      <c r="C34" s="408" t="s">
        <v>2243</v>
      </c>
      <c r="D34" s="408" t="s">
        <v>597</v>
      </c>
      <c r="E34" s="408" t="s">
        <v>974</v>
      </c>
      <c r="F34" s="408" t="s">
        <v>1322</v>
      </c>
      <c r="G34" s="408" t="s">
        <v>1322</v>
      </c>
      <c r="H34" s="408" t="s">
        <v>1322</v>
      </c>
      <c r="I34" s="408" t="s">
        <v>973</v>
      </c>
      <c r="J34" s="408" t="s">
        <v>2236</v>
      </c>
      <c r="K34" s="824">
        <v>44378</v>
      </c>
      <c r="L34" s="408">
        <v>0</v>
      </c>
      <c r="M34" s="408">
        <v>0</v>
      </c>
      <c r="N34" s="408">
        <v>20.117999999999999</v>
      </c>
      <c r="O34" s="408">
        <v>19.313279999999999</v>
      </c>
      <c r="P34" s="408">
        <v>20.117999999999999</v>
      </c>
      <c r="Q34" s="408">
        <v>19.313279999999999</v>
      </c>
      <c r="R34" s="408"/>
      <c r="S34" s="408">
        <v>1614.19</v>
      </c>
      <c r="T34" s="408">
        <v>209.4</v>
      </c>
      <c r="U34" s="408"/>
      <c r="V34" s="408">
        <v>36686.983619999999</v>
      </c>
      <c r="W34" s="408">
        <v>36686.983619999999</v>
      </c>
      <c r="X34" s="408">
        <v>24386.0337</v>
      </c>
      <c r="Y34" s="408">
        <v>0</v>
      </c>
      <c r="Z34" s="408">
        <v>1077.0770716757395</v>
      </c>
      <c r="AA34" s="408">
        <v>0</v>
      </c>
      <c r="AB34" s="408">
        <v>0</v>
      </c>
      <c r="AC34" s="408">
        <v>0</v>
      </c>
      <c r="AD34" s="408">
        <v>6265.1071297405315</v>
      </c>
      <c r="AE34" s="408">
        <v>23393.947043551998</v>
      </c>
      <c r="AF34" s="408">
        <v>4157.3997038238404</v>
      </c>
      <c r="AG34" s="408">
        <v>55.384149149532973</v>
      </c>
      <c r="AH34" s="408">
        <v>0</v>
      </c>
      <c r="AI34" s="408">
        <v>0</v>
      </c>
      <c r="AJ34" s="408">
        <v>0</v>
      </c>
      <c r="AK34" s="408">
        <v>0</v>
      </c>
      <c r="AL34" s="408">
        <v>191.31416589661711</v>
      </c>
      <c r="AM34" s="408"/>
      <c r="AN34" s="408">
        <v>26.713571798566356</v>
      </c>
      <c r="AO34" s="408">
        <v>486.75350864925207</v>
      </c>
      <c r="AP34" s="408">
        <v>725.02664373916753</v>
      </c>
      <c r="AQ34" s="408">
        <v>0</v>
      </c>
      <c r="AR34" s="408">
        <v>0</v>
      </c>
      <c r="AS34" s="408">
        <v>0</v>
      </c>
      <c r="AT34" s="408">
        <v>0</v>
      </c>
      <c r="AU34" s="408">
        <v>0</v>
      </c>
      <c r="AV34" s="408">
        <v>0</v>
      </c>
      <c r="AW34" s="408">
        <v>0</v>
      </c>
      <c r="AX34" s="408">
        <v>0</v>
      </c>
      <c r="AY34" s="408">
        <v>0</v>
      </c>
      <c r="AZ34" s="408">
        <v>0</v>
      </c>
      <c r="BA34" s="408"/>
      <c r="BB34" s="408">
        <v>0</v>
      </c>
      <c r="BC34" s="408">
        <v>0</v>
      </c>
      <c r="BD34" s="408">
        <v>0</v>
      </c>
      <c r="BE34" s="408">
        <v>0</v>
      </c>
      <c r="BF34" s="408">
        <v>0</v>
      </c>
      <c r="BG34" s="408">
        <v>308.29701071503604</v>
      </c>
      <c r="BH34" s="408">
        <v>0</v>
      </c>
      <c r="BI34" s="408">
        <v>0</v>
      </c>
      <c r="BJ34" s="408">
        <v>0</v>
      </c>
      <c r="BK34" s="408">
        <v>0</v>
      </c>
      <c r="BL34" s="408">
        <v>0</v>
      </c>
      <c r="BM34" s="408"/>
      <c r="BN34" s="408"/>
      <c r="BO34" s="408"/>
      <c r="BP34" s="408"/>
      <c r="BQ34" s="408"/>
      <c r="BR34" s="408">
        <v>975.44134799999961</v>
      </c>
      <c r="BS34" s="408"/>
      <c r="BT34" s="408"/>
      <c r="BU34" s="408"/>
      <c r="BV34" s="408">
        <v>4465.6967145388762</v>
      </c>
      <c r="BW34" s="408"/>
      <c r="BX34" s="408"/>
      <c r="BY34" s="408"/>
      <c r="BZ34" s="408"/>
      <c r="CA34" s="408"/>
      <c r="CB34" s="408"/>
      <c r="CC34" s="408"/>
      <c r="CD34" s="408"/>
      <c r="CE34" s="408"/>
      <c r="CF34" s="408"/>
      <c r="CG34" s="408"/>
      <c r="CH34" s="408"/>
      <c r="CI34" s="408">
        <v>23406.6165</v>
      </c>
      <c r="CJ34" s="408">
        <v>-11812.9177752</v>
      </c>
      <c r="CK34" s="408"/>
      <c r="CL34" s="408"/>
      <c r="CM34" s="408"/>
      <c r="CN34" s="408"/>
      <c r="CO34" s="408">
        <v>-12760.24386</v>
      </c>
      <c r="CP34" s="408">
        <v>459.29393999999962</v>
      </c>
      <c r="CQ34" s="408">
        <v>31</v>
      </c>
      <c r="CR34" s="408">
        <v>822.69288455864444</v>
      </c>
      <c r="CS34" s="408">
        <v>58.766739452674472</v>
      </c>
      <c r="CT34" s="408">
        <v>87.533938865903906</v>
      </c>
      <c r="CU34" s="408">
        <v>0</v>
      </c>
      <c r="CV34" s="408">
        <v>0</v>
      </c>
      <c r="CW34" s="408">
        <v>0</v>
      </c>
      <c r="CX34" s="408">
        <v>0</v>
      </c>
      <c r="CY34" s="408">
        <v>0</v>
      </c>
      <c r="CZ34" s="408">
        <v>205.38548422760869</v>
      </c>
      <c r="DA34" s="408">
        <v>0</v>
      </c>
      <c r="DB34" s="408">
        <v>0</v>
      </c>
      <c r="DC34" s="408">
        <v>459.15480645411026</v>
      </c>
      <c r="DD34" s="408">
        <v>0</v>
      </c>
      <c r="DE34" s="408">
        <v>0</v>
      </c>
      <c r="DF34" s="408">
        <v>0</v>
      </c>
      <c r="DG34" s="408">
        <v>34.049180826910231</v>
      </c>
      <c r="DH34" s="408">
        <v>0</v>
      </c>
      <c r="DI34" s="408">
        <v>-18.775739816165242</v>
      </c>
      <c r="DJ34" s="408"/>
      <c r="DK34" s="408">
        <v>0</v>
      </c>
      <c r="DL34" s="408">
        <v>0</v>
      </c>
      <c r="DM34" s="408">
        <v>0</v>
      </c>
      <c r="DN34" s="408">
        <v>0</v>
      </c>
      <c r="DO34" s="408">
        <v>-2.8038950703490002</v>
      </c>
      <c r="DP34" s="408">
        <v>-0.61763038204999177</v>
      </c>
      <c r="DQ34" s="408">
        <v>0</v>
      </c>
      <c r="DR34" s="408">
        <v>0</v>
      </c>
      <c r="DS34" s="408"/>
      <c r="DT34" s="408"/>
      <c r="DU34" s="408"/>
      <c r="DV34" s="408">
        <v>23393.947043551998</v>
      </c>
      <c r="DW34" s="408">
        <v>0</v>
      </c>
      <c r="DX34" s="408">
        <v>0</v>
      </c>
      <c r="DY34" s="408">
        <v>-12760.243859999999</v>
      </c>
      <c r="DZ34" s="408">
        <v>459.29393999999957</v>
      </c>
      <c r="EA34" s="408">
        <v>0</v>
      </c>
      <c r="EB34" s="408">
        <v>0</v>
      </c>
      <c r="EC34" s="408">
        <v>-13123.763314953294</v>
      </c>
      <c r="ED34" s="408">
        <v>0</v>
      </c>
      <c r="EE34" s="408">
        <v>0</v>
      </c>
      <c r="EF34" s="408">
        <v>0</v>
      </c>
      <c r="EG34" s="408">
        <v>0</v>
      </c>
      <c r="EH34" s="408">
        <v>0</v>
      </c>
      <c r="EI34" s="408">
        <v>0</v>
      </c>
      <c r="EJ34" s="408">
        <v>0</v>
      </c>
      <c r="EK34" s="408">
        <v>0</v>
      </c>
      <c r="EL34" s="408">
        <v>0</v>
      </c>
      <c r="EM34" s="408">
        <v>0</v>
      </c>
      <c r="EN34" s="408">
        <v>0</v>
      </c>
      <c r="EO34" s="408">
        <v>0</v>
      </c>
      <c r="EP34" s="408">
        <v>0</v>
      </c>
      <c r="EQ34" s="408">
        <v>0</v>
      </c>
      <c r="ER34" s="408">
        <v>0</v>
      </c>
      <c r="ES34" s="408">
        <v>0</v>
      </c>
      <c r="ET34" s="408">
        <v>0</v>
      </c>
      <c r="EU34" s="408">
        <v>0</v>
      </c>
      <c r="EV34" s="408">
        <v>238</v>
      </c>
      <c r="EW34" s="408">
        <v>0</v>
      </c>
      <c r="EX34" s="408">
        <v>0</v>
      </c>
      <c r="EY34" s="408">
        <v>0</v>
      </c>
      <c r="EZ34" s="408"/>
      <c r="FA34" s="408">
        <v>0</v>
      </c>
      <c r="FB34" s="408"/>
      <c r="FC34" s="408"/>
      <c r="FD34" s="408"/>
      <c r="FE34" s="408"/>
      <c r="FF34" s="408">
        <v>0</v>
      </c>
      <c r="FG34" s="408">
        <v>0</v>
      </c>
      <c r="FH34" s="408">
        <v>0</v>
      </c>
      <c r="FI34" s="408">
        <v>0</v>
      </c>
    </row>
    <row r="35" spans="1:165" customFormat="1">
      <c r="A35" s="408">
        <v>34</v>
      </c>
      <c r="B35" s="408" t="s">
        <v>1036</v>
      </c>
      <c r="C35" s="408" t="s">
        <v>2243</v>
      </c>
      <c r="D35" s="408" t="s">
        <v>597</v>
      </c>
      <c r="E35" s="408" t="s">
        <v>974</v>
      </c>
      <c r="F35" s="408" t="s">
        <v>1322</v>
      </c>
      <c r="G35" s="408" t="s">
        <v>1322</v>
      </c>
      <c r="H35" s="408" t="s">
        <v>1322</v>
      </c>
      <c r="I35" s="408" t="s">
        <v>2244</v>
      </c>
      <c r="J35" s="408" t="s">
        <v>2236</v>
      </c>
      <c r="K35" s="824">
        <v>44378</v>
      </c>
      <c r="L35" s="408">
        <v>0</v>
      </c>
      <c r="M35" s="408">
        <v>0</v>
      </c>
      <c r="N35" s="408">
        <v>237.26499999999999</v>
      </c>
      <c r="O35" s="408">
        <v>227.77439999999999</v>
      </c>
      <c r="P35" s="408">
        <v>237.26499999999999</v>
      </c>
      <c r="Q35" s="408">
        <v>227.77439999999999</v>
      </c>
      <c r="R35" s="408"/>
      <c r="S35" s="408">
        <v>79.7</v>
      </c>
      <c r="T35" s="408">
        <v>209.4</v>
      </c>
      <c r="U35" s="408"/>
      <c r="V35" s="408">
        <v>68593.311499999996</v>
      </c>
      <c r="W35" s="408">
        <v>68593.311499999996</v>
      </c>
      <c r="X35" s="408">
        <v>74150.057799999995</v>
      </c>
      <c r="Y35" s="408">
        <v>0</v>
      </c>
      <c r="Z35" s="408">
        <v>12702.688707184827</v>
      </c>
      <c r="AA35" s="408">
        <v>0</v>
      </c>
      <c r="AB35" s="408">
        <v>0</v>
      </c>
      <c r="AC35" s="408">
        <v>0</v>
      </c>
      <c r="AD35" s="408">
        <v>0</v>
      </c>
      <c r="AE35" s="408">
        <v>0</v>
      </c>
      <c r="AF35" s="408">
        <v>49030.989200107542</v>
      </c>
      <c r="AG35" s="408">
        <v>653.18223222805159</v>
      </c>
      <c r="AH35" s="408">
        <v>0</v>
      </c>
      <c r="AI35" s="408">
        <v>0</v>
      </c>
      <c r="AJ35" s="408">
        <v>0</v>
      </c>
      <c r="AK35" s="408">
        <v>0</v>
      </c>
      <c r="AL35" s="408">
        <v>2256.2956343304927</v>
      </c>
      <c r="AM35" s="408"/>
      <c r="AN35" s="408">
        <v>315.05097985817906</v>
      </c>
      <c r="AO35" s="408">
        <v>0</v>
      </c>
      <c r="AP35" s="408">
        <v>0</v>
      </c>
      <c r="AQ35" s="408">
        <v>0</v>
      </c>
      <c r="AR35" s="408">
        <v>0</v>
      </c>
      <c r="AS35" s="408">
        <v>0</v>
      </c>
      <c r="AT35" s="408">
        <v>0</v>
      </c>
      <c r="AU35" s="408">
        <v>0</v>
      </c>
      <c r="AV35" s="408">
        <v>0</v>
      </c>
      <c r="AW35" s="408">
        <v>0</v>
      </c>
      <c r="AX35" s="408">
        <v>0</v>
      </c>
      <c r="AY35" s="408">
        <v>0</v>
      </c>
      <c r="AZ35" s="408">
        <v>0</v>
      </c>
      <c r="BA35" s="408"/>
      <c r="BB35" s="408">
        <v>0</v>
      </c>
      <c r="BC35" s="408">
        <v>0</v>
      </c>
      <c r="BD35" s="408">
        <v>0</v>
      </c>
      <c r="BE35" s="408">
        <v>0</v>
      </c>
      <c r="BF35" s="408">
        <v>0</v>
      </c>
      <c r="BG35" s="408">
        <v>3635.9523932450056</v>
      </c>
      <c r="BH35" s="408">
        <v>0</v>
      </c>
      <c r="BI35" s="408">
        <v>0</v>
      </c>
      <c r="BJ35" s="408">
        <v>0</v>
      </c>
      <c r="BK35" s="408">
        <v>0</v>
      </c>
      <c r="BL35" s="408">
        <v>0</v>
      </c>
      <c r="BM35" s="408"/>
      <c r="BN35" s="408"/>
      <c r="BO35" s="408"/>
      <c r="BP35" s="408"/>
      <c r="BQ35" s="408"/>
      <c r="BR35" s="408">
        <v>2966.0023120000001</v>
      </c>
      <c r="BS35" s="408"/>
      <c r="BT35" s="408"/>
      <c r="BU35" s="408"/>
      <c r="BV35" s="408">
        <v>52666.941593352545</v>
      </c>
      <c r="BW35" s="408"/>
      <c r="BX35" s="408"/>
      <c r="BY35" s="408"/>
      <c r="BZ35" s="408"/>
      <c r="CA35" s="408"/>
      <c r="CB35" s="408"/>
      <c r="CC35" s="408"/>
      <c r="CD35" s="408"/>
      <c r="CE35" s="408"/>
      <c r="CF35" s="408"/>
      <c r="CG35" s="408"/>
      <c r="CH35" s="408"/>
      <c r="CI35" s="408">
        <v>71182.680399999997</v>
      </c>
      <c r="CJ35" s="408">
        <v>5333.0713600000017</v>
      </c>
      <c r="CK35" s="408"/>
      <c r="CL35" s="408"/>
      <c r="CM35" s="408"/>
      <c r="CN35" s="408"/>
      <c r="CO35" s="408">
        <v>139.98635000000081</v>
      </c>
      <c r="CP35" s="408">
        <v>5416.759949999996</v>
      </c>
      <c r="CQ35" s="408">
        <v>31</v>
      </c>
      <c r="CR35" s="408">
        <v>5554.8966049450828</v>
      </c>
      <c r="CS35" s="408">
        <v>0</v>
      </c>
      <c r="CT35" s="408">
        <v>0</v>
      </c>
      <c r="CU35" s="408">
        <v>0</v>
      </c>
      <c r="CV35" s="408">
        <v>0</v>
      </c>
      <c r="CW35" s="408">
        <v>0</v>
      </c>
      <c r="CX35" s="408">
        <v>0</v>
      </c>
      <c r="CY35" s="408">
        <v>0</v>
      </c>
      <c r="CZ35" s="408">
        <v>0</v>
      </c>
      <c r="DA35" s="408">
        <v>0</v>
      </c>
      <c r="DB35" s="408">
        <v>0</v>
      </c>
      <c r="DC35" s="408">
        <v>5415.1190552408007</v>
      </c>
      <c r="DD35" s="408">
        <v>0</v>
      </c>
      <c r="DE35" s="408">
        <v>0</v>
      </c>
      <c r="DF35" s="408">
        <v>0</v>
      </c>
      <c r="DG35" s="408">
        <v>401.56471264026504</v>
      </c>
      <c r="DH35" s="408">
        <v>0</v>
      </c>
      <c r="DI35" s="408">
        <v>-221.43482987784228</v>
      </c>
      <c r="DJ35" s="408"/>
      <c r="DK35" s="408">
        <v>0</v>
      </c>
      <c r="DL35" s="408">
        <v>0</v>
      </c>
      <c r="DM35" s="408">
        <v>0</v>
      </c>
      <c r="DN35" s="408">
        <v>0</v>
      </c>
      <c r="DO35" s="408">
        <v>-33.068205779220079</v>
      </c>
      <c r="DP35" s="408">
        <v>-7.2841272789090112</v>
      </c>
      <c r="DQ35" s="408">
        <v>0</v>
      </c>
      <c r="DR35" s="408">
        <v>0</v>
      </c>
      <c r="DS35" s="408"/>
      <c r="DT35" s="408"/>
      <c r="DU35" s="408"/>
      <c r="DV35" s="408">
        <v>0</v>
      </c>
      <c r="DW35" s="408">
        <v>0</v>
      </c>
      <c r="DX35" s="408">
        <v>0</v>
      </c>
      <c r="DY35" s="408">
        <v>139.98635000000286</v>
      </c>
      <c r="DZ35" s="408">
        <v>5416.7599499999997</v>
      </c>
      <c r="EA35" s="408">
        <v>0</v>
      </c>
      <c r="EB35" s="408">
        <v>0</v>
      </c>
      <c r="EC35" s="408">
        <v>0</v>
      </c>
      <c r="ED35" s="408">
        <v>0</v>
      </c>
      <c r="EE35" s="408">
        <v>0</v>
      </c>
      <c r="EF35" s="408">
        <v>0</v>
      </c>
      <c r="EG35" s="408">
        <v>0</v>
      </c>
      <c r="EH35" s="408">
        <v>0</v>
      </c>
      <c r="EI35" s="408">
        <v>0</v>
      </c>
      <c r="EJ35" s="408">
        <v>0</v>
      </c>
      <c r="EK35" s="408">
        <v>0</v>
      </c>
      <c r="EL35" s="408">
        <v>0</v>
      </c>
      <c r="EM35" s="408">
        <v>0</v>
      </c>
      <c r="EN35" s="408">
        <v>0</v>
      </c>
      <c r="EO35" s="408">
        <v>0</v>
      </c>
      <c r="EP35" s="408">
        <v>0</v>
      </c>
      <c r="EQ35" s="408">
        <v>0</v>
      </c>
      <c r="ER35" s="408">
        <v>0</v>
      </c>
      <c r="ES35" s="408">
        <v>0</v>
      </c>
      <c r="ET35" s="408">
        <v>0</v>
      </c>
      <c r="EU35" s="408">
        <v>0</v>
      </c>
      <c r="EV35" s="408">
        <v>238</v>
      </c>
      <c r="EW35" s="408">
        <v>0</v>
      </c>
      <c r="EX35" s="408">
        <v>0</v>
      </c>
      <c r="EY35" s="408">
        <v>0</v>
      </c>
      <c r="EZ35" s="408"/>
      <c r="FA35" s="408">
        <v>0</v>
      </c>
      <c r="FB35" s="408"/>
      <c r="FC35" s="408"/>
      <c r="FD35" s="408"/>
      <c r="FE35" s="408"/>
      <c r="FF35" s="408">
        <v>0</v>
      </c>
      <c r="FG35" s="408">
        <v>0</v>
      </c>
      <c r="FH35" s="408">
        <v>0</v>
      </c>
      <c r="FI35" s="408">
        <v>0</v>
      </c>
    </row>
    <row r="36" spans="1:165" customFormat="1">
      <c r="A36" s="408">
        <v>36</v>
      </c>
      <c r="B36" s="408" t="s">
        <v>1036</v>
      </c>
      <c r="C36" s="408" t="s">
        <v>2243</v>
      </c>
      <c r="D36" s="408" t="s">
        <v>597</v>
      </c>
      <c r="E36" s="408" t="s">
        <v>974</v>
      </c>
      <c r="F36" s="408" t="s">
        <v>1322</v>
      </c>
      <c r="G36" s="408" t="s">
        <v>1322</v>
      </c>
      <c r="H36" s="408" t="s">
        <v>1322</v>
      </c>
      <c r="I36" s="408" t="s">
        <v>1322</v>
      </c>
      <c r="J36" s="408" t="s">
        <v>2236</v>
      </c>
      <c r="K36" s="824">
        <v>44378</v>
      </c>
      <c r="L36" s="408">
        <v>1709</v>
      </c>
      <c r="M36" s="408">
        <v>1640.6399999999999</v>
      </c>
      <c r="N36" s="408">
        <v>0</v>
      </c>
      <c r="O36" s="408">
        <v>0</v>
      </c>
      <c r="P36" s="408">
        <v>0</v>
      </c>
      <c r="Q36" s="408">
        <v>0</v>
      </c>
      <c r="R36" s="408">
        <v>44.35</v>
      </c>
      <c r="S36" s="408"/>
      <c r="T36" s="408"/>
      <c r="U36" s="408">
        <v>75794.150000000009</v>
      </c>
      <c r="V36" s="408"/>
      <c r="W36" s="408">
        <v>75794.150000000009</v>
      </c>
      <c r="X36" s="408">
        <v>49509.729999999996</v>
      </c>
      <c r="Y36" s="408">
        <v>0</v>
      </c>
      <c r="Z36" s="408">
        <v>0</v>
      </c>
      <c r="AA36" s="408">
        <v>0</v>
      </c>
      <c r="AB36" s="408">
        <v>0</v>
      </c>
      <c r="AC36" s="408">
        <v>0</v>
      </c>
      <c r="AD36" s="408">
        <v>22425.606842937777</v>
      </c>
      <c r="AE36" s="408">
        <v>49078.79930233991</v>
      </c>
      <c r="AF36" s="408"/>
      <c r="AG36" s="408"/>
      <c r="AH36" s="408"/>
      <c r="AI36" s="408">
        <v>0</v>
      </c>
      <c r="AJ36" s="408">
        <v>0</v>
      </c>
      <c r="AK36" s="408">
        <v>0</v>
      </c>
      <c r="AL36" s="408">
        <v>0</v>
      </c>
      <c r="AM36" s="408"/>
      <c r="AN36" s="408">
        <v>0</v>
      </c>
      <c r="AO36" s="408">
        <v>1694.8506620485925</v>
      </c>
      <c r="AP36" s="408">
        <v>2593.0509913345281</v>
      </c>
      <c r="AQ36" s="408">
        <v>0</v>
      </c>
      <c r="AR36" s="408">
        <v>0</v>
      </c>
      <c r="AS36" s="408"/>
      <c r="AT36" s="408"/>
      <c r="AU36" s="408">
        <v>0</v>
      </c>
      <c r="AV36" s="408">
        <v>0</v>
      </c>
      <c r="AW36" s="408">
        <v>0</v>
      </c>
      <c r="AX36" s="408"/>
      <c r="AY36" s="408"/>
      <c r="AZ36" s="408">
        <v>0</v>
      </c>
      <c r="BA36" s="408"/>
      <c r="BB36" s="408">
        <v>0</v>
      </c>
      <c r="BC36" s="408">
        <v>0</v>
      </c>
      <c r="BD36" s="408">
        <v>0</v>
      </c>
      <c r="BE36" s="408">
        <v>0</v>
      </c>
      <c r="BF36" s="408"/>
      <c r="BG36" s="408">
        <v>0</v>
      </c>
      <c r="BH36" s="408">
        <v>0</v>
      </c>
      <c r="BI36" s="408">
        <v>175.25</v>
      </c>
      <c r="BJ36" s="408">
        <v>788.98</v>
      </c>
      <c r="BK36" s="408">
        <v>120.23</v>
      </c>
      <c r="BL36" s="408">
        <v>16</v>
      </c>
      <c r="BM36" s="408"/>
      <c r="BN36" s="408"/>
      <c r="BO36" s="408"/>
      <c r="BP36" s="408"/>
      <c r="BQ36" s="408"/>
      <c r="BR36" s="408">
        <v>1980.3892000000037</v>
      </c>
      <c r="BS36" s="408"/>
      <c r="BT36" s="408"/>
      <c r="BU36" s="408"/>
      <c r="BV36" s="408">
        <v>0</v>
      </c>
      <c r="BW36" s="408"/>
      <c r="BX36" s="408"/>
      <c r="BY36" s="408"/>
      <c r="BZ36" s="408"/>
      <c r="CA36" s="408"/>
      <c r="CB36" s="408"/>
      <c r="CC36" s="408"/>
      <c r="CD36" s="408"/>
      <c r="CE36" s="408"/>
      <c r="CF36" s="408"/>
      <c r="CG36" s="408"/>
      <c r="CH36" s="408"/>
      <c r="CI36" s="408">
        <v>47529.340799999998</v>
      </c>
      <c r="CJ36" s="408">
        <v>-25233.073199999977</v>
      </c>
      <c r="CK36" s="408"/>
      <c r="CL36" s="408"/>
      <c r="CM36" s="408"/>
      <c r="CN36" s="408"/>
      <c r="CO36" s="408">
        <v>-26284.420000000006</v>
      </c>
      <c r="CP36" s="408">
        <v>0</v>
      </c>
      <c r="CQ36" s="408">
        <v>31</v>
      </c>
      <c r="CR36" s="408">
        <v>1252.8531326403172</v>
      </c>
      <c r="CS36" s="408">
        <v>204.62276182496839</v>
      </c>
      <c r="CT36" s="408">
        <v>313.06431137626487</v>
      </c>
      <c r="CU36" s="408">
        <v>0</v>
      </c>
      <c r="CV36" s="408">
        <v>0</v>
      </c>
      <c r="CW36" s="408"/>
      <c r="CX36" s="408"/>
      <c r="CY36" s="408"/>
      <c r="CZ36" s="408">
        <v>735.16605943908144</v>
      </c>
      <c r="DA36" s="408">
        <v>0</v>
      </c>
      <c r="DB36" s="408">
        <v>0</v>
      </c>
      <c r="DC36" s="408"/>
      <c r="DD36" s="408"/>
      <c r="DE36" s="408">
        <v>0</v>
      </c>
      <c r="DF36" s="408">
        <v>0</v>
      </c>
      <c r="DG36" s="408">
        <v>0</v>
      </c>
      <c r="DH36" s="408">
        <v>0</v>
      </c>
      <c r="DI36" s="408">
        <v>0</v>
      </c>
      <c r="DJ36" s="408"/>
      <c r="DK36" s="408">
        <v>0</v>
      </c>
      <c r="DL36" s="408">
        <v>0</v>
      </c>
      <c r="DM36" s="408"/>
      <c r="DN36" s="408">
        <v>0</v>
      </c>
      <c r="DO36" s="408">
        <v>0</v>
      </c>
      <c r="DP36" s="408">
        <v>0</v>
      </c>
      <c r="DQ36" s="408">
        <v>0</v>
      </c>
      <c r="DR36" s="408">
        <v>0</v>
      </c>
      <c r="DS36" s="408"/>
      <c r="DT36" s="408"/>
      <c r="DU36" s="408">
        <v>49078.79930233991</v>
      </c>
      <c r="DV36" s="408"/>
      <c r="DW36" s="408">
        <v>0</v>
      </c>
      <c r="DX36" s="408">
        <v>0</v>
      </c>
      <c r="DY36" s="408">
        <v>-26284.420000000013</v>
      </c>
      <c r="DZ36" s="408"/>
      <c r="EA36" s="408">
        <v>0</v>
      </c>
      <c r="EB36" s="408"/>
      <c r="EC36" s="408">
        <v>-27532.700857486656</v>
      </c>
      <c r="ED36" s="408"/>
      <c r="EE36" s="408">
        <v>0</v>
      </c>
      <c r="EF36" s="408">
        <v>0</v>
      </c>
      <c r="EG36" s="408"/>
      <c r="EH36" s="408">
        <v>0</v>
      </c>
      <c r="EI36" s="408">
        <v>0</v>
      </c>
      <c r="EJ36" s="408">
        <v>0</v>
      </c>
      <c r="EK36" s="408">
        <v>0</v>
      </c>
      <c r="EL36" s="408">
        <v>0</v>
      </c>
      <c r="EM36" s="408"/>
      <c r="EN36" s="408"/>
      <c r="EO36" s="408">
        <v>0</v>
      </c>
      <c r="EP36" s="408">
        <v>0</v>
      </c>
      <c r="EQ36" s="408"/>
      <c r="ER36" s="408">
        <v>0</v>
      </c>
      <c r="ES36" s="408"/>
      <c r="ET36" s="408">
        <v>0</v>
      </c>
      <c r="EU36" s="408"/>
      <c r="EV36" s="408">
        <v>238</v>
      </c>
      <c r="EW36" s="408"/>
      <c r="EX36" s="408"/>
      <c r="EY36" s="408"/>
      <c r="EZ36" s="408"/>
      <c r="FA36" s="408">
        <v>0</v>
      </c>
      <c r="FB36" s="408"/>
      <c r="FC36" s="408"/>
      <c r="FD36" s="408"/>
      <c r="FE36" s="408"/>
      <c r="FF36" s="408">
        <v>0</v>
      </c>
      <c r="FG36" s="408">
        <v>0</v>
      </c>
      <c r="FH36" s="408">
        <v>0</v>
      </c>
      <c r="FI36" s="408">
        <v>0</v>
      </c>
    </row>
    <row r="37" spans="1:165" customFormat="1">
      <c r="A37" s="408">
        <v>37</v>
      </c>
      <c r="B37" s="408" t="s">
        <v>2238</v>
      </c>
      <c r="C37" s="408" t="s">
        <v>2243</v>
      </c>
      <c r="D37" s="408" t="s">
        <v>597</v>
      </c>
      <c r="E37" s="408" t="s">
        <v>974</v>
      </c>
      <c r="F37" s="408" t="s">
        <v>1322</v>
      </c>
      <c r="G37" s="408" t="s">
        <v>1322</v>
      </c>
      <c r="H37" s="408" t="s">
        <v>1322</v>
      </c>
      <c r="I37" s="408" t="s">
        <v>1322</v>
      </c>
      <c r="J37" s="408" t="s">
        <v>2236</v>
      </c>
      <c r="K37" s="824">
        <v>44378</v>
      </c>
      <c r="L37" s="408">
        <v>597</v>
      </c>
      <c r="M37" s="408">
        <v>573.12</v>
      </c>
      <c r="N37" s="408">
        <v>0</v>
      </c>
      <c r="O37" s="408">
        <v>0</v>
      </c>
      <c r="P37" s="408">
        <v>0</v>
      </c>
      <c r="Q37" s="408">
        <v>0</v>
      </c>
      <c r="R37" s="408">
        <v>44.35</v>
      </c>
      <c r="S37" s="408"/>
      <c r="T37" s="408"/>
      <c r="U37" s="408">
        <v>26476.95</v>
      </c>
      <c r="V37" s="408"/>
      <c r="W37" s="408">
        <v>26476.95</v>
      </c>
      <c r="X37" s="408">
        <v>17295.09</v>
      </c>
      <c r="Y37" s="408">
        <v>0</v>
      </c>
      <c r="Z37" s="408">
        <v>0</v>
      </c>
      <c r="AA37" s="408">
        <v>0</v>
      </c>
      <c r="AB37" s="408">
        <v>0</v>
      </c>
      <c r="AC37" s="408">
        <v>0</v>
      </c>
      <c r="AD37" s="408">
        <v>7833.8720217869241</v>
      </c>
      <c r="AE37" s="408">
        <v>17144.554232590363</v>
      </c>
      <c r="AF37" s="408"/>
      <c r="AG37" s="408"/>
      <c r="AH37" s="408"/>
      <c r="AI37" s="408">
        <v>0</v>
      </c>
      <c r="AJ37" s="408">
        <v>0</v>
      </c>
      <c r="AK37" s="408">
        <v>0</v>
      </c>
      <c r="AL37" s="408">
        <v>0</v>
      </c>
      <c r="AM37" s="408"/>
      <c r="AN37" s="408">
        <v>0</v>
      </c>
      <c r="AO37" s="408">
        <v>592.0572529215973</v>
      </c>
      <c r="AP37" s="408">
        <v>905.82296186466556</v>
      </c>
      <c r="AQ37" s="408">
        <v>0</v>
      </c>
      <c r="AR37" s="408">
        <v>0</v>
      </c>
      <c r="AS37" s="408"/>
      <c r="AT37" s="408"/>
      <c r="AU37" s="408">
        <v>0</v>
      </c>
      <c r="AV37" s="408">
        <v>0</v>
      </c>
      <c r="AW37" s="408">
        <v>0</v>
      </c>
      <c r="AX37" s="408"/>
      <c r="AY37" s="408"/>
      <c r="AZ37" s="408">
        <v>0</v>
      </c>
      <c r="BA37" s="408"/>
      <c r="BB37" s="408">
        <v>0</v>
      </c>
      <c r="BC37" s="408">
        <v>0</v>
      </c>
      <c r="BD37" s="408">
        <v>0</v>
      </c>
      <c r="BE37" s="408">
        <v>0</v>
      </c>
      <c r="BF37" s="408"/>
      <c r="BG37" s="408">
        <v>0</v>
      </c>
      <c r="BH37" s="408">
        <v>0</v>
      </c>
      <c r="BI37" s="408">
        <v>15.28</v>
      </c>
      <c r="BJ37" s="408">
        <v>68.88</v>
      </c>
      <c r="BK37" s="408">
        <v>24.86</v>
      </c>
      <c r="BL37" s="408">
        <v>7</v>
      </c>
      <c r="BM37" s="408"/>
      <c r="BN37" s="408"/>
      <c r="BO37" s="408"/>
      <c r="BP37" s="408"/>
      <c r="BQ37" s="408"/>
      <c r="BR37" s="408">
        <v>691.80359999999985</v>
      </c>
      <c r="BS37" s="408"/>
      <c r="BT37" s="408"/>
      <c r="BU37" s="408"/>
      <c r="BV37" s="408">
        <v>0</v>
      </c>
      <c r="BW37" s="408"/>
      <c r="BX37" s="408"/>
      <c r="BY37" s="408"/>
      <c r="BZ37" s="408"/>
      <c r="CA37" s="408"/>
      <c r="CB37" s="408"/>
      <c r="CC37" s="408"/>
      <c r="CD37" s="408"/>
      <c r="CE37" s="408"/>
      <c r="CF37" s="408"/>
      <c r="CG37" s="408"/>
      <c r="CH37" s="408"/>
      <c r="CI37" s="408">
        <v>16603.286400000001</v>
      </c>
      <c r="CJ37" s="408">
        <v>-8814.6155999999937</v>
      </c>
      <c r="CK37" s="408"/>
      <c r="CL37" s="408"/>
      <c r="CM37" s="408"/>
      <c r="CN37" s="408"/>
      <c r="CO37" s="408">
        <v>-9181.8600000000024</v>
      </c>
      <c r="CP37" s="408">
        <v>0</v>
      </c>
      <c r="CQ37" s="408">
        <v>31</v>
      </c>
      <c r="CR37" s="408">
        <v>437.6555413611859</v>
      </c>
      <c r="CS37" s="408">
        <v>71.480274318025749</v>
      </c>
      <c r="CT37" s="408">
        <v>109.36184546028676</v>
      </c>
      <c r="CU37" s="408">
        <v>0</v>
      </c>
      <c r="CV37" s="408">
        <v>0</v>
      </c>
      <c r="CW37" s="408"/>
      <c r="CX37" s="408"/>
      <c r="CY37" s="408"/>
      <c r="CZ37" s="408">
        <v>256.81342158287407</v>
      </c>
      <c r="DA37" s="408">
        <v>0</v>
      </c>
      <c r="DB37" s="408">
        <v>0</v>
      </c>
      <c r="DC37" s="408"/>
      <c r="DD37" s="408"/>
      <c r="DE37" s="408">
        <v>0</v>
      </c>
      <c r="DF37" s="408">
        <v>0</v>
      </c>
      <c r="DG37" s="408">
        <v>0</v>
      </c>
      <c r="DH37" s="408">
        <v>0</v>
      </c>
      <c r="DI37" s="408">
        <v>0</v>
      </c>
      <c r="DJ37" s="408"/>
      <c r="DK37" s="408">
        <v>0</v>
      </c>
      <c r="DL37" s="408">
        <v>0</v>
      </c>
      <c r="DM37" s="408"/>
      <c r="DN37" s="408">
        <v>0</v>
      </c>
      <c r="DO37" s="408">
        <v>0</v>
      </c>
      <c r="DP37" s="408">
        <v>0</v>
      </c>
      <c r="DQ37" s="408">
        <v>0</v>
      </c>
      <c r="DR37" s="408">
        <v>0</v>
      </c>
      <c r="DS37" s="408"/>
      <c r="DT37" s="408"/>
      <c r="DU37" s="408">
        <v>17144.554232590363</v>
      </c>
      <c r="DV37" s="408"/>
      <c r="DW37" s="408">
        <v>0</v>
      </c>
      <c r="DX37" s="408">
        <v>0</v>
      </c>
      <c r="DY37" s="408">
        <v>-9181.86</v>
      </c>
      <c r="DZ37" s="408"/>
      <c r="EA37" s="408">
        <v>0</v>
      </c>
      <c r="EB37" s="408"/>
      <c r="EC37" s="408">
        <v>-9617.9183217785467</v>
      </c>
      <c r="ED37" s="408"/>
      <c r="EE37" s="408">
        <v>0</v>
      </c>
      <c r="EF37" s="408">
        <v>0</v>
      </c>
      <c r="EG37" s="408"/>
      <c r="EH37" s="408">
        <v>0</v>
      </c>
      <c r="EI37" s="408">
        <v>0</v>
      </c>
      <c r="EJ37" s="408">
        <v>0</v>
      </c>
      <c r="EK37" s="408">
        <v>0</v>
      </c>
      <c r="EL37" s="408">
        <v>0</v>
      </c>
      <c r="EM37" s="408"/>
      <c r="EN37" s="408"/>
      <c r="EO37" s="408">
        <v>0</v>
      </c>
      <c r="EP37" s="408">
        <v>0</v>
      </c>
      <c r="EQ37" s="408"/>
      <c r="ER37" s="408">
        <v>0</v>
      </c>
      <c r="ES37" s="408"/>
      <c r="ET37" s="408">
        <v>0</v>
      </c>
      <c r="EU37" s="408"/>
      <c r="EV37" s="408">
        <v>238</v>
      </c>
      <c r="EW37" s="408"/>
      <c r="EX37" s="408"/>
      <c r="EY37" s="408"/>
      <c r="EZ37" s="408"/>
      <c r="FA37" s="408">
        <v>0</v>
      </c>
      <c r="FB37" s="408"/>
      <c r="FC37" s="408"/>
      <c r="FD37" s="408"/>
      <c r="FE37" s="408"/>
      <c r="FF37" s="408">
        <v>0</v>
      </c>
      <c r="FG37" s="408">
        <v>0</v>
      </c>
      <c r="FH37" s="408">
        <v>0</v>
      </c>
      <c r="FI37" s="408">
        <v>0</v>
      </c>
    </row>
    <row r="38" spans="1:165" customFormat="1">
      <c r="A38" s="408">
        <v>38</v>
      </c>
      <c r="B38" s="408" t="s">
        <v>1036</v>
      </c>
      <c r="C38" s="408" t="s">
        <v>2235</v>
      </c>
      <c r="D38" s="408" t="s">
        <v>1958</v>
      </c>
      <c r="E38" s="408" t="s">
        <v>2246</v>
      </c>
      <c r="F38" s="408" t="s">
        <v>1322</v>
      </c>
      <c r="G38" s="408" t="s">
        <v>1322</v>
      </c>
      <c r="H38" s="408" t="s">
        <v>1322</v>
      </c>
      <c r="I38" s="408" t="s">
        <v>1322</v>
      </c>
      <c r="J38" s="408" t="s">
        <v>2236</v>
      </c>
      <c r="K38" s="824">
        <v>44378</v>
      </c>
      <c r="L38" s="408">
        <v>0</v>
      </c>
      <c r="M38" s="408">
        <v>0</v>
      </c>
      <c r="N38" s="408">
        <v>229.92</v>
      </c>
      <c r="O38" s="408">
        <v>229.92</v>
      </c>
      <c r="P38" s="408">
        <v>229.92</v>
      </c>
      <c r="Q38" s="408">
        <v>229.92</v>
      </c>
      <c r="R38" s="408"/>
      <c r="S38" s="408">
        <v>581.32000000000005</v>
      </c>
      <c r="T38" s="408">
        <v>209.4</v>
      </c>
      <c r="U38" s="408"/>
      <c r="V38" s="408">
        <v>181802.34239999999</v>
      </c>
      <c r="W38" s="408">
        <v>181802.34239999999</v>
      </c>
      <c r="X38" s="408">
        <v>138887.77439999999</v>
      </c>
      <c r="Y38" s="408">
        <v>0</v>
      </c>
      <c r="Z38" s="408">
        <v>14148.79568703762</v>
      </c>
      <c r="AA38" s="408">
        <v>0</v>
      </c>
      <c r="AB38" s="408">
        <v>0</v>
      </c>
      <c r="AC38" s="408">
        <v>0</v>
      </c>
      <c r="AD38" s="408">
        <v>17058.028011453669</v>
      </c>
      <c r="AE38" s="408">
        <v>88612.389309703038</v>
      </c>
      <c r="AF38" s="408">
        <v>47513.139472272465</v>
      </c>
      <c r="AG38" s="408">
        <v>632.96170456609116</v>
      </c>
      <c r="AH38" s="408">
        <v>0</v>
      </c>
      <c r="AI38" s="408">
        <v>0</v>
      </c>
      <c r="AJ38" s="408">
        <v>0</v>
      </c>
      <c r="AK38" s="408">
        <v>0</v>
      </c>
      <c r="AL38" s="408">
        <v>2186.4476102470526</v>
      </c>
      <c r="AM38" s="408"/>
      <c r="AN38" s="408">
        <v>419.13595549537376</v>
      </c>
      <c r="AO38" s="408">
        <v>1310.4246198018411</v>
      </c>
      <c r="AP38" s="408">
        <v>1973.9068780163389</v>
      </c>
      <c r="AQ38" s="408">
        <v>0</v>
      </c>
      <c r="AR38" s="408">
        <v>0</v>
      </c>
      <c r="AS38" s="408">
        <v>0</v>
      </c>
      <c r="AT38" s="408">
        <v>0</v>
      </c>
      <c r="AU38" s="408">
        <v>0</v>
      </c>
      <c r="AV38" s="408">
        <v>0</v>
      </c>
      <c r="AW38" s="408">
        <v>0</v>
      </c>
      <c r="AX38" s="408">
        <v>0</v>
      </c>
      <c r="AY38" s="408">
        <v>0</v>
      </c>
      <c r="AZ38" s="408">
        <v>0</v>
      </c>
      <c r="BA38" s="408"/>
      <c r="BB38" s="408">
        <v>0</v>
      </c>
      <c r="BC38" s="408">
        <v>0</v>
      </c>
      <c r="BD38" s="408">
        <v>0</v>
      </c>
      <c r="BE38" s="408">
        <v>0</v>
      </c>
      <c r="BF38" s="408">
        <v>0</v>
      </c>
      <c r="BG38" s="408">
        <v>7948.8594125343516</v>
      </c>
      <c r="BH38" s="408">
        <v>0</v>
      </c>
      <c r="BI38" s="408">
        <v>225.06</v>
      </c>
      <c r="BJ38" s="408">
        <v>1020.33</v>
      </c>
      <c r="BK38" s="408">
        <v>62311.47</v>
      </c>
      <c r="BL38" s="408">
        <v>476</v>
      </c>
      <c r="BM38" s="408"/>
      <c r="BN38" s="408"/>
      <c r="BO38" s="408"/>
      <c r="BP38" s="408"/>
      <c r="BQ38" s="408"/>
      <c r="BR38" s="408"/>
      <c r="BS38" s="408"/>
      <c r="BT38" s="408"/>
      <c r="BU38" s="408"/>
      <c r="BV38" s="408">
        <v>55461.998884806817</v>
      </c>
      <c r="BW38" s="408"/>
      <c r="BX38" s="408"/>
      <c r="BY38" s="408"/>
      <c r="BZ38" s="408"/>
      <c r="CA38" s="408"/>
      <c r="CB38" s="408"/>
      <c r="CC38" s="408"/>
      <c r="CD38" s="408"/>
      <c r="CE38" s="408"/>
      <c r="CF38" s="408"/>
      <c r="CG38" s="408"/>
      <c r="CH38" s="408"/>
      <c r="CI38" s="408">
        <v>138887.77439999999</v>
      </c>
      <c r="CJ38" s="408">
        <v>-42914.598000000027</v>
      </c>
      <c r="CK38" s="408"/>
      <c r="CL38" s="408"/>
      <c r="CM38" s="408"/>
      <c r="CN38" s="408"/>
      <c r="CO38" s="408">
        <v>-48163.641600000017</v>
      </c>
      <c r="CP38" s="408">
        <v>5249.0735999999961</v>
      </c>
      <c r="CQ38" s="408">
        <v>31</v>
      </c>
      <c r="CR38" s="408">
        <v>6792.7267534361454</v>
      </c>
      <c r="CS38" s="408">
        <v>158.21022516708513</v>
      </c>
      <c r="CT38" s="408">
        <v>238.31378540265996</v>
      </c>
      <c r="CU38" s="408">
        <v>0</v>
      </c>
      <c r="CV38" s="408">
        <v>0</v>
      </c>
      <c r="CW38" s="408">
        <v>0</v>
      </c>
      <c r="CX38" s="408">
        <v>0</v>
      </c>
      <c r="CY38" s="408">
        <v>0</v>
      </c>
      <c r="CZ38" s="408">
        <v>559.20374074202118</v>
      </c>
      <c r="DA38" s="408">
        <v>0</v>
      </c>
      <c r="DB38" s="408">
        <v>0</v>
      </c>
      <c r="DC38" s="408">
        <v>5247.4835023326887</v>
      </c>
      <c r="DD38" s="408">
        <v>0</v>
      </c>
      <c r="DE38" s="408">
        <v>0</v>
      </c>
      <c r="DF38" s="408">
        <v>0</v>
      </c>
      <c r="DG38" s="408">
        <v>877.89418028198452</v>
      </c>
      <c r="DH38" s="408">
        <v>0</v>
      </c>
      <c r="DI38" s="408">
        <v>-246.64354438311238</v>
      </c>
      <c r="DJ38" s="408"/>
      <c r="DK38" s="408">
        <v>0</v>
      </c>
      <c r="DL38" s="408">
        <v>0</v>
      </c>
      <c r="DM38" s="408">
        <v>0</v>
      </c>
      <c r="DN38" s="408">
        <v>0</v>
      </c>
      <c r="DO38" s="408">
        <v>-32.0445150897026</v>
      </c>
      <c r="DP38" s="408">
        <v>-9.6906210174905709</v>
      </c>
      <c r="DQ38" s="408">
        <v>0</v>
      </c>
      <c r="DR38" s="408">
        <v>0</v>
      </c>
      <c r="DS38" s="408"/>
      <c r="DT38" s="408"/>
      <c r="DU38" s="408"/>
      <c r="DV38" s="408">
        <v>88612.389309703038</v>
      </c>
      <c r="DW38" s="408">
        <v>0</v>
      </c>
      <c r="DX38" s="408">
        <v>0</v>
      </c>
      <c r="DY38" s="408">
        <v>-48163.641600000017</v>
      </c>
      <c r="DZ38" s="408">
        <v>5249.0735999999961</v>
      </c>
      <c r="EA38" s="408">
        <v>0</v>
      </c>
      <c r="EB38" s="408">
        <v>0</v>
      </c>
      <c r="EC38" s="408">
        <v>-49710.637623827984</v>
      </c>
      <c r="ED38" s="408">
        <v>0</v>
      </c>
      <c r="EE38" s="408">
        <v>0</v>
      </c>
      <c r="EF38" s="408">
        <v>0</v>
      </c>
      <c r="EG38" s="408">
        <v>0</v>
      </c>
      <c r="EH38" s="408">
        <v>0</v>
      </c>
      <c r="EI38" s="408">
        <v>0</v>
      </c>
      <c r="EJ38" s="408">
        <v>0</v>
      </c>
      <c r="EK38" s="408">
        <v>0</v>
      </c>
      <c r="EL38" s="408">
        <v>0</v>
      </c>
      <c r="EM38" s="408">
        <v>0</v>
      </c>
      <c r="EN38" s="408">
        <v>0</v>
      </c>
      <c r="EO38" s="408">
        <v>0</v>
      </c>
      <c r="EP38" s="408">
        <v>0</v>
      </c>
      <c r="EQ38" s="408">
        <v>0</v>
      </c>
      <c r="ER38" s="408">
        <v>0</v>
      </c>
      <c r="ES38" s="408">
        <v>0</v>
      </c>
      <c r="ET38" s="408">
        <v>0</v>
      </c>
      <c r="EU38" s="408">
        <v>0</v>
      </c>
      <c r="EV38" s="408">
        <v>238</v>
      </c>
      <c r="EW38" s="408">
        <v>0</v>
      </c>
      <c r="EX38" s="408">
        <v>0</v>
      </c>
      <c r="EY38" s="408">
        <v>0</v>
      </c>
      <c r="EZ38" s="408"/>
      <c r="FA38" s="408">
        <v>0</v>
      </c>
      <c r="FB38" s="408"/>
      <c r="FC38" s="408"/>
      <c r="FD38" s="408"/>
      <c r="FE38" s="408"/>
      <c r="FF38" s="408">
        <v>0</v>
      </c>
      <c r="FG38" s="408">
        <v>0</v>
      </c>
      <c r="FH38" s="408">
        <v>0</v>
      </c>
      <c r="FI38" s="408">
        <v>0</v>
      </c>
    </row>
    <row r="39" spans="1:165" customFormat="1">
      <c r="A39" s="408">
        <v>39</v>
      </c>
      <c r="B39" s="408" t="s">
        <v>2238</v>
      </c>
      <c r="C39" s="408" t="s">
        <v>2235</v>
      </c>
      <c r="D39" s="408" t="s">
        <v>1958</v>
      </c>
      <c r="E39" s="408" t="s">
        <v>2246</v>
      </c>
      <c r="F39" s="408" t="s">
        <v>1322</v>
      </c>
      <c r="G39" s="408" t="s">
        <v>1322</v>
      </c>
      <c r="H39" s="408" t="s">
        <v>1322</v>
      </c>
      <c r="I39" s="408" t="s">
        <v>1322</v>
      </c>
      <c r="J39" s="408" t="s">
        <v>2236</v>
      </c>
      <c r="K39" s="824">
        <v>44378</v>
      </c>
      <c r="L39" s="408">
        <v>0</v>
      </c>
      <c r="M39" s="408">
        <v>0</v>
      </c>
      <c r="N39" s="408">
        <v>6.6680000000000001</v>
      </c>
      <c r="O39" s="408">
        <v>6.6680000000000001</v>
      </c>
      <c r="P39" s="408">
        <v>6.6680000000000001</v>
      </c>
      <c r="Q39" s="408">
        <v>6.6680000000000001</v>
      </c>
      <c r="R39" s="408"/>
      <c r="S39" s="408">
        <v>581.32000000000005</v>
      </c>
      <c r="T39" s="408">
        <v>209.4</v>
      </c>
      <c r="U39" s="408"/>
      <c r="V39" s="408">
        <v>5272.5209600000007</v>
      </c>
      <c r="W39" s="408">
        <v>5272.5209600000007</v>
      </c>
      <c r="X39" s="408">
        <v>4027.93876</v>
      </c>
      <c r="Y39" s="408">
        <v>0</v>
      </c>
      <c r="Z39" s="408">
        <v>410.33476705448356</v>
      </c>
      <c r="AA39" s="408">
        <v>0</v>
      </c>
      <c r="AB39" s="408">
        <v>0</v>
      </c>
      <c r="AC39" s="408">
        <v>0</v>
      </c>
      <c r="AD39" s="408">
        <v>494.70655349849108</v>
      </c>
      <c r="AE39" s="408">
        <v>2569.8826196811933</v>
      </c>
      <c r="AF39" s="408">
        <v>1377.9471729345548</v>
      </c>
      <c r="AG39" s="408">
        <v>18.356770381205184</v>
      </c>
      <c r="AH39" s="408">
        <v>0</v>
      </c>
      <c r="AI39" s="408">
        <v>0</v>
      </c>
      <c r="AJ39" s="408">
        <v>0</v>
      </c>
      <c r="AK39" s="408">
        <v>0</v>
      </c>
      <c r="AL39" s="408">
        <v>63.410023769690973</v>
      </c>
      <c r="AM39" s="408"/>
      <c r="AN39" s="408">
        <v>12.155526057946906</v>
      </c>
      <c r="AO39" s="408">
        <v>38.004137808101419</v>
      </c>
      <c r="AP39" s="408">
        <v>57.246046723264392</v>
      </c>
      <c r="AQ39" s="408">
        <v>0</v>
      </c>
      <c r="AR39" s="408">
        <v>0</v>
      </c>
      <c r="AS39" s="408">
        <v>0</v>
      </c>
      <c r="AT39" s="408">
        <v>0</v>
      </c>
      <c r="AU39" s="408">
        <v>0</v>
      </c>
      <c r="AV39" s="408">
        <v>0</v>
      </c>
      <c r="AW39" s="408">
        <v>0</v>
      </c>
      <c r="AX39" s="408">
        <v>0</v>
      </c>
      <c r="AY39" s="408">
        <v>0</v>
      </c>
      <c r="AZ39" s="408">
        <v>0</v>
      </c>
      <c r="BA39" s="408"/>
      <c r="BB39" s="408">
        <v>0</v>
      </c>
      <c r="BC39" s="408">
        <v>0</v>
      </c>
      <c r="BD39" s="408">
        <v>0</v>
      </c>
      <c r="BE39" s="408">
        <v>0</v>
      </c>
      <c r="BF39" s="408">
        <v>0</v>
      </c>
      <c r="BG39" s="408">
        <v>230.52798609420259</v>
      </c>
      <c r="BH39" s="408">
        <v>0</v>
      </c>
      <c r="BI39" s="408">
        <v>6.77</v>
      </c>
      <c r="BJ39" s="408">
        <v>30.51</v>
      </c>
      <c r="BK39" s="408">
        <v>2115.67</v>
      </c>
      <c r="BL39" s="408">
        <v>1</v>
      </c>
      <c r="BM39" s="408"/>
      <c r="BN39" s="408"/>
      <c r="BO39" s="408"/>
      <c r="BP39" s="408"/>
      <c r="BQ39" s="408"/>
      <c r="BR39" s="408"/>
      <c r="BS39" s="408"/>
      <c r="BT39" s="408"/>
      <c r="BU39" s="408"/>
      <c r="BV39" s="408">
        <v>1608.4751590287574</v>
      </c>
      <c r="BW39" s="408"/>
      <c r="BX39" s="408"/>
      <c r="BY39" s="408"/>
      <c r="BZ39" s="408"/>
      <c r="CA39" s="408"/>
      <c r="CB39" s="408"/>
      <c r="CC39" s="408"/>
      <c r="CD39" s="408"/>
      <c r="CE39" s="408"/>
      <c r="CF39" s="408"/>
      <c r="CG39" s="408"/>
      <c r="CH39" s="408"/>
      <c r="CI39" s="408">
        <v>4029.1468999999997</v>
      </c>
      <c r="CJ39" s="408">
        <v>-1243.4040600000017</v>
      </c>
      <c r="CK39" s="408"/>
      <c r="CL39" s="408"/>
      <c r="CM39" s="408"/>
      <c r="CN39" s="408"/>
      <c r="CO39" s="408">
        <v>-1396.8126400000006</v>
      </c>
      <c r="CP39" s="408">
        <v>152.2304399999999</v>
      </c>
      <c r="CQ39" s="408">
        <v>31</v>
      </c>
      <c r="CR39" s="408">
        <v>196.99852988827479</v>
      </c>
      <c r="CS39" s="408">
        <v>4.5883167250092285</v>
      </c>
      <c r="CT39" s="408">
        <v>6.9114314590506964</v>
      </c>
      <c r="CU39" s="408">
        <v>0</v>
      </c>
      <c r="CV39" s="408">
        <v>0</v>
      </c>
      <c r="CW39" s="408">
        <v>0</v>
      </c>
      <c r="CX39" s="408">
        <v>0</v>
      </c>
      <c r="CY39" s="408">
        <v>0</v>
      </c>
      <c r="CZ39" s="408">
        <v>16.217686774825211</v>
      </c>
      <c r="DA39" s="408">
        <v>0</v>
      </c>
      <c r="DB39" s="408">
        <v>0</v>
      </c>
      <c r="DC39" s="408">
        <v>152.18432495456841</v>
      </c>
      <c r="DD39" s="408">
        <v>0</v>
      </c>
      <c r="DE39" s="408">
        <v>0</v>
      </c>
      <c r="DF39" s="408">
        <v>0</v>
      </c>
      <c r="DG39" s="408">
        <v>25.460153071156412</v>
      </c>
      <c r="DH39" s="408">
        <v>0</v>
      </c>
      <c r="DI39" s="408">
        <v>-7.153006062746158</v>
      </c>
      <c r="DJ39" s="408"/>
      <c r="DK39" s="408">
        <v>0</v>
      </c>
      <c r="DL39" s="408">
        <v>0</v>
      </c>
      <c r="DM39" s="408">
        <v>0</v>
      </c>
      <c r="DN39" s="408">
        <v>0</v>
      </c>
      <c r="DO39" s="408">
        <v>-0.92933553678731329</v>
      </c>
      <c r="DP39" s="408">
        <v>-0.28104149680161505</v>
      </c>
      <c r="DQ39" s="408">
        <v>0</v>
      </c>
      <c r="DR39" s="408">
        <v>0</v>
      </c>
      <c r="DS39" s="408"/>
      <c r="DT39" s="408"/>
      <c r="DU39" s="408"/>
      <c r="DV39" s="408">
        <v>2569.8826196811933</v>
      </c>
      <c r="DW39" s="408">
        <v>0</v>
      </c>
      <c r="DX39" s="408">
        <v>0</v>
      </c>
      <c r="DY39" s="408">
        <v>-1396.8126400000006</v>
      </c>
      <c r="DZ39" s="408">
        <v>152.23043999999982</v>
      </c>
      <c r="EA39" s="408">
        <v>0</v>
      </c>
      <c r="EB39" s="408">
        <v>0</v>
      </c>
      <c r="EC39" s="408">
        <v>-1441.6776777822072</v>
      </c>
      <c r="ED39" s="408">
        <v>0</v>
      </c>
      <c r="EE39" s="408">
        <v>0</v>
      </c>
      <c r="EF39" s="408">
        <v>0</v>
      </c>
      <c r="EG39" s="408">
        <v>0</v>
      </c>
      <c r="EH39" s="408">
        <v>0</v>
      </c>
      <c r="EI39" s="408">
        <v>0</v>
      </c>
      <c r="EJ39" s="408">
        <v>0</v>
      </c>
      <c r="EK39" s="408">
        <v>0</v>
      </c>
      <c r="EL39" s="408">
        <v>0</v>
      </c>
      <c r="EM39" s="408">
        <v>0</v>
      </c>
      <c r="EN39" s="408">
        <v>0</v>
      </c>
      <c r="EO39" s="408">
        <v>0</v>
      </c>
      <c r="EP39" s="408">
        <v>0</v>
      </c>
      <c r="EQ39" s="408">
        <v>0</v>
      </c>
      <c r="ER39" s="408">
        <v>0</v>
      </c>
      <c r="ES39" s="408">
        <v>0</v>
      </c>
      <c r="ET39" s="408">
        <v>0</v>
      </c>
      <c r="EU39" s="408">
        <v>0</v>
      </c>
      <c r="EV39" s="408">
        <v>238</v>
      </c>
      <c r="EW39" s="408">
        <v>0</v>
      </c>
      <c r="EX39" s="408">
        <v>0</v>
      </c>
      <c r="EY39" s="408">
        <v>0</v>
      </c>
      <c r="EZ39" s="408"/>
      <c r="FA39" s="408">
        <v>0</v>
      </c>
      <c r="FB39" s="408"/>
      <c r="FC39" s="408"/>
      <c r="FD39" s="408"/>
      <c r="FE39" s="408"/>
      <c r="FF39" s="408">
        <v>0</v>
      </c>
      <c r="FG39" s="408">
        <v>0</v>
      </c>
      <c r="FH39" s="408">
        <v>0</v>
      </c>
      <c r="FI39" s="408">
        <v>0</v>
      </c>
    </row>
    <row r="40" spans="1:165" customFormat="1">
      <c r="A40" s="408">
        <v>40</v>
      </c>
      <c r="B40" s="408" t="s">
        <v>1036</v>
      </c>
      <c r="C40" s="408" t="s">
        <v>2243</v>
      </c>
      <c r="D40" s="408" t="s">
        <v>597</v>
      </c>
      <c r="E40" s="408" t="s">
        <v>2246</v>
      </c>
      <c r="F40" s="408" t="s">
        <v>1322</v>
      </c>
      <c r="G40" s="408" t="s">
        <v>1322</v>
      </c>
      <c r="H40" s="408" t="s">
        <v>1322</v>
      </c>
      <c r="I40" s="408" t="s">
        <v>973</v>
      </c>
      <c r="J40" s="408" t="s">
        <v>2236</v>
      </c>
      <c r="K40" s="824">
        <v>44378</v>
      </c>
      <c r="L40" s="408">
        <v>0</v>
      </c>
      <c r="M40" s="408">
        <v>0</v>
      </c>
      <c r="N40" s="408">
        <v>0.25900000000000001</v>
      </c>
      <c r="O40" s="408">
        <v>0.25900000000000001</v>
      </c>
      <c r="P40" s="408">
        <v>0.25900000000000001</v>
      </c>
      <c r="Q40" s="408">
        <v>0.25900000000000001</v>
      </c>
      <c r="R40" s="408"/>
      <c r="S40" s="408">
        <v>1614.19</v>
      </c>
      <c r="T40" s="408">
        <v>209.4</v>
      </c>
      <c r="U40" s="408"/>
      <c r="V40" s="408">
        <v>472.30981000000003</v>
      </c>
      <c r="W40" s="408">
        <v>472.30981000000003</v>
      </c>
      <c r="X40" s="408">
        <v>313.94685000000004</v>
      </c>
      <c r="Y40" s="408">
        <v>0</v>
      </c>
      <c r="Z40" s="408">
        <v>13.866336691719683</v>
      </c>
      <c r="AA40" s="408">
        <v>0</v>
      </c>
      <c r="AB40" s="408">
        <v>0</v>
      </c>
      <c r="AC40" s="408">
        <v>0</v>
      </c>
      <c r="AD40" s="408">
        <v>80.657259499095233</v>
      </c>
      <c r="AE40" s="408">
        <v>301.17468358087126</v>
      </c>
      <c r="AF40" s="408">
        <v>53.522543159875475</v>
      </c>
      <c r="AG40" s="408">
        <v>0.71301792572467648</v>
      </c>
      <c r="AH40" s="408">
        <v>0</v>
      </c>
      <c r="AI40" s="408">
        <v>0</v>
      </c>
      <c r="AJ40" s="408">
        <v>0</v>
      </c>
      <c r="AK40" s="408">
        <v>0</v>
      </c>
      <c r="AL40" s="408">
        <v>2.4629868260872767</v>
      </c>
      <c r="AM40" s="408"/>
      <c r="AN40" s="408">
        <v>0.34391167590360305</v>
      </c>
      <c r="AO40" s="408">
        <v>6.2664856715456949</v>
      </c>
      <c r="AP40" s="408">
        <v>9.3340242930929715</v>
      </c>
      <c r="AQ40" s="408">
        <v>0</v>
      </c>
      <c r="AR40" s="408">
        <v>0</v>
      </c>
      <c r="AS40" s="408">
        <v>0</v>
      </c>
      <c r="AT40" s="408">
        <v>0</v>
      </c>
      <c r="AU40" s="408">
        <v>0</v>
      </c>
      <c r="AV40" s="408">
        <v>0</v>
      </c>
      <c r="AW40" s="408">
        <v>0</v>
      </c>
      <c r="AX40" s="408">
        <v>0</v>
      </c>
      <c r="AY40" s="408">
        <v>0</v>
      </c>
      <c r="AZ40" s="408">
        <v>0</v>
      </c>
      <c r="BA40" s="408"/>
      <c r="BB40" s="408">
        <v>0</v>
      </c>
      <c r="BC40" s="408">
        <v>0</v>
      </c>
      <c r="BD40" s="408">
        <v>0</v>
      </c>
      <c r="BE40" s="408">
        <v>0</v>
      </c>
      <c r="BF40" s="408">
        <v>0</v>
      </c>
      <c r="BG40" s="408">
        <v>3.9690290175561356</v>
      </c>
      <c r="BH40" s="408">
        <v>0</v>
      </c>
      <c r="BI40" s="408">
        <v>0</v>
      </c>
      <c r="BJ40" s="408">
        <v>0</v>
      </c>
      <c r="BK40" s="408">
        <v>0</v>
      </c>
      <c r="BL40" s="408">
        <v>0</v>
      </c>
      <c r="BM40" s="408"/>
      <c r="BN40" s="408"/>
      <c r="BO40" s="408"/>
      <c r="BP40" s="408"/>
      <c r="BQ40" s="408"/>
      <c r="BR40" s="408"/>
      <c r="BS40" s="408"/>
      <c r="BT40" s="408"/>
      <c r="BU40" s="408"/>
      <c r="BV40" s="408">
        <v>57.491572177431614</v>
      </c>
      <c r="BW40" s="408"/>
      <c r="BX40" s="408"/>
      <c r="BY40" s="408"/>
      <c r="BZ40" s="408"/>
      <c r="CA40" s="408"/>
      <c r="CB40" s="408"/>
      <c r="CC40" s="408"/>
      <c r="CD40" s="408"/>
      <c r="CE40" s="408"/>
      <c r="CF40" s="408"/>
      <c r="CG40" s="408"/>
      <c r="CH40" s="408"/>
      <c r="CI40" s="408">
        <v>315.15899999999999</v>
      </c>
      <c r="CJ40" s="408">
        <v>-157.18081000000001</v>
      </c>
      <c r="CK40" s="408"/>
      <c r="CL40" s="408"/>
      <c r="CM40" s="408"/>
      <c r="CN40" s="408"/>
      <c r="CO40" s="408">
        <v>-164.27593000000002</v>
      </c>
      <c r="CP40" s="408">
        <v>5.9129699999999961</v>
      </c>
      <c r="CQ40" s="408">
        <v>31</v>
      </c>
      <c r="CR40" s="408">
        <v>10.591383691256055</v>
      </c>
      <c r="CS40" s="408">
        <v>0.7565655392306736</v>
      </c>
      <c r="CT40" s="408">
        <v>1.12691570565012</v>
      </c>
      <c r="CU40" s="408">
        <v>0</v>
      </c>
      <c r="CV40" s="408">
        <v>0</v>
      </c>
      <c r="CW40" s="408">
        <v>0</v>
      </c>
      <c r="CX40" s="408">
        <v>0</v>
      </c>
      <c r="CY40" s="408">
        <v>0</v>
      </c>
      <c r="CZ40" s="408">
        <v>2.6441415853937116</v>
      </c>
      <c r="DA40" s="408">
        <v>0</v>
      </c>
      <c r="DB40" s="408">
        <v>0</v>
      </c>
      <c r="DC40" s="408">
        <v>5.9111787887272413</v>
      </c>
      <c r="DD40" s="408">
        <v>0</v>
      </c>
      <c r="DE40" s="408">
        <v>0</v>
      </c>
      <c r="DF40" s="408">
        <v>0</v>
      </c>
      <c r="DG40" s="408">
        <v>0.43835062303259553</v>
      </c>
      <c r="DH40" s="408">
        <v>0</v>
      </c>
      <c r="DI40" s="408">
        <v>-0.24171968448090198</v>
      </c>
      <c r="DJ40" s="408"/>
      <c r="DK40" s="408">
        <v>0</v>
      </c>
      <c r="DL40" s="408">
        <v>0</v>
      </c>
      <c r="DM40" s="408">
        <v>0</v>
      </c>
      <c r="DN40" s="408">
        <v>0</v>
      </c>
      <c r="DO40" s="408">
        <v>-3.609746611096476E-2</v>
      </c>
      <c r="DP40" s="408">
        <v>-7.9514001864472994E-3</v>
      </c>
      <c r="DQ40" s="408">
        <v>0</v>
      </c>
      <c r="DR40" s="408">
        <v>0</v>
      </c>
      <c r="DS40" s="408"/>
      <c r="DT40" s="408"/>
      <c r="DU40" s="408"/>
      <c r="DV40" s="408">
        <v>301.17468358087126</v>
      </c>
      <c r="DW40" s="408">
        <v>0</v>
      </c>
      <c r="DX40" s="408">
        <v>0</v>
      </c>
      <c r="DY40" s="408">
        <v>-164.27593000000002</v>
      </c>
      <c r="DZ40" s="408">
        <v>5.9129700000000014</v>
      </c>
      <c r="EA40" s="408">
        <v>0</v>
      </c>
      <c r="EB40" s="408">
        <v>0</v>
      </c>
      <c r="EC40" s="408">
        <v>-168.95589514727624</v>
      </c>
      <c r="ED40" s="408">
        <v>0</v>
      </c>
      <c r="EE40" s="408">
        <v>0</v>
      </c>
      <c r="EF40" s="408">
        <v>0</v>
      </c>
      <c r="EG40" s="408">
        <v>0</v>
      </c>
      <c r="EH40" s="408">
        <v>0</v>
      </c>
      <c r="EI40" s="408">
        <v>0</v>
      </c>
      <c r="EJ40" s="408">
        <v>0</v>
      </c>
      <c r="EK40" s="408">
        <v>0</v>
      </c>
      <c r="EL40" s="408">
        <v>0</v>
      </c>
      <c r="EM40" s="408">
        <v>0</v>
      </c>
      <c r="EN40" s="408">
        <v>0</v>
      </c>
      <c r="EO40" s="408">
        <v>0</v>
      </c>
      <c r="EP40" s="408">
        <v>0</v>
      </c>
      <c r="EQ40" s="408">
        <v>0</v>
      </c>
      <c r="ER40" s="408">
        <v>0</v>
      </c>
      <c r="ES40" s="408">
        <v>0</v>
      </c>
      <c r="ET40" s="408">
        <v>0</v>
      </c>
      <c r="EU40" s="408">
        <v>0</v>
      </c>
      <c r="EV40" s="408">
        <v>238</v>
      </c>
      <c r="EW40" s="408">
        <v>0</v>
      </c>
      <c r="EX40" s="408">
        <v>0</v>
      </c>
      <c r="EY40" s="408">
        <v>0</v>
      </c>
      <c r="EZ40" s="408"/>
      <c r="FA40" s="408">
        <v>0</v>
      </c>
      <c r="FB40" s="408"/>
      <c r="FC40" s="408"/>
      <c r="FD40" s="408"/>
      <c r="FE40" s="408"/>
      <c r="FF40" s="408">
        <v>0</v>
      </c>
      <c r="FG40" s="408">
        <v>0</v>
      </c>
      <c r="FH40" s="408">
        <v>0</v>
      </c>
      <c r="FI40" s="408">
        <v>0</v>
      </c>
    </row>
    <row r="41" spans="1:165" customFormat="1">
      <c r="A41" s="408">
        <v>41</v>
      </c>
      <c r="B41" s="408" t="s">
        <v>1036</v>
      </c>
      <c r="C41" s="408" t="s">
        <v>2243</v>
      </c>
      <c r="D41" s="408" t="s">
        <v>597</v>
      </c>
      <c r="E41" s="408" t="s">
        <v>2246</v>
      </c>
      <c r="F41" s="408" t="s">
        <v>1322</v>
      </c>
      <c r="G41" s="408" t="s">
        <v>1322</v>
      </c>
      <c r="H41" s="408" t="s">
        <v>1322</v>
      </c>
      <c r="I41" s="408" t="s">
        <v>2244</v>
      </c>
      <c r="J41" s="408" t="s">
        <v>2236</v>
      </c>
      <c r="K41" s="824">
        <v>44378</v>
      </c>
      <c r="L41" s="408">
        <v>0</v>
      </c>
      <c r="M41" s="408">
        <v>0</v>
      </c>
      <c r="N41" s="408">
        <v>5.6760000000000002</v>
      </c>
      <c r="O41" s="408">
        <v>5.6760000000000002</v>
      </c>
      <c r="P41" s="408">
        <v>5.6760000000000002</v>
      </c>
      <c r="Q41" s="408">
        <v>5.6760000000000002</v>
      </c>
      <c r="R41" s="408"/>
      <c r="S41" s="408">
        <v>79.7</v>
      </c>
      <c r="T41" s="408">
        <v>209.4</v>
      </c>
      <c r="U41" s="408"/>
      <c r="V41" s="408">
        <v>1640.9315999999999</v>
      </c>
      <c r="W41" s="408">
        <v>1640.9315999999999</v>
      </c>
      <c r="X41" s="408">
        <v>1773.8635199999999</v>
      </c>
      <c r="Y41" s="408">
        <v>0</v>
      </c>
      <c r="Z41" s="408">
        <v>303.88157166872941</v>
      </c>
      <c r="AA41" s="408">
        <v>0</v>
      </c>
      <c r="AB41" s="408">
        <v>0</v>
      </c>
      <c r="AC41" s="408">
        <v>0</v>
      </c>
      <c r="AD41" s="408">
        <v>0</v>
      </c>
      <c r="AE41" s="408">
        <v>0</v>
      </c>
      <c r="AF41" s="408">
        <v>1172.949633109858</v>
      </c>
      <c r="AG41" s="408">
        <v>15.625829136730749</v>
      </c>
      <c r="AH41" s="408">
        <v>0</v>
      </c>
      <c r="AI41" s="408">
        <v>0</v>
      </c>
      <c r="AJ41" s="408">
        <v>0</v>
      </c>
      <c r="AK41" s="408">
        <v>0</v>
      </c>
      <c r="AL41" s="408">
        <v>53.976498937727349</v>
      </c>
      <c r="AM41" s="408"/>
      <c r="AN41" s="408">
        <v>7.5368442950920889</v>
      </c>
      <c r="AO41" s="408">
        <v>0</v>
      </c>
      <c r="AP41" s="408">
        <v>0</v>
      </c>
      <c r="AQ41" s="408">
        <v>0</v>
      </c>
      <c r="AR41" s="408">
        <v>0</v>
      </c>
      <c r="AS41" s="408">
        <v>0</v>
      </c>
      <c r="AT41" s="408">
        <v>0</v>
      </c>
      <c r="AU41" s="408">
        <v>0</v>
      </c>
      <c r="AV41" s="408">
        <v>0</v>
      </c>
      <c r="AW41" s="408">
        <v>0</v>
      </c>
      <c r="AX41" s="408">
        <v>0</v>
      </c>
      <c r="AY41" s="408">
        <v>0</v>
      </c>
      <c r="AZ41" s="408">
        <v>0</v>
      </c>
      <c r="BA41" s="408"/>
      <c r="BB41" s="408">
        <v>0</v>
      </c>
      <c r="BC41" s="408">
        <v>0</v>
      </c>
      <c r="BD41" s="408">
        <v>0</v>
      </c>
      <c r="BE41" s="408">
        <v>0</v>
      </c>
      <c r="BF41" s="408">
        <v>0</v>
      </c>
      <c r="BG41" s="408">
        <v>86.981500786288137</v>
      </c>
      <c r="BH41" s="408">
        <v>0</v>
      </c>
      <c r="BI41" s="408">
        <v>0</v>
      </c>
      <c r="BJ41" s="408">
        <v>0</v>
      </c>
      <c r="BK41" s="408">
        <v>0</v>
      </c>
      <c r="BL41" s="408">
        <v>0</v>
      </c>
      <c r="BM41" s="408"/>
      <c r="BN41" s="408"/>
      <c r="BO41" s="408"/>
      <c r="BP41" s="408"/>
      <c r="BQ41" s="408"/>
      <c r="BR41" s="408"/>
      <c r="BS41" s="408"/>
      <c r="BT41" s="408"/>
      <c r="BU41" s="408"/>
      <c r="BV41" s="408">
        <v>1259.9311338961461</v>
      </c>
      <c r="BW41" s="408"/>
      <c r="BX41" s="408"/>
      <c r="BY41" s="408"/>
      <c r="BZ41" s="408"/>
      <c r="CA41" s="408"/>
      <c r="CB41" s="408"/>
      <c r="CC41" s="408"/>
      <c r="CD41" s="408"/>
      <c r="CE41" s="408"/>
      <c r="CF41" s="408"/>
      <c r="CG41" s="408"/>
      <c r="CH41" s="408"/>
      <c r="CI41" s="408">
        <v>1775.1135999999999</v>
      </c>
      <c r="CJ41" s="408">
        <v>134.15200000000004</v>
      </c>
      <c r="CK41" s="408"/>
      <c r="CL41" s="408"/>
      <c r="CM41" s="408"/>
      <c r="CN41" s="408"/>
      <c r="CO41" s="408">
        <v>3.3488400000000196</v>
      </c>
      <c r="CP41" s="408">
        <v>129.58307999999991</v>
      </c>
      <c r="CQ41" s="408">
        <v>31</v>
      </c>
      <c r="CR41" s="408">
        <v>132.88767045147097</v>
      </c>
      <c r="CS41" s="408">
        <v>0</v>
      </c>
      <c r="CT41" s="408">
        <v>0</v>
      </c>
      <c r="CU41" s="408">
        <v>0</v>
      </c>
      <c r="CV41" s="408">
        <v>0</v>
      </c>
      <c r="CW41" s="408">
        <v>0</v>
      </c>
      <c r="CX41" s="408">
        <v>0</v>
      </c>
      <c r="CY41" s="408">
        <v>0</v>
      </c>
      <c r="CZ41" s="408">
        <v>0</v>
      </c>
      <c r="DA41" s="408">
        <v>0</v>
      </c>
      <c r="DB41" s="408">
        <v>0</v>
      </c>
      <c r="DC41" s="408">
        <v>129.54382550121909</v>
      </c>
      <c r="DD41" s="408">
        <v>0</v>
      </c>
      <c r="DE41" s="408">
        <v>0</v>
      </c>
      <c r="DF41" s="408">
        <v>0</v>
      </c>
      <c r="DG41" s="408">
        <v>9.6064792908610315</v>
      </c>
      <c r="DH41" s="408">
        <v>0</v>
      </c>
      <c r="DI41" s="408">
        <v>-5.2973008846084895</v>
      </c>
      <c r="DJ41" s="408"/>
      <c r="DK41" s="408">
        <v>0</v>
      </c>
      <c r="DL41" s="408">
        <v>0</v>
      </c>
      <c r="DM41" s="408">
        <v>0</v>
      </c>
      <c r="DN41" s="408">
        <v>0</v>
      </c>
      <c r="DO41" s="408">
        <v>-0.79107806040863693</v>
      </c>
      <c r="DP41" s="408">
        <v>-0.17425539559179537</v>
      </c>
      <c r="DQ41" s="408">
        <v>0</v>
      </c>
      <c r="DR41" s="408">
        <v>0</v>
      </c>
      <c r="DS41" s="408"/>
      <c r="DT41" s="408"/>
      <c r="DU41" s="408"/>
      <c r="DV41" s="408">
        <v>0</v>
      </c>
      <c r="DW41" s="408">
        <v>0</v>
      </c>
      <c r="DX41" s="408">
        <v>0</v>
      </c>
      <c r="DY41" s="408">
        <v>3.3488400000000524</v>
      </c>
      <c r="DZ41" s="408">
        <v>129.58307999999988</v>
      </c>
      <c r="EA41" s="408">
        <v>0</v>
      </c>
      <c r="EB41" s="408">
        <v>0</v>
      </c>
      <c r="EC41" s="408">
        <v>0</v>
      </c>
      <c r="ED41" s="408">
        <v>0</v>
      </c>
      <c r="EE41" s="408">
        <v>0</v>
      </c>
      <c r="EF41" s="408">
        <v>0</v>
      </c>
      <c r="EG41" s="408">
        <v>0</v>
      </c>
      <c r="EH41" s="408">
        <v>0</v>
      </c>
      <c r="EI41" s="408">
        <v>0</v>
      </c>
      <c r="EJ41" s="408">
        <v>0</v>
      </c>
      <c r="EK41" s="408">
        <v>0</v>
      </c>
      <c r="EL41" s="408">
        <v>0</v>
      </c>
      <c r="EM41" s="408">
        <v>0</v>
      </c>
      <c r="EN41" s="408">
        <v>0</v>
      </c>
      <c r="EO41" s="408">
        <v>0</v>
      </c>
      <c r="EP41" s="408">
        <v>0</v>
      </c>
      <c r="EQ41" s="408">
        <v>0</v>
      </c>
      <c r="ER41" s="408">
        <v>0</v>
      </c>
      <c r="ES41" s="408">
        <v>0</v>
      </c>
      <c r="ET41" s="408">
        <v>0</v>
      </c>
      <c r="EU41" s="408">
        <v>0</v>
      </c>
      <c r="EV41" s="408">
        <v>238</v>
      </c>
      <c r="EW41" s="408">
        <v>0</v>
      </c>
      <c r="EX41" s="408">
        <v>0</v>
      </c>
      <c r="EY41" s="408">
        <v>0</v>
      </c>
      <c r="EZ41" s="408"/>
      <c r="FA41" s="408">
        <v>0</v>
      </c>
      <c r="FB41" s="408"/>
      <c r="FC41" s="408"/>
      <c r="FD41" s="408"/>
      <c r="FE41" s="408"/>
      <c r="FF41" s="408">
        <v>0</v>
      </c>
      <c r="FG41" s="408">
        <v>0</v>
      </c>
      <c r="FH41" s="408">
        <v>0</v>
      </c>
      <c r="FI41" s="408">
        <v>0</v>
      </c>
    </row>
    <row r="42" spans="1:165" customFormat="1">
      <c r="A42" s="408">
        <v>42</v>
      </c>
      <c r="B42" s="408" t="s">
        <v>1036</v>
      </c>
      <c r="C42" s="408" t="s">
        <v>2243</v>
      </c>
      <c r="D42" s="408" t="s">
        <v>597</v>
      </c>
      <c r="E42" s="408" t="s">
        <v>2246</v>
      </c>
      <c r="F42" s="408" t="s">
        <v>1322</v>
      </c>
      <c r="G42" s="408" t="s">
        <v>1322</v>
      </c>
      <c r="H42" s="408" t="s">
        <v>1322</v>
      </c>
      <c r="I42" s="408" t="s">
        <v>1322</v>
      </c>
      <c r="J42" s="408" t="s">
        <v>2236</v>
      </c>
      <c r="K42" s="824">
        <v>44378</v>
      </c>
      <c r="L42" s="408">
        <v>143</v>
      </c>
      <c r="M42" s="408">
        <v>143</v>
      </c>
      <c r="N42" s="408">
        <v>0</v>
      </c>
      <c r="O42" s="408">
        <v>0</v>
      </c>
      <c r="P42" s="408">
        <v>0</v>
      </c>
      <c r="Q42" s="408">
        <v>0</v>
      </c>
      <c r="R42" s="408">
        <v>44.35</v>
      </c>
      <c r="S42" s="408"/>
      <c r="T42" s="408"/>
      <c r="U42" s="408">
        <v>6342.05</v>
      </c>
      <c r="V42" s="408"/>
      <c r="W42" s="408">
        <v>6342.05</v>
      </c>
      <c r="X42" s="408">
        <v>4142.71</v>
      </c>
      <c r="Y42" s="408">
        <v>0</v>
      </c>
      <c r="Z42" s="408">
        <v>0</v>
      </c>
      <c r="AA42" s="408">
        <v>0</v>
      </c>
      <c r="AB42" s="408">
        <v>0</v>
      </c>
      <c r="AC42" s="408">
        <v>0</v>
      </c>
      <c r="AD42" s="408">
        <v>1876.4551073961979</v>
      </c>
      <c r="AE42" s="408">
        <v>4106.6520188616778</v>
      </c>
      <c r="AF42" s="408"/>
      <c r="AG42" s="408"/>
      <c r="AH42" s="408"/>
      <c r="AI42" s="408">
        <v>0</v>
      </c>
      <c r="AJ42" s="408">
        <v>0</v>
      </c>
      <c r="AK42" s="408">
        <v>0</v>
      </c>
      <c r="AL42" s="408">
        <v>0</v>
      </c>
      <c r="AM42" s="408"/>
      <c r="AN42" s="408">
        <v>0</v>
      </c>
      <c r="AO42" s="408">
        <v>141.81605890751828</v>
      </c>
      <c r="AP42" s="408">
        <v>216.97266925736545</v>
      </c>
      <c r="AQ42" s="408">
        <v>0</v>
      </c>
      <c r="AR42" s="408">
        <v>0</v>
      </c>
      <c r="AS42" s="408"/>
      <c r="AT42" s="408"/>
      <c r="AU42" s="408">
        <v>0</v>
      </c>
      <c r="AV42" s="408">
        <v>0</v>
      </c>
      <c r="AW42" s="408">
        <v>0</v>
      </c>
      <c r="AX42" s="408"/>
      <c r="AY42" s="408"/>
      <c r="AZ42" s="408">
        <v>0</v>
      </c>
      <c r="BA42" s="408"/>
      <c r="BB42" s="408">
        <v>0</v>
      </c>
      <c r="BC42" s="408">
        <v>0</v>
      </c>
      <c r="BD42" s="408">
        <v>0</v>
      </c>
      <c r="BE42" s="408">
        <v>0</v>
      </c>
      <c r="BF42" s="408"/>
      <c r="BG42" s="408">
        <v>0</v>
      </c>
      <c r="BH42" s="408">
        <v>0</v>
      </c>
      <c r="BI42" s="408">
        <v>8.01</v>
      </c>
      <c r="BJ42" s="408">
        <v>36.06</v>
      </c>
      <c r="BK42" s="408">
        <v>1765.11</v>
      </c>
      <c r="BL42" s="408">
        <v>2</v>
      </c>
      <c r="BM42" s="408"/>
      <c r="BN42" s="408"/>
      <c r="BO42" s="408"/>
      <c r="BP42" s="408"/>
      <c r="BQ42" s="408"/>
      <c r="BR42" s="408"/>
      <c r="BS42" s="408"/>
      <c r="BT42" s="408"/>
      <c r="BU42" s="408"/>
      <c r="BV42" s="408">
        <v>0</v>
      </c>
      <c r="BW42" s="408"/>
      <c r="BX42" s="408"/>
      <c r="BY42" s="408"/>
      <c r="BZ42" s="408"/>
      <c r="CA42" s="408"/>
      <c r="CB42" s="408"/>
      <c r="CC42" s="408"/>
      <c r="CD42" s="408"/>
      <c r="CE42" s="408"/>
      <c r="CF42" s="408"/>
      <c r="CG42" s="408"/>
      <c r="CH42" s="408"/>
      <c r="CI42" s="408">
        <v>4142.71</v>
      </c>
      <c r="CJ42" s="408">
        <v>-2199.3700000000008</v>
      </c>
      <c r="CK42" s="408"/>
      <c r="CL42" s="408"/>
      <c r="CM42" s="408"/>
      <c r="CN42" s="408"/>
      <c r="CO42" s="408">
        <v>-2199.34</v>
      </c>
      <c r="CP42" s="408">
        <v>0</v>
      </c>
      <c r="CQ42" s="408">
        <v>31</v>
      </c>
      <c r="CR42" s="408">
        <v>104.83206434614658</v>
      </c>
      <c r="CS42" s="408">
        <v>17.121740749543847</v>
      </c>
      <c r="CT42" s="408">
        <v>26.195550922648238</v>
      </c>
      <c r="CU42" s="408">
        <v>0</v>
      </c>
      <c r="CV42" s="408">
        <v>0</v>
      </c>
      <c r="CW42" s="408"/>
      <c r="CX42" s="408"/>
      <c r="CY42" s="408"/>
      <c r="CZ42" s="408">
        <v>61.514772673954667</v>
      </c>
      <c r="DA42" s="408">
        <v>0</v>
      </c>
      <c r="DB42" s="408">
        <v>0</v>
      </c>
      <c r="DC42" s="408"/>
      <c r="DD42" s="408"/>
      <c r="DE42" s="408">
        <v>0</v>
      </c>
      <c r="DF42" s="408">
        <v>0</v>
      </c>
      <c r="DG42" s="408">
        <v>0</v>
      </c>
      <c r="DH42" s="408">
        <v>0</v>
      </c>
      <c r="DI42" s="408">
        <v>0</v>
      </c>
      <c r="DJ42" s="408"/>
      <c r="DK42" s="408">
        <v>0</v>
      </c>
      <c r="DL42" s="408">
        <v>0</v>
      </c>
      <c r="DM42" s="408"/>
      <c r="DN42" s="408">
        <v>0</v>
      </c>
      <c r="DO42" s="408">
        <v>0</v>
      </c>
      <c r="DP42" s="408">
        <v>0</v>
      </c>
      <c r="DQ42" s="408">
        <v>0</v>
      </c>
      <c r="DR42" s="408">
        <v>0</v>
      </c>
      <c r="DS42" s="408"/>
      <c r="DT42" s="408"/>
      <c r="DU42" s="408">
        <v>4106.6520188616778</v>
      </c>
      <c r="DV42" s="408"/>
      <c r="DW42" s="408">
        <v>0</v>
      </c>
      <c r="DX42" s="408">
        <v>0</v>
      </c>
      <c r="DY42" s="408">
        <v>-2199.34</v>
      </c>
      <c r="DZ42" s="408"/>
      <c r="EA42" s="408">
        <v>0</v>
      </c>
      <c r="EB42" s="408"/>
      <c r="EC42" s="408">
        <v>-2303.7894807610255</v>
      </c>
      <c r="ED42" s="408"/>
      <c r="EE42" s="408">
        <v>0</v>
      </c>
      <c r="EF42" s="408">
        <v>0</v>
      </c>
      <c r="EG42" s="408"/>
      <c r="EH42" s="408">
        <v>0</v>
      </c>
      <c r="EI42" s="408">
        <v>0</v>
      </c>
      <c r="EJ42" s="408">
        <v>0</v>
      </c>
      <c r="EK42" s="408">
        <v>0</v>
      </c>
      <c r="EL42" s="408">
        <v>0</v>
      </c>
      <c r="EM42" s="408"/>
      <c r="EN42" s="408"/>
      <c r="EO42" s="408">
        <v>0</v>
      </c>
      <c r="EP42" s="408">
        <v>0</v>
      </c>
      <c r="EQ42" s="408"/>
      <c r="ER42" s="408">
        <v>0</v>
      </c>
      <c r="ES42" s="408"/>
      <c r="ET42" s="408">
        <v>0</v>
      </c>
      <c r="EU42" s="408"/>
      <c r="EV42" s="408">
        <v>238</v>
      </c>
      <c r="EW42" s="408"/>
      <c r="EX42" s="408"/>
      <c r="EY42" s="408"/>
      <c r="EZ42" s="408"/>
      <c r="FA42" s="408">
        <v>0</v>
      </c>
      <c r="FB42" s="408"/>
      <c r="FC42" s="408"/>
      <c r="FD42" s="408"/>
      <c r="FE42" s="408"/>
      <c r="FF42" s="408">
        <v>0</v>
      </c>
      <c r="FG42" s="408">
        <v>0</v>
      </c>
      <c r="FH42" s="408">
        <v>0</v>
      </c>
      <c r="FI42" s="408">
        <v>0</v>
      </c>
    </row>
    <row r="43" spans="1:165" customFormat="1">
      <c r="A43" s="408">
        <v>43</v>
      </c>
      <c r="B43" s="408" t="s">
        <v>1036</v>
      </c>
      <c r="C43" s="408" t="s">
        <v>2235</v>
      </c>
      <c r="D43" s="408" t="s">
        <v>2247</v>
      </c>
      <c r="E43" s="408" t="s">
        <v>2248</v>
      </c>
      <c r="F43" s="408" t="s">
        <v>2249</v>
      </c>
      <c r="G43" s="408" t="s">
        <v>1322</v>
      </c>
      <c r="H43" s="408" t="s">
        <v>1322</v>
      </c>
      <c r="I43" s="408" t="s">
        <v>1322</v>
      </c>
      <c r="J43" s="408" t="s">
        <v>2236</v>
      </c>
      <c r="K43" s="824">
        <v>44378</v>
      </c>
      <c r="L43" s="408">
        <v>0</v>
      </c>
      <c r="M43" s="408">
        <v>0</v>
      </c>
      <c r="N43" s="408">
        <v>565.24599999999998</v>
      </c>
      <c r="O43" s="408">
        <v>565.24599999999998</v>
      </c>
      <c r="P43" s="408">
        <v>565.24599999999998</v>
      </c>
      <c r="Q43" s="408">
        <v>565.24599999999998</v>
      </c>
      <c r="R43" s="408"/>
      <c r="S43" s="408">
        <v>319.73</v>
      </c>
      <c r="T43" s="408">
        <v>115.17</v>
      </c>
      <c r="U43" s="408"/>
      <c r="V43" s="408">
        <v>245825.48540000001</v>
      </c>
      <c r="W43" s="408">
        <v>245825.48540000001</v>
      </c>
      <c r="X43" s="408">
        <v>187791.67858000001</v>
      </c>
      <c r="Y43" s="408">
        <v>0</v>
      </c>
      <c r="Z43" s="408">
        <v>19131.230827259056</v>
      </c>
      <c r="AA43" s="408">
        <v>0</v>
      </c>
      <c r="AB43" s="408">
        <v>0</v>
      </c>
      <c r="AC43" s="408">
        <v>0</v>
      </c>
      <c r="AD43" s="408">
        <v>23064.936307190244</v>
      </c>
      <c r="AE43" s="408">
        <v>119816.84600845459</v>
      </c>
      <c r="AF43" s="408">
        <v>64244.679100466681</v>
      </c>
      <c r="AG43" s="408">
        <v>855.85633878105295</v>
      </c>
      <c r="AH43" s="408">
        <v>0</v>
      </c>
      <c r="AI43" s="408">
        <v>0</v>
      </c>
      <c r="AJ43" s="408">
        <v>0</v>
      </c>
      <c r="AK43" s="408">
        <v>0</v>
      </c>
      <c r="AL43" s="408">
        <v>2956.3953603250602</v>
      </c>
      <c r="AM43" s="408"/>
      <c r="AN43" s="408">
        <v>566.73280821575383</v>
      </c>
      <c r="AO43" s="408">
        <v>1771.8847905988227</v>
      </c>
      <c r="AP43" s="408">
        <v>2669.0093595345047</v>
      </c>
      <c r="AQ43" s="408">
        <v>0</v>
      </c>
      <c r="AR43" s="408">
        <v>0</v>
      </c>
      <c r="AS43" s="408">
        <v>0</v>
      </c>
      <c r="AT43" s="408">
        <v>0</v>
      </c>
      <c r="AU43" s="408">
        <v>0</v>
      </c>
      <c r="AV43" s="408">
        <v>0</v>
      </c>
      <c r="AW43" s="408">
        <v>0</v>
      </c>
      <c r="AX43" s="408">
        <v>0</v>
      </c>
      <c r="AY43" s="408">
        <v>0</v>
      </c>
      <c r="AZ43" s="408">
        <v>0</v>
      </c>
      <c r="BA43" s="408"/>
      <c r="BB43" s="408">
        <v>0</v>
      </c>
      <c r="BC43" s="408">
        <v>0</v>
      </c>
      <c r="BD43" s="408">
        <v>0</v>
      </c>
      <c r="BE43" s="408">
        <v>0</v>
      </c>
      <c r="BF43" s="408">
        <v>0</v>
      </c>
      <c r="BG43" s="408">
        <v>10748.014714350931</v>
      </c>
      <c r="BH43" s="408">
        <v>0</v>
      </c>
      <c r="BI43" s="408">
        <v>313.89999999999998</v>
      </c>
      <c r="BJ43" s="408">
        <v>1413.64</v>
      </c>
      <c r="BK43" s="408">
        <v>62827.07</v>
      </c>
      <c r="BL43" s="408">
        <v>42</v>
      </c>
      <c r="BM43" s="408"/>
      <c r="BN43" s="408"/>
      <c r="BO43" s="408"/>
      <c r="BP43" s="408"/>
      <c r="BQ43" s="408"/>
      <c r="BR43" s="408"/>
      <c r="BS43" s="408"/>
      <c r="BT43" s="408"/>
      <c r="BU43" s="408"/>
      <c r="BV43" s="408">
        <v>74992.693814817612</v>
      </c>
      <c r="BW43" s="408"/>
      <c r="BX43" s="408"/>
      <c r="BY43" s="408"/>
      <c r="BZ43" s="408"/>
      <c r="CA43" s="408"/>
      <c r="CB43" s="408"/>
      <c r="CC43" s="408"/>
      <c r="CD43" s="408"/>
      <c r="CE43" s="408"/>
      <c r="CF43" s="408"/>
      <c r="CG43" s="408"/>
      <c r="CH43" s="408"/>
      <c r="CI43" s="408">
        <v>187793.00750000001</v>
      </c>
      <c r="CJ43" s="408">
        <v>-58032.507900000026</v>
      </c>
      <c r="CK43" s="408"/>
      <c r="CL43" s="408"/>
      <c r="CM43" s="408"/>
      <c r="CN43" s="408"/>
      <c r="CO43" s="408">
        <v>-65127.644120000012</v>
      </c>
      <c r="CP43" s="408">
        <v>7093.8372999999983</v>
      </c>
      <c r="CQ43" s="408">
        <v>31</v>
      </c>
      <c r="CR43" s="408">
        <v>9184.7551085594896</v>
      </c>
      <c r="CS43" s="408">
        <v>213.9232485827124</v>
      </c>
      <c r="CT43" s="408">
        <v>322.23491940258054</v>
      </c>
      <c r="CU43" s="408">
        <v>0</v>
      </c>
      <c r="CV43" s="408">
        <v>0</v>
      </c>
      <c r="CW43" s="408">
        <v>0</v>
      </c>
      <c r="CX43" s="408">
        <v>0</v>
      </c>
      <c r="CY43" s="408">
        <v>0</v>
      </c>
      <c r="CZ43" s="408">
        <v>756.12483777704256</v>
      </c>
      <c r="DA43" s="408">
        <v>0</v>
      </c>
      <c r="DB43" s="408">
        <v>0</v>
      </c>
      <c r="DC43" s="408">
        <v>7095.3613555486736</v>
      </c>
      <c r="DD43" s="408">
        <v>0</v>
      </c>
      <c r="DE43" s="408">
        <v>0</v>
      </c>
      <c r="DF43" s="408">
        <v>0</v>
      </c>
      <c r="DG43" s="408">
        <v>1187.0406906976987</v>
      </c>
      <c r="DH43" s="408">
        <v>0</v>
      </c>
      <c r="DI43" s="408">
        <v>-333.49796576468725</v>
      </c>
      <c r="DJ43" s="408"/>
      <c r="DK43" s="408">
        <v>0</v>
      </c>
      <c r="DL43" s="408">
        <v>0</v>
      </c>
      <c r="DM43" s="408">
        <v>0</v>
      </c>
      <c r="DN43" s="408">
        <v>0</v>
      </c>
      <c r="DO43" s="408">
        <v>-43.328847803656572</v>
      </c>
      <c r="DP43" s="408">
        <v>-13.103129880866391</v>
      </c>
      <c r="DQ43" s="408">
        <v>0</v>
      </c>
      <c r="DR43" s="408">
        <v>0</v>
      </c>
      <c r="DS43" s="408"/>
      <c r="DT43" s="408"/>
      <c r="DU43" s="408"/>
      <c r="DV43" s="408">
        <v>119816.84600845459</v>
      </c>
      <c r="DW43" s="408">
        <v>0</v>
      </c>
      <c r="DX43" s="408">
        <v>0</v>
      </c>
      <c r="DY43" s="408">
        <v>-65127.644119999997</v>
      </c>
      <c r="DZ43" s="408">
        <v>7093.837299999992</v>
      </c>
      <c r="EA43" s="408">
        <v>0</v>
      </c>
      <c r="EB43" s="408">
        <v>0</v>
      </c>
      <c r="EC43" s="408">
        <v>-67216.016400813824</v>
      </c>
      <c r="ED43" s="408">
        <v>0</v>
      </c>
      <c r="EE43" s="408">
        <v>0</v>
      </c>
      <c r="EF43" s="408">
        <v>0</v>
      </c>
      <c r="EG43" s="408">
        <v>0</v>
      </c>
      <c r="EH43" s="408">
        <v>0</v>
      </c>
      <c r="EI43" s="408">
        <v>0</v>
      </c>
      <c r="EJ43" s="408">
        <v>0</v>
      </c>
      <c r="EK43" s="408">
        <v>0</v>
      </c>
      <c r="EL43" s="408">
        <v>0</v>
      </c>
      <c r="EM43" s="408">
        <v>0</v>
      </c>
      <c r="EN43" s="408">
        <v>0</v>
      </c>
      <c r="EO43" s="408">
        <v>0</v>
      </c>
      <c r="EP43" s="408">
        <v>0</v>
      </c>
      <c r="EQ43" s="408">
        <v>0</v>
      </c>
      <c r="ER43" s="408">
        <v>0</v>
      </c>
      <c r="ES43" s="408">
        <v>0</v>
      </c>
      <c r="ET43" s="408">
        <v>0</v>
      </c>
      <c r="EU43" s="408">
        <v>0</v>
      </c>
      <c r="EV43" s="408">
        <v>238</v>
      </c>
      <c r="EW43" s="408">
        <v>0</v>
      </c>
      <c r="EX43" s="408">
        <v>0</v>
      </c>
      <c r="EY43" s="408">
        <v>0</v>
      </c>
      <c r="EZ43" s="408"/>
      <c r="FA43" s="408">
        <v>0</v>
      </c>
      <c r="FB43" s="408"/>
      <c r="FC43" s="408"/>
      <c r="FD43" s="408"/>
      <c r="FE43" s="408"/>
      <c r="FF43" s="408">
        <v>0</v>
      </c>
      <c r="FG43" s="408">
        <v>0</v>
      </c>
      <c r="FH43" s="408">
        <v>0</v>
      </c>
      <c r="FI43" s="408">
        <v>0</v>
      </c>
    </row>
    <row r="44" spans="1:165" customFormat="1">
      <c r="A44" s="408">
        <v>44</v>
      </c>
      <c r="B44" s="408" t="s">
        <v>1036</v>
      </c>
      <c r="C44" s="408" t="s">
        <v>2235</v>
      </c>
      <c r="D44" s="408" t="s">
        <v>1958</v>
      </c>
      <c r="E44" s="408" t="s">
        <v>1001</v>
      </c>
      <c r="F44" s="408" t="s">
        <v>2250</v>
      </c>
      <c r="G44" s="408" t="s">
        <v>1322</v>
      </c>
      <c r="H44" s="408" t="s">
        <v>1322</v>
      </c>
      <c r="I44" s="408" t="s">
        <v>1322</v>
      </c>
      <c r="J44" s="408" t="s">
        <v>2236</v>
      </c>
      <c r="K44" s="824">
        <v>44378</v>
      </c>
      <c r="L44" s="408">
        <v>0</v>
      </c>
      <c r="M44" s="408">
        <v>0</v>
      </c>
      <c r="N44" s="408">
        <v>80.024000000000001</v>
      </c>
      <c r="O44" s="408">
        <v>75.222560000000001</v>
      </c>
      <c r="P44" s="408">
        <v>80.024000000000001</v>
      </c>
      <c r="Q44" s="408">
        <v>75.222560000000001</v>
      </c>
      <c r="R44" s="408"/>
      <c r="S44" s="408">
        <v>581.32000000000005</v>
      </c>
      <c r="T44" s="408">
        <v>209.4</v>
      </c>
      <c r="U44" s="408"/>
      <c r="V44" s="408">
        <v>63276.577280000005</v>
      </c>
      <c r="W44" s="408">
        <v>63276.577280000005</v>
      </c>
      <c r="X44" s="408">
        <v>48340.097679999999</v>
      </c>
      <c r="Y44" s="408">
        <v>0</v>
      </c>
      <c r="Z44" s="408">
        <v>4924.5095079136163</v>
      </c>
      <c r="AA44" s="408">
        <v>0</v>
      </c>
      <c r="AB44" s="408">
        <v>0</v>
      </c>
      <c r="AC44" s="408">
        <v>0</v>
      </c>
      <c r="AD44" s="408">
        <v>5937.0721711402593</v>
      </c>
      <c r="AE44" s="408">
        <v>30841.674678669435</v>
      </c>
      <c r="AF44" s="408">
        <v>16537.019281180987</v>
      </c>
      <c r="AG44" s="408">
        <v>220.30326829417572</v>
      </c>
      <c r="AH44" s="408">
        <v>0</v>
      </c>
      <c r="AI44" s="408">
        <v>0</v>
      </c>
      <c r="AJ44" s="408">
        <v>0</v>
      </c>
      <c r="AK44" s="408">
        <v>0</v>
      </c>
      <c r="AL44" s="408">
        <v>760.99636204945261</v>
      </c>
      <c r="AM44" s="408"/>
      <c r="AN44" s="408">
        <v>145.88089640988949</v>
      </c>
      <c r="AO44" s="408">
        <v>456.09524954341748</v>
      </c>
      <c r="AP44" s="408">
        <v>687.02124219893665</v>
      </c>
      <c r="AQ44" s="408">
        <v>0</v>
      </c>
      <c r="AR44" s="408">
        <v>0</v>
      </c>
      <c r="AS44" s="408">
        <v>0</v>
      </c>
      <c r="AT44" s="408">
        <v>0</v>
      </c>
      <c r="AU44" s="408">
        <v>0</v>
      </c>
      <c r="AV44" s="408">
        <v>0</v>
      </c>
      <c r="AW44" s="408">
        <v>0</v>
      </c>
      <c r="AX44" s="408">
        <v>0</v>
      </c>
      <c r="AY44" s="408">
        <v>0</v>
      </c>
      <c r="AZ44" s="408">
        <v>0</v>
      </c>
      <c r="BA44" s="408"/>
      <c r="BB44" s="408">
        <v>0</v>
      </c>
      <c r="BC44" s="408">
        <v>0</v>
      </c>
      <c r="BD44" s="408">
        <v>0</v>
      </c>
      <c r="BE44" s="408">
        <v>0</v>
      </c>
      <c r="BF44" s="408">
        <v>0</v>
      </c>
      <c r="BG44" s="408">
        <v>2766.6124113980904</v>
      </c>
      <c r="BH44" s="408">
        <v>0</v>
      </c>
      <c r="BI44" s="408">
        <v>77.489999999999995</v>
      </c>
      <c r="BJ44" s="408">
        <v>349.22</v>
      </c>
      <c r="BK44" s="408">
        <v>24651.81</v>
      </c>
      <c r="BL44" s="408">
        <v>21</v>
      </c>
      <c r="BM44" s="408"/>
      <c r="BN44" s="408"/>
      <c r="BO44" s="408"/>
      <c r="BP44" s="408"/>
      <c r="BQ44" s="408">
        <v>2900.4058607999996</v>
      </c>
      <c r="BR44" s="408"/>
      <c r="BS44" s="408"/>
      <c r="BT44" s="408"/>
      <c r="BU44" s="408"/>
      <c r="BV44" s="408">
        <v>19303.631692579078</v>
      </c>
      <c r="BW44" s="408"/>
      <c r="BX44" s="408"/>
      <c r="BY44" s="408"/>
      <c r="BZ44" s="408"/>
      <c r="CA44" s="408"/>
      <c r="CB44" s="408"/>
      <c r="CC44" s="408"/>
      <c r="CD44" s="408"/>
      <c r="CE44" s="408"/>
      <c r="CF44" s="408"/>
      <c r="CG44" s="408"/>
      <c r="CH44" s="408"/>
      <c r="CI44" s="408">
        <v>45438.145399999994</v>
      </c>
      <c r="CJ44" s="408">
        <v>-14041.867243200017</v>
      </c>
      <c r="CK44" s="408"/>
      <c r="CL44" s="408"/>
      <c r="CM44" s="408"/>
      <c r="CN44" s="408"/>
      <c r="CO44" s="408">
        <v>-16763.427520000005</v>
      </c>
      <c r="CP44" s="408">
        <v>1826.9479199999987</v>
      </c>
      <c r="CQ44" s="408">
        <v>31</v>
      </c>
      <c r="CR44" s="408">
        <v>2364.2187096249763</v>
      </c>
      <c r="CS44" s="408">
        <v>55.06530557920496</v>
      </c>
      <c r="CT44" s="408">
        <v>82.945469567947384</v>
      </c>
      <c r="CU44" s="408">
        <v>0</v>
      </c>
      <c r="CV44" s="408">
        <v>0</v>
      </c>
      <c r="CW44" s="408">
        <v>0</v>
      </c>
      <c r="CX44" s="408">
        <v>0</v>
      </c>
      <c r="CY44" s="408">
        <v>0</v>
      </c>
      <c r="CZ44" s="408">
        <v>194.63169863056555</v>
      </c>
      <c r="DA44" s="408">
        <v>0</v>
      </c>
      <c r="DB44" s="408">
        <v>0</v>
      </c>
      <c r="DC44" s="408">
        <v>1826.3944841278317</v>
      </c>
      <c r="DD44" s="408">
        <v>0</v>
      </c>
      <c r="DE44" s="408">
        <v>0</v>
      </c>
      <c r="DF44" s="408">
        <v>0</v>
      </c>
      <c r="DG44" s="408">
        <v>305.55238292834747</v>
      </c>
      <c r="DH44" s="408">
        <v>0</v>
      </c>
      <c r="DI44" s="408">
        <v>-85.844654643850845</v>
      </c>
      <c r="DJ44" s="408"/>
      <c r="DK44" s="408">
        <v>0</v>
      </c>
      <c r="DL44" s="408">
        <v>0</v>
      </c>
      <c r="DM44" s="408">
        <v>0</v>
      </c>
      <c r="DN44" s="408">
        <v>0</v>
      </c>
      <c r="DO44" s="408">
        <v>-11.153141421095938</v>
      </c>
      <c r="DP44" s="408">
        <v>-3.3728351439790458</v>
      </c>
      <c r="DQ44" s="408">
        <v>0</v>
      </c>
      <c r="DR44" s="408">
        <v>0</v>
      </c>
      <c r="DS44" s="408"/>
      <c r="DT44" s="408"/>
      <c r="DU44" s="408"/>
      <c r="DV44" s="408">
        <v>30841.674678669435</v>
      </c>
      <c r="DW44" s="408">
        <v>0</v>
      </c>
      <c r="DX44" s="408">
        <v>0</v>
      </c>
      <c r="DY44" s="408">
        <v>-16763.427520000005</v>
      </c>
      <c r="DZ44" s="408">
        <v>1826.9479199999987</v>
      </c>
      <c r="EA44" s="408">
        <v>0</v>
      </c>
      <c r="EB44" s="408">
        <v>0</v>
      </c>
      <c r="EC44" s="408">
        <v>-17301.861800666367</v>
      </c>
      <c r="ED44" s="408">
        <v>0</v>
      </c>
      <c r="EE44" s="408">
        <v>0</v>
      </c>
      <c r="EF44" s="408">
        <v>0</v>
      </c>
      <c r="EG44" s="408">
        <v>0</v>
      </c>
      <c r="EH44" s="408">
        <v>0</v>
      </c>
      <c r="EI44" s="408">
        <v>0</v>
      </c>
      <c r="EJ44" s="408">
        <v>0</v>
      </c>
      <c r="EK44" s="408">
        <v>0</v>
      </c>
      <c r="EL44" s="408">
        <v>0</v>
      </c>
      <c r="EM44" s="408">
        <v>0</v>
      </c>
      <c r="EN44" s="408">
        <v>0</v>
      </c>
      <c r="EO44" s="408">
        <v>0</v>
      </c>
      <c r="EP44" s="408">
        <v>0</v>
      </c>
      <c r="EQ44" s="408">
        <v>0</v>
      </c>
      <c r="ER44" s="408">
        <v>0</v>
      </c>
      <c r="ES44" s="408">
        <v>0</v>
      </c>
      <c r="ET44" s="408">
        <v>0</v>
      </c>
      <c r="EU44" s="408">
        <v>0</v>
      </c>
      <c r="EV44" s="408">
        <v>238</v>
      </c>
      <c r="EW44" s="408">
        <v>0</v>
      </c>
      <c r="EX44" s="408">
        <v>0</v>
      </c>
      <c r="EY44" s="408">
        <v>0</v>
      </c>
      <c r="EZ44" s="408"/>
      <c r="FA44" s="408">
        <v>0</v>
      </c>
      <c r="FB44" s="408"/>
      <c r="FC44" s="408"/>
      <c r="FD44" s="408"/>
      <c r="FE44" s="408"/>
      <c r="FF44" s="408">
        <v>0</v>
      </c>
      <c r="FG44" s="408">
        <v>0</v>
      </c>
      <c r="FH44" s="408">
        <v>0</v>
      </c>
      <c r="FI44" s="408">
        <v>0</v>
      </c>
    </row>
    <row r="45" spans="1:165" customFormat="1">
      <c r="A45" s="408">
        <v>45</v>
      </c>
      <c r="B45" s="408" t="s">
        <v>1036</v>
      </c>
      <c r="C45" s="408" t="s">
        <v>2235</v>
      </c>
      <c r="D45" s="408" t="s">
        <v>1958</v>
      </c>
      <c r="E45" s="408" t="s">
        <v>2251</v>
      </c>
      <c r="F45" s="408" t="s">
        <v>1322</v>
      </c>
      <c r="G45" s="408" t="s">
        <v>1322</v>
      </c>
      <c r="H45" s="408" t="s">
        <v>1322</v>
      </c>
      <c r="I45" s="408" t="s">
        <v>1322</v>
      </c>
      <c r="J45" s="408" t="s">
        <v>2236</v>
      </c>
      <c r="K45" s="824">
        <v>44378</v>
      </c>
      <c r="L45" s="408">
        <v>0</v>
      </c>
      <c r="M45" s="408">
        <v>0</v>
      </c>
      <c r="N45" s="408">
        <v>26.690999999999999</v>
      </c>
      <c r="O45" s="408">
        <v>26.690999999999999</v>
      </c>
      <c r="P45" s="408">
        <v>26.690999999999999</v>
      </c>
      <c r="Q45" s="408">
        <v>26.690999999999999</v>
      </c>
      <c r="R45" s="408"/>
      <c r="S45" s="408">
        <v>581.32000000000005</v>
      </c>
      <c r="T45" s="408">
        <v>209.4</v>
      </c>
      <c r="U45" s="408"/>
      <c r="V45" s="408">
        <v>21105.107520000001</v>
      </c>
      <c r="W45" s="408">
        <v>21105.107520000001</v>
      </c>
      <c r="X45" s="408">
        <v>16123.232369999998</v>
      </c>
      <c r="Y45" s="408">
        <v>0</v>
      </c>
      <c r="Z45" s="408">
        <v>1642.508288459991</v>
      </c>
      <c r="AA45" s="408">
        <v>0</v>
      </c>
      <c r="AB45" s="408">
        <v>0</v>
      </c>
      <c r="AC45" s="408">
        <v>0</v>
      </c>
      <c r="AD45" s="408">
        <v>1980.2358457450846</v>
      </c>
      <c r="AE45" s="408">
        <v>10286.853179650678</v>
      </c>
      <c r="AF45" s="408">
        <v>5515.7150559082484</v>
      </c>
      <c r="AG45" s="408">
        <v>73.479387859140303</v>
      </c>
      <c r="AH45" s="408">
        <v>0</v>
      </c>
      <c r="AI45" s="408">
        <v>0</v>
      </c>
      <c r="AJ45" s="408">
        <v>0</v>
      </c>
      <c r="AK45" s="408">
        <v>0</v>
      </c>
      <c r="AL45" s="408">
        <v>253.82077751002123</v>
      </c>
      <c r="AM45" s="408"/>
      <c r="AN45" s="408">
        <v>48.656740553788367</v>
      </c>
      <c r="AO45" s="408">
        <v>152.12484136713181</v>
      </c>
      <c r="AP45" s="408">
        <v>229.14730550249695</v>
      </c>
      <c r="AQ45" s="408">
        <v>0</v>
      </c>
      <c r="AR45" s="408">
        <v>0</v>
      </c>
      <c r="AS45" s="408">
        <v>0</v>
      </c>
      <c r="AT45" s="408">
        <v>0</v>
      </c>
      <c r="AU45" s="408">
        <v>0</v>
      </c>
      <c r="AV45" s="408">
        <v>0</v>
      </c>
      <c r="AW45" s="408">
        <v>0</v>
      </c>
      <c r="AX45" s="408">
        <v>0</v>
      </c>
      <c r="AY45" s="408">
        <v>0</v>
      </c>
      <c r="AZ45" s="408">
        <v>0</v>
      </c>
      <c r="BA45" s="408"/>
      <c r="BB45" s="408">
        <v>0</v>
      </c>
      <c r="BC45" s="408">
        <v>0</v>
      </c>
      <c r="BD45" s="408">
        <v>0</v>
      </c>
      <c r="BE45" s="408">
        <v>0</v>
      </c>
      <c r="BF45" s="408">
        <v>0</v>
      </c>
      <c r="BG45" s="408">
        <v>922.76881776250161</v>
      </c>
      <c r="BH45" s="408">
        <v>0</v>
      </c>
      <c r="BI45" s="408">
        <v>27.36</v>
      </c>
      <c r="BJ45" s="408">
        <v>123.52</v>
      </c>
      <c r="BK45" s="408">
        <v>8235.48</v>
      </c>
      <c r="BL45" s="408">
        <v>19</v>
      </c>
      <c r="BM45" s="408"/>
      <c r="BN45" s="408"/>
      <c r="BO45" s="408"/>
      <c r="BP45" s="408"/>
      <c r="BQ45" s="408"/>
      <c r="BR45" s="408"/>
      <c r="BS45" s="408"/>
      <c r="BT45" s="408"/>
      <c r="BU45" s="408"/>
      <c r="BV45" s="408">
        <v>6438.4838736707497</v>
      </c>
      <c r="BW45" s="408"/>
      <c r="BX45" s="408"/>
      <c r="BY45" s="408"/>
      <c r="BZ45" s="408"/>
      <c r="CA45" s="408"/>
      <c r="CB45" s="408"/>
      <c r="CC45" s="408"/>
      <c r="CD45" s="408"/>
      <c r="CE45" s="408"/>
      <c r="CF45" s="408"/>
      <c r="CG45" s="408"/>
      <c r="CH45" s="408"/>
      <c r="CI45" s="408">
        <v>16122.6283</v>
      </c>
      <c r="CJ45" s="408">
        <v>-4982.5092199999999</v>
      </c>
      <c r="CK45" s="408"/>
      <c r="CL45" s="408"/>
      <c r="CM45" s="408"/>
      <c r="CN45" s="408"/>
      <c r="CO45" s="408">
        <v>-5591.2306800000015</v>
      </c>
      <c r="CP45" s="408">
        <v>609.35552999999959</v>
      </c>
      <c r="CQ45" s="408">
        <v>31</v>
      </c>
      <c r="CR45" s="408">
        <v>788.55545309657282</v>
      </c>
      <c r="CS45" s="408">
        <v>18.366340987885621</v>
      </c>
      <c r="CT45" s="408">
        <v>27.665419477132929</v>
      </c>
      <c r="CU45" s="408">
        <v>0</v>
      </c>
      <c r="CV45" s="408">
        <v>0</v>
      </c>
      <c r="CW45" s="408">
        <v>0</v>
      </c>
      <c r="CX45" s="408">
        <v>0</v>
      </c>
      <c r="CY45" s="408">
        <v>0</v>
      </c>
      <c r="CZ45" s="408">
        <v>64.916958264376035</v>
      </c>
      <c r="DA45" s="408">
        <v>0</v>
      </c>
      <c r="DB45" s="408">
        <v>0</v>
      </c>
      <c r="DC45" s="408">
        <v>609.17093841667429</v>
      </c>
      <c r="DD45" s="408">
        <v>0</v>
      </c>
      <c r="DE45" s="408">
        <v>0</v>
      </c>
      <c r="DF45" s="408">
        <v>0</v>
      </c>
      <c r="DG45" s="408">
        <v>101.91315921149294</v>
      </c>
      <c r="DH45" s="408">
        <v>0</v>
      </c>
      <c r="DI45" s="408">
        <v>-28.632406241865283</v>
      </c>
      <c r="DJ45" s="408"/>
      <c r="DK45" s="408">
        <v>0</v>
      </c>
      <c r="DL45" s="408">
        <v>0</v>
      </c>
      <c r="DM45" s="408">
        <v>0</v>
      </c>
      <c r="DN45" s="408">
        <v>0</v>
      </c>
      <c r="DO45" s="408">
        <v>-3.7199902238137383</v>
      </c>
      <c r="DP45" s="408">
        <v>-1.1249667953107192</v>
      </c>
      <c r="DQ45" s="408">
        <v>0</v>
      </c>
      <c r="DR45" s="408">
        <v>0</v>
      </c>
      <c r="DS45" s="408"/>
      <c r="DT45" s="408"/>
      <c r="DU45" s="408"/>
      <c r="DV45" s="408">
        <v>10286.853179650678</v>
      </c>
      <c r="DW45" s="408">
        <v>0</v>
      </c>
      <c r="DX45" s="408">
        <v>0</v>
      </c>
      <c r="DY45" s="408">
        <v>-5591.2306800000024</v>
      </c>
      <c r="DZ45" s="408">
        <v>609.35552999999891</v>
      </c>
      <c r="EA45" s="408">
        <v>0</v>
      </c>
      <c r="EB45" s="408">
        <v>0</v>
      </c>
      <c r="EC45" s="408">
        <v>-5770.8186709185493</v>
      </c>
      <c r="ED45" s="408">
        <v>0</v>
      </c>
      <c r="EE45" s="408">
        <v>0</v>
      </c>
      <c r="EF45" s="408">
        <v>0</v>
      </c>
      <c r="EG45" s="408">
        <v>0</v>
      </c>
      <c r="EH45" s="408">
        <v>0</v>
      </c>
      <c r="EI45" s="408">
        <v>0</v>
      </c>
      <c r="EJ45" s="408">
        <v>0</v>
      </c>
      <c r="EK45" s="408">
        <v>0</v>
      </c>
      <c r="EL45" s="408">
        <v>0</v>
      </c>
      <c r="EM45" s="408">
        <v>0</v>
      </c>
      <c r="EN45" s="408">
        <v>0</v>
      </c>
      <c r="EO45" s="408">
        <v>0</v>
      </c>
      <c r="EP45" s="408">
        <v>0</v>
      </c>
      <c r="EQ45" s="408">
        <v>0</v>
      </c>
      <c r="ER45" s="408">
        <v>0</v>
      </c>
      <c r="ES45" s="408">
        <v>0</v>
      </c>
      <c r="ET45" s="408">
        <v>0</v>
      </c>
      <c r="EU45" s="408">
        <v>0</v>
      </c>
      <c r="EV45" s="408">
        <v>238</v>
      </c>
      <c r="EW45" s="408">
        <v>0</v>
      </c>
      <c r="EX45" s="408">
        <v>0</v>
      </c>
      <c r="EY45" s="408">
        <v>0</v>
      </c>
      <c r="EZ45" s="408"/>
      <c r="FA45" s="408">
        <v>0</v>
      </c>
      <c r="FB45" s="408"/>
      <c r="FC45" s="408"/>
      <c r="FD45" s="408"/>
      <c r="FE45" s="408"/>
      <c r="FF45" s="408">
        <v>0</v>
      </c>
      <c r="FG45" s="408">
        <v>0</v>
      </c>
      <c r="FH45" s="408">
        <v>0</v>
      </c>
      <c r="FI45" s="408">
        <v>0</v>
      </c>
    </row>
    <row r="46" spans="1:165" customFormat="1">
      <c r="A46" s="408">
        <v>46</v>
      </c>
      <c r="B46" s="408" t="s">
        <v>1036</v>
      </c>
      <c r="C46" s="408" t="s">
        <v>2235</v>
      </c>
      <c r="D46" s="408" t="s">
        <v>2245</v>
      </c>
      <c r="E46" s="408" t="s">
        <v>974</v>
      </c>
      <c r="F46" s="408" t="s">
        <v>2252</v>
      </c>
      <c r="G46" s="408" t="s">
        <v>2253</v>
      </c>
      <c r="H46" s="408" t="s">
        <v>1322</v>
      </c>
      <c r="I46" s="408" t="s">
        <v>1322</v>
      </c>
      <c r="J46" s="408" t="s">
        <v>2236</v>
      </c>
      <c r="K46" s="824">
        <v>44378</v>
      </c>
      <c r="L46" s="408">
        <v>0</v>
      </c>
      <c r="M46" s="408">
        <v>0</v>
      </c>
      <c r="N46" s="408">
        <v>0</v>
      </c>
      <c r="O46" s="408">
        <v>0</v>
      </c>
      <c r="P46" s="408">
        <v>0</v>
      </c>
      <c r="Q46" s="408">
        <v>0</v>
      </c>
      <c r="R46" s="408"/>
      <c r="S46" s="408"/>
      <c r="T46" s="408"/>
      <c r="U46" s="408"/>
      <c r="V46" s="408"/>
      <c r="W46" s="408"/>
      <c r="X46" s="408"/>
      <c r="Y46" s="408"/>
      <c r="Z46" s="408"/>
      <c r="AA46" s="408">
        <v>0</v>
      </c>
      <c r="AB46" s="408"/>
      <c r="AC46" s="408"/>
      <c r="AD46" s="408"/>
      <c r="AE46" s="408"/>
      <c r="AF46" s="408"/>
      <c r="AG46" s="408"/>
      <c r="AH46" s="408"/>
      <c r="AI46" s="408"/>
      <c r="AJ46" s="408"/>
      <c r="AK46" s="408"/>
      <c r="AL46" s="408"/>
      <c r="AM46" s="408"/>
      <c r="AN46" s="408"/>
      <c r="AO46" s="408"/>
      <c r="AP46" s="408"/>
      <c r="AQ46" s="408"/>
      <c r="AR46" s="408"/>
      <c r="AS46" s="408"/>
      <c r="AT46" s="408"/>
      <c r="AU46" s="408"/>
      <c r="AV46" s="408"/>
      <c r="AW46" s="408"/>
      <c r="AX46" s="408"/>
      <c r="AY46" s="408"/>
      <c r="AZ46" s="408">
        <v>0</v>
      </c>
      <c r="BA46" s="408"/>
      <c r="BB46" s="408"/>
      <c r="BC46" s="408"/>
      <c r="BD46" s="408"/>
      <c r="BE46" s="408"/>
      <c r="BF46" s="408"/>
      <c r="BG46" s="408"/>
      <c r="BH46" s="408"/>
      <c r="BI46" s="408">
        <v>41.61</v>
      </c>
      <c r="BJ46" s="408">
        <v>189.54</v>
      </c>
      <c r="BK46" s="408">
        <v>1086.08</v>
      </c>
      <c r="BL46" s="408">
        <v>123</v>
      </c>
      <c r="BM46" s="408"/>
      <c r="BN46" s="408"/>
      <c r="BO46" s="408"/>
      <c r="BP46" s="408"/>
      <c r="BQ46" s="408"/>
      <c r="BR46" s="408"/>
      <c r="BS46" s="408"/>
      <c r="BT46" s="408"/>
      <c r="BU46" s="408"/>
      <c r="BV46" s="408"/>
      <c r="BW46" s="408"/>
      <c r="BX46" s="408"/>
      <c r="BY46" s="408"/>
      <c r="BZ46" s="408"/>
      <c r="CA46" s="408"/>
      <c r="CB46" s="408"/>
      <c r="CC46" s="408"/>
      <c r="CD46" s="408"/>
      <c r="CE46" s="408"/>
      <c r="CF46" s="408"/>
      <c r="CG46" s="408"/>
      <c r="CH46" s="408"/>
      <c r="CI46" s="408"/>
      <c r="CJ46" s="408">
        <v>-0.03</v>
      </c>
      <c r="CK46" s="408"/>
      <c r="CL46" s="408"/>
      <c r="CM46" s="408"/>
      <c r="CN46" s="408"/>
      <c r="CO46" s="408">
        <v>0</v>
      </c>
      <c r="CP46" s="408">
        <v>0</v>
      </c>
      <c r="CQ46" s="408">
        <v>31</v>
      </c>
      <c r="CR46" s="408"/>
      <c r="CS46" s="408"/>
      <c r="CT46" s="408"/>
      <c r="CU46" s="408"/>
      <c r="CV46" s="408"/>
      <c r="CW46" s="408"/>
      <c r="CX46" s="408"/>
      <c r="CY46" s="408"/>
      <c r="CZ46" s="408"/>
      <c r="DA46" s="408"/>
      <c r="DB46" s="408"/>
      <c r="DC46" s="408"/>
      <c r="DD46" s="408"/>
      <c r="DE46" s="408"/>
      <c r="DF46" s="408"/>
      <c r="DG46" s="408"/>
      <c r="DH46" s="408"/>
      <c r="DI46" s="408"/>
      <c r="DJ46" s="408"/>
      <c r="DK46" s="408">
        <v>0</v>
      </c>
      <c r="DL46" s="408"/>
      <c r="DM46" s="408"/>
      <c r="DN46" s="408"/>
      <c r="DO46" s="408"/>
      <c r="DP46" s="408"/>
      <c r="DQ46" s="408"/>
      <c r="DR46" s="408"/>
      <c r="DS46" s="408"/>
      <c r="DT46" s="408"/>
      <c r="DU46" s="408"/>
      <c r="DV46" s="408"/>
      <c r="DW46" s="408"/>
      <c r="DX46" s="408"/>
      <c r="DY46" s="408"/>
      <c r="DZ46" s="408"/>
      <c r="EA46" s="408"/>
      <c r="EB46" s="408"/>
      <c r="EC46" s="408"/>
      <c r="ED46" s="408"/>
      <c r="EE46" s="408"/>
      <c r="EF46" s="408"/>
      <c r="EG46" s="408"/>
      <c r="EH46" s="408"/>
      <c r="EI46" s="408"/>
      <c r="EJ46" s="408"/>
      <c r="EK46" s="408"/>
      <c r="EL46" s="408"/>
      <c r="EM46" s="408"/>
      <c r="EN46" s="408"/>
      <c r="EO46" s="408"/>
      <c r="EP46" s="408"/>
      <c r="EQ46" s="408"/>
      <c r="ER46" s="408"/>
      <c r="ES46" s="408"/>
      <c r="ET46" s="408"/>
      <c r="EU46" s="408"/>
      <c r="EV46" s="408">
        <v>238</v>
      </c>
      <c r="EW46" s="408"/>
      <c r="EX46" s="408"/>
      <c r="EY46" s="408"/>
      <c r="EZ46" s="408"/>
      <c r="FA46" s="408">
        <v>0</v>
      </c>
      <c r="FB46" s="408"/>
      <c r="FC46" s="408"/>
      <c r="FD46" s="408"/>
      <c r="FE46" s="408"/>
      <c r="FF46" s="408">
        <v>0</v>
      </c>
      <c r="FG46" s="408">
        <v>0</v>
      </c>
      <c r="FH46" s="408">
        <v>0</v>
      </c>
      <c r="FI46" s="408">
        <v>0</v>
      </c>
    </row>
    <row r="47" spans="1:165" customFormat="1">
      <c r="A47" s="408">
        <v>47</v>
      </c>
      <c r="B47" s="408" t="s">
        <v>2238</v>
      </c>
      <c r="C47" s="408" t="s">
        <v>2235</v>
      </c>
      <c r="D47" s="408" t="s">
        <v>2245</v>
      </c>
      <c r="E47" s="408" t="s">
        <v>974</v>
      </c>
      <c r="F47" s="408" t="s">
        <v>2252</v>
      </c>
      <c r="G47" s="408" t="s">
        <v>2253</v>
      </c>
      <c r="H47" s="408" t="s">
        <v>1322</v>
      </c>
      <c r="I47" s="408" t="s">
        <v>1322</v>
      </c>
      <c r="J47" s="408" t="s">
        <v>2236</v>
      </c>
      <c r="K47" s="824">
        <v>44378</v>
      </c>
      <c r="L47" s="408">
        <v>0</v>
      </c>
      <c r="M47" s="408">
        <v>0</v>
      </c>
      <c r="N47" s="408">
        <v>0</v>
      </c>
      <c r="O47" s="408">
        <v>0</v>
      </c>
      <c r="P47" s="408">
        <v>0</v>
      </c>
      <c r="Q47" s="408">
        <v>0</v>
      </c>
      <c r="R47" s="408"/>
      <c r="S47" s="408"/>
      <c r="T47" s="408"/>
      <c r="U47" s="408"/>
      <c r="V47" s="408"/>
      <c r="W47" s="408"/>
      <c r="X47" s="408"/>
      <c r="Y47" s="408"/>
      <c r="Z47" s="408"/>
      <c r="AA47" s="408">
        <v>0</v>
      </c>
      <c r="AB47" s="408"/>
      <c r="AC47" s="408"/>
      <c r="AD47" s="408"/>
      <c r="AE47" s="408"/>
      <c r="AF47" s="408"/>
      <c r="AG47" s="408"/>
      <c r="AH47" s="408"/>
      <c r="AI47" s="408"/>
      <c r="AJ47" s="408"/>
      <c r="AK47" s="408"/>
      <c r="AL47" s="408"/>
      <c r="AM47" s="408"/>
      <c r="AN47" s="408"/>
      <c r="AO47" s="408"/>
      <c r="AP47" s="408"/>
      <c r="AQ47" s="408"/>
      <c r="AR47" s="408"/>
      <c r="AS47" s="408"/>
      <c r="AT47" s="408"/>
      <c r="AU47" s="408"/>
      <c r="AV47" s="408"/>
      <c r="AW47" s="408"/>
      <c r="AX47" s="408"/>
      <c r="AY47" s="408"/>
      <c r="AZ47" s="408">
        <v>0</v>
      </c>
      <c r="BA47" s="408"/>
      <c r="BB47" s="408"/>
      <c r="BC47" s="408"/>
      <c r="BD47" s="408"/>
      <c r="BE47" s="408"/>
      <c r="BF47" s="408"/>
      <c r="BG47" s="408"/>
      <c r="BH47" s="408"/>
      <c r="BI47" s="408">
        <v>2.75</v>
      </c>
      <c r="BJ47" s="408">
        <v>12.51</v>
      </c>
      <c r="BK47" s="408">
        <v>150.01</v>
      </c>
      <c r="BL47" s="408">
        <v>16</v>
      </c>
      <c r="BM47" s="408"/>
      <c r="BN47" s="408"/>
      <c r="BO47" s="408"/>
      <c r="BP47" s="408"/>
      <c r="BQ47" s="408"/>
      <c r="BR47" s="408"/>
      <c r="BS47" s="408"/>
      <c r="BT47" s="408"/>
      <c r="BU47" s="408"/>
      <c r="BV47" s="408"/>
      <c r="BW47" s="408"/>
      <c r="BX47" s="408"/>
      <c r="BY47" s="408"/>
      <c r="BZ47" s="408"/>
      <c r="CA47" s="408"/>
      <c r="CB47" s="408"/>
      <c r="CC47" s="408"/>
      <c r="CD47" s="408"/>
      <c r="CE47" s="408"/>
      <c r="CF47" s="408"/>
      <c r="CG47" s="408"/>
      <c r="CH47" s="408"/>
      <c r="CI47" s="408"/>
      <c r="CJ47" s="408">
        <v>-0.03</v>
      </c>
      <c r="CK47" s="408"/>
      <c r="CL47" s="408"/>
      <c r="CM47" s="408"/>
      <c r="CN47" s="408"/>
      <c r="CO47" s="408">
        <v>0</v>
      </c>
      <c r="CP47" s="408">
        <v>0</v>
      </c>
      <c r="CQ47" s="408">
        <v>31</v>
      </c>
      <c r="CR47" s="408"/>
      <c r="CS47" s="408"/>
      <c r="CT47" s="408"/>
      <c r="CU47" s="408"/>
      <c r="CV47" s="408"/>
      <c r="CW47" s="408"/>
      <c r="CX47" s="408"/>
      <c r="CY47" s="408"/>
      <c r="CZ47" s="408"/>
      <c r="DA47" s="408"/>
      <c r="DB47" s="408"/>
      <c r="DC47" s="408"/>
      <c r="DD47" s="408"/>
      <c r="DE47" s="408"/>
      <c r="DF47" s="408"/>
      <c r="DG47" s="408"/>
      <c r="DH47" s="408"/>
      <c r="DI47" s="408"/>
      <c r="DJ47" s="408"/>
      <c r="DK47" s="408">
        <v>0</v>
      </c>
      <c r="DL47" s="408"/>
      <c r="DM47" s="408"/>
      <c r="DN47" s="408"/>
      <c r="DO47" s="408"/>
      <c r="DP47" s="408"/>
      <c r="DQ47" s="408"/>
      <c r="DR47" s="408"/>
      <c r="DS47" s="408"/>
      <c r="DT47" s="408"/>
      <c r="DU47" s="408"/>
      <c r="DV47" s="408"/>
      <c r="DW47" s="408"/>
      <c r="DX47" s="408"/>
      <c r="DY47" s="408"/>
      <c r="DZ47" s="408"/>
      <c r="EA47" s="408"/>
      <c r="EB47" s="408"/>
      <c r="EC47" s="408"/>
      <c r="ED47" s="408"/>
      <c r="EE47" s="408"/>
      <c r="EF47" s="408"/>
      <c r="EG47" s="408"/>
      <c r="EH47" s="408"/>
      <c r="EI47" s="408"/>
      <c r="EJ47" s="408"/>
      <c r="EK47" s="408"/>
      <c r="EL47" s="408"/>
      <c r="EM47" s="408"/>
      <c r="EN47" s="408"/>
      <c r="EO47" s="408"/>
      <c r="EP47" s="408"/>
      <c r="EQ47" s="408"/>
      <c r="ER47" s="408"/>
      <c r="ES47" s="408"/>
      <c r="ET47" s="408"/>
      <c r="EU47" s="408"/>
      <c r="EV47" s="408">
        <v>238</v>
      </c>
      <c r="EW47" s="408"/>
      <c r="EX47" s="408"/>
      <c r="EY47" s="408"/>
      <c r="EZ47" s="408"/>
      <c r="FA47" s="408">
        <v>0</v>
      </c>
      <c r="FB47" s="408"/>
      <c r="FC47" s="408"/>
      <c r="FD47" s="408"/>
      <c r="FE47" s="408"/>
      <c r="FF47" s="408">
        <v>0</v>
      </c>
      <c r="FG47" s="408">
        <v>0</v>
      </c>
      <c r="FH47" s="408">
        <v>0</v>
      </c>
      <c r="FI47" s="408">
        <v>0</v>
      </c>
    </row>
    <row r="48" spans="1:165" customFormat="1">
      <c r="A48" s="408">
        <v>48</v>
      </c>
      <c r="B48" s="408" t="s">
        <v>1036</v>
      </c>
      <c r="C48" s="408" t="s">
        <v>2235</v>
      </c>
      <c r="D48" s="408" t="s">
        <v>2245</v>
      </c>
      <c r="E48" s="408" t="s">
        <v>974</v>
      </c>
      <c r="F48" s="408" t="s">
        <v>2252</v>
      </c>
      <c r="G48" s="408" t="s">
        <v>2253</v>
      </c>
      <c r="H48" s="408" t="s">
        <v>1322</v>
      </c>
      <c r="I48" s="408" t="s">
        <v>1322</v>
      </c>
      <c r="J48" s="408" t="s">
        <v>2236</v>
      </c>
      <c r="K48" s="824">
        <v>44378</v>
      </c>
      <c r="L48" s="408">
        <v>0</v>
      </c>
      <c r="M48" s="408">
        <v>0</v>
      </c>
      <c r="N48" s="408">
        <v>51.761000000000003</v>
      </c>
      <c r="O48" s="408">
        <v>51.761000000000003</v>
      </c>
      <c r="P48" s="408">
        <v>51.761000000000003</v>
      </c>
      <c r="Q48" s="408">
        <v>51.761000000000003</v>
      </c>
      <c r="R48" s="408"/>
      <c r="S48" s="408">
        <v>581.32000000000005</v>
      </c>
      <c r="T48" s="408">
        <v>209.4</v>
      </c>
      <c r="U48" s="408"/>
      <c r="V48" s="408">
        <v>40928.457920000001</v>
      </c>
      <c r="W48" s="408">
        <v>40928.457920000001</v>
      </c>
      <c r="X48" s="408">
        <v>31267.267269999997</v>
      </c>
      <c r="Y48" s="408">
        <v>0</v>
      </c>
      <c r="Z48" s="408">
        <v>3185.2636289002885</v>
      </c>
      <c r="AA48" s="408">
        <v>0</v>
      </c>
      <c r="AB48" s="408">
        <v>0</v>
      </c>
      <c r="AC48" s="408">
        <v>0</v>
      </c>
      <c r="AD48" s="408">
        <v>3840.207845776154</v>
      </c>
      <c r="AE48" s="408">
        <v>19948.96434872799</v>
      </c>
      <c r="AF48" s="408">
        <v>10696.449252889246</v>
      </c>
      <c r="AG48" s="408">
        <v>142.49621951133199</v>
      </c>
      <c r="AH48" s="408">
        <v>0</v>
      </c>
      <c r="AI48" s="408">
        <v>0</v>
      </c>
      <c r="AJ48" s="408">
        <v>0</v>
      </c>
      <c r="AK48" s="408">
        <v>0</v>
      </c>
      <c r="AL48" s="408">
        <v>492.22649075329548</v>
      </c>
      <c r="AM48" s="408"/>
      <c r="AN48" s="408">
        <v>94.35845595161814</v>
      </c>
      <c r="AO48" s="408">
        <v>295.01082439789104</v>
      </c>
      <c r="AP48" s="408">
        <v>444.37801806282067</v>
      </c>
      <c r="AQ48" s="408">
        <v>0</v>
      </c>
      <c r="AR48" s="408">
        <v>0</v>
      </c>
      <c r="AS48" s="408">
        <v>0</v>
      </c>
      <c r="AT48" s="408">
        <v>0</v>
      </c>
      <c r="AU48" s="408">
        <v>0</v>
      </c>
      <c r="AV48" s="408">
        <v>0</v>
      </c>
      <c r="AW48" s="408">
        <v>0</v>
      </c>
      <c r="AX48" s="408">
        <v>0</v>
      </c>
      <c r="AY48" s="408">
        <v>0</v>
      </c>
      <c r="AZ48" s="408">
        <v>0</v>
      </c>
      <c r="BA48" s="408"/>
      <c r="BB48" s="408">
        <v>0</v>
      </c>
      <c r="BC48" s="408">
        <v>0</v>
      </c>
      <c r="BD48" s="408">
        <v>0</v>
      </c>
      <c r="BE48" s="408">
        <v>0</v>
      </c>
      <c r="BF48" s="408">
        <v>0</v>
      </c>
      <c r="BG48" s="408">
        <v>1789.495964040495</v>
      </c>
      <c r="BH48" s="408">
        <v>0</v>
      </c>
      <c r="BI48" s="408">
        <v>0</v>
      </c>
      <c r="BJ48" s="408">
        <v>0</v>
      </c>
      <c r="BK48" s="408">
        <v>0</v>
      </c>
      <c r="BL48" s="408">
        <v>0</v>
      </c>
      <c r="BM48" s="408"/>
      <c r="BN48" s="408"/>
      <c r="BO48" s="408"/>
      <c r="BP48" s="408"/>
      <c r="BQ48" s="408"/>
      <c r="BR48" s="408">
        <v>3752.1548899999962</v>
      </c>
      <c r="BS48" s="408"/>
      <c r="BT48" s="408"/>
      <c r="BU48" s="408"/>
      <c r="BV48" s="408">
        <v>12485.94521692974</v>
      </c>
      <c r="BW48" s="408"/>
      <c r="BX48" s="408"/>
      <c r="BY48" s="408"/>
      <c r="BZ48" s="408"/>
      <c r="CA48" s="408"/>
      <c r="CB48" s="408"/>
      <c r="CC48" s="408"/>
      <c r="CD48" s="408"/>
      <c r="CE48" s="408"/>
      <c r="CF48" s="408"/>
      <c r="CG48" s="408"/>
      <c r="CH48" s="408"/>
      <c r="CI48" s="408">
        <v>27514.580800000003</v>
      </c>
      <c r="CJ48" s="408">
        <v>-8503.3410500000027</v>
      </c>
      <c r="CK48" s="408"/>
      <c r="CL48" s="408"/>
      <c r="CM48" s="408"/>
      <c r="CN48" s="408"/>
      <c r="CO48" s="408">
        <v>-10842.894280000004</v>
      </c>
      <c r="CP48" s="408">
        <v>1181.7036299999993</v>
      </c>
      <c r="CQ48" s="408">
        <v>31</v>
      </c>
      <c r="CR48" s="408">
        <v>1529.220291773694</v>
      </c>
      <c r="CS48" s="408">
        <v>35.617255849310595</v>
      </c>
      <c r="CT48" s="408">
        <v>53.650660430702374</v>
      </c>
      <c r="CU48" s="408">
        <v>0</v>
      </c>
      <c r="CV48" s="408">
        <v>0</v>
      </c>
      <c r="CW48" s="408">
        <v>0</v>
      </c>
      <c r="CX48" s="408">
        <v>0</v>
      </c>
      <c r="CY48" s="408">
        <v>0</v>
      </c>
      <c r="CZ48" s="408">
        <v>125.89137449785994</v>
      </c>
      <c r="DA48" s="408">
        <v>0</v>
      </c>
      <c r="DB48" s="408">
        <v>0</v>
      </c>
      <c r="DC48" s="408">
        <v>1181.3456574645188</v>
      </c>
      <c r="DD48" s="408">
        <v>0</v>
      </c>
      <c r="DE48" s="408">
        <v>0</v>
      </c>
      <c r="DF48" s="408">
        <v>0</v>
      </c>
      <c r="DG48" s="408">
        <v>197.63692008340217</v>
      </c>
      <c r="DH48" s="408">
        <v>0</v>
      </c>
      <c r="DI48" s="408">
        <v>-55.525906840702191</v>
      </c>
      <c r="DJ48" s="408"/>
      <c r="DK48" s="408">
        <v>0</v>
      </c>
      <c r="DL48" s="408">
        <v>0</v>
      </c>
      <c r="DM48" s="408">
        <v>0</v>
      </c>
      <c r="DN48" s="408">
        <v>0</v>
      </c>
      <c r="DO48" s="408">
        <v>-7.2140576964078491</v>
      </c>
      <c r="DP48" s="408">
        <v>-2.1816120149892555</v>
      </c>
      <c r="DQ48" s="408">
        <v>0</v>
      </c>
      <c r="DR48" s="408">
        <v>0</v>
      </c>
      <c r="DS48" s="408"/>
      <c r="DT48" s="408"/>
      <c r="DU48" s="408"/>
      <c r="DV48" s="408">
        <v>19948.96434872799</v>
      </c>
      <c r="DW48" s="408">
        <v>0</v>
      </c>
      <c r="DX48" s="408">
        <v>0</v>
      </c>
      <c r="DY48" s="408">
        <v>-10842.894280000004</v>
      </c>
      <c r="DZ48" s="408">
        <v>1181.7036299999982</v>
      </c>
      <c r="EA48" s="408">
        <v>0</v>
      </c>
      <c r="EB48" s="408">
        <v>0</v>
      </c>
      <c r="EC48" s="408">
        <v>-11191.163509250873</v>
      </c>
      <c r="ED48" s="408">
        <v>0</v>
      </c>
      <c r="EE48" s="408">
        <v>0</v>
      </c>
      <c r="EF48" s="408">
        <v>0</v>
      </c>
      <c r="EG48" s="408">
        <v>0</v>
      </c>
      <c r="EH48" s="408">
        <v>0</v>
      </c>
      <c r="EI48" s="408">
        <v>0</v>
      </c>
      <c r="EJ48" s="408">
        <v>0</v>
      </c>
      <c r="EK48" s="408">
        <v>0</v>
      </c>
      <c r="EL48" s="408">
        <v>0</v>
      </c>
      <c r="EM48" s="408">
        <v>0</v>
      </c>
      <c r="EN48" s="408">
        <v>0</v>
      </c>
      <c r="EO48" s="408">
        <v>0</v>
      </c>
      <c r="EP48" s="408">
        <v>0</v>
      </c>
      <c r="EQ48" s="408">
        <v>0</v>
      </c>
      <c r="ER48" s="408">
        <v>0</v>
      </c>
      <c r="ES48" s="408">
        <v>0</v>
      </c>
      <c r="ET48" s="408">
        <v>0</v>
      </c>
      <c r="EU48" s="408">
        <v>0</v>
      </c>
      <c r="EV48" s="408">
        <v>238</v>
      </c>
      <c r="EW48" s="408">
        <v>0</v>
      </c>
      <c r="EX48" s="408">
        <v>0</v>
      </c>
      <c r="EY48" s="408">
        <v>0</v>
      </c>
      <c r="EZ48" s="408"/>
      <c r="FA48" s="408">
        <v>0</v>
      </c>
      <c r="FB48" s="408"/>
      <c r="FC48" s="408"/>
      <c r="FD48" s="408"/>
      <c r="FE48" s="408"/>
      <c r="FF48" s="408">
        <v>0</v>
      </c>
      <c r="FG48" s="408">
        <v>0</v>
      </c>
      <c r="FH48" s="408">
        <v>0</v>
      </c>
      <c r="FI48" s="408">
        <v>0</v>
      </c>
    </row>
    <row r="49" spans="1:165" customFormat="1">
      <c r="A49" s="408">
        <v>49</v>
      </c>
      <c r="B49" s="408" t="s">
        <v>2238</v>
      </c>
      <c r="C49" s="408" t="s">
        <v>2235</v>
      </c>
      <c r="D49" s="408" t="s">
        <v>2245</v>
      </c>
      <c r="E49" s="408" t="s">
        <v>974</v>
      </c>
      <c r="F49" s="408" t="s">
        <v>2252</v>
      </c>
      <c r="G49" s="408" t="s">
        <v>2253</v>
      </c>
      <c r="H49" s="408" t="s">
        <v>1322</v>
      </c>
      <c r="I49" s="408" t="s">
        <v>1322</v>
      </c>
      <c r="J49" s="408" t="s">
        <v>2236</v>
      </c>
      <c r="K49" s="824">
        <v>44378</v>
      </c>
      <c r="L49" s="408">
        <v>0</v>
      </c>
      <c r="M49" s="408">
        <v>0</v>
      </c>
      <c r="N49" s="408">
        <v>2.024</v>
      </c>
      <c r="O49" s="408">
        <v>2.024</v>
      </c>
      <c r="P49" s="408">
        <v>2.024</v>
      </c>
      <c r="Q49" s="408">
        <v>2.024</v>
      </c>
      <c r="R49" s="408"/>
      <c r="S49" s="408">
        <v>581.32000000000005</v>
      </c>
      <c r="T49" s="408">
        <v>209.4</v>
      </c>
      <c r="U49" s="408"/>
      <c r="V49" s="408">
        <v>1600.4172800000001</v>
      </c>
      <c r="W49" s="408">
        <v>1600.4172800000001</v>
      </c>
      <c r="X49" s="408">
        <v>1222.63768</v>
      </c>
      <c r="Y49" s="408">
        <v>0</v>
      </c>
      <c r="Z49" s="408">
        <v>124.55272473279464</v>
      </c>
      <c r="AA49" s="408">
        <v>0</v>
      </c>
      <c r="AB49" s="408">
        <v>0</v>
      </c>
      <c r="AC49" s="408">
        <v>0</v>
      </c>
      <c r="AD49" s="408">
        <v>150.16287706672853</v>
      </c>
      <c r="AE49" s="408">
        <v>780.06035126495726</v>
      </c>
      <c r="AF49" s="408">
        <v>418.26110948103462</v>
      </c>
      <c r="AG49" s="408">
        <v>5.5720010875163908</v>
      </c>
      <c r="AH49" s="408">
        <v>0</v>
      </c>
      <c r="AI49" s="408">
        <v>0</v>
      </c>
      <c r="AJ49" s="408">
        <v>0</v>
      </c>
      <c r="AK49" s="408">
        <v>0</v>
      </c>
      <c r="AL49" s="408">
        <v>19.247433729732233</v>
      </c>
      <c r="AM49" s="408"/>
      <c r="AN49" s="408">
        <v>3.6896797752376327</v>
      </c>
      <c r="AO49" s="408">
        <v>11.535749088721845</v>
      </c>
      <c r="AP49" s="408">
        <v>17.376424500283012</v>
      </c>
      <c r="AQ49" s="408">
        <v>0</v>
      </c>
      <c r="AR49" s="408">
        <v>0</v>
      </c>
      <c r="AS49" s="408">
        <v>0</v>
      </c>
      <c r="AT49" s="408">
        <v>0</v>
      </c>
      <c r="AU49" s="408">
        <v>0</v>
      </c>
      <c r="AV49" s="408">
        <v>0</v>
      </c>
      <c r="AW49" s="408">
        <v>0</v>
      </c>
      <c r="AX49" s="408">
        <v>0</v>
      </c>
      <c r="AY49" s="408">
        <v>0</v>
      </c>
      <c r="AZ49" s="408">
        <v>0</v>
      </c>
      <c r="BA49" s="408"/>
      <c r="BB49" s="408">
        <v>0</v>
      </c>
      <c r="BC49" s="408">
        <v>0</v>
      </c>
      <c r="BD49" s="408">
        <v>0</v>
      </c>
      <c r="BE49" s="408">
        <v>0</v>
      </c>
      <c r="BF49" s="408">
        <v>0</v>
      </c>
      <c r="BG49" s="408">
        <v>69.974301717856335</v>
      </c>
      <c r="BH49" s="408">
        <v>0</v>
      </c>
      <c r="BI49" s="408">
        <v>0</v>
      </c>
      <c r="BJ49" s="408">
        <v>0</v>
      </c>
      <c r="BK49" s="408">
        <v>0</v>
      </c>
      <c r="BL49" s="408">
        <v>0</v>
      </c>
      <c r="BM49" s="408"/>
      <c r="BN49" s="408"/>
      <c r="BO49" s="408"/>
      <c r="BP49" s="408"/>
      <c r="BQ49" s="408"/>
      <c r="BR49" s="408">
        <v>146.71975999999984</v>
      </c>
      <c r="BS49" s="408"/>
      <c r="BT49" s="408"/>
      <c r="BU49" s="408"/>
      <c r="BV49" s="408">
        <v>488.23541119889097</v>
      </c>
      <c r="BW49" s="408"/>
      <c r="BX49" s="408"/>
      <c r="BY49" s="408"/>
      <c r="BZ49" s="408"/>
      <c r="CA49" s="408"/>
      <c r="CB49" s="408"/>
      <c r="CC49" s="408"/>
      <c r="CD49" s="408"/>
      <c r="CE49" s="408"/>
      <c r="CF49" s="408"/>
      <c r="CG49" s="408"/>
      <c r="CH49" s="408"/>
      <c r="CI49" s="408">
        <v>1073.7916</v>
      </c>
      <c r="CJ49" s="408">
        <v>-334.63879999999995</v>
      </c>
      <c r="CK49" s="408"/>
      <c r="CL49" s="408"/>
      <c r="CM49" s="408"/>
      <c r="CN49" s="408"/>
      <c r="CO49" s="408">
        <v>-423.98752000000013</v>
      </c>
      <c r="CP49" s="408">
        <v>46.207919999999966</v>
      </c>
      <c r="CQ49" s="408">
        <v>31</v>
      </c>
      <c r="CR49" s="408">
        <v>59.796794315217085</v>
      </c>
      <c r="CS49" s="408">
        <v>1.3927344108306379</v>
      </c>
      <c r="CT49" s="408">
        <v>2.0978910127652384</v>
      </c>
      <c r="CU49" s="408">
        <v>0</v>
      </c>
      <c r="CV49" s="408">
        <v>0</v>
      </c>
      <c r="CW49" s="408">
        <v>0</v>
      </c>
      <c r="CX49" s="408">
        <v>0</v>
      </c>
      <c r="CY49" s="408">
        <v>0</v>
      </c>
      <c r="CZ49" s="408">
        <v>4.9227051638041814</v>
      </c>
      <c r="DA49" s="408">
        <v>0</v>
      </c>
      <c r="DB49" s="408">
        <v>0</v>
      </c>
      <c r="DC49" s="408">
        <v>46.193922271752626</v>
      </c>
      <c r="DD49" s="408">
        <v>0</v>
      </c>
      <c r="DE49" s="408">
        <v>0</v>
      </c>
      <c r="DF49" s="408">
        <v>0</v>
      </c>
      <c r="DG49" s="408">
        <v>7.728156841034874</v>
      </c>
      <c r="DH49" s="408">
        <v>0</v>
      </c>
      <c r="DI49" s="408">
        <v>-2.1712183969703318</v>
      </c>
      <c r="DJ49" s="408"/>
      <c r="DK49" s="408">
        <v>0</v>
      </c>
      <c r="DL49" s="408">
        <v>0</v>
      </c>
      <c r="DM49" s="408">
        <v>0</v>
      </c>
      <c r="DN49" s="408">
        <v>0</v>
      </c>
      <c r="DO49" s="408">
        <v>-0.2820898509984282</v>
      </c>
      <c r="DP49" s="408">
        <v>-8.5307137001569444E-2</v>
      </c>
      <c r="DQ49" s="408">
        <v>0</v>
      </c>
      <c r="DR49" s="408">
        <v>0</v>
      </c>
      <c r="DS49" s="408"/>
      <c r="DT49" s="408"/>
      <c r="DU49" s="408"/>
      <c r="DV49" s="408">
        <v>780.06035126495726</v>
      </c>
      <c r="DW49" s="408">
        <v>0</v>
      </c>
      <c r="DX49" s="408">
        <v>0</v>
      </c>
      <c r="DY49" s="408">
        <v>-423.98752000000025</v>
      </c>
      <c r="DZ49" s="408">
        <v>46.207920000000001</v>
      </c>
      <c r="EA49" s="408">
        <v>0</v>
      </c>
      <c r="EB49" s="408">
        <v>0</v>
      </c>
      <c r="EC49" s="408">
        <v>-437.605821810316</v>
      </c>
      <c r="ED49" s="408">
        <v>0</v>
      </c>
      <c r="EE49" s="408">
        <v>0</v>
      </c>
      <c r="EF49" s="408">
        <v>0</v>
      </c>
      <c r="EG49" s="408">
        <v>0</v>
      </c>
      <c r="EH49" s="408">
        <v>0</v>
      </c>
      <c r="EI49" s="408">
        <v>0</v>
      </c>
      <c r="EJ49" s="408">
        <v>0</v>
      </c>
      <c r="EK49" s="408">
        <v>0</v>
      </c>
      <c r="EL49" s="408">
        <v>0</v>
      </c>
      <c r="EM49" s="408">
        <v>0</v>
      </c>
      <c r="EN49" s="408">
        <v>0</v>
      </c>
      <c r="EO49" s="408">
        <v>0</v>
      </c>
      <c r="EP49" s="408">
        <v>0</v>
      </c>
      <c r="EQ49" s="408">
        <v>0</v>
      </c>
      <c r="ER49" s="408">
        <v>0</v>
      </c>
      <c r="ES49" s="408">
        <v>0</v>
      </c>
      <c r="ET49" s="408">
        <v>0</v>
      </c>
      <c r="EU49" s="408">
        <v>0</v>
      </c>
      <c r="EV49" s="408">
        <v>238</v>
      </c>
      <c r="EW49" s="408">
        <v>0</v>
      </c>
      <c r="EX49" s="408">
        <v>0</v>
      </c>
      <c r="EY49" s="408">
        <v>0</v>
      </c>
      <c r="EZ49" s="408"/>
      <c r="FA49" s="408">
        <v>0</v>
      </c>
      <c r="FB49" s="408"/>
      <c r="FC49" s="408"/>
      <c r="FD49" s="408"/>
      <c r="FE49" s="408"/>
      <c r="FF49" s="408">
        <v>0</v>
      </c>
      <c r="FG49" s="408">
        <v>0</v>
      </c>
      <c r="FH49" s="408">
        <v>0</v>
      </c>
      <c r="FI49" s="408">
        <v>0</v>
      </c>
    </row>
    <row r="50" spans="1:165" customFormat="1">
      <c r="A50" s="408">
        <v>50</v>
      </c>
      <c r="B50" s="408" t="s">
        <v>1036</v>
      </c>
      <c r="C50" s="408" t="s">
        <v>2235</v>
      </c>
      <c r="D50" s="408" t="s">
        <v>2245</v>
      </c>
      <c r="E50" s="408" t="s">
        <v>974</v>
      </c>
      <c r="F50" s="408" t="s">
        <v>2252</v>
      </c>
      <c r="G50" s="408" t="s">
        <v>2254</v>
      </c>
      <c r="H50" s="408" t="s">
        <v>1322</v>
      </c>
      <c r="I50" s="408" t="s">
        <v>1322</v>
      </c>
      <c r="J50" s="408" t="s">
        <v>2236</v>
      </c>
      <c r="K50" s="824">
        <v>44378</v>
      </c>
      <c r="L50" s="408">
        <v>0</v>
      </c>
      <c r="M50" s="408">
        <v>0</v>
      </c>
      <c r="N50" s="408">
        <v>37.344999999999999</v>
      </c>
      <c r="O50" s="408">
        <v>14.938000000000001</v>
      </c>
      <c r="P50" s="408">
        <v>37.344999999999999</v>
      </c>
      <c r="Q50" s="408">
        <v>14.938000000000001</v>
      </c>
      <c r="R50" s="408"/>
      <c r="S50" s="408">
        <v>581.32000000000005</v>
      </c>
      <c r="T50" s="408">
        <v>209.4</v>
      </c>
      <c r="U50" s="408"/>
      <c r="V50" s="408">
        <v>29529.438399999999</v>
      </c>
      <c r="W50" s="408">
        <v>29529.438399999999</v>
      </c>
      <c r="X50" s="408">
        <v>22558.994149999999</v>
      </c>
      <c r="Y50" s="408">
        <v>0</v>
      </c>
      <c r="Z50" s="408">
        <v>2298.13315471651</v>
      </c>
      <c r="AA50" s="408">
        <v>0</v>
      </c>
      <c r="AB50" s="408">
        <v>0</v>
      </c>
      <c r="AC50" s="408">
        <v>0</v>
      </c>
      <c r="AD50" s="408">
        <v>2770.668302399692</v>
      </c>
      <c r="AE50" s="408">
        <v>14392.961372524618</v>
      </c>
      <c r="AF50" s="408">
        <v>7717.3721015658284</v>
      </c>
      <c r="AG50" s="408">
        <v>102.80947658759862</v>
      </c>
      <c r="AH50" s="408">
        <v>0</v>
      </c>
      <c r="AI50" s="408">
        <v>0</v>
      </c>
      <c r="AJ50" s="408">
        <v>0</v>
      </c>
      <c r="AK50" s="408">
        <v>0</v>
      </c>
      <c r="AL50" s="408">
        <v>355.13607343717894</v>
      </c>
      <c r="AM50" s="408"/>
      <c r="AN50" s="408">
        <v>68.078602374629142</v>
      </c>
      <c r="AO50" s="408">
        <v>212.84710954462318</v>
      </c>
      <c r="AP50" s="408">
        <v>320.61391944815665</v>
      </c>
      <c r="AQ50" s="408">
        <v>0</v>
      </c>
      <c r="AR50" s="408">
        <v>0</v>
      </c>
      <c r="AS50" s="408">
        <v>0</v>
      </c>
      <c r="AT50" s="408">
        <v>0</v>
      </c>
      <c r="AU50" s="408">
        <v>0</v>
      </c>
      <c r="AV50" s="408">
        <v>0</v>
      </c>
      <c r="AW50" s="408">
        <v>0</v>
      </c>
      <c r="AX50" s="408">
        <v>0</v>
      </c>
      <c r="AY50" s="408">
        <v>0</v>
      </c>
      <c r="AZ50" s="408">
        <v>0</v>
      </c>
      <c r="BA50" s="408"/>
      <c r="BB50" s="408">
        <v>0</v>
      </c>
      <c r="BC50" s="408">
        <v>0</v>
      </c>
      <c r="BD50" s="408">
        <v>0</v>
      </c>
      <c r="BE50" s="408">
        <v>0</v>
      </c>
      <c r="BF50" s="408">
        <v>0</v>
      </c>
      <c r="BG50" s="408">
        <v>1291.1019257180558</v>
      </c>
      <c r="BH50" s="408">
        <v>0</v>
      </c>
      <c r="BI50" s="408">
        <v>0</v>
      </c>
      <c r="BJ50" s="408">
        <v>0</v>
      </c>
      <c r="BK50" s="408">
        <v>0</v>
      </c>
      <c r="BL50" s="408">
        <v>0</v>
      </c>
      <c r="BM50" s="408"/>
      <c r="BN50" s="408"/>
      <c r="BO50" s="408"/>
      <c r="BP50" s="408"/>
      <c r="BQ50" s="408"/>
      <c r="BR50" s="408"/>
      <c r="BS50" s="408">
        <v>14618.252109999996</v>
      </c>
      <c r="BT50" s="408"/>
      <c r="BU50" s="408"/>
      <c r="BV50" s="408">
        <v>9008.4740272838844</v>
      </c>
      <c r="BW50" s="408"/>
      <c r="BX50" s="408"/>
      <c r="BY50" s="408"/>
      <c r="BZ50" s="408"/>
      <c r="CA50" s="408"/>
      <c r="CB50" s="408"/>
      <c r="CC50" s="408"/>
      <c r="CD50" s="408"/>
      <c r="CE50" s="408"/>
      <c r="CF50" s="408"/>
      <c r="CG50" s="408"/>
      <c r="CH50" s="408"/>
      <c r="CI50" s="408">
        <v>7941.8052000000007</v>
      </c>
      <c r="CJ50" s="408">
        <v>-2452.8320999999996</v>
      </c>
      <c r="CK50" s="408"/>
      <c r="CL50" s="408"/>
      <c r="CM50" s="408"/>
      <c r="CN50" s="408"/>
      <c r="CO50" s="408">
        <v>-7823.0306000000028</v>
      </c>
      <c r="CP50" s="408">
        <v>852.58634999999936</v>
      </c>
      <c r="CQ50" s="408">
        <v>31</v>
      </c>
      <c r="CR50" s="408">
        <v>1103.3158516313197</v>
      </c>
      <c r="CS50" s="408">
        <v>25.697463721576156</v>
      </c>
      <c r="CT50" s="408">
        <v>38.708369501836899</v>
      </c>
      <c r="CU50" s="408">
        <v>0</v>
      </c>
      <c r="CV50" s="408">
        <v>0</v>
      </c>
      <c r="CW50" s="408">
        <v>0</v>
      </c>
      <c r="CX50" s="408">
        <v>0</v>
      </c>
      <c r="CY50" s="408">
        <v>0</v>
      </c>
      <c r="CZ50" s="408">
        <v>90.829261038669756</v>
      </c>
      <c r="DA50" s="408">
        <v>0</v>
      </c>
      <c r="DB50" s="408">
        <v>0</v>
      </c>
      <c r="DC50" s="408">
        <v>852.32807669891372</v>
      </c>
      <c r="DD50" s="408">
        <v>0</v>
      </c>
      <c r="DE50" s="408">
        <v>0</v>
      </c>
      <c r="DF50" s="408">
        <v>0</v>
      </c>
      <c r="DG50" s="408">
        <v>142.5928938875727</v>
      </c>
      <c r="DH50" s="408">
        <v>0</v>
      </c>
      <c r="DI50" s="408">
        <v>-40.061339444099758</v>
      </c>
      <c r="DJ50" s="408"/>
      <c r="DK50" s="408">
        <v>0</v>
      </c>
      <c r="DL50" s="408">
        <v>0</v>
      </c>
      <c r="DM50" s="408">
        <v>0</v>
      </c>
      <c r="DN50" s="408">
        <v>0</v>
      </c>
      <c r="DO50" s="408">
        <v>-5.2048643703242305</v>
      </c>
      <c r="DP50" s="408">
        <v>-1.5740094028278691</v>
      </c>
      <c r="DQ50" s="408">
        <v>0</v>
      </c>
      <c r="DR50" s="408">
        <v>0</v>
      </c>
      <c r="DS50" s="408"/>
      <c r="DT50" s="408"/>
      <c r="DU50" s="408"/>
      <c r="DV50" s="408">
        <v>14392.961372524618</v>
      </c>
      <c r="DW50" s="408">
        <v>0</v>
      </c>
      <c r="DX50" s="408">
        <v>0</v>
      </c>
      <c r="DY50" s="408">
        <v>-7823.0306000000019</v>
      </c>
      <c r="DZ50" s="408">
        <v>852.58634999999958</v>
      </c>
      <c r="EA50" s="408">
        <v>0</v>
      </c>
      <c r="EB50" s="408">
        <v>0</v>
      </c>
      <c r="EC50" s="408">
        <v>-8074.3030709022978</v>
      </c>
      <c r="ED50" s="408">
        <v>0</v>
      </c>
      <c r="EE50" s="408">
        <v>0</v>
      </c>
      <c r="EF50" s="408">
        <v>0</v>
      </c>
      <c r="EG50" s="408">
        <v>0</v>
      </c>
      <c r="EH50" s="408">
        <v>0</v>
      </c>
      <c r="EI50" s="408">
        <v>0</v>
      </c>
      <c r="EJ50" s="408">
        <v>0</v>
      </c>
      <c r="EK50" s="408">
        <v>0</v>
      </c>
      <c r="EL50" s="408">
        <v>0</v>
      </c>
      <c r="EM50" s="408">
        <v>0</v>
      </c>
      <c r="EN50" s="408">
        <v>0</v>
      </c>
      <c r="EO50" s="408">
        <v>0</v>
      </c>
      <c r="EP50" s="408">
        <v>0</v>
      </c>
      <c r="EQ50" s="408">
        <v>0</v>
      </c>
      <c r="ER50" s="408">
        <v>0</v>
      </c>
      <c r="ES50" s="408">
        <v>0</v>
      </c>
      <c r="ET50" s="408">
        <v>0</v>
      </c>
      <c r="EU50" s="408">
        <v>0</v>
      </c>
      <c r="EV50" s="408">
        <v>238</v>
      </c>
      <c r="EW50" s="408">
        <v>0</v>
      </c>
      <c r="EX50" s="408">
        <v>0</v>
      </c>
      <c r="EY50" s="408">
        <v>0</v>
      </c>
      <c r="EZ50" s="408"/>
      <c r="FA50" s="408">
        <v>0</v>
      </c>
      <c r="FB50" s="408"/>
      <c r="FC50" s="408"/>
      <c r="FD50" s="408"/>
      <c r="FE50" s="408"/>
      <c r="FF50" s="408">
        <v>0</v>
      </c>
      <c r="FG50" s="408">
        <v>0</v>
      </c>
      <c r="FH50" s="408">
        <v>0</v>
      </c>
      <c r="FI50" s="408">
        <v>0</v>
      </c>
    </row>
    <row r="51" spans="1:165" customFormat="1">
      <c r="A51" s="408">
        <v>51</v>
      </c>
      <c r="B51" s="408" t="s">
        <v>2238</v>
      </c>
      <c r="C51" s="408" t="s">
        <v>2235</v>
      </c>
      <c r="D51" s="408" t="s">
        <v>2245</v>
      </c>
      <c r="E51" s="408" t="s">
        <v>974</v>
      </c>
      <c r="F51" s="408" t="s">
        <v>2252</v>
      </c>
      <c r="G51" s="408" t="s">
        <v>2254</v>
      </c>
      <c r="H51" s="408" t="s">
        <v>1322</v>
      </c>
      <c r="I51" s="408" t="s">
        <v>1322</v>
      </c>
      <c r="J51" s="408" t="s">
        <v>2236</v>
      </c>
      <c r="K51" s="824">
        <v>44378</v>
      </c>
      <c r="L51" s="408">
        <v>0</v>
      </c>
      <c r="M51" s="408">
        <v>0</v>
      </c>
      <c r="N51" s="408">
        <v>0.79500000000000004</v>
      </c>
      <c r="O51" s="408">
        <v>0.318</v>
      </c>
      <c r="P51" s="408">
        <v>0.79500000000000004</v>
      </c>
      <c r="Q51" s="408">
        <v>0.318</v>
      </c>
      <c r="R51" s="408"/>
      <c r="S51" s="408">
        <v>581.32000000000005</v>
      </c>
      <c r="T51" s="408">
        <v>209.4</v>
      </c>
      <c r="U51" s="408"/>
      <c r="V51" s="408">
        <v>628.62240000000008</v>
      </c>
      <c r="W51" s="408">
        <v>628.62240000000008</v>
      </c>
      <c r="X51" s="408">
        <v>480.23564999999996</v>
      </c>
      <c r="Y51" s="408">
        <v>0</v>
      </c>
      <c r="Z51" s="408">
        <v>48.922636443958375</v>
      </c>
      <c r="AA51" s="408">
        <v>0</v>
      </c>
      <c r="AB51" s="408">
        <v>0</v>
      </c>
      <c r="AC51" s="408">
        <v>0</v>
      </c>
      <c r="AD51" s="408">
        <v>58.981960112672525</v>
      </c>
      <c r="AE51" s="408">
        <v>306.39722295239181</v>
      </c>
      <c r="AF51" s="408">
        <v>164.2873429038649</v>
      </c>
      <c r="AG51" s="408">
        <v>2.1886071465294124</v>
      </c>
      <c r="AH51" s="408">
        <v>0</v>
      </c>
      <c r="AI51" s="408">
        <v>0</v>
      </c>
      <c r="AJ51" s="408">
        <v>0</v>
      </c>
      <c r="AK51" s="408">
        <v>0</v>
      </c>
      <c r="AL51" s="408">
        <v>7.5601333078740733</v>
      </c>
      <c r="AM51" s="408"/>
      <c r="AN51" s="408">
        <v>1.4492566310839516</v>
      </c>
      <c r="AO51" s="408">
        <v>4.5310872161728595</v>
      </c>
      <c r="AP51" s="408">
        <v>6.8252260265439695</v>
      </c>
      <c r="AQ51" s="408">
        <v>0</v>
      </c>
      <c r="AR51" s="408">
        <v>0</v>
      </c>
      <c r="AS51" s="408">
        <v>0</v>
      </c>
      <c r="AT51" s="408">
        <v>0</v>
      </c>
      <c r="AU51" s="408">
        <v>0</v>
      </c>
      <c r="AV51" s="408">
        <v>0</v>
      </c>
      <c r="AW51" s="408">
        <v>0</v>
      </c>
      <c r="AX51" s="408">
        <v>0</v>
      </c>
      <c r="AY51" s="408">
        <v>0</v>
      </c>
      <c r="AZ51" s="408">
        <v>0</v>
      </c>
      <c r="BA51" s="408"/>
      <c r="BB51" s="408">
        <v>0</v>
      </c>
      <c r="BC51" s="408">
        <v>0</v>
      </c>
      <c r="BD51" s="408">
        <v>0</v>
      </c>
      <c r="BE51" s="408">
        <v>0</v>
      </c>
      <c r="BF51" s="408">
        <v>0</v>
      </c>
      <c r="BG51" s="408">
        <v>27.484965348663927</v>
      </c>
      <c r="BH51" s="408">
        <v>0</v>
      </c>
      <c r="BI51" s="408">
        <v>0</v>
      </c>
      <c r="BJ51" s="408">
        <v>0</v>
      </c>
      <c r="BK51" s="408">
        <v>0</v>
      </c>
      <c r="BL51" s="408">
        <v>0</v>
      </c>
      <c r="BM51" s="408"/>
      <c r="BN51" s="408"/>
      <c r="BO51" s="408"/>
      <c r="BP51" s="408"/>
      <c r="BQ51" s="408"/>
      <c r="BR51" s="408"/>
      <c r="BS51" s="408">
        <v>311.19320999999997</v>
      </c>
      <c r="BT51" s="408"/>
      <c r="BU51" s="408"/>
      <c r="BV51" s="408">
        <v>191.77230825252883</v>
      </c>
      <c r="BW51" s="408"/>
      <c r="BX51" s="408"/>
      <c r="BY51" s="408"/>
      <c r="BZ51" s="408"/>
      <c r="CA51" s="408"/>
      <c r="CB51" s="408"/>
      <c r="CC51" s="408"/>
      <c r="CD51" s="408"/>
      <c r="CE51" s="408"/>
      <c r="CF51" s="408"/>
      <c r="CG51" s="408"/>
      <c r="CH51" s="408"/>
      <c r="CI51" s="408">
        <v>170.10560000000001</v>
      </c>
      <c r="CJ51" s="408">
        <v>-51.204699999999974</v>
      </c>
      <c r="CK51" s="408"/>
      <c r="CL51" s="408"/>
      <c r="CM51" s="408"/>
      <c r="CN51" s="408"/>
      <c r="CO51" s="408">
        <v>-166.53660000000008</v>
      </c>
      <c r="CP51" s="408">
        <v>18.149849999999986</v>
      </c>
      <c r="CQ51" s="408">
        <v>31</v>
      </c>
      <c r="CR51" s="408">
        <v>23.487377213734078</v>
      </c>
      <c r="CS51" s="408">
        <v>0.54704735998535359</v>
      </c>
      <c r="CT51" s="408">
        <v>0.82402339681243397</v>
      </c>
      <c r="CU51" s="408">
        <v>0</v>
      </c>
      <c r="CV51" s="408">
        <v>0</v>
      </c>
      <c r="CW51" s="408">
        <v>0</v>
      </c>
      <c r="CX51" s="408">
        <v>0</v>
      </c>
      <c r="CY51" s="408">
        <v>0</v>
      </c>
      <c r="CZ51" s="408">
        <v>1.9335724334112285</v>
      </c>
      <c r="DA51" s="408">
        <v>0</v>
      </c>
      <c r="DB51" s="408">
        <v>0</v>
      </c>
      <c r="DC51" s="408">
        <v>18.144351880456185</v>
      </c>
      <c r="DD51" s="408">
        <v>0</v>
      </c>
      <c r="DE51" s="408">
        <v>0</v>
      </c>
      <c r="DF51" s="408">
        <v>0</v>
      </c>
      <c r="DG51" s="408">
        <v>3.0355161505052983</v>
      </c>
      <c r="DH51" s="408">
        <v>0</v>
      </c>
      <c r="DI51" s="408">
        <v>-0.85282540790089456</v>
      </c>
      <c r="DJ51" s="408"/>
      <c r="DK51" s="408">
        <v>0</v>
      </c>
      <c r="DL51" s="408">
        <v>0</v>
      </c>
      <c r="DM51" s="408">
        <v>0</v>
      </c>
      <c r="DN51" s="408">
        <v>0</v>
      </c>
      <c r="DO51" s="408">
        <v>-0.11080110254137754</v>
      </c>
      <c r="DP51" s="408">
        <v>-3.3507496994193531E-2</v>
      </c>
      <c r="DQ51" s="408">
        <v>0</v>
      </c>
      <c r="DR51" s="408">
        <v>0</v>
      </c>
      <c r="DS51" s="408"/>
      <c r="DT51" s="408"/>
      <c r="DU51" s="408"/>
      <c r="DV51" s="408">
        <v>306.39722295239181</v>
      </c>
      <c r="DW51" s="408">
        <v>0</v>
      </c>
      <c r="DX51" s="408">
        <v>0</v>
      </c>
      <c r="DY51" s="408">
        <v>-166.53660000000008</v>
      </c>
      <c r="DZ51" s="408">
        <v>18.149849999999986</v>
      </c>
      <c r="EA51" s="408">
        <v>0</v>
      </c>
      <c r="EB51" s="408">
        <v>0</v>
      </c>
      <c r="EC51" s="408">
        <v>-171.88568593834054</v>
      </c>
      <c r="ED51" s="408">
        <v>0</v>
      </c>
      <c r="EE51" s="408">
        <v>0</v>
      </c>
      <c r="EF51" s="408">
        <v>0</v>
      </c>
      <c r="EG51" s="408">
        <v>0</v>
      </c>
      <c r="EH51" s="408">
        <v>0</v>
      </c>
      <c r="EI51" s="408">
        <v>0</v>
      </c>
      <c r="EJ51" s="408">
        <v>0</v>
      </c>
      <c r="EK51" s="408">
        <v>0</v>
      </c>
      <c r="EL51" s="408">
        <v>0</v>
      </c>
      <c r="EM51" s="408">
        <v>0</v>
      </c>
      <c r="EN51" s="408">
        <v>0</v>
      </c>
      <c r="EO51" s="408">
        <v>0</v>
      </c>
      <c r="EP51" s="408">
        <v>0</v>
      </c>
      <c r="EQ51" s="408">
        <v>0</v>
      </c>
      <c r="ER51" s="408">
        <v>0</v>
      </c>
      <c r="ES51" s="408">
        <v>0</v>
      </c>
      <c r="ET51" s="408">
        <v>0</v>
      </c>
      <c r="EU51" s="408">
        <v>0</v>
      </c>
      <c r="EV51" s="408">
        <v>238</v>
      </c>
      <c r="EW51" s="408">
        <v>0</v>
      </c>
      <c r="EX51" s="408">
        <v>0</v>
      </c>
      <c r="EY51" s="408">
        <v>0</v>
      </c>
      <c r="EZ51" s="408"/>
      <c r="FA51" s="408">
        <v>0</v>
      </c>
      <c r="FB51" s="408"/>
      <c r="FC51" s="408"/>
      <c r="FD51" s="408"/>
      <c r="FE51" s="408"/>
      <c r="FF51" s="408">
        <v>0</v>
      </c>
      <c r="FG51" s="408">
        <v>0</v>
      </c>
      <c r="FH51" s="408">
        <v>0</v>
      </c>
      <c r="FI51" s="408">
        <v>0</v>
      </c>
    </row>
    <row r="52" spans="1:165" customFormat="1">
      <c r="A52" s="408">
        <v>52</v>
      </c>
      <c r="B52" s="408" t="s">
        <v>1036</v>
      </c>
      <c r="C52" s="408" t="s">
        <v>2243</v>
      </c>
      <c r="D52" s="408" t="s">
        <v>597</v>
      </c>
      <c r="E52" s="408" t="s">
        <v>974</v>
      </c>
      <c r="F52" s="408" t="s">
        <v>2252</v>
      </c>
      <c r="G52" s="408" t="s">
        <v>1322</v>
      </c>
      <c r="H52" s="408" t="s">
        <v>1322</v>
      </c>
      <c r="I52" s="408" t="s">
        <v>973</v>
      </c>
      <c r="J52" s="408" t="s">
        <v>2236</v>
      </c>
      <c r="K52" s="824">
        <v>44378</v>
      </c>
      <c r="L52" s="408">
        <v>0</v>
      </c>
      <c r="M52" s="408">
        <v>0</v>
      </c>
      <c r="N52" s="408">
        <v>13.455</v>
      </c>
      <c r="O52" s="408">
        <v>12.9168</v>
      </c>
      <c r="P52" s="408">
        <v>13.455</v>
      </c>
      <c r="Q52" s="408">
        <v>12.9168</v>
      </c>
      <c r="R52" s="408"/>
      <c r="S52" s="408">
        <v>1614.19</v>
      </c>
      <c r="T52" s="408">
        <v>209.4</v>
      </c>
      <c r="U52" s="408"/>
      <c r="V52" s="408">
        <v>24536.403450000002</v>
      </c>
      <c r="W52" s="408">
        <v>24536.403450000002</v>
      </c>
      <c r="X52" s="408">
        <v>16309.47825</v>
      </c>
      <c r="Y52" s="408">
        <v>0</v>
      </c>
      <c r="Z52" s="408">
        <v>720.35351423586224</v>
      </c>
      <c r="AA52" s="408">
        <v>0</v>
      </c>
      <c r="AB52" s="408">
        <v>0</v>
      </c>
      <c r="AC52" s="408">
        <v>0</v>
      </c>
      <c r="AD52" s="408">
        <v>4190.1290600784796</v>
      </c>
      <c r="AE52" s="408">
        <v>15645.966670195456</v>
      </c>
      <c r="AF52" s="408">
        <v>2780.4857846182413</v>
      </c>
      <c r="AG52" s="408">
        <v>37.041143593148732</v>
      </c>
      <c r="AH52" s="408">
        <v>0</v>
      </c>
      <c r="AI52" s="408">
        <v>0</v>
      </c>
      <c r="AJ52" s="408">
        <v>0</v>
      </c>
      <c r="AK52" s="408">
        <v>0</v>
      </c>
      <c r="AL52" s="408">
        <v>127.95169013515176</v>
      </c>
      <c r="AM52" s="408"/>
      <c r="AN52" s="408">
        <v>17.866145170976754</v>
      </c>
      <c r="AO52" s="408">
        <v>325.54272089053023</v>
      </c>
      <c r="AP52" s="408">
        <v>484.90076009098817</v>
      </c>
      <c r="AQ52" s="408">
        <v>0</v>
      </c>
      <c r="AR52" s="408">
        <v>0</v>
      </c>
      <c r="AS52" s="408">
        <v>0</v>
      </c>
      <c r="AT52" s="408">
        <v>0</v>
      </c>
      <c r="AU52" s="408">
        <v>0</v>
      </c>
      <c r="AV52" s="408">
        <v>0</v>
      </c>
      <c r="AW52" s="408">
        <v>0</v>
      </c>
      <c r="AX52" s="408">
        <v>0</v>
      </c>
      <c r="AY52" s="408">
        <v>0</v>
      </c>
      <c r="AZ52" s="408">
        <v>0</v>
      </c>
      <c r="BA52" s="408"/>
      <c r="BB52" s="408">
        <v>0</v>
      </c>
      <c r="BC52" s="408">
        <v>0</v>
      </c>
      <c r="BD52" s="408">
        <v>0</v>
      </c>
      <c r="BE52" s="408">
        <v>0</v>
      </c>
      <c r="BF52" s="408">
        <v>0</v>
      </c>
      <c r="BG52" s="408">
        <v>206.19029124022319</v>
      </c>
      <c r="BH52" s="408">
        <v>0</v>
      </c>
      <c r="BI52" s="408">
        <v>0</v>
      </c>
      <c r="BJ52" s="408">
        <v>0</v>
      </c>
      <c r="BK52" s="408">
        <v>0</v>
      </c>
      <c r="BL52" s="408">
        <v>0</v>
      </c>
      <c r="BM52" s="408"/>
      <c r="BN52" s="408"/>
      <c r="BO52" s="408"/>
      <c r="BP52" s="408"/>
      <c r="BQ52" s="408"/>
      <c r="BR52" s="408">
        <v>652.37912999999969</v>
      </c>
      <c r="BS52" s="408"/>
      <c r="BT52" s="408"/>
      <c r="BU52" s="408"/>
      <c r="BV52" s="408">
        <v>2986.6760758584646</v>
      </c>
      <c r="BW52" s="408"/>
      <c r="BX52" s="408"/>
      <c r="BY52" s="408"/>
      <c r="BZ52" s="408"/>
      <c r="CA52" s="408"/>
      <c r="CB52" s="408"/>
      <c r="CC52" s="408"/>
      <c r="CD52" s="408"/>
      <c r="CE52" s="408"/>
      <c r="CF52" s="408"/>
      <c r="CG52" s="408"/>
      <c r="CH52" s="408"/>
      <c r="CI52" s="408">
        <v>15660.977999999999</v>
      </c>
      <c r="CJ52" s="408">
        <v>-7893.9993119999963</v>
      </c>
      <c r="CK52" s="408"/>
      <c r="CL52" s="408"/>
      <c r="CM52" s="408"/>
      <c r="CN52" s="408"/>
      <c r="CO52" s="408">
        <v>-8534.1028500000011</v>
      </c>
      <c r="CP52" s="408">
        <v>307.1776499999998</v>
      </c>
      <c r="CQ52" s="408">
        <v>31</v>
      </c>
      <c r="CR52" s="408">
        <v>550.22033809208551</v>
      </c>
      <c r="CS52" s="408">
        <v>39.303433707910074</v>
      </c>
      <c r="CT52" s="408">
        <v>58.543053357229212</v>
      </c>
      <c r="CU52" s="408">
        <v>0</v>
      </c>
      <c r="CV52" s="408">
        <v>0</v>
      </c>
      <c r="CW52" s="408">
        <v>0</v>
      </c>
      <c r="CX52" s="408">
        <v>0</v>
      </c>
      <c r="CY52" s="408">
        <v>0</v>
      </c>
      <c r="CZ52" s="408">
        <v>137.36264490915983</v>
      </c>
      <c r="DA52" s="408">
        <v>0</v>
      </c>
      <c r="DB52" s="408">
        <v>0</v>
      </c>
      <c r="DC52" s="408">
        <v>307.08459692017368</v>
      </c>
      <c r="DD52" s="408">
        <v>0</v>
      </c>
      <c r="DE52" s="408">
        <v>0</v>
      </c>
      <c r="DF52" s="408">
        <v>0</v>
      </c>
      <c r="DG52" s="408">
        <v>22.772230242870904</v>
      </c>
      <c r="DH52" s="408">
        <v>0</v>
      </c>
      <c r="DI52" s="408">
        <v>-12.557290944751117</v>
      </c>
      <c r="DJ52" s="408"/>
      <c r="DK52" s="408">
        <v>0</v>
      </c>
      <c r="DL52" s="408">
        <v>0</v>
      </c>
      <c r="DM52" s="408">
        <v>0</v>
      </c>
      <c r="DN52" s="408">
        <v>0</v>
      </c>
      <c r="DO52" s="408">
        <v>-1.8752563958418165</v>
      </c>
      <c r="DP52" s="408">
        <v>-0.41307370466659776</v>
      </c>
      <c r="DQ52" s="408">
        <v>0</v>
      </c>
      <c r="DR52" s="408">
        <v>0</v>
      </c>
      <c r="DS52" s="408"/>
      <c r="DT52" s="408"/>
      <c r="DU52" s="408"/>
      <c r="DV52" s="408">
        <v>15645.966670195456</v>
      </c>
      <c r="DW52" s="408">
        <v>0</v>
      </c>
      <c r="DX52" s="408">
        <v>0</v>
      </c>
      <c r="DY52" s="408">
        <v>-8534.1028500000029</v>
      </c>
      <c r="DZ52" s="408">
        <v>307.17764999999963</v>
      </c>
      <c r="EA52" s="408">
        <v>0</v>
      </c>
      <c r="EB52" s="408">
        <v>0</v>
      </c>
      <c r="EC52" s="408">
        <v>-8777.2261359328259</v>
      </c>
      <c r="ED52" s="408">
        <v>0</v>
      </c>
      <c r="EE52" s="408">
        <v>0</v>
      </c>
      <c r="EF52" s="408">
        <v>0</v>
      </c>
      <c r="EG52" s="408">
        <v>0</v>
      </c>
      <c r="EH52" s="408">
        <v>0</v>
      </c>
      <c r="EI52" s="408">
        <v>0</v>
      </c>
      <c r="EJ52" s="408">
        <v>0</v>
      </c>
      <c r="EK52" s="408">
        <v>0</v>
      </c>
      <c r="EL52" s="408">
        <v>0</v>
      </c>
      <c r="EM52" s="408">
        <v>0</v>
      </c>
      <c r="EN52" s="408">
        <v>0</v>
      </c>
      <c r="EO52" s="408">
        <v>0</v>
      </c>
      <c r="EP52" s="408">
        <v>0</v>
      </c>
      <c r="EQ52" s="408">
        <v>0</v>
      </c>
      <c r="ER52" s="408">
        <v>0</v>
      </c>
      <c r="ES52" s="408">
        <v>0</v>
      </c>
      <c r="ET52" s="408">
        <v>0</v>
      </c>
      <c r="EU52" s="408">
        <v>0</v>
      </c>
      <c r="EV52" s="408">
        <v>238</v>
      </c>
      <c r="EW52" s="408">
        <v>0</v>
      </c>
      <c r="EX52" s="408">
        <v>0</v>
      </c>
      <c r="EY52" s="408">
        <v>0</v>
      </c>
      <c r="EZ52" s="408"/>
      <c r="FA52" s="408">
        <v>0</v>
      </c>
      <c r="FB52" s="408"/>
      <c r="FC52" s="408"/>
      <c r="FD52" s="408"/>
      <c r="FE52" s="408"/>
      <c r="FF52" s="408">
        <v>0</v>
      </c>
      <c r="FG52" s="408">
        <v>0</v>
      </c>
      <c r="FH52" s="408">
        <v>0</v>
      </c>
      <c r="FI52" s="408">
        <v>0</v>
      </c>
    </row>
    <row r="53" spans="1:165" customFormat="1">
      <c r="A53" s="408">
        <v>54</v>
      </c>
      <c r="B53" s="408" t="s">
        <v>1036</v>
      </c>
      <c r="C53" s="408" t="s">
        <v>2243</v>
      </c>
      <c r="D53" s="408" t="s">
        <v>597</v>
      </c>
      <c r="E53" s="408" t="s">
        <v>974</v>
      </c>
      <c r="F53" s="408" t="s">
        <v>2252</v>
      </c>
      <c r="G53" s="408" t="s">
        <v>1322</v>
      </c>
      <c r="H53" s="408" t="s">
        <v>1322</v>
      </c>
      <c r="I53" s="408" t="s">
        <v>2244</v>
      </c>
      <c r="J53" s="408" t="s">
        <v>2236</v>
      </c>
      <c r="K53" s="824">
        <v>44378</v>
      </c>
      <c r="L53" s="408">
        <v>0</v>
      </c>
      <c r="M53" s="408">
        <v>0</v>
      </c>
      <c r="N53" s="408">
        <v>127.242</v>
      </c>
      <c r="O53" s="408">
        <v>122.15232</v>
      </c>
      <c r="P53" s="408">
        <v>127.242</v>
      </c>
      <c r="Q53" s="408">
        <v>122.15232</v>
      </c>
      <c r="R53" s="408"/>
      <c r="S53" s="408">
        <v>79.7</v>
      </c>
      <c r="T53" s="408">
        <v>209.4</v>
      </c>
      <c r="U53" s="408"/>
      <c r="V53" s="408">
        <v>36785.662199999999</v>
      </c>
      <c r="W53" s="408">
        <v>36785.662199999999</v>
      </c>
      <c r="X53" s="408">
        <v>39765.669840000002</v>
      </c>
      <c r="Y53" s="408">
        <v>0</v>
      </c>
      <c r="Z53" s="408">
        <v>6812.2795881382081</v>
      </c>
      <c r="AA53" s="408">
        <v>0</v>
      </c>
      <c r="AB53" s="408">
        <v>0</v>
      </c>
      <c r="AC53" s="408">
        <v>0</v>
      </c>
      <c r="AD53" s="408">
        <v>0</v>
      </c>
      <c r="AE53" s="408">
        <v>0</v>
      </c>
      <c r="AF53" s="408">
        <v>26294.654195941603</v>
      </c>
      <c r="AG53" s="408">
        <v>350.29276797320188</v>
      </c>
      <c r="AH53" s="408">
        <v>0</v>
      </c>
      <c r="AI53" s="408">
        <v>0</v>
      </c>
      <c r="AJ53" s="408">
        <v>0</v>
      </c>
      <c r="AK53" s="408">
        <v>0</v>
      </c>
      <c r="AL53" s="408">
        <v>1210.0207325289471</v>
      </c>
      <c r="AM53" s="408"/>
      <c r="AN53" s="408">
        <v>168.95756550319021</v>
      </c>
      <c r="AO53" s="408">
        <v>0</v>
      </c>
      <c r="AP53" s="408">
        <v>0</v>
      </c>
      <c r="AQ53" s="408">
        <v>0</v>
      </c>
      <c r="AR53" s="408">
        <v>0</v>
      </c>
      <c r="AS53" s="408">
        <v>0</v>
      </c>
      <c r="AT53" s="408">
        <v>0</v>
      </c>
      <c r="AU53" s="408">
        <v>0</v>
      </c>
      <c r="AV53" s="408">
        <v>0</v>
      </c>
      <c r="AW53" s="408">
        <v>0</v>
      </c>
      <c r="AX53" s="408">
        <v>0</v>
      </c>
      <c r="AY53" s="408">
        <v>0</v>
      </c>
      <c r="AZ53" s="408">
        <v>0</v>
      </c>
      <c r="BA53" s="408"/>
      <c r="BB53" s="408">
        <v>0</v>
      </c>
      <c r="BC53" s="408">
        <v>0</v>
      </c>
      <c r="BD53" s="408">
        <v>0</v>
      </c>
      <c r="BE53" s="408">
        <v>0</v>
      </c>
      <c r="BF53" s="408">
        <v>0</v>
      </c>
      <c r="BG53" s="408">
        <v>1949.9119314744316</v>
      </c>
      <c r="BH53" s="408">
        <v>0</v>
      </c>
      <c r="BI53" s="408">
        <v>0</v>
      </c>
      <c r="BJ53" s="408">
        <v>0</v>
      </c>
      <c r="BK53" s="408">
        <v>0</v>
      </c>
      <c r="BL53" s="408">
        <v>0</v>
      </c>
      <c r="BM53" s="408"/>
      <c r="BN53" s="408"/>
      <c r="BO53" s="408"/>
      <c r="BP53" s="408"/>
      <c r="BQ53" s="408"/>
      <c r="BR53" s="408">
        <v>1590.6267936000004</v>
      </c>
      <c r="BS53" s="408"/>
      <c r="BT53" s="408"/>
      <c r="BU53" s="408"/>
      <c r="BV53" s="408">
        <v>28244.566127416034</v>
      </c>
      <c r="BW53" s="408"/>
      <c r="BX53" s="408"/>
      <c r="BY53" s="408"/>
      <c r="BZ53" s="408"/>
      <c r="CA53" s="408"/>
      <c r="CB53" s="408"/>
      <c r="CC53" s="408"/>
      <c r="CD53" s="408"/>
      <c r="CE53" s="408"/>
      <c r="CF53" s="408"/>
      <c r="CG53" s="408"/>
      <c r="CH53" s="408"/>
      <c r="CI53" s="408">
        <v>38174.317999999999</v>
      </c>
      <c r="CJ53" s="408">
        <v>2860.052287999999</v>
      </c>
      <c r="CK53" s="408"/>
      <c r="CL53" s="408"/>
      <c r="CM53" s="408"/>
      <c r="CN53" s="408"/>
      <c r="CO53" s="408">
        <v>75.072780000000435</v>
      </c>
      <c r="CP53" s="408">
        <v>2904.934859999998</v>
      </c>
      <c r="CQ53" s="408">
        <v>31</v>
      </c>
      <c r="CR53" s="408">
        <v>2979.0156736409699</v>
      </c>
      <c r="CS53" s="408">
        <v>0</v>
      </c>
      <c r="CT53" s="408">
        <v>0</v>
      </c>
      <c r="CU53" s="408">
        <v>0</v>
      </c>
      <c r="CV53" s="408">
        <v>0</v>
      </c>
      <c r="CW53" s="408">
        <v>0</v>
      </c>
      <c r="CX53" s="408">
        <v>0</v>
      </c>
      <c r="CY53" s="408">
        <v>0</v>
      </c>
      <c r="CZ53" s="408">
        <v>0</v>
      </c>
      <c r="DA53" s="408">
        <v>0</v>
      </c>
      <c r="DB53" s="408">
        <v>0</v>
      </c>
      <c r="DC53" s="408">
        <v>2904.0548704063003</v>
      </c>
      <c r="DD53" s="408">
        <v>0</v>
      </c>
      <c r="DE53" s="408">
        <v>0</v>
      </c>
      <c r="DF53" s="408">
        <v>0</v>
      </c>
      <c r="DG53" s="408">
        <v>215.3537064707084</v>
      </c>
      <c r="DH53" s="408">
        <v>0</v>
      </c>
      <c r="DI53" s="408">
        <v>-118.75249456648271</v>
      </c>
      <c r="DJ53" s="408"/>
      <c r="DK53" s="408">
        <v>0</v>
      </c>
      <c r="DL53" s="408">
        <v>0</v>
      </c>
      <c r="DM53" s="408">
        <v>0</v>
      </c>
      <c r="DN53" s="408">
        <v>0</v>
      </c>
      <c r="DO53" s="408">
        <v>-17.734030049773764</v>
      </c>
      <c r="DP53" s="408">
        <v>-3.9063786197835384</v>
      </c>
      <c r="DQ53" s="408">
        <v>0</v>
      </c>
      <c r="DR53" s="408">
        <v>0</v>
      </c>
      <c r="DS53" s="408"/>
      <c r="DT53" s="408"/>
      <c r="DU53" s="408"/>
      <c r="DV53" s="408">
        <v>0</v>
      </c>
      <c r="DW53" s="408">
        <v>0</v>
      </c>
      <c r="DX53" s="408">
        <v>0</v>
      </c>
      <c r="DY53" s="408">
        <v>75.072780000000421</v>
      </c>
      <c r="DZ53" s="408">
        <v>2904.9348600000012</v>
      </c>
      <c r="EA53" s="408">
        <v>0</v>
      </c>
      <c r="EB53" s="408">
        <v>0</v>
      </c>
      <c r="EC53" s="408">
        <v>0</v>
      </c>
      <c r="ED53" s="408">
        <v>0</v>
      </c>
      <c r="EE53" s="408">
        <v>0</v>
      </c>
      <c r="EF53" s="408">
        <v>0</v>
      </c>
      <c r="EG53" s="408">
        <v>0</v>
      </c>
      <c r="EH53" s="408">
        <v>0</v>
      </c>
      <c r="EI53" s="408">
        <v>0</v>
      </c>
      <c r="EJ53" s="408">
        <v>0</v>
      </c>
      <c r="EK53" s="408">
        <v>0</v>
      </c>
      <c r="EL53" s="408">
        <v>0</v>
      </c>
      <c r="EM53" s="408">
        <v>0</v>
      </c>
      <c r="EN53" s="408">
        <v>0</v>
      </c>
      <c r="EO53" s="408">
        <v>0</v>
      </c>
      <c r="EP53" s="408">
        <v>0</v>
      </c>
      <c r="EQ53" s="408">
        <v>0</v>
      </c>
      <c r="ER53" s="408">
        <v>0</v>
      </c>
      <c r="ES53" s="408">
        <v>0</v>
      </c>
      <c r="ET53" s="408">
        <v>0</v>
      </c>
      <c r="EU53" s="408">
        <v>0</v>
      </c>
      <c r="EV53" s="408">
        <v>238</v>
      </c>
      <c r="EW53" s="408">
        <v>0</v>
      </c>
      <c r="EX53" s="408">
        <v>0</v>
      </c>
      <c r="EY53" s="408">
        <v>0</v>
      </c>
      <c r="EZ53" s="408"/>
      <c r="FA53" s="408">
        <v>0</v>
      </c>
      <c r="FB53" s="408"/>
      <c r="FC53" s="408"/>
      <c r="FD53" s="408"/>
      <c r="FE53" s="408"/>
      <c r="FF53" s="408">
        <v>0</v>
      </c>
      <c r="FG53" s="408">
        <v>0</v>
      </c>
      <c r="FH53" s="408">
        <v>0</v>
      </c>
      <c r="FI53" s="408">
        <v>0</v>
      </c>
    </row>
    <row r="54" spans="1:165" customFormat="1">
      <c r="A54" s="408">
        <v>55</v>
      </c>
      <c r="B54" s="408" t="s">
        <v>2238</v>
      </c>
      <c r="C54" s="408" t="s">
        <v>2243</v>
      </c>
      <c r="D54" s="408" t="s">
        <v>597</v>
      </c>
      <c r="E54" s="408" t="s">
        <v>974</v>
      </c>
      <c r="F54" s="408" t="s">
        <v>2252</v>
      </c>
      <c r="G54" s="408" t="s">
        <v>1322</v>
      </c>
      <c r="H54" s="408" t="s">
        <v>1322</v>
      </c>
      <c r="I54" s="408" t="s">
        <v>2244</v>
      </c>
      <c r="J54" s="408" t="s">
        <v>2236</v>
      </c>
      <c r="K54" s="824">
        <v>44378</v>
      </c>
      <c r="L54" s="408">
        <v>0</v>
      </c>
      <c r="M54" s="408">
        <v>0</v>
      </c>
      <c r="N54" s="408">
        <v>0.61299999999999999</v>
      </c>
      <c r="O54" s="408">
        <v>0.58848</v>
      </c>
      <c r="P54" s="408">
        <v>0.61299999999999999</v>
      </c>
      <c r="Q54" s="408">
        <v>0.58848</v>
      </c>
      <c r="R54" s="408"/>
      <c r="S54" s="408">
        <v>79.7</v>
      </c>
      <c r="T54" s="408">
        <v>209.4</v>
      </c>
      <c r="U54" s="408"/>
      <c r="V54" s="408">
        <v>177.2183</v>
      </c>
      <c r="W54" s="408">
        <v>177.2183</v>
      </c>
      <c r="X54" s="408">
        <v>191.57476</v>
      </c>
      <c r="Y54" s="408">
        <v>0</v>
      </c>
      <c r="Z54" s="408">
        <v>32.818781436386736</v>
      </c>
      <c r="AA54" s="408">
        <v>0</v>
      </c>
      <c r="AB54" s="408">
        <v>0</v>
      </c>
      <c r="AC54" s="408">
        <v>0</v>
      </c>
      <c r="AD54" s="408">
        <v>0</v>
      </c>
      <c r="AE54" s="408">
        <v>0</v>
      </c>
      <c r="AF54" s="408">
        <v>126.67690716989833</v>
      </c>
      <c r="AG54" s="408">
        <v>1.6875675230472074</v>
      </c>
      <c r="AH54" s="408">
        <v>0</v>
      </c>
      <c r="AI54" s="408">
        <v>0</v>
      </c>
      <c r="AJ54" s="408">
        <v>0</v>
      </c>
      <c r="AK54" s="408">
        <v>0</v>
      </c>
      <c r="AL54" s="408">
        <v>5.8293858084613923</v>
      </c>
      <c r="AM54" s="408"/>
      <c r="AN54" s="408">
        <v>0.81396856111547755</v>
      </c>
      <c r="AO54" s="408">
        <v>0</v>
      </c>
      <c r="AP54" s="408">
        <v>0</v>
      </c>
      <c r="AQ54" s="408">
        <v>0</v>
      </c>
      <c r="AR54" s="408">
        <v>0</v>
      </c>
      <c r="AS54" s="408">
        <v>0</v>
      </c>
      <c r="AT54" s="408">
        <v>0</v>
      </c>
      <c r="AU54" s="408">
        <v>0</v>
      </c>
      <c r="AV54" s="408">
        <v>0</v>
      </c>
      <c r="AW54" s="408">
        <v>0</v>
      </c>
      <c r="AX54" s="408">
        <v>0</v>
      </c>
      <c r="AY54" s="408">
        <v>0</v>
      </c>
      <c r="AZ54" s="408">
        <v>0</v>
      </c>
      <c r="BA54" s="408"/>
      <c r="BB54" s="408">
        <v>0</v>
      </c>
      <c r="BC54" s="408">
        <v>0</v>
      </c>
      <c r="BD54" s="408">
        <v>0</v>
      </c>
      <c r="BE54" s="408">
        <v>0</v>
      </c>
      <c r="BF54" s="408">
        <v>0</v>
      </c>
      <c r="BG54" s="408">
        <v>9.3938794894282278</v>
      </c>
      <c r="BH54" s="408">
        <v>0</v>
      </c>
      <c r="BI54" s="408">
        <v>0</v>
      </c>
      <c r="BJ54" s="408">
        <v>0</v>
      </c>
      <c r="BK54" s="408">
        <v>0</v>
      </c>
      <c r="BL54" s="408">
        <v>0</v>
      </c>
      <c r="BM54" s="408"/>
      <c r="BN54" s="408"/>
      <c r="BO54" s="408"/>
      <c r="BP54" s="408"/>
      <c r="BQ54" s="408"/>
      <c r="BR54" s="408">
        <v>7.6629903999999955</v>
      </c>
      <c r="BS54" s="408"/>
      <c r="BT54" s="408"/>
      <c r="BU54" s="408"/>
      <c r="BV54" s="408">
        <v>136.07078665932656</v>
      </c>
      <c r="BW54" s="408"/>
      <c r="BX54" s="408"/>
      <c r="BY54" s="408"/>
      <c r="BZ54" s="408"/>
      <c r="CA54" s="408"/>
      <c r="CB54" s="408"/>
      <c r="CC54" s="408"/>
      <c r="CD54" s="408"/>
      <c r="CE54" s="408"/>
      <c r="CF54" s="408"/>
      <c r="CG54" s="408"/>
      <c r="CH54" s="408"/>
      <c r="CI54" s="408">
        <v>184.38679999999999</v>
      </c>
      <c r="CJ54" s="408">
        <v>14.227231999999987</v>
      </c>
      <c r="CK54" s="408"/>
      <c r="CL54" s="408"/>
      <c r="CM54" s="408"/>
      <c r="CN54" s="408"/>
      <c r="CO54" s="408">
        <v>0.3616700000000021</v>
      </c>
      <c r="CP54" s="408">
        <v>13.994789999999989</v>
      </c>
      <c r="CQ54" s="408">
        <v>31</v>
      </c>
      <c r="CR54" s="408">
        <v>14.35168111112614</v>
      </c>
      <c r="CS54" s="408">
        <v>0</v>
      </c>
      <c r="CT54" s="408">
        <v>0</v>
      </c>
      <c r="CU54" s="408">
        <v>0</v>
      </c>
      <c r="CV54" s="408">
        <v>0</v>
      </c>
      <c r="CW54" s="408">
        <v>0</v>
      </c>
      <c r="CX54" s="408">
        <v>0</v>
      </c>
      <c r="CY54" s="408">
        <v>0</v>
      </c>
      <c r="CZ54" s="408">
        <v>0</v>
      </c>
      <c r="DA54" s="408">
        <v>0</v>
      </c>
      <c r="DB54" s="408">
        <v>0</v>
      </c>
      <c r="DC54" s="408">
        <v>13.990550569458662</v>
      </c>
      <c r="DD54" s="408">
        <v>0</v>
      </c>
      <c r="DE54" s="408">
        <v>0</v>
      </c>
      <c r="DF54" s="408">
        <v>0</v>
      </c>
      <c r="DG54" s="408">
        <v>1.0374862236254092</v>
      </c>
      <c r="DH54" s="408">
        <v>0</v>
      </c>
      <c r="DI54" s="408">
        <v>-0.5721010292926394</v>
      </c>
      <c r="DJ54" s="408"/>
      <c r="DK54" s="408">
        <v>0</v>
      </c>
      <c r="DL54" s="408">
        <v>0</v>
      </c>
      <c r="DM54" s="408">
        <v>0</v>
      </c>
      <c r="DN54" s="408">
        <v>0</v>
      </c>
      <c r="DO54" s="408">
        <v>-8.5435315544484247E-2</v>
      </c>
      <c r="DP54" s="408">
        <v>-1.8819337120819402E-2</v>
      </c>
      <c r="DQ54" s="408">
        <v>0</v>
      </c>
      <c r="DR54" s="408">
        <v>0</v>
      </c>
      <c r="DS54" s="408"/>
      <c r="DT54" s="408"/>
      <c r="DU54" s="408"/>
      <c r="DV54" s="408">
        <v>0</v>
      </c>
      <c r="DW54" s="408">
        <v>0</v>
      </c>
      <c r="DX54" s="408">
        <v>0</v>
      </c>
      <c r="DY54" s="408">
        <v>0.36167000000000371</v>
      </c>
      <c r="DZ54" s="408">
        <v>13.994789999999995</v>
      </c>
      <c r="EA54" s="408">
        <v>0</v>
      </c>
      <c r="EB54" s="408">
        <v>0</v>
      </c>
      <c r="EC54" s="408">
        <v>0</v>
      </c>
      <c r="ED54" s="408">
        <v>0</v>
      </c>
      <c r="EE54" s="408">
        <v>0</v>
      </c>
      <c r="EF54" s="408">
        <v>0</v>
      </c>
      <c r="EG54" s="408">
        <v>0</v>
      </c>
      <c r="EH54" s="408">
        <v>0</v>
      </c>
      <c r="EI54" s="408">
        <v>0</v>
      </c>
      <c r="EJ54" s="408">
        <v>0</v>
      </c>
      <c r="EK54" s="408">
        <v>0</v>
      </c>
      <c r="EL54" s="408">
        <v>0</v>
      </c>
      <c r="EM54" s="408">
        <v>0</v>
      </c>
      <c r="EN54" s="408">
        <v>0</v>
      </c>
      <c r="EO54" s="408">
        <v>0</v>
      </c>
      <c r="EP54" s="408">
        <v>0</v>
      </c>
      <c r="EQ54" s="408">
        <v>0</v>
      </c>
      <c r="ER54" s="408">
        <v>0</v>
      </c>
      <c r="ES54" s="408">
        <v>0</v>
      </c>
      <c r="ET54" s="408">
        <v>0</v>
      </c>
      <c r="EU54" s="408">
        <v>0</v>
      </c>
      <c r="EV54" s="408">
        <v>238</v>
      </c>
      <c r="EW54" s="408">
        <v>0</v>
      </c>
      <c r="EX54" s="408">
        <v>0</v>
      </c>
      <c r="EY54" s="408">
        <v>0</v>
      </c>
      <c r="EZ54" s="408"/>
      <c r="FA54" s="408">
        <v>0</v>
      </c>
      <c r="FB54" s="408"/>
      <c r="FC54" s="408"/>
      <c r="FD54" s="408"/>
      <c r="FE54" s="408"/>
      <c r="FF54" s="408">
        <v>0</v>
      </c>
      <c r="FG54" s="408">
        <v>0</v>
      </c>
      <c r="FH54" s="408">
        <v>0</v>
      </c>
      <c r="FI54" s="408">
        <v>0</v>
      </c>
    </row>
    <row r="55" spans="1:165" customFormat="1">
      <c r="A55" s="408">
        <v>56</v>
      </c>
      <c r="B55" s="408" t="s">
        <v>1036</v>
      </c>
      <c r="C55" s="408" t="s">
        <v>2243</v>
      </c>
      <c r="D55" s="408" t="s">
        <v>597</v>
      </c>
      <c r="E55" s="408" t="s">
        <v>974</v>
      </c>
      <c r="F55" s="408" t="s">
        <v>2252</v>
      </c>
      <c r="G55" s="408" t="s">
        <v>1322</v>
      </c>
      <c r="H55" s="408" t="s">
        <v>1322</v>
      </c>
      <c r="I55" s="408" t="s">
        <v>1322</v>
      </c>
      <c r="J55" s="408" t="s">
        <v>2236</v>
      </c>
      <c r="K55" s="824">
        <v>44378</v>
      </c>
      <c r="L55" s="408">
        <v>6629</v>
      </c>
      <c r="M55" s="408">
        <v>6363.84</v>
      </c>
      <c r="N55" s="408">
        <v>0</v>
      </c>
      <c r="O55" s="408">
        <v>0</v>
      </c>
      <c r="P55" s="408">
        <v>0</v>
      </c>
      <c r="Q55" s="408">
        <v>0</v>
      </c>
      <c r="R55" s="408">
        <v>44.35</v>
      </c>
      <c r="S55" s="408"/>
      <c r="T55" s="408"/>
      <c r="U55" s="408">
        <v>293996.15000000002</v>
      </c>
      <c r="V55" s="408"/>
      <c r="W55" s="408">
        <v>293996.15000000002</v>
      </c>
      <c r="X55" s="408">
        <v>192042.13</v>
      </c>
      <c r="Y55" s="408">
        <v>0</v>
      </c>
      <c r="Z55" s="408">
        <v>0</v>
      </c>
      <c r="AA55" s="408">
        <v>0</v>
      </c>
      <c r="AB55" s="408">
        <v>0</v>
      </c>
      <c r="AC55" s="408">
        <v>0</v>
      </c>
      <c r="AD55" s="408">
        <v>86986.160188317444</v>
      </c>
      <c r="AE55" s="408">
        <v>190370.60302821023</v>
      </c>
      <c r="AF55" s="408"/>
      <c r="AG55" s="408"/>
      <c r="AH55" s="408"/>
      <c r="AI55" s="408">
        <v>0</v>
      </c>
      <c r="AJ55" s="408">
        <v>0</v>
      </c>
      <c r="AK55" s="408">
        <v>0</v>
      </c>
      <c r="AL55" s="408">
        <v>0</v>
      </c>
      <c r="AM55" s="408"/>
      <c r="AN55" s="408">
        <v>0</v>
      </c>
      <c r="AO55" s="408">
        <v>6574.1164650205501</v>
      </c>
      <c r="AP55" s="408">
        <v>10058.124646902626</v>
      </c>
      <c r="AQ55" s="408">
        <v>0</v>
      </c>
      <c r="AR55" s="408">
        <v>0</v>
      </c>
      <c r="AS55" s="408"/>
      <c r="AT55" s="408"/>
      <c r="AU55" s="408">
        <v>0</v>
      </c>
      <c r="AV55" s="408">
        <v>0</v>
      </c>
      <c r="AW55" s="408">
        <v>0</v>
      </c>
      <c r="AX55" s="408"/>
      <c r="AY55" s="408"/>
      <c r="AZ55" s="408">
        <v>0</v>
      </c>
      <c r="BA55" s="408"/>
      <c r="BB55" s="408">
        <v>0</v>
      </c>
      <c r="BC55" s="408">
        <v>0</v>
      </c>
      <c r="BD55" s="408">
        <v>0</v>
      </c>
      <c r="BE55" s="408">
        <v>0</v>
      </c>
      <c r="BF55" s="408"/>
      <c r="BG55" s="408">
        <v>0</v>
      </c>
      <c r="BH55" s="408">
        <v>0</v>
      </c>
      <c r="BI55" s="408">
        <v>277.98</v>
      </c>
      <c r="BJ55" s="408">
        <v>1253.68</v>
      </c>
      <c r="BK55" s="408">
        <v>765.02</v>
      </c>
      <c r="BL55" s="408">
        <v>122</v>
      </c>
      <c r="BM55" s="408"/>
      <c r="BN55" s="408"/>
      <c r="BO55" s="408"/>
      <c r="BP55" s="408"/>
      <c r="BQ55" s="408"/>
      <c r="BR55" s="408">
        <v>7681.6851999999953</v>
      </c>
      <c r="BS55" s="408"/>
      <c r="BT55" s="408"/>
      <c r="BU55" s="408"/>
      <c r="BV55" s="408">
        <v>0</v>
      </c>
      <c r="BW55" s="408"/>
      <c r="BX55" s="408"/>
      <c r="BY55" s="408"/>
      <c r="BZ55" s="408"/>
      <c r="CA55" s="408"/>
      <c r="CB55" s="408"/>
      <c r="CC55" s="408"/>
      <c r="CD55" s="408"/>
      <c r="CE55" s="408"/>
      <c r="CF55" s="408"/>
      <c r="CG55" s="408"/>
      <c r="CH55" s="408"/>
      <c r="CI55" s="408">
        <v>184360.4448</v>
      </c>
      <c r="CJ55" s="408">
        <v>-97875.889200000034</v>
      </c>
      <c r="CK55" s="408"/>
      <c r="CL55" s="408"/>
      <c r="CM55" s="408"/>
      <c r="CN55" s="408"/>
      <c r="CO55" s="408">
        <v>-101954.02000000002</v>
      </c>
      <c r="CP55" s="408">
        <v>0</v>
      </c>
      <c r="CQ55" s="408">
        <v>31</v>
      </c>
      <c r="CR55" s="408">
        <v>4859.6626192350232</v>
      </c>
      <c r="CS55" s="408">
        <v>793.70642957151267</v>
      </c>
      <c r="CT55" s="408">
        <v>1214.3378116519943</v>
      </c>
      <c r="CU55" s="408">
        <v>0</v>
      </c>
      <c r="CV55" s="408">
        <v>0</v>
      </c>
      <c r="CW55" s="408"/>
      <c r="CX55" s="408"/>
      <c r="CY55" s="408"/>
      <c r="CZ55" s="408">
        <v>2851.6183780115098</v>
      </c>
      <c r="DA55" s="408">
        <v>0</v>
      </c>
      <c r="DB55" s="408">
        <v>0</v>
      </c>
      <c r="DC55" s="408"/>
      <c r="DD55" s="408"/>
      <c r="DE55" s="408">
        <v>0</v>
      </c>
      <c r="DF55" s="408">
        <v>0</v>
      </c>
      <c r="DG55" s="408">
        <v>0</v>
      </c>
      <c r="DH55" s="408">
        <v>0</v>
      </c>
      <c r="DI55" s="408">
        <v>0</v>
      </c>
      <c r="DJ55" s="408"/>
      <c r="DK55" s="408">
        <v>0</v>
      </c>
      <c r="DL55" s="408">
        <v>0</v>
      </c>
      <c r="DM55" s="408"/>
      <c r="DN55" s="408">
        <v>0</v>
      </c>
      <c r="DO55" s="408">
        <v>0</v>
      </c>
      <c r="DP55" s="408">
        <v>0</v>
      </c>
      <c r="DQ55" s="408">
        <v>0</v>
      </c>
      <c r="DR55" s="408">
        <v>0</v>
      </c>
      <c r="DS55" s="408"/>
      <c r="DT55" s="408"/>
      <c r="DU55" s="408">
        <v>190370.60302821023</v>
      </c>
      <c r="DV55" s="408"/>
      <c r="DW55" s="408">
        <v>0</v>
      </c>
      <c r="DX55" s="408">
        <v>0</v>
      </c>
      <c r="DY55" s="408">
        <v>-101954.02000000002</v>
      </c>
      <c r="DZ55" s="408"/>
      <c r="EA55" s="408">
        <v>0</v>
      </c>
      <c r="EB55" s="408"/>
      <c r="EC55" s="408">
        <v>-106795.94732842543</v>
      </c>
      <c r="ED55" s="408"/>
      <c r="EE55" s="408">
        <v>0</v>
      </c>
      <c r="EF55" s="408">
        <v>0</v>
      </c>
      <c r="EG55" s="408"/>
      <c r="EH55" s="408">
        <v>0</v>
      </c>
      <c r="EI55" s="408">
        <v>0</v>
      </c>
      <c r="EJ55" s="408">
        <v>0</v>
      </c>
      <c r="EK55" s="408">
        <v>0</v>
      </c>
      <c r="EL55" s="408">
        <v>0</v>
      </c>
      <c r="EM55" s="408"/>
      <c r="EN55" s="408"/>
      <c r="EO55" s="408">
        <v>0</v>
      </c>
      <c r="EP55" s="408">
        <v>0</v>
      </c>
      <c r="EQ55" s="408"/>
      <c r="ER55" s="408">
        <v>0</v>
      </c>
      <c r="ES55" s="408"/>
      <c r="ET55" s="408">
        <v>0</v>
      </c>
      <c r="EU55" s="408"/>
      <c r="EV55" s="408">
        <v>238</v>
      </c>
      <c r="EW55" s="408"/>
      <c r="EX55" s="408"/>
      <c r="EY55" s="408"/>
      <c r="EZ55" s="408"/>
      <c r="FA55" s="408">
        <v>0</v>
      </c>
      <c r="FB55" s="408"/>
      <c r="FC55" s="408"/>
      <c r="FD55" s="408"/>
      <c r="FE55" s="408"/>
      <c r="FF55" s="408">
        <v>0</v>
      </c>
      <c r="FG55" s="408">
        <v>0</v>
      </c>
      <c r="FH55" s="408">
        <v>0</v>
      </c>
      <c r="FI55" s="408">
        <v>0</v>
      </c>
    </row>
    <row r="56" spans="1:165" customFormat="1">
      <c r="A56" s="408">
        <v>57</v>
      </c>
      <c r="B56" s="408" t="s">
        <v>2238</v>
      </c>
      <c r="C56" s="408" t="s">
        <v>2243</v>
      </c>
      <c r="D56" s="408" t="s">
        <v>597</v>
      </c>
      <c r="E56" s="408" t="s">
        <v>974</v>
      </c>
      <c r="F56" s="408" t="s">
        <v>2252</v>
      </c>
      <c r="G56" s="408" t="s">
        <v>1322</v>
      </c>
      <c r="H56" s="408" t="s">
        <v>1322</v>
      </c>
      <c r="I56" s="408" t="s">
        <v>1322</v>
      </c>
      <c r="J56" s="408" t="s">
        <v>2236</v>
      </c>
      <c r="K56" s="824">
        <v>44378</v>
      </c>
      <c r="L56" s="408">
        <v>545</v>
      </c>
      <c r="M56" s="408">
        <v>523.19999999999993</v>
      </c>
      <c r="N56" s="408">
        <v>0</v>
      </c>
      <c r="O56" s="408">
        <v>0</v>
      </c>
      <c r="P56" s="408">
        <v>0</v>
      </c>
      <c r="Q56" s="408">
        <v>0</v>
      </c>
      <c r="R56" s="408">
        <v>44.35</v>
      </c>
      <c r="S56" s="408"/>
      <c r="T56" s="408"/>
      <c r="U56" s="408">
        <v>24170.75</v>
      </c>
      <c r="V56" s="408"/>
      <c r="W56" s="408">
        <v>24170.75</v>
      </c>
      <c r="X56" s="408">
        <v>15788.65</v>
      </c>
      <c r="Y56" s="408">
        <v>0</v>
      </c>
      <c r="Z56" s="408">
        <v>0</v>
      </c>
      <c r="AA56" s="408">
        <v>0</v>
      </c>
      <c r="AB56" s="408">
        <v>0</v>
      </c>
      <c r="AC56" s="408">
        <v>0</v>
      </c>
      <c r="AD56" s="408">
        <v>7151.524710006488</v>
      </c>
      <c r="AE56" s="408">
        <v>15651.226225731569</v>
      </c>
      <c r="AF56" s="408"/>
      <c r="AG56" s="408"/>
      <c r="AH56" s="408"/>
      <c r="AI56" s="408">
        <v>0</v>
      </c>
      <c r="AJ56" s="408">
        <v>0</v>
      </c>
      <c r="AK56" s="408">
        <v>0</v>
      </c>
      <c r="AL56" s="408">
        <v>0</v>
      </c>
      <c r="AM56" s="408"/>
      <c r="AN56" s="408">
        <v>0</v>
      </c>
      <c r="AO56" s="408">
        <v>540.48777695522699</v>
      </c>
      <c r="AP56" s="408">
        <v>826.92380940744169</v>
      </c>
      <c r="AQ56" s="408">
        <v>0</v>
      </c>
      <c r="AR56" s="408">
        <v>0</v>
      </c>
      <c r="AS56" s="408"/>
      <c r="AT56" s="408"/>
      <c r="AU56" s="408">
        <v>0</v>
      </c>
      <c r="AV56" s="408">
        <v>0</v>
      </c>
      <c r="AW56" s="408">
        <v>0</v>
      </c>
      <c r="AX56" s="408"/>
      <c r="AY56" s="408"/>
      <c r="AZ56" s="408">
        <v>0</v>
      </c>
      <c r="BA56" s="408"/>
      <c r="BB56" s="408">
        <v>0</v>
      </c>
      <c r="BC56" s="408">
        <v>0</v>
      </c>
      <c r="BD56" s="408">
        <v>0</v>
      </c>
      <c r="BE56" s="408">
        <v>0</v>
      </c>
      <c r="BF56" s="408"/>
      <c r="BG56" s="408">
        <v>0</v>
      </c>
      <c r="BH56" s="408">
        <v>0</v>
      </c>
      <c r="BI56" s="408">
        <v>21.53</v>
      </c>
      <c r="BJ56" s="408">
        <v>97.16</v>
      </c>
      <c r="BK56" s="408">
        <v>27.77</v>
      </c>
      <c r="BL56" s="408">
        <v>10</v>
      </c>
      <c r="BM56" s="408"/>
      <c r="BN56" s="408"/>
      <c r="BO56" s="408"/>
      <c r="BP56" s="408"/>
      <c r="BQ56" s="408"/>
      <c r="BR56" s="408">
        <v>631.54600000000198</v>
      </c>
      <c r="BS56" s="408"/>
      <c r="BT56" s="408"/>
      <c r="BU56" s="408"/>
      <c r="BV56" s="408">
        <v>0</v>
      </c>
      <c r="BW56" s="408"/>
      <c r="BX56" s="408"/>
      <c r="BY56" s="408"/>
      <c r="BZ56" s="408"/>
      <c r="CA56" s="408"/>
      <c r="CB56" s="408"/>
      <c r="CC56" s="408"/>
      <c r="CD56" s="408"/>
      <c r="CE56" s="408"/>
      <c r="CF56" s="408"/>
      <c r="CG56" s="408"/>
      <c r="CH56" s="408"/>
      <c r="CI56" s="408">
        <v>15157.104000000001</v>
      </c>
      <c r="CJ56" s="408">
        <v>-8046.8459999999923</v>
      </c>
      <c r="CK56" s="408"/>
      <c r="CL56" s="408"/>
      <c r="CM56" s="408"/>
      <c r="CN56" s="408"/>
      <c r="CO56" s="408">
        <v>-8382.1000000000022</v>
      </c>
      <c r="CP56" s="408">
        <v>0</v>
      </c>
      <c r="CQ56" s="408">
        <v>31</v>
      </c>
      <c r="CR56" s="408">
        <v>399.53479068986053</v>
      </c>
      <c r="CS56" s="408">
        <v>65.254186772737057</v>
      </c>
      <c r="CT56" s="408">
        <v>99.836190579323784</v>
      </c>
      <c r="CU56" s="408">
        <v>0</v>
      </c>
      <c r="CV56" s="408">
        <v>0</v>
      </c>
      <c r="CW56" s="408"/>
      <c r="CX56" s="408"/>
      <c r="CY56" s="408"/>
      <c r="CZ56" s="408">
        <v>234.44441333780014</v>
      </c>
      <c r="DA56" s="408">
        <v>0</v>
      </c>
      <c r="DB56" s="408">
        <v>0</v>
      </c>
      <c r="DC56" s="408"/>
      <c r="DD56" s="408"/>
      <c r="DE56" s="408">
        <v>0</v>
      </c>
      <c r="DF56" s="408">
        <v>0</v>
      </c>
      <c r="DG56" s="408">
        <v>0</v>
      </c>
      <c r="DH56" s="408">
        <v>0</v>
      </c>
      <c r="DI56" s="408">
        <v>0</v>
      </c>
      <c r="DJ56" s="408"/>
      <c r="DK56" s="408">
        <v>0</v>
      </c>
      <c r="DL56" s="408">
        <v>0</v>
      </c>
      <c r="DM56" s="408"/>
      <c r="DN56" s="408">
        <v>0</v>
      </c>
      <c r="DO56" s="408">
        <v>0</v>
      </c>
      <c r="DP56" s="408">
        <v>0</v>
      </c>
      <c r="DQ56" s="408">
        <v>0</v>
      </c>
      <c r="DR56" s="408">
        <v>0</v>
      </c>
      <c r="DS56" s="408"/>
      <c r="DT56" s="408"/>
      <c r="DU56" s="408">
        <v>15651.226225731569</v>
      </c>
      <c r="DV56" s="408"/>
      <c r="DW56" s="408">
        <v>0</v>
      </c>
      <c r="DX56" s="408">
        <v>0</v>
      </c>
      <c r="DY56" s="408">
        <v>-8382.1</v>
      </c>
      <c r="DZ56" s="408"/>
      <c r="EA56" s="408">
        <v>0</v>
      </c>
      <c r="EB56" s="408"/>
      <c r="EC56" s="408">
        <v>-8780.1766924108997</v>
      </c>
      <c r="ED56" s="408"/>
      <c r="EE56" s="408">
        <v>0</v>
      </c>
      <c r="EF56" s="408">
        <v>0</v>
      </c>
      <c r="EG56" s="408"/>
      <c r="EH56" s="408">
        <v>0</v>
      </c>
      <c r="EI56" s="408">
        <v>0</v>
      </c>
      <c r="EJ56" s="408">
        <v>0</v>
      </c>
      <c r="EK56" s="408">
        <v>0</v>
      </c>
      <c r="EL56" s="408">
        <v>0</v>
      </c>
      <c r="EM56" s="408"/>
      <c r="EN56" s="408"/>
      <c r="EO56" s="408">
        <v>0</v>
      </c>
      <c r="EP56" s="408">
        <v>0</v>
      </c>
      <c r="EQ56" s="408"/>
      <c r="ER56" s="408">
        <v>0</v>
      </c>
      <c r="ES56" s="408"/>
      <c r="ET56" s="408">
        <v>0</v>
      </c>
      <c r="EU56" s="408"/>
      <c r="EV56" s="408">
        <v>238</v>
      </c>
      <c r="EW56" s="408"/>
      <c r="EX56" s="408"/>
      <c r="EY56" s="408"/>
      <c r="EZ56" s="408"/>
      <c r="FA56" s="408">
        <v>0</v>
      </c>
      <c r="FB56" s="408"/>
      <c r="FC56" s="408"/>
      <c r="FD56" s="408"/>
      <c r="FE56" s="408"/>
      <c r="FF56" s="408">
        <v>0</v>
      </c>
      <c r="FG56" s="408">
        <v>0</v>
      </c>
      <c r="FH56" s="408">
        <v>0</v>
      </c>
      <c r="FI56" s="408">
        <v>0</v>
      </c>
    </row>
    <row r="57" spans="1:165" customFormat="1">
      <c r="A57" s="408">
        <v>58</v>
      </c>
      <c r="B57" s="408" t="s">
        <v>1036</v>
      </c>
      <c r="C57" s="408" t="s">
        <v>2243</v>
      </c>
      <c r="D57" s="408" t="s">
        <v>597</v>
      </c>
      <c r="E57" s="408" t="s">
        <v>974</v>
      </c>
      <c r="F57" s="408" t="s">
        <v>2252</v>
      </c>
      <c r="G57" s="408" t="s">
        <v>2254</v>
      </c>
      <c r="H57" s="408" t="s">
        <v>1322</v>
      </c>
      <c r="I57" s="408" t="s">
        <v>2244</v>
      </c>
      <c r="J57" s="408" t="s">
        <v>2236</v>
      </c>
      <c r="K57" s="824">
        <v>44378</v>
      </c>
      <c r="L57" s="408">
        <v>0</v>
      </c>
      <c r="M57" s="408">
        <v>0</v>
      </c>
      <c r="N57" s="408">
        <v>93.811999999999998</v>
      </c>
      <c r="O57" s="408">
        <v>28.143599999999999</v>
      </c>
      <c r="P57" s="408">
        <v>93.811999999999998</v>
      </c>
      <c r="Q57" s="408">
        <v>28.143599999999999</v>
      </c>
      <c r="R57" s="408"/>
      <c r="S57" s="408">
        <v>79.7</v>
      </c>
      <c r="T57" s="408">
        <v>209.4</v>
      </c>
      <c r="U57" s="408"/>
      <c r="V57" s="408">
        <v>27121.049200000001</v>
      </c>
      <c r="W57" s="408">
        <v>27121.049200000001</v>
      </c>
      <c r="X57" s="408">
        <v>29318.126239999998</v>
      </c>
      <c r="Y57" s="408">
        <v>0</v>
      </c>
      <c r="Z57" s="408">
        <v>5022.5049332957797</v>
      </c>
      <c r="AA57" s="408">
        <v>0</v>
      </c>
      <c r="AB57" s="408">
        <v>0</v>
      </c>
      <c r="AC57" s="408">
        <v>0</v>
      </c>
      <c r="AD57" s="408">
        <v>0</v>
      </c>
      <c r="AE57" s="408">
        <v>0</v>
      </c>
      <c r="AF57" s="408">
        <v>19386.319764147636</v>
      </c>
      <c r="AG57" s="408">
        <v>258.26114922039903</v>
      </c>
      <c r="AH57" s="408">
        <v>0</v>
      </c>
      <c r="AI57" s="408">
        <v>0</v>
      </c>
      <c r="AJ57" s="408">
        <v>0</v>
      </c>
      <c r="AK57" s="408">
        <v>0</v>
      </c>
      <c r="AL57" s="408">
        <v>892.11474953243089</v>
      </c>
      <c r="AM57" s="408"/>
      <c r="AN57" s="408">
        <v>124.56773026976374</v>
      </c>
      <c r="AO57" s="408">
        <v>0</v>
      </c>
      <c r="AP57" s="408">
        <v>0</v>
      </c>
      <c r="AQ57" s="408">
        <v>0</v>
      </c>
      <c r="AR57" s="408">
        <v>0</v>
      </c>
      <c r="AS57" s="408">
        <v>0</v>
      </c>
      <c r="AT57" s="408">
        <v>0</v>
      </c>
      <c r="AU57" s="408">
        <v>0</v>
      </c>
      <c r="AV57" s="408">
        <v>0</v>
      </c>
      <c r="AW57" s="408">
        <v>0</v>
      </c>
      <c r="AX57" s="408">
        <v>0</v>
      </c>
      <c r="AY57" s="408">
        <v>0</v>
      </c>
      <c r="AZ57" s="408">
        <v>0</v>
      </c>
      <c r="BA57" s="408"/>
      <c r="BB57" s="408">
        <v>0</v>
      </c>
      <c r="BC57" s="408">
        <v>0</v>
      </c>
      <c r="BD57" s="408">
        <v>0</v>
      </c>
      <c r="BE57" s="408">
        <v>0</v>
      </c>
      <c r="BF57" s="408">
        <v>0</v>
      </c>
      <c r="BG57" s="408">
        <v>1437.6160239188268</v>
      </c>
      <c r="BH57" s="408">
        <v>0</v>
      </c>
      <c r="BI57" s="408">
        <v>0</v>
      </c>
      <c r="BJ57" s="408">
        <v>0</v>
      </c>
      <c r="BK57" s="408">
        <v>0</v>
      </c>
      <c r="BL57" s="408">
        <v>0</v>
      </c>
      <c r="BM57" s="408"/>
      <c r="BN57" s="408"/>
      <c r="BO57" s="408"/>
      <c r="BP57" s="408"/>
      <c r="BQ57" s="408"/>
      <c r="BR57" s="408"/>
      <c r="BS57" s="408">
        <v>20522.688367999996</v>
      </c>
      <c r="BT57" s="408"/>
      <c r="BU57" s="408"/>
      <c r="BV57" s="408">
        <v>20823.935788066465</v>
      </c>
      <c r="BW57" s="408"/>
      <c r="BX57" s="408"/>
      <c r="BY57" s="408"/>
      <c r="BZ57" s="408"/>
      <c r="CA57" s="408"/>
      <c r="CB57" s="408"/>
      <c r="CC57" s="408"/>
      <c r="CD57" s="408"/>
      <c r="CE57" s="408"/>
      <c r="CF57" s="408"/>
      <c r="CG57" s="408"/>
      <c r="CH57" s="408"/>
      <c r="CI57" s="408">
        <v>8794.3127999999997</v>
      </c>
      <c r="CJ57" s="408">
        <v>657.96803999999975</v>
      </c>
      <c r="CK57" s="408"/>
      <c r="CL57" s="408"/>
      <c r="CM57" s="408"/>
      <c r="CN57" s="408"/>
      <c r="CO57" s="408">
        <v>55.34908000000032</v>
      </c>
      <c r="CP57" s="408">
        <v>2141.7279599999983</v>
      </c>
      <c r="CQ57" s="408">
        <v>31</v>
      </c>
      <c r="CR57" s="408">
        <v>2196.3456906965221</v>
      </c>
      <c r="CS57" s="408">
        <v>0</v>
      </c>
      <c r="CT57" s="408">
        <v>0</v>
      </c>
      <c r="CU57" s="408">
        <v>0</v>
      </c>
      <c r="CV57" s="408">
        <v>0</v>
      </c>
      <c r="CW57" s="408">
        <v>0</v>
      </c>
      <c r="CX57" s="408">
        <v>0</v>
      </c>
      <c r="CY57" s="408">
        <v>0</v>
      </c>
      <c r="CZ57" s="408">
        <v>0</v>
      </c>
      <c r="DA57" s="408">
        <v>0</v>
      </c>
      <c r="DB57" s="408">
        <v>0</v>
      </c>
      <c r="DC57" s="408">
        <v>2141.0791680620823</v>
      </c>
      <c r="DD57" s="408">
        <v>0</v>
      </c>
      <c r="DE57" s="408">
        <v>0</v>
      </c>
      <c r="DF57" s="408">
        <v>0</v>
      </c>
      <c r="DG57" s="408">
        <v>158.77431910399173</v>
      </c>
      <c r="DH57" s="408">
        <v>0</v>
      </c>
      <c r="DI57" s="408">
        <v>-87.552922936380128</v>
      </c>
      <c r="DJ57" s="408"/>
      <c r="DK57" s="408">
        <v>0</v>
      </c>
      <c r="DL57" s="408">
        <v>0</v>
      </c>
      <c r="DM57" s="408">
        <v>0</v>
      </c>
      <c r="DN57" s="408">
        <v>0</v>
      </c>
      <c r="DO57" s="408">
        <v>-13.074808844794688</v>
      </c>
      <c r="DP57" s="408">
        <v>-2.8800646883822196</v>
      </c>
      <c r="DQ57" s="408">
        <v>0</v>
      </c>
      <c r="DR57" s="408">
        <v>0</v>
      </c>
      <c r="DS57" s="408"/>
      <c r="DT57" s="408"/>
      <c r="DU57" s="408"/>
      <c r="DV57" s="408">
        <v>0</v>
      </c>
      <c r="DW57" s="408">
        <v>0</v>
      </c>
      <c r="DX57" s="408">
        <v>0</v>
      </c>
      <c r="DY57" s="408">
        <v>55.349080000000868</v>
      </c>
      <c r="DZ57" s="408">
        <v>2141.7279599999965</v>
      </c>
      <c r="EA57" s="408">
        <v>0</v>
      </c>
      <c r="EB57" s="408">
        <v>0</v>
      </c>
      <c r="EC57" s="408">
        <v>0</v>
      </c>
      <c r="ED57" s="408">
        <v>0</v>
      </c>
      <c r="EE57" s="408">
        <v>0</v>
      </c>
      <c r="EF57" s="408">
        <v>0</v>
      </c>
      <c r="EG57" s="408">
        <v>0</v>
      </c>
      <c r="EH57" s="408">
        <v>0</v>
      </c>
      <c r="EI57" s="408">
        <v>0</v>
      </c>
      <c r="EJ57" s="408">
        <v>0</v>
      </c>
      <c r="EK57" s="408">
        <v>0</v>
      </c>
      <c r="EL57" s="408">
        <v>0</v>
      </c>
      <c r="EM57" s="408">
        <v>0</v>
      </c>
      <c r="EN57" s="408">
        <v>0</v>
      </c>
      <c r="EO57" s="408">
        <v>0</v>
      </c>
      <c r="EP57" s="408">
        <v>0</v>
      </c>
      <c r="EQ57" s="408">
        <v>0</v>
      </c>
      <c r="ER57" s="408">
        <v>0</v>
      </c>
      <c r="ES57" s="408">
        <v>0</v>
      </c>
      <c r="ET57" s="408">
        <v>0</v>
      </c>
      <c r="EU57" s="408">
        <v>0</v>
      </c>
      <c r="EV57" s="408">
        <v>238</v>
      </c>
      <c r="EW57" s="408">
        <v>0</v>
      </c>
      <c r="EX57" s="408">
        <v>0</v>
      </c>
      <c r="EY57" s="408">
        <v>0</v>
      </c>
      <c r="EZ57" s="408"/>
      <c r="FA57" s="408">
        <v>0</v>
      </c>
      <c r="FB57" s="408"/>
      <c r="FC57" s="408"/>
      <c r="FD57" s="408"/>
      <c r="FE57" s="408"/>
      <c r="FF57" s="408">
        <v>0</v>
      </c>
      <c r="FG57" s="408">
        <v>0</v>
      </c>
      <c r="FH57" s="408">
        <v>0</v>
      </c>
      <c r="FI57" s="408">
        <v>0</v>
      </c>
    </row>
    <row r="58" spans="1:165" customFormat="1">
      <c r="A58" s="408">
        <v>60</v>
      </c>
      <c r="B58" s="408" t="s">
        <v>1036</v>
      </c>
      <c r="C58" s="408" t="s">
        <v>2235</v>
      </c>
      <c r="D58" s="408" t="s">
        <v>1955</v>
      </c>
      <c r="E58" s="408" t="s">
        <v>969</v>
      </c>
      <c r="F58" s="408" t="s">
        <v>969</v>
      </c>
      <c r="G58" s="408" t="s">
        <v>1322</v>
      </c>
      <c r="H58" s="408" t="s">
        <v>1322</v>
      </c>
      <c r="I58" s="408" t="s">
        <v>1322</v>
      </c>
      <c r="J58" s="408" t="s">
        <v>2236</v>
      </c>
      <c r="K58" s="824">
        <v>44409</v>
      </c>
      <c r="L58" s="408">
        <v>0</v>
      </c>
      <c r="M58" s="408">
        <v>0</v>
      </c>
      <c r="N58" s="408">
        <v>1362.52</v>
      </c>
      <c r="O58" s="408">
        <v>1362.52</v>
      </c>
      <c r="P58" s="408">
        <v>1362.52</v>
      </c>
      <c r="Q58" s="408">
        <v>1362.52</v>
      </c>
      <c r="R58" s="408"/>
      <c r="S58" s="408">
        <v>581.32000000000005</v>
      </c>
      <c r="T58" s="408">
        <v>209.4</v>
      </c>
      <c r="U58" s="408"/>
      <c r="V58" s="408">
        <v>1077371.8144</v>
      </c>
      <c r="W58" s="408">
        <v>1077371.8144</v>
      </c>
      <c r="X58" s="408">
        <v>823057.45640000002</v>
      </c>
      <c r="Y58" s="408">
        <v>0</v>
      </c>
      <c r="Z58" s="408">
        <v>83846.629695122218</v>
      </c>
      <c r="AA58" s="408">
        <v>0</v>
      </c>
      <c r="AB58" s="408">
        <v>0</v>
      </c>
      <c r="AC58" s="408">
        <v>0</v>
      </c>
      <c r="AD58" s="408">
        <v>101086.91860719316</v>
      </c>
      <c r="AE58" s="408">
        <v>525122.44555609161</v>
      </c>
      <c r="AF58" s="408">
        <v>281565.77415518736</v>
      </c>
      <c r="AG58" s="408">
        <v>3750.9698230053523</v>
      </c>
      <c r="AH58" s="408">
        <v>0</v>
      </c>
      <c r="AI58" s="408">
        <v>0</v>
      </c>
      <c r="AJ58" s="408">
        <v>0</v>
      </c>
      <c r="AK58" s="408">
        <v>0</v>
      </c>
      <c r="AL58" s="408">
        <v>12957.022433515198</v>
      </c>
      <c r="AM58" s="408"/>
      <c r="AN58" s="408">
        <v>2483.8253396031519</v>
      </c>
      <c r="AO58" s="408">
        <v>7765.6565456350245</v>
      </c>
      <c r="AP58" s="408">
        <v>11697.493038599609</v>
      </c>
      <c r="AQ58" s="408">
        <v>0</v>
      </c>
      <c r="AR58" s="408">
        <v>0</v>
      </c>
      <c r="AS58" s="408">
        <v>0</v>
      </c>
      <c r="AT58" s="408">
        <v>0</v>
      </c>
      <c r="AU58" s="408">
        <v>0</v>
      </c>
      <c r="AV58" s="408">
        <v>0</v>
      </c>
      <c r="AW58" s="408">
        <v>0</v>
      </c>
      <c r="AX58" s="408">
        <v>0</v>
      </c>
      <c r="AY58" s="408">
        <v>0</v>
      </c>
      <c r="AZ58" s="408">
        <v>0</v>
      </c>
      <c r="BA58" s="408"/>
      <c r="BB58" s="408">
        <v>0</v>
      </c>
      <c r="BC58" s="408">
        <v>0</v>
      </c>
      <c r="BD58" s="408">
        <v>0</v>
      </c>
      <c r="BE58" s="408">
        <v>0</v>
      </c>
      <c r="BF58" s="408">
        <v>0</v>
      </c>
      <c r="BG58" s="408">
        <v>47105.427656429652</v>
      </c>
      <c r="BH58" s="408">
        <v>0</v>
      </c>
      <c r="BI58" s="408">
        <v>1333.14</v>
      </c>
      <c r="BJ58" s="408">
        <v>6622.2</v>
      </c>
      <c r="BK58" s="408">
        <v>403674.23</v>
      </c>
      <c r="BL58" s="408">
        <v>9301</v>
      </c>
      <c r="BM58" s="408"/>
      <c r="BN58" s="408"/>
      <c r="BO58" s="408"/>
      <c r="BP58" s="408"/>
      <c r="BQ58" s="408"/>
      <c r="BR58" s="408"/>
      <c r="BS58" s="408"/>
      <c r="BT58" s="408"/>
      <c r="BU58" s="408"/>
      <c r="BV58" s="408">
        <v>328671.20181161701</v>
      </c>
      <c r="BW58" s="408"/>
      <c r="BX58" s="408"/>
      <c r="BY58" s="408"/>
      <c r="BZ58" s="408"/>
      <c r="CA58" s="408"/>
      <c r="CB58" s="408"/>
      <c r="CC58" s="408"/>
      <c r="CD58" s="408"/>
      <c r="CE58" s="408"/>
      <c r="CF58" s="408"/>
      <c r="CG58" s="408"/>
      <c r="CH58" s="408"/>
      <c r="CI58" s="408">
        <v>823057.45640000002</v>
      </c>
      <c r="CJ58" s="408">
        <v>-254314.38800000004</v>
      </c>
      <c r="CK58" s="408"/>
      <c r="CL58" s="408"/>
      <c r="CM58" s="408"/>
      <c r="CN58" s="408"/>
      <c r="CO58" s="408">
        <v>-285420.6896000001</v>
      </c>
      <c r="CP58" s="408">
        <v>31106.33159999998</v>
      </c>
      <c r="CQ58" s="408">
        <v>31</v>
      </c>
      <c r="CR58" s="408">
        <v>40254.114718561992</v>
      </c>
      <c r="CS58" s="408">
        <v>937.56348292735038</v>
      </c>
      <c r="CT58" s="408">
        <v>1412.2620863206012</v>
      </c>
      <c r="CU58" s="408">
        <v>0</v>
      </c>
      <c r="CV58" s="408">
        <v>0</v>
      </c>
      <c r="CW58" s="408">
        <v>0</v>
      </c>
      <c r="CX58" s="408">
        <v>0</v>
      </c>
      <c r="CY58" s="408">
        <v>0</v>
      </c>
      <c r="CZ58" s="408">
        <v>3313.8756125427171</v>
      </c>
      <c r="DA58" s="408">
        <v>0</v>
      </c>
      <c r="DB58" s="408">
        <v>0</v>
      </c>
      <c r="DC58" s="408">
        <v>31096.908583848039</v>
      </c>
      <c r="DD58" s="408">
        <v>0</v>
      </c>
      <c r="DE58" s="408">
        <v>0</v>
      </c>
      <c r="DF58" s="408">
        <v>0</v>
      </c>
      <c r="DG58" s="408">
        <v>5202.4546734421092</v>
      </c>
      <c r="DH58" s="408">
        <v>0</v>
      </c>
      <c r="DI58" s="408">
        <v>-1461.6247481423052</v>
      </c>
      <c r="DJ58" s="408"/>
      <c r="DK58" s="408">
        <v>0</v>
      </c>
      <c r="DL58" s="408">
        <v>0</v>
      </c>
      <c r="DM58" s="408">
        <v>0</v>
      </c>
      <c r="DN58" s="408">
        <v>0</v>
      </c>
      <c r="DO58" s="408">
        <v>-189.89775878575892</v>
      </c>
      <c r="DP58" s="408">
        <v>-57.42721359060215</v>
      </c>
      <c r="DQ58" s="408">
        <v>0</v>
      </c>
      <c r="DR58" s="408">
        <v>0</v>
      </c>
      <c r="DS58" s="408"/>
      <c r="DT58" s="408"/>
      <c r="DU58" s="408"/>
      <c r="DV58" s="408">
        <v>525122.44555609161</v>
      </c>
      <c r="DW58" s="408">
        <v>0</v>
      </c>
      <c r="DX58" s="408">
        <v>0</v>
      </c>
      <c r="DY58" s="408">
        <v>-285420.6896000001</v>
      </c>
      <c r="DZ58" s="408">
        <v>31106.331599999976</v>
      </c>
      <c r="EA58" s="408">
        <v>0</v>
      </c>
      <c r="EB58" s="408">
        <v>0</v>
      </c>
      <c r="EC58" s="408">
        <v>-294588.28277321719</v>
      </c>
      <c r="ED58" s="408">
        <v>0</v>
      </c>
      <c r="EE58" s="408">
        <v>0</v>
      </c>
      <c r="EF58" s="408">
        <v>0</v>
      </c>
      <c r="EG58" s="408">
        <v>0</v>
      </c>
      <c r="EH58" s="408">
        <v>0</v>
      </c>
      <c r="EI58" s="408">
        <v>0</v>
      </c>
      <c r="EJ58" s="408">
        <v>0</v>
      </c>
      <c r="EK58" s="408">
        <v>0</v>
      </c>
      <c r="EL58" s="408">
        <v>0</v>
      </c>
      <c r="EM58" s="408">
        <v>0</v>
      </c>
      <c r="EN58" s="408">
        <v>0</v>
      </c>
      <c r="EO58" s="408">
        <v>0</v>
      </c>
      <c r="EP58" s="408">
        <v>0</v>
      </c>
      <c r="EQ58" s="408">
        <v>0</v>
      </c>
      <c r="ER58" s="408">
        <v>0</v>
      </c>
      <c r="ES58" s="408">
        <v>0</v>
      </c>
      <c r="ET58" s="408">
        <v>0</v>
      </c>
      <c r="EU58" s="408">
        <v>0</v>
      </c>
      <c r="EV58" s="408">
        <v>238</v>
      </c>
      <c r="EW58" s="408">
        <v>0</v>
      </c>
      <c r="EX58" s="408">
        <v>0</v>
      </c>
      <c r="EY58" s="408">
        <v>0</v>
      </c>
      <c r="EZ58" s="408"/>
      <c r="FA58" s="408">
        <v>0</v>
      </c>
      <c r="FB58" s="408"/>
      <c r="FC58" s="408"/>
      <c r="FD58" s="408"/>
      <c r="FE58" s="408"/>
      <c r="FF58" s="408">
        <v>0</v>
      </c>
      <c r="FG58" s="408">
        <v>0</v>
      </c>
      <c r="FH58" s="408">
        <v>0</v>
      </c>
      <c r="FI58" s="408">
        <v>0</v>
      </c>
    </row>
    <row r="59" spans="1:165" customFormat="1">
      <c r="A59" s="408">
        <v>61</v>
      </c>
      <c r="B59" s="408" t="s">
        <v>2237</v>
      </c>
      <c r="C59" s="408" t="s">
        <v>2235</v>
      </c>
      <c r="D59" s="408" t="s">
        <v>1955</v>
      </c>
      <c r="E59" s="408" t="s">
        <v>969</v>
      </c>
      <c r="F59" s="408" t="s">
        <v>969</v>
      </c>
      <c r="G59" s="408" t="s">
        <v>1322</v>
      </c>
      <c r="H59" s="408" t="s">
        <v>1322</v>
      </c>
      <c r="I59" s="408" t="s">
        <v>1322</v>
      </c>
      <c r="J59" s="408" t="s">
        <v>2236</v>
      </c>
      <c r="K59" s="824">
        <v>44409</v>
      </c>
      <c r="L59" s="408">
        <v>0</v>
      </c>
      <c r="M59" s="408">
        <v>0</v>
      </c>
      <c r="N59" s="408">
        <v>-1.0640000000000001</v>
      </c>
      <c r="O59" s="408">
        <v>-1.0640000000000001</v>
      </c>
      <c r="P59" s="408">
        <v>-1.0640000000000001</v>
      </c>
      <c r="Q59" s="408">
        <v>-1.0640000000000001</v>
      </c>
      <c r="R59" s="408"/>
      <c r="S59" s="408">
        <v>581.32000000000005</v>
      </c>
      <c r="T59" s="408">
        <v>209.4</v>
      </c>
      <c r="U59" s="408"/>
      <c r="V59" s="408">
        <v>-841.32608000000005</v>
      </c>
      <c r="W59" s="408">
        <v>-841.32608000000005</v>
      </c>
      <c r="X59" s="408">
        <v>-642.73048000000006</v>
      </c>
      <c r="Y59" s="408">
        <v>0</v>
      </c>
      <c r="Z59" s="408">
        <v>-65.476333555184539</v>
      </c>
      <c r="AA59" s="408">
        <v>0</v>
      </c>
      <c r="AB59" s="408">
        <v>0</v>
      </c>
      <c r="AC59" s="408">
        <v>0</v>
      </c>
      <c r="AD59" s="408">
        <v>-78.939378062746627</v>
      </c>
      <c r="AE59" s="408">
        <v>-410.0712518507483</v>
      </c>
      <c r="AF59" s="408">
        <v>-219.87639352165061</v>
      </c>
      <c r="AG59" s="408">
        <v>-2.9291547218959684</v>
      </c>
      <c r="AH59" s="408">
        <v>0</v>
      </c>
      <c r="AI59" s="408">
        <v>0</v>
      </c>
      <c r="AJ59" s="408">
        <v>0</v>
      </c>
      <c r="AK59" s="408">
        <v>0</v>
      </c>
      <c r="AL59" s="408">
        <v>-10.118216150412596</v>
      </c>
      <c r="AM59" s="408"/>
      <c r="AN59" s="408">
        <v>-1.9396340320419179</v>
      </c>
      <c r="AO59" s="408">
        <v>-6.0642475446640534</v>
      </c>
      <c r="AP59" s="408">
        <v>-9.1346421286072754</v>
      </c>
      <c r="AQ59" s="408">
        <v>0</v>
      </c>
      <c r="AR59" s="408">
        <v>0</v>
      </c>
      <c r="AS59" s="408">
        <v>0</v>
      </c>
      <c r="AT59" s="408">
        <v>0</v>
      </c>
      <c r="AU59" s="408">
        <v>0</v>
      </c>
      <c r="AV59" s="408">
        <v>0</v>
      </c>
      <c r="AW59" s="408">
        <v>0</v>
      </c>
      <c r="AX59" s="408">
        <v>0</v>
      </c>
      <c r="AY59" s="408">
        <v>0</v>
      </c>
      <c r="AZ59" s="408">
        <v>0</v>
      </c>
      <c r="BA59" s="408"/>
      <c r="BB59" s="408">
        <v>0</v>
      </c>
      <c r="BC59" s="408">
        <v>0</v>
      </c>
      <c r="BD59" s="408">
        <v>0</v>
      </c>
      <c r="BE59" s="408">
        <v>0</v>
      </c>
      <c r="BF59" s="408">
        <v>0</v>
      </c>
      <c r="BG59" s="408">
        <v>-36.784909598714989</v>
      </c>
      <c r="BH59" s="408">
        <v>0</v>
      </c>
      <c r="BI59" s="408">
        <v>-1.1100000000000001</v>
      </c>
      <c r="BJ59" s="408">
        <v>-5.01</v>
      </c>
      <c r="BK59" s="408">
        <v>-349.9</v>
      </c>
      <c r="BL59" s="408">
        <v>0</v>
      </c>
      <c r="BM59" s="408"/>
      <c r="BN59" s="408"/>
      <c r="BO59" s="408"/>
      <c r="BP59" s="408"/>
      <c r="BQ59" s="408"/>
      <c r="BR59" s="408"/>
      <c r="BS59" s="408"/>
      <c r="BT59" s="408"/>
      <c r="BU59" s="408"/>
      <c r="BV59" s="408">
        <v>-256.66130312036557</v>
      </c>
      <c r="BW59" s="408"/>
      <c r="BX59" s="408"/>
      <c r="BY59" s="408"/>
      <c r="BZ59" s="408"/>
      <c r="CA59" s="408"/>
      <c r="CB59" s="408"/>
      <c r="CC59" s="408"/>
      <c r="CD59" s="408"/>
      <c r="CE59" s="408"/>
      <c r="CF59" s="408"/>
      <c r="CG59" s="408"/>
      <c r="CH59" s="408"/>
      <c r="CI59" s="408">
        <v>-640.31420000000003</v>
      </c>
      <c r="CJ59" s="408">
        <v>200.98188000000005</v>
      </c>
      <c r="CK59" s="408"/>
      <c r="CL59" s="408"/>
      <c r="CM59" s="408"/>
      <c r="CN59" s="408"/>
      <c r="CO59" s="408">
        <v>222.88672000000008</v>
      </c>
      <c r="CP59" s="408">
        <v>-24.291119999999985</v>
      </c>
      <c r="CQ59" s="408">
        <v>31</v>
      </c>
      <c r="CR59" s="408">
        <v>-31.434678434481782</v>
      </c>
      <c r="CS59" s="408">
        <v>-0.73214891952756833</v>
      </c>
      <c r="CT59" s="408">
        <v>-1.1028438920860744</v>
      </c>
      <c r="CU59" s="408">
        <v>0</v>
      </c>
      <c r="CV59" s="408">
        <v>0</v>
      </c>
      <c r="CW59" s="408">
        <v>0</v>
      </c>
      <c r="CX59" s="408">
        <v>0</v>
      </c>
      <c r="CY59" s="408">
        <v>0</v>
      </c>
      <c r="CZ59" s="408">
        <v>-2.5878252442132634</v>
      </c>
      <c r="DA59" s="408">
        <v>0</v>
      </c>
      <c r="DB59" s="408">
        <v>0</v>
      </c>
      <c r="DC59" s="408">
        <v>-24.283761510447022</v>
      </c>
      <c r="DD59" s="408">
        <v>0</v>
      </c>
      <c r="DE59" s="408">
        <v>0</v>
      </c>
      <c r="DF59" s="408">
        <v>0</v>
      </c>
      <c r="DG59" s="408">
        <v>-4.062627904575649</v>
      </c>
      <c r="DH59" s="408">
        <v>0</v>
      </c>
      <c r="DI59" s="408">
        <v>1.141391489316419</v>
      </c>
      <c r="DJ59" s="408"/>
      <c r="DK59" s="408">
        <v>0</v>
      </c>
      <c r="DL59" s="408">
        <v>0</v>
      </c>
      <c r="DM59" s="408">
        <v>0</v>
      </c>
      <c r="DN59" s="408">
        <v>0</v>
      </c>
      <c r="DO59" s="408">
        <v>0.14829229321261117</v>
      </c>
      <c r="DP59" s="408">
        <v>4.4845253838770027E-2</v>
      </c>
      <c r="DQ59" s="408">
        <v>0</v>
      </c>
      <c r="DR59" s="408">
        <v>0</v>
      </c>
      <c r="DS59" s="408"/>
      <c r="DT59" s="408"/>
      <c r="DU59" s="408"/>
      <c r="DV59" s="408">
        <v>-410.0712518507483</v>
      </c>
      <c r="DW59" s="408">
        <v>0</v>
      </c>
      <c r="DX59" s="408">
        <v>0</v>
      </c>
      <c r="DY59" s="408">
        <v>222.88672000000003</v>
      </c>
      <c r="DZ59" s="408">
        <v>-24.291120000000006</v>
      </c>
      <c r="EA59" s="408">
        <v>0</v>
      </c>
      <c r="EB59" s="408">
        <v>0</v>
      </c>
      <c r="EC59" s="408">
        <v>230.0457482243954</v>
      </c>
      <c r="ED59" s="408">
        <v>0</v>
      </c>
      <c r="EE59" s="408">
        <v>0</v>
      </c>
      <c r="EF59" s="408">
        <v>0</v>
      </c>
      <c r="EG59" s="408">
        <v>0</v>
      </c>
      <c r="EH59" s="408">
        <v>0</v>
      </c>
      <c r="EI59" s="408">
        <v>0</v>
      </c>
      <c r="EJ59" s="408">
        <v>0</v>
      </c>
      <c r="EK59" s="408">
        <v>0</v>
      </c>
      <c r="EL59" s="408">
        <v>0</v>
      </c>
      <c r="EM59" s="408">
        <v>0</v>
      </c>
      <c r="EN59" s="408">
        <v>0</v>
      </c>
      <c r="EO59" s="408">
        <v>0</v>
      </c>
      <c r="EP59" s="408">
        <v>0</v>
      </c>
      <c r="EQ59" s="408">
        <v>0</v>
      </c>
      <c r="ER59" s="408">
        <v>0</v>
      </c>
      <c r="ES59" s="408">
        <v>0</v>
      </c>
      <c r="ET59" s="408">
        <v>0</v>
      </c>
      <c r="EU59" s="408">
        <v>0</v>
      </c>
      <c r="EV59" s="408">
        <v>238</v>
      </c>
      <c r="EW59" s="408">
        <v>0</v>
      </c>
      <c r="EX59" s="408">
        <v>0</v>
      </c>
      <c r="EY59" s="408">
        <v>0</v>
      </c>
      <c r="EZ59" s="408"/>
      <c r="FA59" s="408">
        <v>0</v>
      </c>
      <c r="FB59" s="408"/>
      <c r="FC59" s="408"/>
      <c r="FD59" s="408"/>
      <c r="FE59" s="408"/>
      <c r="FF59" s="408">
        <v>0</v>
      </c>
      <c r="FG59" s="408">
        <v>0</v>
      </c>
      <c r="FH59" s="408">
        <v>0</v>
      </c>
      <c r="FI59" s="408">
        <v>0</v>
      </c>
    </row>
    <row r="60" spans="1:165" customFormat="1">
      <c r="A60" s="408">
        <v>62</v>
      </c>
      <c r="B60" s="408" t="s">
        <v>2238</v>
      </c>
      <c r="C60" s="408" t="s">
        <v>2235</v>
      </c>
      <c r="D60" s="408" t="s">
        <v>1955</v>
      </c>
      <c r="E60" s="408" t="s">
        <v>969</v>
      </c>
      <c r="F60" s="408" t="s">
        <v>969</v>
      </c>
      <c r="G60" s="408" t="s">
        <v>1322</v>
      </c>
      <c r="H60" s="408" t="s">
        <v>1322</v>
      </c>
      <c r="I60" s="408" t="s">
        <v>1322</v>
      </c>
      <c r="J60" s="408" t="s">
        <v>2236</v>
      </c>
      <c r="K60" s="824">
        <v>44409</v>
      </c>
      <c r="L60" s="408">
        <v>0</v>
      </c>
      <c r="M60" s="408">
        <v>0</v>
      </c>
      <c r="N60" s="408">
        <v>46.905999999999999</v>
      </c>
      <c r="O60" s="408">
        <v>46.905999999999999</v>
      </c>
      <c r="P60" s="408">
        <v>46.905999999999999</v>
      </c>
      <c r="Q60" s="408">
        <v>46.905999999999999</v>
      </c>
      <c r="R60" s="408"/>
      <c r="S60" s="408">
        <v>581.32000000000005</v>
      </c>
      <c r="T60" s="408">
        <v>209.4</v>
      </c>
      <c r="U60" s="408"/>
      <c r="V60" s="408">
        <v>37089.512320000002</v>
      </c>
      <c r="W60" s="408">
        <v>37089.512320000002</v>
      </c>
      <c r="X60" s="408">
        <v>28334.507419999994</v>
      </c>
      <c r="Y60" s="408">
        <v>0</v>
      </c>
      <c r="Z60" s="408">
        <v>2886.4970881010204</v>
      </c>
      <c r="AA60" s="408">
        <v>0</v>
      </c>
      <c r="AB60" s="408">
        <v>0</v>
      </c>
      <c r="AC60" s="408">
        <v>0</v>
      </c>
      <c r="AD60" s="408">
        <v>3480.0098377924746</v>
      </c>
      <c r="AE60" s="408">
        <v>18077.821559503005</v>
      </c>
      <c r="AF60" s="408">
        <v>9693.1598820738182</v>
      </c>
      <c r="AG60" s="408">
        <v>129.13057461019952</v>
      </c>
      <c r="AH60" s="408">
        <v>0</v>
      </c>
      <c r="AI60" s="408">
        <v>0</v>
      </c>
      <c r="AJ60" s="408">
        <v>0</v>
      </c>
      <c r="AK60" s="408">
        <v>0</v>
      </c>
      <c r="AL60" s="408">
        <v>446.05737476621545</v>
      </c>
      <c r="AM60" s="408"/>
      <c r="AN60" s="408">
        <v>85.507964198268979</v>
      </c>
      <c r="AO60" s="408">
        <v>267.33984523497372</v>
      </c>
      <c r="AP60" s="408">
        <v>402.69692075606469</v>
      </c>
      <c r="AQ60" s="408">
        <v>0</v>
      </c>
      <c r="AR60" s="408">
        <v>0</v>
      </c>
      <c r="AS60" s="408">
        <v>0</v>
      </c>
      <c r="AT60" s="408">
        <v>0</v>
      </c>
      <c r="AU60" s="408">
        <v>0</v>
      </c>
      <c r="AV60" s="408">
        <v>0</v>
      </c>
      <c r="AW60" s="408">
        <v>0</v>
      </c>
      <c r="AX60" s="408">
        <v>0</v>
      </c>
      <c r="AY60" s="408">
        <v>0</v>
      </c>
      <c r="AZ60" s="408">
        <v>0</v>
      </c>
      <c r="BA60" s="408"/>
      <c r="BB60" s="408">
        <v>0</v>
      </c>
      <c r="BC60" s="408">
        <v>0</v>
      </c>
      <c r="BD60" s="408">
        <v>0</v>
      </c>
      <c r="BE60" s="408">
        <v>0</v>
      </c>
      <c r="BF60" s="408">
        <v>0</v>
      </c>
      <c r="BG60" s="408">
        <v>1621.6475278546291</v>
      </c>
      <c r="BH60" s="408">
        <v>0</v>
      </c>
      <c r="BI60" s="408">
        <v>46.95</v>
      </c>
      <c r="BJ60" s="408">
        <v>227.19</v>
      </c>
      <c r="BK60" s="408">
        <v>38162.85</v>
      </c>
      <c r="BL60" s="408">
        <v>567</v>
      </c>
      <c r="BM60" s="408"/>
      <c r="BN60" s="408"/>
      <c r="BO60" s="408"/>
      <c r="BP60" s="408"/>
      <c r="BQ60" s="408"/>
      <c r="BR60" s="408"/>
      <c r="BS60" s="408"/>
      <c r="BT60" s="408"/>
      <c r="BU60" s="408"/>
      <c r="BV60" s="408">
        <v>11314.807409928448</v>
      </c>
      <c r="BW60" s="408"/>
      <c r="BX60" s="408"/>
      <c r="BY60" s="408"/>
      <c r="BZ60" s="408"/>
      <c r="CA60" s="408"/>
      <c r="CB60" s="408"/>
      <c r="CC60" s="408"/>
      <c r="CD60" s="408"/>
      <c r="CE60" s="408"/>
      <c r="CF60" s="408"/>
      <c r="CG60" s="408"/>
      <c r="CH60" s="408"/>
      <c r="CI60" s="408">
        <v>28336.923699999996</v>
      </c>
      <c r="CJ60" s="408">
        <v>-8752.6186200000047</v>
      </c>
      <c r="CK60" s="408"/>
      <c r="CL60" s="408"/>
      <c r="CM60" s="408"/>
      <c r="CN60" s="408"/>
      <c r="CO60" s="408">
        <v>-9825.8688800000036</v>
      </c>
      <c r="CP60" s="408">
        <v>1070.8639799999992</v>
      </c>
      <c r="CQ60" s="408">
        <v>31</v>
      </c>
      <c r="CR60" s="408">
        <v>1385.7847994810181</v>
      </c>
      <c r="CS60" s="408">
        <v>32.276482349022672</v>
      </c>
      <c r="CT60" s="408">
        <v>48.618416919350977</v>
      </c>
      <c r="CU60" s="408">
        <v>0</v>
      </c>
      <c r="CV60" s="408">
        <v>0</v>
      </c>
      <c r="CW60" s="408">
        <v>0</v>
      </c>
      <c r="CX60" s="408">
        <v>0</v>
      </c>
      <c r="CY60" s="408">
        <v>0</v>
      </c>
      <c r="CZ60" s="408">
        <v>114.08320573784522</v>
      </c>
      <c r="DA60" s="408">
        <v>0</v>
      </c>
      <c r="DB60" s="408">
        <v>0</v>
      </c>
      <c r="DC60" s="408">
        <v>1070.5395840310412</v>
      </c>
      <c r="DD60" s="408">
        <v>0</v>
      </c>
      <c r="DE60" s="408">
        <v>0</v>
      </c>
      <c r="DF60" s="408">
        <v>0</v>
      </c>
      <c r="DG60" s="408">
        <v>179.09927113912136</v>
      </c>
      <c r="DH60" s="408">
        <v>0</v>
      </c>
      <c r="DI60" s="408">
        <v>-50.317771802514926</v>
      </c>
      <c r="DJ60" s="408"/>
      <c r="DK60" s="408">
        <v>0</v>
      </c>
      <c r="DL60" s="408">
        <v>0</v>
      </c>
      <c r="DM60" s="408">
        <v>0</v>
      </c>
      <c r="DN60" s="408">
        <v>0</v>
      </c>
      <c r="DO60" s="408">
        <v>-6.5374044223973442</v>
      </c>
      <c r="DP60" s="408">
        <v>-1.9769844704523933</v>
      </c>
      <c r="DQ60" s="408">
        <v>0</v>
      </c>
      <c r="DR60" s="408">
        <v>0</v>
      </c>
      <c r="DS60" s="408"/>
      <c r="DT60" s="408"/>
      <c r="DU60" s="408"/>
      <c r="DV60" s="408">
        <v>18077.821559503005</v>
      </c>
      <c r="DW60" s="408">
        <v>0</v>
      </c>
      <c r="DX60" s="408">
        <v>0</v>
      </c>
      <c r="DY60" s="408">
        <v>-9825.8688800000054</v>
      </c>
      <c r="DZ60" s="408">
        <v>1070.8639799999983</v>
      </c>
      <c r="EA60" s="408">
        <v>0</v>
      </c>
      <c r="EB60" s="408">
        <v>0</v>
      </c>
      <c r="EC60" s="408">
        <v>-10141.471678772075</v>
      </c>
      <c r="ED60" s="408">
        <v>0</v>
      </c>
      <c r="EE60" s="408">
        <v>0</v>
      </c>
      <c r="EF60" s="408">
        <v>0</v>
      </c>
      <c r="EG60" s="408">
        <v>0</v>
      </c>
      <c r="EH60" s="408">
        <v>0</v>
      </c>
      <c r="EI60" s="408">
        <v>0</v>
      </c>
      <c r="EJ60" s="408">
        <v>0</v>
      </c>
      <c r="EK60" s="408">
        <v>0</v>
      </c>
      <c r="EL60" s="408">
        <v>0</v>
      </c>
      <c r="EM60" s="408">
        <v>0</v>
      </c>
      <c r="EN60" s="408">
        <v>0</v>
      </c>
      <c r="EO60" s="408">
        <v>0</v>
      </c>
      <c r="EP60" s="408">
        <v>0</v>
      </c>
      <c r="EQ60" s="408">
        <v>0</v>
      </c>
      <c r="ER60" s="408">
        <v>0</v>
      </c>
      <c r="ES60" s="408">
        <v>0</v>
      </c>
      <c r="ET60" s="408">
        <v>0</v>
      </c>
      <c r="EU60" s="408">
        <v>0</v>
      </c>
      <c r="EV60" s="408">
        <v>238</v>
      </c>
      <c r="EW60" s="408">
        <v>0</v>
      </c>
      <c r="EX60" s="408">
        <v>0</v>
      </c>
      <c r="EY60" s="408">
        <v>0</v>
      </c>
      <c r="EZ60" s="408"/>
      <c r="FA60" s="408">
        <v>0</v>
      </c>
      <c r="FB60" s="408"/>
      <c r="FC60" s="408"/>
      <c r="FD60" s="408"/>
      <c r="FE60" s="408"/>
      <c r="FF60" s="408">
        <v>0</v>
      </c>
      <c r="FG60" s="408">
        <v>0</v>
      </c>
      <c r="FH60" s="408">
        <v>0</v>
      </c>
      <c r="FI60" s="408">
        <v>0</v>
      </c>
    </row>
    <row r="61" spans="1:165" customFormat="1">
      <c r="A61" s="408">
        <v>63</v>
      </c>
      <c r="B61" s="408" t="s">
        <v>2238</v>
      </c>
      <c r="C61" s="408" t="s">
        <v>2235</v>
      </c>
      <c r="D61" s="408" t="s">
        <v>1955</v>
      </c>
      <c r="E61" s="408" t="s">
        <v>969</v>
      </c>
      <c r="F61" s="408" t="s">
        <v>969</v>
      </c>
      <c r="G61" s="408" t="s">
        <v>1322</v>
      </c>
      <c r="H61" s="408" t="s">
        <v>1322</v>
      </c>
      <c r="I61" s="408" t="s">
        <v>1322</v>
      </c>
      <c r="J61" s="408" t="s">
        <v>2236</v>
      </c>
      <c r="K61" s="824">
        <v>44409</v>
      </c>
      <c r="L61" s="408">
        <v>0</v>
      </c>
      <c r="M61" s="408">
        <v>0</v>
      </c>
      <c r="N61" s="408">
        <v>0.03</v>
      </c>
      <c r="O61" s="408">
        <v>0.03</v>
      </c>
      <c r="P61" s="408">
        <v>0.03</v>
      </c>
      <c r="Q61" s="408">
        <v>0.03</v>
      </c>
      <c r="R61" s="408"/>
      <c r="S61" s="408">
        <v>581.32000000000005</v>
      </c>
      <c r="T61" s="408">
        <v>209.4</v>
      </c>
      <c r="U61" s="408"/>
      <c r="V61" s="408">
        <v>23.721600000000002</v>
      </c>
      <c r="W61" s="408">
        <v>23.721600000000002</v>
      </c>
      <c r="X61" s="408">
        <v>18.1221</v>
      </c>
      <c r="Y61" s="408">
        <v>0</v>
      </c>
      <c r="Z61" s="408">
        <v>1.8461372243003158</v>
      </c>
      <c r="AA61" s="408">
        <v>0</v>
      </c>
      <c r="AB61" s="408">
        <v>0</v>
      </c>
      <c r="AC61" s="408">
        <v>0</v>
      </c>
      <c r="AD61" s="408">
        <v>2.2257343438744348</v>
      </c>
      <c r="AE61" s="408">
        <v>11.56215935669403</v>
      </c>
      <c r="AF61" s="408">
        <v>6.1995223737307494</v>
      </c>
      <c r="AG61" s="408">
        <v>8.25889489256382E-2</v>
      </c>
      <c r="AH61" s="408">
        <v>0</v>
      </c>
      <c r="AI61" s="408">
        <v>0</v>
      </c>
      <c r="AJ61" s="408">
        <v>0</v>
      </c>
      <c r="AK61" s="408">
        <v>0</v>
      </c>
      <c r="AL61" s="408">
        <v>0.28528804935373858</v>
      </c>
      <c r="AM61" s="408"/>
      <c r="AN61" s="408">
        <v>5.4688929474866095E-2</v>
      </c>
      <c r="AO61" s="408">
        <v>0.17098442325180602</v>
      </c>
      <c r="AP61" s="408">
        <v>0.25755569911486675</v>
      </c>
      <c r="AQ61" s="408">
        <v>0</v>
      </c>
      <c r="AR61" s="408">
        <v>0</v>
      </c>
      <c r="AS61" s="408">
        <v>0</v>
      </c>
      <c r="AT61" s="408">
        <v>0</v>
      </c>
      <c r="AU61" s="408">
        <v>0</v>
      </c>
      <c r="AV61" s="408">
        <v>0</v>
      </c>
      <c r="AW61" s="408">
        <v>0</v>
      </c>
      <c r="AX61" s="408">
        <v>0</v>
      </c>
      <c r="AY61" s="408">
        <v>0</v>
      </c>
      <c r="AZ61" s="408">
        <v>0</v>
      </c>
      <c r="BA61" s="408"/>
      <c r="BB61" s="408">
        <v>0</v>
      </c>
      <c r="BC61" s="408">
        <v>0</v>
      </c>
      <c r="BD61" s="408">
        <v>0</v>
      </c>
      <c r="BE61" s="408">
        <v>0</v>
      </c>
      <c r="BF61" s="408">
        <v>0</v>
      </c>
      <c r="BG61" s="408">
        <v>1.037168503723167</v>
      </c>
      <c r="BH61" s="408">
        <v>0</v>
      </c>
      <c r="BI61" s="408">
        <v>0.02</v>
      </c>
      <c r="BJ61" s="408">
        <v>0.11</v>
      </c>
      <c r="BK61" s="408">
        <v>2.9</v>
      </c>
      <c r="BL61" s="408">
        <v>2</v>
      </c>
      <c r="BM61" s="408"/>
      <c r="BN61" s="408"/>
      <c r="BO61" s="408"/>
      <c r="BP61" s="408"/>
      <c r="BQ61" s="408"/>
      <c r="BR61" s="408"/>
      <c r="BS61" s="408"/>
      <c r="BT61" s="408"/>
      <c r="BU61" s="408"/>
      <c r="BV61" s="408">
        <v>7.2366908774539169</v>
      </c>
      <c r="BW61" s="408"/>
      <c r="BX61" s="408"/>
      <c r="BY61" s="408"/>
      <c r="BZ61" s="408"/>
      <c r="CA61" s="408"/>
      <c r="CB61" s="408"/>
      <c r="CC61" s="408"/>
      <c r="CD61" s="408"/>
      <c r="CE61" s="408"/>
      <c r="CF61" s="408"/>
      <c r="CG61" s="408"/>
      <c r="CH61" s="408"/>
      <c r="CI61" s="408">
        <v>18.1221</v>
      </c>
      <c r="CJ61" s="408">
        <v>-5.6295000000000073</v>
      </c>
      <c r="CK61" s="408"/>
      <c r="CL61" s="408"/>
      <c r="CM61" s="408"/>
      <c r="CN61" s="408"/>
      <c r="CO61" s="408">
        <v>-6.2844000000000024</v>
      </c>
      <c r="CP61" s="408">
        <v>0.68489999999999951</v>
      </c>
      <c r="CQ61" s="408">
        <v>31</v>
      </c>
      <c r="CR61" s="408">
        <v>0.88631612127298531</v>
      </c>
      <c r="CS61" s="408">
        <v>2.0643296603220895E-2</v>
      </c>
      <c r="CT61" s="408">
        <v>3.1095222521223931E-2</v>
      </c>
      <c r="CU61" s="408">
        <v>0</v>
      </c>
      <c r="CV61" s="408">
        <v>0</v>
      </c>
      <c r="CW61" s="408">
        <v>0</v>
      </c>
      <c r="CX61" s="408">
        <v>0</v>
      </c>
      <c r="CY61" s="408">
        <v>0</v>
      </c>
      <c r="CZ61" s="408">
        <v>7.2964997487215744E-2</v>
      </c>
      <c r="DA61" s="408">
        <v>0</v>
      </c>
      <c r="DB61" s="408">
        <v>0</v>
      </c>
      <c r="DC61" s="408">
        <v>0.68469252379080014</v>
      </c>
      <c r="DD61" s="408">
        <v>0</v>
      </c>
      <c r="DE61" s="408">
        <v>0</v>
      </c>
      <c r="DF61" s="408">
        <v>0</v>
      </c>
      <c r="DG61" s="408">
        <v>0.11454777926435078</v>
      </c>
      <c r="DH61" s="408">
        <v>0</v>
      </c>
      <c r="DI61" s="408">
        <v>-3.2182090864184776E-2</v>
      </c>
      <c r="DJ61" s="408"/>
      <c r="DK61" s="408">
        <v>0</v>
      </c>
      <c r="DL61" s="408">
        <v>0</v>
      </c>
      <c r="DM61" s="408">
        <v>0</v>
      </c>
      <c r="DN61" s="408">
        <v>0</v>
      </c>
      <c r="DO61" s="408">
        <v>-4.1811736808067268E-3</v>
      </c>
      <c r="DP61" s="408">
        <v>-1.2644338488374957E-3</v>
      </c>
      <c r="DQ61" s="408">
        <v>0</v>
      </c>
      <c r="DR61" s="408">
        <v>0</v>
      </c>
      <c r="DS61" s="408"/>
      <c r="DT61" s="408"/>
      <c r="DU61" s="408"/>
      <c r="DV61" s="408">
        <v>11.56215935669403</v>
      </c>
      <c r="DW61" s="408">
        <v>0</v>
      </c>
      <c r="DX61" s="408">
        <v>0</v>
      </c>
      <c r="DY61" s="408">
        <v>-6.2844000000000033</v>
      </c>
      <c r="DZ61" s="408">
        <v>0.68489999999999984</v>
      </c>
      <c r="EA61" s="408">
        <v>0</v>
      </c>
      <c r="EB61" s="408">
        <v>0</v>
      </c>
      <c r="EC61" s="408">
        <v>-6.4862522995600198</v>
      </c>
      <c r="ED61" s="408">
        <v>0</v>
      </c>
      <c r="EE61" s="408">
        <v>0</v>
      </c>
      <c r="EF61" s="408">
        <v>0</v>
      </c>
      <c r="EG61" s="408">
        <v>0</v>
      </c>
      <c r="EH61" s="408">
        <v>0</v>
      </c>
      <c r="EI61" s="408">
        <v>0</v>
      </c>
      <c r="EJ61" s="408">
        <v>0</v>
      </c>
      <c r="EK61" s="408">
        <v>0</v>
      </c>
      <c r="EL61" s="408">
        <v>0</v>
      </c>
      <c r="EM61" s="408">
        <v>0</v>
      </c>
      <c r="EN61" s="408">
        <v>0</v>
      </c>
      <c r="EO61" s="408">
        <v>0</v>
      </c>
      <c r="EP61" s="408">
        <v>0</v>
      </c>
      <c r="EQ61" s="408">
        <v>0</v>
      </c>
      <c r="ER61" s="408">
        <v>0</v>
      </c>
      <c r="ES61" s="408">
        <v>0</v>
      </c>
      <c r="ET61" s="408">
        <v>0</v>
      </c>
      <c r="EU61" s="408">
        <v>0</v>
      </c>
      <c r="EV61" s="408">
        <v>238</v>
      </c>
      <c r="EW61" s="408">
        <v>0</v>
      </c>
      <c r="EX61" s="408">
        <v>0</v>
      </c>
      <c r="EY61" s="408">
        <v>0</v>
      </c>
      <c r="EZ61" s="408"/>
      <c r="FA61" s="408">
        <v>0</v>
      </c>
      <c r="FB61" s="408"/>
      <c r="FC61" s="408"/>
      <c r="FD61" s="408"/>
      <c r="FE61" s="408"/>
      <c r="FF61" s="408">
        <v>0</v>
      </c>
      <c r="FG61" s="408">
        <v>0</v>
      </c>
      <c r="FH61" s="408">
        <v>0</v>
      </c>
      <c r="FI61" s="408">
        <v>0</v>
      </c>
    </row>
    <row r="62" spans="1:165" customFormat="1">
      <c r="A62" s="408">
        <v>64</v>
      </c>
      <c r="B62" s="408" t="s">
        <v>1036</v>
      </c>
      <c r="C62" s="408" t="s">
        <v>2235</v>
      </c>
      <c r="D62" s="408" t="s">
        <v>1955</v>
      </c>
      <c r="E62" s="408" t="s">
        <v>969</v>
      </c>
      <c r="F62" s="408" t="s">
        <v>2239</v>
      </c>
      <c r="G62" s="408" t="s">
        <v>1322</v>
      </c>
      <c r="H62" s="408" t="s">
        <v>1322</v>
      </c>
      <c r="I62" s="408" t="s">
        <v>1322</v>
      </c>
      <c r="J62" s="408" t="s">
        <v>2236</v>
      </c>
      <c r="K62" s="824">
        <v>44409</v>
      </c>
      <c r="L62" s="408">
        <v>0</v>
      </c>
      <c r="M62" s="408">
        <v>0</v>
      </c>
      <c r="N62" s="408">
        <v>38.04</v>
      </c>
      <c r="O62" s="408">
        <v>38.04</v>
      </c>
      <c r="P62" s="408">
        <v>38.04</v>
      </c>
      <c r="Q62" s="408">
        <v>38.04</v>
      </c>
      <c r="R62" s="408"/>
      <c r="S62" s="408">
        <v>510.28</v>
      </c>
      <c r="T62" s="408">
        <v>209.4</v>
      </c>
      <c r="U62" s="408"/>
      <c r="V62" s="408">
        <v>27376.627199999999</v>
      </c>
      <c r="W62" s="408">
        <v>27376.627199999999</v>
      </c>
      <c r="X62" s="408">
        <v>20322.109199999999</v>
      </c>
      <c r="Y62" s="408">
        <v>0</v>
      </c>
      <c r="Z62" s="408">
        <v>0</v>
      </c>
      <c r="AA62" s="408">
        <v>0</v>
      </c>
      <c r="AB62" s="408">
        <v>0</v>
      </c>
      <c r="AC62" s="408">
        <v>0</v>
      </c>
      <c r="AD62" s="408">
        <v>2822.2311480327835</v>
      </c>
      <c r="AE62" s="408">
        <v>14660.818064288029</v>
      </c>
      <c r="AF62" s="408">
        <v>7860.9943698905909</v>
      </c>
      <c r="AG62" s="408">
        <v>104.72278723770924</v>
      </c>
      <c r="AH62" s="408">
        <v>0</v>
      </c>
      <c r="AI62" s="408">
        <v>0</v>
      </c>
      <c r="AJ62" s="408">
        <v>0</v>
      </c>
      <c r="AK62" s="408">
        <v>0</v>
      </c>
      <c r="AL62" s="408">
        <v>0</v>
      </c>
      <c r="AM62" s="408"/>
      <c r="AN62" s="408">
        <v>69.345562574130213</v>
      </c>
      <c r="AO62" s="408">
        <v>216.80824868329</v>
      </c>
      <c r="AP62" s="408">
        <v>326.58062647765104</v>
      </c>
      <c r="AQ62" s="408">
        <v>0</v>
      </c>
      <c r="AR62" s="408">
        <v>0</v>
      </c>
      <c r="AS62" s="408">
        <v>0</v>
      </c>
      <c r="AT62" s="408">
        <v>0</v>
      </c>
      <c r="AU62" s="408">
        <v>0</v>
      </c>
      <c r="AV62" s="408">
        <v>0</v>
      </c>
      <c r="AW62" s="408">
        <v>0</v>
      </c>
      <c r="AX62" s="408">
        <v>0</v>
      </c>
      <c r="AY62" s="408">
        <v>0</v>
      </c>
      <c r="AZ62" s="408">
        <v>0</v>
      </c>
      <c r="BA62" s="408"/>
      <c r="BB62" s="408">
        <v>0</v>
      </c>
      <c r="BC62" s="408">
        <v>0</v>
      </c>
      <c r="BD62" s="408">
        <v>0</v>
      </c>
      <c r="BE62" s="408">
        <v>0</v>
      </c>
      <c r="BF62" s="408">
        <v>0</v>
      </c>
      <c r="BG62" s="408">
        <v>1315.1296627209758</v>
      </c>
      <c r="BH62" s="408">
        <v>0</v>
      </c>
      <c r="BI62" s="408">
        <v>11.16</v>
      </c>
      <c r="BJ62" s="408">
        <v>38.99</v>
      </c>
      <c r="BK62" s="408">
        <v>2907.81</v>
      </c>
      <c r="BL62" s="408">
        <v>100</v>
      </c>
      <c r="BM62" s="408"/>
      <c r="BN62" s="408"/>
      <c r="BO62" s="408"/>
      <c r="BP62" s="408"/>
      <c r="BQ62" s="408"/>
      <c r="BR62" s="408"/>
      <c r="BS62" s="408"/>
      <c r="BT62" s="408">
        <v>13209.39</v>
      </c>
      <c r="BU62" s="408"/>
      <c r="BV62" s="408">
        <v>9176.1240326115658</v>
      </c>
      <c r="BW62" s="408"/>
      <c r="BX62" s="408"/>
      <c r="BY62" s="408"/>
      <c r="BZ62" s="408"/>
      <c r="CA62" s="408"/>
      <c r="CB62" s="408"/>
      <c r="CC62" s="408"/>
      <c r="CD62" s="408"/>
      <c r="CE62" s="408"/>
      <c r="CF62" s="408"/>
      <c r="CG62" s="408"/>
      <c r="CH62" s="408"/>
      <c r="CI62" s="408">
        <v>7112.7191999999995</v>
      </c>
      <c r="CJ62" s="408">
        <v>-2469.2064000000009</v>
      </c>
      <c r="CK62" s="408"/>
      <c r="CL62" s="408"/>
      <c r="CM62" s="408"/>
      <c r="CN62" s="408"/>
      <c r="CO62" s="408">
        <v>-7922.971199999999</v>
      </c>
      <c r="CP62" s="408">
        <v>868.45319999999936</v>
      </c>
      <c r="CQ62" s="408">
        <v>31</v>
      </c>
      <c r="CR62" s="408">
        <v>1169.9574612171909</v>
      </c>
      <c r="CS62" s="408">
        <v>26.175700092884114</v>
      </c>
      <c r="CT62" s="408">
        <v>39.428742156911937</v>
      </c>
      <c r="CU62" s="408">
        <v>0</v>
      </c>
      <c r="CV62" s="408">
        <v>0</v>
      </c>
      <c r="CW62" s="408">
        <v>0</v>
      </c>
      <c r="CX62" s="408">
        <v>0</v>
      </c>
      <c r="CY62" s="408">
        <v>0</v>
      </c>
      <c r="CZ62" s="408">
        <v>92.519616813789526</v>
      </c>
      <c r="DA62" s="408">
        <v>0</v>
      </c>
      <c r="DB62" s="408">
        <v>0</v>
      </c>
      <c r="DC62" s="408">
        <v>868.19012016673423</v>
      </c>
      <c r="DD62" s="408">
        <v>0</v>
      </c>
      <c r="DE62" s="408">
        <v>0</v>
      </c>
      <c r="DF62" s="408">
        <v>0</v>
      </c>
      <c r="DG62" s="408">
        <v>145.2465841071969</v>
      </c>
      <c r="DH62" s="408">
        <v>0</v>
      </c>
      <c r="DI62" s="408">
        <v>0</v>
      </c>
      <c r="DJ62" s="408"/>
      <c r="DK62" s="408">
        <v>0</v>
      </c>
      <c r="DL62" s="408">
        <v>0</v>
      </c>
      <c r="DM62" s="408">
        <v>0</v>
      </c>
      <c r="DN62" s="408">
        <v>0</v>
      </c>
      <c r="DO62" s="408">
        <v>0</v>
      </c>
      <c r="DP62" s="408">
        <v>-1.6033021203259494</v>
      </c>
      <c r="DQ62" s="408">
        <v>0</v>
      </c>
      <c r="DR62" s="408">
        <v>0</v>
      </c>
      <c r="DS62" s="408"/>
      <c r="DT62" s="408"/>
      <c r="DU62" s="408"/>
      <c r="DV62" s="408">
        <v>14660.818064288029</v>
      </c>
      <c r="DW62" s="408">
        <v>0</v>
      </c>
      <c r="DX62" s="408">
        <v>0</v>
      </c>
      <c r="DY62" s="408">
        <v>-7922.9711999999981</v>
      </c>
      <c r="DZ62" s="408">
        <v>868.45319999999901</v>
      </c>
      <c r="EA62" s="408">
        <v>0</v>
      </c>
      <c r="EB62" s="408">
        <v>0</v>
      </c>
      <c r="EC62" s="408">
        <v>-8224.5679158421044</v>
      </c>
      <c r="ED62" s="408">
        <v>0</v>
      </c>
      <c r="EE62" s="408">
        <v>0</v>
      </c>
      <c r="EF62" s="408">
        <v>0</v>
      </c>
      <c r="EG62" s="408">
        <v>0</v>
      </c>
      <c r="EH62" s="408">
        <v>0</v>
      </c>
      <c r="EI62" s="408">
        <v>0</v>
      </c>
      <c r="EJ62" s="408">
        <v>0</v>
      </c>
      <c r="EK62" s="408">
        <v>0</v>
      </c>
      <c r="EL62" s="408">
        <v>0</v>
      </c>
      <c r="EM62" s="408">
        <v>0</v>
      </c>
      <c r="EN62" s="408">
        <v>0</v>
      </c>
      <c r="EO62" s="408">
        <v>0</v>
      </c>
      <c r="EP62" s="408">
        <v>0</v>
      </c>
      <c r="EQ62" s="408">
        <v>0</v>
      </c>
      <c r="ER62" s="408">
        <v>0</v>
      </c>
      <c r="ES62" s="408">
        <v>0</v>
      </c>
      <c r="ET62" s="408">
        <v>0</v>
      </c>
      <c r="EU62" s="408">
        <v>0</v>
      </c>
      <c r="EV62" s="408">
        <v>238</v>
      </c>
      <c r="EW62" s="408">
        <v>0</v>
      </c>
      <c r="EX62" s="408">
        <v>0</v>
      </c>
      <c r="EY62" s="408">
        <v>0</v>
      </c>
      <c r="EZ62" s="408"/>
      <c r="FA62" s="408">
        <v>0</v>
      </c>
      <c r="FB62" s="408"/>
      <c r="FC62" s="408"/>
      <c r="FD62" s="408"/>
      <c r="FE62" s="408"/>
      <c r="FF62" s="408">
        <v>0</v>
      </c>
      <c r="FG62" s="408">
        <v>0</v>
      </c>
      <c r="FH62" s="408">
        <v>0</v>
      </c>
      <c r="FI62" s="408">
        <v>0</v>
      </c>
    </row>
    <row r="63" spans="1:165" customFormat="1">
      <c r="A63" s="408">
        <v>65</v>
      </c>
      <c r="B63" s="408" t="s">
        <v>1036</v>
      </c>
      <c r="C63" s="408" t="s">
        <v>2235</v>
      </c>
      <c r="D63" s="408" t="s">
        <v>1955</v>
      </c>
      <c r="E63" s="408" t="s">
        <v>969</v>
      </c>
      <c r="F63" s="408" t="s">
        <v>2240</v>
      </c>
      <c r="G63" s="408" t="s">
        <v>1322</v>
      </c>
      <c r="H63" s="408" t="s">
        <v>1322</v>
      </c>
      <c r="I63" s="408" t="s">
        <v>1322</v>
      </c>
      <c r="J63" s="408" t="s">
        <v>2236</v>
      </c>
      <c r="K63" s="824">
        <v>44409</v>
      </c>
      <c r="L63" s="408">
        <v>0</v>
      </c>
      <c r="M63" s="408">
        <v>0</v>
      </c>
      <c r="N63" s="408">
        <v>71.980999999999995</v>
      </c>
      <c r="O63" s="408">
        <v>71.980999999999995</v>
      </c>
      <c r="P63" s="408">
        <v>71.980999999999995</v>
      </c>
      <c r="Q63" s="408">
        <v>71.980999999999995</v>
      </c>
      <c r="R63" s="408"/>
      <c r="S63" s="408">
        <v>510.28</v>
      </c>
      <c r="T63" s="408">
        <v>209.4</v>
      </c>
      <c r="U63" s="408"/>
      <c r="V63" s="408">
        <v>51803.286079999998</v>
      </c>
      <c r="W63" s="408">
        <v>51803.286079999998</v>
      </c>
      <c r="X63" s="408">
        <v>38454.409629999995</v>
      </c>
      <c r="Y63" s="408">
        <v>0</v>
      </c>
      <c r="Z63" s="408">
        <v>0</v>
      </c>
      <c r="AA63" s="408">
        <v>0</v>
      </c>
      <c r="AB63" s="408">
        <v>0</v>
      </c>
      <c r="AC63" s="408">
        <v>0</v>
      </c>
      <c r="AD63" s="408">
        <v>5340.3527935475231</v>
      </c>
      <c r="AE63" s="408">
        <v>27741.859755139765</v>
      </c>
      <c r="AF63" s="408">
        <v>14874.927332783769</v>
      </c>
      <c r="AG63" s="408">
        <v>198.1611710872121</v>
      </c>
      <c r="AH63" s="408">
        <v>0</v>
      </c>
      <c r="AI63" s="408">
        <v>0</v>
      </c>
      <c r="AJ63" s="408">
        <v>0</v>
      </c>
      <c r="AK63" s="408">
        <v>0</v>
      </c>
      <c r="AL63" s="408">
        <v>0</v>
      </c>
      <c r="AM63" s="408"/>
      <c r="AN63" s="408">
        <v>131.21879441767788</v>
      </c>
      <c r="AO63" s="408">
        <v>410.25432566960825</v>
      </c>
      <c r="AP63" s="408">
        <v>617.9705592662408</v>
      </c>
      <c r="AQ63" s="408">
        <v>0</v>
      </c>
      <c r="AR63" s="408">
        <v>0</v>
      </c>
      <c r="AS63" s="408">
        <v>0</v>
      </c>
      <c r="AT63" s="408">
        <v>0</v>
      </c>
      <c r="AU63" s="408">
        <v>0</v>
      </c>
      <c r="AV63" s="408">
        <v>0</v>
      </c>
      <c r="AW63" s="408">
        <v>0</v>
      </c>
      <c r="AX63" s="408">
        <v>0</v>
      </c>
      <c r="AY63" s="408">
        <v>0</v>
      </c>
      <c r="AZ63" s="408">
        <v>0</v>
      </c>
      <c r="BA63" s="408"/>
      <c r="BB63" s="408">
        <v>0</v>
      </c>
      <c r="BC63" s="408">
        <v>0</v>
      </c>
      <c r="BD63" s="408">
        <v>0</v>
      </c>
      <c r="BE63" s="408">
        <v>0</v>
      </c>
      <c r="BF63" s="408">
        <v>0</v>
      </c>
      <c r="BG63" s="408">
        <v>2488.5475355499093</v>
      </c>
      <c r="BH63" s="408">
        <v>0</v>
      </c>
      <c r="BI63" s="408">
        <v>31.24</v>
      </c>
      <c r="BJ63" s="408">
        <v>180.92</v>
      </c>
      <c r="BK63" s="408">
        <v>10687.8</v>
      </c>
      <c r="BL63" s="408">
        <v>337</v>
      </c>
      <c r="BM63" s="408"/>
      <c r="BN63" s="408"/>
      <c r="BO63" s="408"/>
      <c r="BP63" s="408"/>
      <c r="BQ63" s="408"/>
      <c r="BR63" s="408"/>
      <c r="BS63" s="408"/>
      <c r="BT63" s="408">
        <v>15381.619889999998</v>
      </c>
      <c r="BU63" s="408"/>
      <c r="BV63" s="408">
        <v>17363.47486833368</v>
      </c>
      <c r="BW63" s="408"/>
      <c r="BX63" s="408"/>
      <c r="BY63" s="408"/>
      <c r="BZ63" s="408"/>
      <c r="CA63" s="408"/>
      <c r="CB63" s="408"/>
      <c r="CC63" s="408"/>
      <c r="CD63" s="408"/>
      <c r="CE63" s="408"/>
      <c r="CF63" s="408"/>
      <c r="CG63" s="408"/>
      <c r="CH63" s="408"/>
      <c r="CI63" s="408">
        <v>23072.4692</v>
      </c>
      <c r="CJ63" s="408">
        <v>-8009.6764099999964</v>
      </c>
      <c r="CK63" s="408"/>
      <c r="CL63" s="408"/>
      <c r="CM63" s="408"/>
      <c r="CN63" s="408"/>
      <c r="CO63" s="408">
        <v>-14992.202679999997</v>
      </c>
      <c r="CP63" s="408">
        <v>1643.3262299999988</v>
      </c>
      <c r="CQ63" s="408">
        <v>31</v>
      </c>
      <c r="CR63" s="408">
        <v>2213.846162352118</v>
      </c>
      <c r="CS63" s="408">
        <v>49.530837759881479</v>
      </c>
      <c r="CT63" s="408">
        <v>74.608840410007247</v>
      </c>
      <c r="CU63" s="408">
        <v>0</v>
      </c>
      <c r="CV63" s="408">
        <v>0</v>
      </c>
      <c r="CW63" s="408">
        <v>0</v>
      </c>
      <c r="CX63" s="408">
        <v>0</v>
      </c>
      <c r="CY63" s="408">
        <v>0</v>
      </c>
      <c r="CZ63" s="408">
        <v>175.069782804243</v>
      </c>
      <c r="DA63" s="408">
        <v>0</v>
      </c>
      <c r="DB63" s="408">
        <v>0</v>
      </c>
      <c r="DC63" s="408">
        <v>1642.8284184995173</v>
      </c>
      <c r="DD63" s="408">
        <v>0</v>
      </c>
      <c r="DE63" s="408">
        <v>0</v>
      </c>
      <c r="DF63" s="408">
        <v>0</v>
      </c>
      <c r="DG63" s="408">
        <v>274.84212330757464</v>
      </c>
      <c r="DH63" s="408">
        <v>0</v>
      </c>
      <c r="DI63" s="408">
        <v>0</v>
      </c>
      <c r="DJ63" s="408"/>
      <c r="DK63" s="408">
        <v>0</v>
      </c>
      <c r="DL63" s="408">
        <v>0</v>
      </c>
      <c r="DM63" s="408">
        <v>0</v>
      </c>
      <c r="DN63" s="408">
        <v>0</v>
      </c>
      <c r="DO63" s="408">
        <v>0</v>
      </c>
      <c r="DP63" s="408">
        <v>-3.0338404291057373</v>
      </c>
      <c r="DQ63" s="408">
        <v>0</v>
      </c>
      <c r="DR63" s="408">
        <v>0</v>
      </c>
      <c r="DS63" s="408"/>
      <c r="DT63" s="408"/>
      <c r="DU63" s="408"/>
      <c r="DV63" s="408">
        <v>27741.859755139765</v>
      </c>
      <c r="DW63" s="408">
        <v>0</v>
      </c>
      <c r="DX63" s="408">
        <v>0</v>
      </c>
      <c r="DY63" s="408">
        <v>-14992.202679999999</v>
      </c>
      <c r="DZ63" s="408">
        <v>1643.3262300000006</v>
      </c>
      <c r="EA63" s="408">
        <v>0</v>
      </c>
      <c r="EB63" s="408">
        <v>0</v>
      </c>
      <c r="EC63" s="408">
        <v>-15562.897559154326</v>
      </c>
      <c r="ED63" s="408">
        <v>0</v>
      </c>
      <c r="EE63" s="408">
        <v>0</v>
      </c>
      <c r="EF63" s="408">
        <v>0</v>
      </c>
      <c r="EG63" s="408">
        <v>0</v>
      </c>
      <c r="EH63" s="408">
        <v>0</v>
      </c>
      <c r="EI63" s="408">
        <v>0</v>
      </c>
      <c r="EJ63" s="408">
        <v>0</v>
      </c>
      <c r="EK63" s="408">
        <v>0</v>
      </c>
      <c r="EL63" s="408">
        <v>0</v>
      </c>
      <c r="EM63" s="408">
        <v>0</v>
      </c>
      <c r="EN63" s="408">
        <v>0</v>
      </c>
      <c r="EO63" s="408">
        <v>0</v>
      </c>
      <c r="EP63" s="408">
        <v>0</v>
      </c>
      <c r="EQ63" s="408">
        <v>0</v>
      </c>
      <c r="ER63" s="408">
        <v>0</v>
      </c>
      <c r="ES63" s="408">
        <v>0</v>
      </c>
      <c r="ET63" s="408">
        <v>0</v>
      </c>
      <c r="EU63" s="408">
        <v>0</v>
      </c>
      <c r="EV63" s="408">
        <v>238</v>
      </c>
      <c r="EW63" s="408">
        <v>0</v>
      </c>
      <c r="EX63" s="408">
        <v>0</v>
      </c>
      <c r="EY63" s="408">
        <v>0</v>
      </c>
      <c r="EZ63" s="408"/>
      <c r="FA63" s="408">
        <v>0</v>
      </c>
      <c r="FB63" s="408"/>
      <c r="FC63" s="408"/>
      <c r="FD63" s="408"/>
      <c r="FE63" s="408"/>
      <c r="FF63" s="408">
        <v>0</v>
      </c>
      <c r="FG63" s="408">
        <v>0</v>
      </c>
      <c r="FH63" s="408">
        <v>0</v>
      </c>
      <c r="FI63" s="408">
        <v>0</v>
      </c>
    </row>
    <row r="64" spans="1:165" customFormat="1">
      <c r="A64" s="408">
        <v>66</v>
      </c>
      <c r="B64" s="408" t="s">
        <v>1036</v>
      </c>
      <c r="C64" s="408" t="s">
        <v>2235</v>
      </c>
      <c r="D64" s="408" t="s">
        <v>1955</v>
      </c>
      <c r="E64" s="408" t="s">
        <v>969</v>
      </c>
      <c r="F64" s="408" t="s">
        <v>2241</v>
      </c>
      <c r="G64" s="408" t="s">
        <v>1322</v>
      </c>
      <c r="H64" s="408" t="s">
        <v>1322</v>
      </c>
      <c r="I64" s="408" t="s">
        <v>1322</v>
      </c>
      <c r="J64" s="408" t="s">
        <v>2236</v>
      </c>
      <c r="K64" s="824">
        <v>44409</v>
      </c>
      <c r="L64" s="408">
        <v>0</v>
      </c>
      <c r="M64" s="408">
        <v>0</v>
      </c>
      <c r="N64" s="408">
        <v>53.829000000000001</v>
      </c>
      <c r="O64" s="408">
        <v>53.829000000000001</v>
      </c>
      <c r="P64" s="408">
        <v>53.829000000000001</v>
      </c>
      <c r="Q64" s="408">
        <v>53.829000000000001</v>
      </c>
      <c r="R64" s="408"/>
      <c r="S64" s="408">
        <v>510.28</v>
      </c>
      <c r="T64" s="408">
        <v>209.4</v>
      </c>
      <c r="U64" s="408"/>
      <c r="V64" s="408">
        <v>38739.654719999999</v>
      </c>
      <c r="W64" s="408">
        <v>38739.654719999999</v>
      </c>
      <c r="X64" s="408">
        <v>28757.06667</v>
      </c>
      <c r="Y64" s="408">
        <v>0</v>
      </c>
      <c r="Z64" s="408">
        <v>0</v>
      </c>
      <c r="AA64" s="408">
        <v>0</v>
      </c>
      <c r="AB64" s="408">
        <v>0</v>
      </c>
      <c r="AC64" s="408">
        <v>0</v>
      </c>
      <c r="AD64" s="408">
        <v>3993.6351332138984</v>
      </c>
      <c r="AE64" s="408">
        <v>20745.982533716098</v>
      </c>
      <c r="AF64" s="408">
        <v>11123.802995185086</v>
      </c>
      <c r="AG64" s="408">
        <v>148.18935105727263</v>
      </c>
      <c r="AH64" s="408">
        <v>0</v>
      </c>
      <c r="AI64" s="408">
        <v>0</v>
      </c>
      <c r="AJ64" s="408">
        <v>0</v>
      </c>
      <c r="AK64" s="408">
        <v>0</v>
      </c>
      <c r="AL64" s="408">
        <v>0</v>
      </c>
      <c r="AM64" s="408"/>
      <c r="AN64" s="408">
        <v>98.128346156752244</v>
      </c>
      <c r="AO64" s="408">
        <v>306.79735064071554</v>
      </c>
      <c r="AP64" s="408">
        <v>462.13219092180549</v>
      </c>
      <c r="AQ64" s="408">
        <v>0</v>
      </c>
      <c r="AR64" s="408">
        <v>0</v>
      </c>
      <c r="AS64" s="408">
        <v>0</v>
      </c>
      <c r="AT64" s="408">
        <v>0</v>
      </c>
      <c r="AU64" s="408">
        <v>0</v>
      </c>
      <c r="AV64" s="408">
        <v>0</v>
      </c>
      <c r="AW64" s="408">
        <v>0</v>
      </c>
      <c r="AX64" s="408">
        <v>0</v>
      </c>
      <c r="AY64" s="408">
        <v>0</v>
      </c>
      <c r="AZ64" s="408">
        <v>0</v>
      </c>
      <c r="BA64" s="408"/>
      <c r="BB64" s="408">
        <v>0</v>
      </c>
      <c r="BC64" s="408">
        <v>0</v>
      </c>
      <c r="BD64" s="408">
        <v>0</v>
      </c>
      <c r="BE64" s="408">
        <v>0</v>
      </c>
      <c r="BF64" s="408">
        <v>0</v>
      </c>
      <c r="BG64" s="408">
        <v>1860.9914462304785</v>
      </c>
      <c r="BH64" s="408">
        <v>0</v>
      </c>
      <c r="BI64" s="408">
        <v>44.71</v>
      </c>
      <c r="BJ64" s="408">
        <v>230.09</v>
      </c>
      <c r="BK64" s="408">
        <v>14241.4</v>
      </c>
      <c r="BL64" s="408">
        <v>668</v>
      </c>
      <c r="BM64" s="408"/>
      <c r="BN64" s="408"/>
      <c r="BO64" s="408"/>
      <c r="BP64" s="408"/>
      <c r="BQ64" s="408"/>
      <c r="BR64" s="408"/>
      <c r="BS64" s="408"/>
      <c r="BT64" s="408">
        <v>2876.0834699999987</v>
      </c>
      <c r="BU64" s="408"/>
      <c r="BV64" s="408">
        <v>12984.794441415565</v>
      </c>
      <c r="BW64" s="408"/>
      <c r="BX64" s="408"/>
      <c r="BY64" s="408"/>
      <c r="BZ64" s="408"/>
      <c r="CA64" s="408"/>
      <c r="CB64" s="408"/>
      <c r="CC64" s="408"/>
      <c r="CD64" s="408"/>
      <c r="CE64" s="408"/>
      <c r="CF64" s="408"/>
      <c r="CG64" s="408"/>
      <c r="CH64" s="408"/>
      <c r="CI64" s="408">
        <v>25881.464</v>
      </c>
      <c r="CJ64" s="408">
        <v>-8984.1475900000005</v>
      </c>
      <c r="CK64" s="408"/>
      <c r="CL64" s="408"/>
      <c r="CM64" s="408"/>
      <c r="CN64" s="408"/>
      <c r="CO64" s="408">
        <v>-11211.504119999998</v>
      </c>
      <c r="CP64" s="408">
        <v>1228.9160699999991</v>
      </c>
      <c r="CQ64" s="408">
        <v>31</v>
      </c>
      <c r="CR64" s="408">
        <v>1655.5636219731932</v>
      </c>
      <c r="CS64" s="408">
        <v>37.040267095159265</v>
      </c>
      <c r="CT64" s="408">
        <v>55.794157769831997</v>
      </c>
      <c r="CU64" s="408">
        <v>0</v>
      </c>
      <c r="CV64" s="408">
        <v>0</v>
      </c>
      <c r="CW64" s="408">
        <v>0</v>
      </c>
      <c r="CX64" s="408">
        <v>0</v>
      </c>
      <c r="CY64" s="408">
        <v>0</v>
      </c>
      <c r="CZ64" s="408">
        <v>130.9210949913122</v>
      </c>
      <c r="DA64" s="408">
        <v>0</v>
      </c>
      <c r="DB64" s="408">
        <v>0</v>
      </c>
      <c r="DC64" s="408">
        <v>1228.5437954378303</v>
      </c>
      <c r="DD64" s="408">
        <v>0</v>
      </c>
      <c r="DE64" s="408">
        <v>0</v>
      </c>
      <c r="DF64" s="408">
        <v>0</v>
      </c>
      <c r="DG64" s="408">
        <v>205.53308033402504</v>
      </c>
      <c r="DH64" s="408">
        <v>0</v>
      </c>
      <c r="DI64" s="408">
        <v>0</v>
      </c>
      <c r="DJ64" s="408"/>
      <c r="DK64" s="408">
        <v>0</v>
      </c>
      <c r="DL64" s="408">
        <v>0</v>
      </c>
      <c r="DM64" s="408">
        <v>0</v>
      </c>
      <c r="DN64" s="408">
        <v>0</v>
      </c>
      <c r="DO64" s="408">
        <v>0</v>
      </c>
      <c r="DP64" s="408">
        <v>-2.2687736549691238</v>
      </c>
      <c r="DQ64" s="408">
        <v>0</v>
      </c>
      <c r="DR64" s="408">
        <v>0</v>
      </c>
      <c r="DS64" s="408"/>
      <c r="DT64" s="408"/>
      <c r="DU64" s="408"/>
      <c r="DV64" s="408">
        <v>20745.982533716098</v>
      </c>
      <c r="DW64" s="408">
        <v>0</v>
      </c>
      <c r="DX64" s="408">
        <v>0</v>
      </c>
      <c r="DY64" s="408">
        <v>-11211.504119999998</v>
      </c>
      <c r="DZ64" s="408">
        <v>1228.9160699999993</v>
      </c>
      <c r="EA64" s="408">
        <v>0</v>
      </c>
      <c r="EB64" s="408">
        <v>0</v>
      </c>
      <c r="EC64" s="408">
        <v>-11638.282501100543</v>
      </c>
      <c r="ED64" s="408">
        <v>0</v>
      </c>
      <c r="EE64" s="408">
        <v>0</v>
      </c>
      <c r="EF64" s="408">
        <v>0</v>
      </c>
      <c r="EG64" s="408">
        <v>0</v>
      </c>
      <c r="EH64" s="408">
        <v>0</v>
      </c>
      <c r="EI64" s="408">
        <v>0</v>
      </c>
      <c r="EJ64" s="408">
        <v>0</v>
      </c>
      <c r="EK64" s="408">
        <v>0</v>
      </c>
      <c r="EL64" s="408">
        <v>0</v>
      </c>
      <c r="EM64" s="408">
        <v>0</v>
      </c>
      <c r="EN64" s="408">
        <v>0</v>
      </c>
      <c r="EO64" s="408">
        <v>0</v>
      </c>
      <c r="EP64" s="408">
        <v>0</v>
      </c>
      <c r="EQ64" s="408">
        <v>0</v>
      </c>
      <c r="ER64" s="408">
        <v>0</v>
      </c>
      <c r="ES64" s="408">
        <v>0</v>
      </c>
      <c r="ET64" s="408">
        <v>0</v>
      </c>
      <c r="EU64" s="408">
        <v>0</v>
      </c>
      <c r="EV64" s="408">
        <v>238</v>
      </c>
      <c r="EW64" s="408">
        <v>0</v>
      </c>
      <c r="EX64" s="408">
        <v>0</v>
      </c>
      <c r="EY64" s="408">
        <v>0</v>
      </c>
      <c r="EZ64" s="408"/>
      <c r="FA64" s="408">
        <v>0</v>
      </c>
      <c r="FB64" s="408"/>
      <c r="FC64" s="408"/>
      <c r="FD64" s="408"/>
      <c r="FE64" s="408"/>
      <c r="FF64" s="408">
        <v>0</v>
      </c>
      <c r="FG64" s="408">
        <v>0</v>
      </c>
      <c r="FH64" s="408">
        <v>0</v>
      </c>
      <c r="FI64" s="408">
        <v>0</v>
      </c>
    </row>
    <row r="65" spans="1:165" customFormat="1">
      <c r="A65" s="408">
        <v>67</v>
      </c>
      <c r="B65" s="408" t="s">
        <v>1036</v>
      </c>
      <c r="C65" s="408" t="s">
        <v>2235</v>
      </c>
      <c r="D65" s="408" t="s">
        <v>1955</v>
      </c>
      <c r="E65" s="408" t="s">
        <v>969</v>
      </c>
      <c r="F65" s="408" t="s">
        <v>2242</v>
      </c>
      <c r="G65" s="408" t="s">
        <v>1322</v>
      </c>
      <c r="H65" s="408" t="s">
        <v>1322</v>
      </c>
      <c r="I65" s="408" t="s">
        <v>1322</v>
      </c>
      <c r="J65" s="408" t="s">
        <v>2236</v>
      </c>
      <c r="K65" s="824">
        <v>44409</v>
      </c>
      <c r="L65" s="408">
        <v>0</v>
      </c>
      <c r="M65" s="408">
        <v>0</v>
      </c>
      <c r="N65" s="408">
        <v>10.62</v>
      </c>
      <c r="O65" s="408">
        <v>10.62</v>
      </c>
      <c r="P65" s="408">
        <v>10.62</v>
      </c>
      <c r="Q65" s="408">
        <v>10.62</v>
      </c>
      <c r="R65" s="408"/>
      <c r="S65" s="408">
        <v>510.28</v>
      </c>
      <c r="T65" s="408">
        <v>209.4</v>
      </c>
      <c r="U65" s="408"/>
      <c r="V65" s="408">
        <v>7643.0015999999996</v>
      </c>
      <c r="W65" s="408">
        <v>7643.0015999999996</v>
      </c>
      <c r="X65" s="408">
        <v>5673.5225999999993</v>
      </c>
      <c r="Y65" s="408">
        <v>0</v>
      </c>
      <c r="Z65" s="408">
        <v>0</v>
      </c>
      <c r="AA65" s="408">
        <v>0</v>
      </c>
      <c r="AB65" s="408">
        <v>0</v>
      </c>
      <c r="AC65" s="408">
        <v>0</v>
      </c>
      <c r="AD65" s="408">
        <v>787.90995773154987</v>
      </c>
      <c r="AE65" s="408">
        <v>4093.0044122696863</v>
      </c>
      <c r="AF65" s="408">
        <v>2194.6309203006854</v>
      </c>
      <c r="AG65" s="408">
        <v>29.236487919675923</v>
      </c>
      <c r="AH65" s="408">
        <v>0</v>
      </c>
      <c r="AI65" s="408">
        <v>0</v>
      </c>
      <c r="AJ65" s="408">
        <v>0</v>
      </c>
      <c r="AK65" s="408">
        <v>0</v>
      </c>
      <c r="AL65" s="408">
        <v>0</v>
      </c>
      <c r="AM65" s="408"/>
      <c r="AN65" s="408">
        <v>19.359881034102596</v>
      </c>
      <c r="AO65" s="408">
        <v>60.528485831139321</v>
      </c>
      <c r="AP65" s="408">
        <v>91.174717486662828</v>
      </c>
      <c r="AQ65" s="408">
        <v>0</v>
      </c>
      <c r="AR65" s="408">
        <v>0</v>
      </c>
      <c r="AS65" s="408">
        <v>0</v>
      </c>
      <c r="AT65" s="408">
        <v>0</v>
      </c>
      <c r="AU65" s="408">
        <v>0</v>
      </c>
      <c r="AV65" s="408">
        <v>0</v>
      </c>
      <c r="AW65" s="408">
        <v>0</v>
      </c>
      <c r="AX65" s="408">
        <v>0</v>
      </c>
      <c r="AY65" s="408">
        <v>0</v>
      </c>
      <c r="AZ65" s="408">
        <v>0</v>
      </c>
      <c r="BA65" s="408"/>
      <c r="BB65" s="408">
        <v>0</v>
      </c>
      <c r="BC65" s="408">
        <v>0</v>
      </c>
      <c r="BD65" s="408">
        <v>0</v>
      </c>
      <c r="BE65" s="408">
        <v>0</v>
      </c>
      <c r="BF65" s="408">
        <v>0</v>
      </c>
      <c r="BG65" s="408">
        <v>367.15765031800106</v>
      </c>
      <c r="BH65" s="408">
        <v>0</v>
      </c>
      <c r="BI65" s="408">
        <v>13.43</v>
      </c>
      <c r="BJ65" s="408">
        <v>64.67</v>
      </c>
      <c r="BK65" s="408">
        <v>4031.79</v>
      </c>
      <c r="BL65" s="408">
        <v>163</v>
      </c>
      <c r="BM65" s="408"/>
      <c r="BN65" s="408"/>
      <c r="BO65" s="408"/>
      <c r="BP65" s="408"/>
      <c r="BQ65" s="408"/>
      <c r="BR65" s="408"/>
      <c r="BS65" s="408"/>
      <c r="BT65" s="408"/>
      <c r="BU65" s="408"/>
      <c r="BV65" s="408">
        <v>2561.7885706186862</v>
      </c>
      <c r="BW65" s="408"/>
      <c r="BX65" s="408"/>
      <c r="BY65" s="408"/>
      <c r="BZ65" s="408"/>
      <c r="CA65" s="408"/>
      <c r="CB65" s="408"/>
      <c r="CC65" s="408"/>
      <c r="CD65" s="408"/>
      <c r="CE65" s="408"/>
      <c r="CF65" s="408"/>
      <c r="CG65" s="408"/>
      <c r="CH65" s="408"/>
      <c r="CI65" s="408">
        <v>5673.5225999999993</v>
      </c>
      <c r="CJ65" s="408">
        <v>-1969.5090000000009</v>
      </c>
      <c r="CK65" s="408"/>
      <c r="CL65" s="408"/>
      <c r="CM65" s="408"/>
      <c r="CN65" s="408"/>
      <c r="CO65" s="408">
        <v>-2211.9335999999994</v>
      </c>
      <c r="CP65" s="408">
        <v>242.4545999999998</v>
      </c>
      <c r="CQ65" s="408">
        <v>31</v>
      </c>
      <c r="CR65" s="408">
        <v>326.62850257956325</v>
      </c>
      <c r="CS65" s="408">
        <v>7.3077269975402004</v>
      </c>
      <c r="CT65" s="408">
        <v>11.007708772513269</v>
      </c>
      <c r="CU65" s="408">
        <v>0</v>
      </c>
      <c r="CV65" s="408">
        <v>0</v>
      </c>
      <c r="CW65" s="408">
        <v>0</v>
      </c>
      <c r="CX65" s="408">
        <v>0</v>
      </c>
      <c r="CY65" s="408">
        <v>0</v>
      </c>
      <c r="CZ65" s="408">
        <v>25.829609110474507</v>
      </c>
      <c r="DA65" s="408">
        <v>0</v>
      </c>
      <c r="DB65" s="408">
        <v>0</v>
      </c>
      <c r="DC65" s="408">
        <v>242.38115342194305</v>
      </c>
      <c r="DD65" s="408">
        <v>0</v>
      </c>
      <c r="DE65" s="408">
        <v>0</v>
      </c>
      <c r="DF65" s="408">
        <v>0</v>
      </c>
      <c r="DG65" s="408">
        <v>40.549913859580272</v>
      </c>
      <c r="DH65" s="408">
        <v>0</v>
      </c>
      <c r="DI65" s="408">
        <v>0</v>
      </c>
      <c r="DJ65" s="408"/>
      <c r="DK65" s="408">
        <v>0</v>
      </c>
      <c r="DL65" s="408">
        <v>0</v>
      </c>
      <c r="DM65" s="408">
        <v>0</v>
      </c>
      <c r="DN65" s="408">
        <v>0</v>
      </c>
      <c r="DO65" s="408">
        <v>0</v>
      </c>
      <c r="DP65" s="408">
        <v>-0.4476095824884716</v>
      </c>
      <c r="DQ65" s="408">
        <v>0</v>
      </c>
      <c r="DR65" s="408">
        <v>0</v>
      </c>
      <c r="DS65" s="408"/>
      <c r="DT65" s="408"/>
      <c r="DU65" s="408"/>
      <c r="DV65" s="408">
        <v>4093.0044122696863</v>
      </c>
      <c r="DW65" s="408">
        <v>0</v>
      </c>
      <c r="DX65" s="408">
        <v>0</v>
      </c>
      <c r="DY65" s="408">
        <v>-2211.9335999999994</v>
      </c>
      <c r="DZ65" s="408">
        <v>242.45459999999957</v>
      </c>
      <c r="EA65" s="408">
        <v>0</v>
      </c>
      <c r="EB65" s="408">
        <v>0</v>
      </c>
      <c r="EC65" s="408">
        <v>-2296.1333140442466</v>
      </c>
      <c r="ED65" s="408">
        <v>0</v>
      </c>
      <c r="EE65" s="408">
        <v>0</v>
      </c>
      <c r="EF65" s="408">
        <v>0</v>
      </c>
      <c r="EG65" s="408">
        <v>0</v>
      </c>
      <c r="EH65" s="408">
        <v>0</v>
      </c>
      <c r="EI65" s="408">
        <v>0</v>
      </c>
      <c r="EJ65" s="408">
        <v>0</v>
      </c>
      <c r="EK65" s="408">
        <v>0</v>
      </c>
      <c r="EL65" s="408">
        <v>0</v>
      </c>
      <c r="EM65" s="408">
        <v>0</v>
      </c>
      <c r="EN65" s="408">
        <v>0</v>
      </c>
      <c r="EO65" s="408">
        <v>0</v>
      </c>
      <c r="EP65" s="408">
        <v>0</v>
      </c>
      <c r="EQ65" s="408">
        <v>0</v>
      </c>
      <c r="ER65" s="408">
        <v>0</v>
      </c>
      <c r="ES65" s="408">
        <v>0</v>
      </c>
      <c r="ET65" s="408">
        <v>0</v>
      </c>
      <c r="EU65" s="408">
        <v>0</v>
      </c>
      <c r="EV65" s="408">
        <v>238</v>
      </c>
      <c r="EW65" s="408">
        <v>0</v>
      </c>
      <c r="EX65" s="408">
        <v>0</v>
      </c>
      <c r="EY65" s="408">
        <v>0</v>
      </c>
      <c r="EZ65" s="408"/>
      <c r="FA65" s="408">
        <v>0</v>
      </c>
      <c r="FB65" s="408"/>
      <c r="FC65" s="408"/>
      <c r="FD65" s="408"/>
      <c r="FE65" s="408"/>
      <c r="FF65" s="408">
        <v>0</v>
      </c>
      <c r="FG65" s="408">
        <v>0</v>
      </c>
      <c r="FH65" s="408">
        <v>0</v>
      </c>
      <c r="FI65" s="408">
        <v>0</v>
      </c>
    </row>
    <row r="66" spans="1:165" customFormat="1">
      <c r="A66" s="408">
        <v>68</v>
      </c>
      <c r="B66" s="408" t="s">
        <v>1036</v>
      </c>
      <c r="C66" s="408" t="s">
        <v>2321</v>
      </c>
      <c r="D66" s="408" t="s">
        <v>1955</v>
      </c>
      <c r="E66" s="408" t="s">
        <v>969</v>
      </c>
      <c r="F66" s="408" t="s">
        <v>969</v>
      </c>
      <c r="G66" s="408" t="s">
        <v>1322</v>
      </c>
      <c r="H66" s="408" t="s">
        <v>1322</v>
      </c>
      <c r="I66" s="408" t="s">
        <v>973</v>
      </c>
      <c r="J66" s="408" t="s">
        <v>2236</v>
      </c>
      <c r="K66" s="824">
        <v>44409</v>
      </c>
      <c r="L66" s="408">
        <v>0</v>
      </c>
      <c r="M66" s="408">
        <v>0</v>
      </c>
      <c r="N66" s="408">
        <v>5.1999999999999998E-2</v>
      </c>
      <c r="O66" s="408">
        <v>5.1999999999999998E-2</v>
      </c>
      <c r="P66" s="408">
        <v>5.1999999999999998E-2</v>
      </c>
      <c r="Q66" s="408">
        <v>5.1999999999999998E-2</v>
      </c>
      <c r="R66" s="408"/>
      <c r="S66" s="408">
        <v>1292.1099999999999</v>
      </c>
      <c r="T66" s="408">
        <v>209.4</v>
      </c>
      <c r="U66" s="408"/>
      <c r="V66" s="408">
        <v>78.078519999999997</v>
      </c>
      <c r="W66" s="408">
        <v>78.078519999999997</v>
      </c>
      <c r="X66" s="408">
        <v>51.832560000000001</v>
      </c>
      <c r="Y66" s="408">
        <v>0</v>
      </c>
      <c r="Z66" s="408">
        <v>3.199971188787214</v>
      </c>
      <c r="AA66" s="408">
        <v>0</v>
      </c>
      <c r="AB66" s="408">
        <v>0</v>
      </c>
      <c r="AC66" s="408">
        <v>0</v>
      </c>
      <c r="AD66" s="408">
        <v>9.6431326581847916</v>
      </c>
      <c r="AE66" s="408">
        <v>50.102708260963226</v>
      </c>
      <c r="AF66" s="408">
        <v>10.745838781133299</v>
      </c>
      <c r="AG66" s="408">
        <v>0.14315417813777287</v>
      </c>
      <c r="AH66" s="408">
        <v>0</v>
      </c>
      <c r="AI66" s="408">
        <v>0</v>
      </c>
      <c r="AJ66" s="408">
        <v>0</v>
      </c>
      <c r="AK66" s="408">
        <v>0</v>
      </c>
      <c r="AL66" s="408">
        <v>0.49449928554648026</v>
      </c>
      <c r="AM66" s="408"/>
      <c r="AN66" s="408">
        <v>9.4794144423101231E-2</v>
      </c>
      <c r="AO66" s="408">
        <v>0.74093917417207478</v>
      </c>
      <c r="AP66" s="408">
        <v>1.1160746961644228</v>
      </c>
      <c r="AQ66" s="408">
        <v>0</v>
      </c>
      <c r="AR66" s="408">
        <v>0</v>
      </c>
      <c r="AS66" s="408">
        <v>0</v>
      </c>
      <c r="AT66" s="408">
        <v>0</v>
      </c>
      <c r="AU66" s="408">
        <v>0</v>
      </c>
      <c r="AV66" s="408">
        <v>0</v>
      </c>
      <c r="AW66" s="408">
        <v>0</v>
      </c>
      <c r="AX66" s="408">
        <v>0</v>
      </c>
      <c r="AY66" s="408">
        <v>0</v>
      </c>
      <c r="AZ66" s="408">
        <v>0</v>
      </c>
      <c r="BA66" s="408"/>
      <c r="BB66" s="408">
        <v>0</v>
      </c>
      <c r="BC66" s="408">
        <v>0</v>
      </c>
      <c r="BD66" s="408">
        <v>0</v>
      </c>
      <c r="BE66" s="408">
        <v>0</v>
      </c>
      <c r="BF66" s="408">
        <v>0</v>
      </c>
      <c r="BG66" s="408">
        <v>1.7977587397868227</v>
      </c>
      <c r="BH66" s="408">
        <v>0</v>
      </c>
      <c r="BI66" s="408">
        <v>0</v>
      </c>
      <c r="BJ66" s="408">
        <v>0</v>
      </c>
      <c r="BK66" s="408">
        <v>0</v>
      </c>
      <c r="BL66" s="408">
        <v>0</v>
      </c>
      <c r="BM66" s="408"/>
      <c r="BN66" s="408"/>
      <c r="BO66" s="408"/>
      <c r="BP66" s="408"/>
      <c r="BQ66" s="408"/>
      <c r="BR66" s="408"/>
      <c r="BS66" s="408"/>
      <c r="BT66" s="408"/>
      <c r="BU66" s="408"/>
      <c r="BV66" s="408">
        <v>12.543597520920121</v>
      </c>
      <c r="BW66" s="408"/>
      <c r="BX66" s="408"/>
      <c r="BY66" s="408"/>
      <c r="BZ66" s="408"/>
      <c r="CA66" s="408"/>
      <c r="CB66" s="408"/>
      <c r="CC66" s="408"/>
      <c r="CD66" s="408"/>
      <c r="CE66" s="408"/>
      <c r="CF66" s="408"/>
      <c r="CG66" s="408"/>
      <c r="CH66" s="408"/>
      <c r="CI66" s="408">
        <v>49.838999999999999</v>
      </c>
      <c r="CJ66" s="408">
        <v>-28.269520000000014</v>
      </c>
      <c r="CK66" s="408"/>
      <c r="CL66" s="408"/>
      <c r="CM66" s="408"/>
      <c r="CN66" s="408"/>
      <c r="CO66" s="408">
        <v>-27.433119999999995</v>
      </c>
      <c r="CP66" s="408">
        <v>1.1871599999999991</v>
      </c>
      <c r="CQ66" s="408">
        <v>31</v>
      </c>
      <c r="CR66" s="408">
        <v>1.860454965677274</v>
      </c>
      <c r="CS66" s="408">
        <v>8.9455090975478768E-2</v>
      </c>
      <c r="CT66" s="408">
        <v>0.13474596425863572</v>
      </c>
      <c r="CU66" s="408">
        <v>0</v>
      </c>
      <c r="CV66" s="408">
        <v>0</v>
      </c>
      <c r="CW66" s="408">
        <v>0</v>
      </c>
      <c r="CX66" s="408">
        <v>0</v>
      </c>
      <c r="CY66" s="408">
        <v>0</v>
      </c>
      <c r="CZ66" s="408">
        <v>0.31612539569686504</v>
      </c>
      <c r="DA66" s="408">
        <v>0</v>
      </c>
      <c r="DB66" s="408">
        <v>0</v>
      </c>
      <c r="DC66" s="408">
        <v>1.1868003745707192</v>
      </c>
      <c r="DD66" s="408">
        <v>0</v>
      </c>
      <c r="DE66" s="408">
        <v>0</v>
      </c>
      <c r="DF66" s="408">
        <v>0</v>
      </c>
      <c r="DG66" s="408">
        <v>0.19854948405820827</v>
      </c>
      <c r="DH66" s="408">
        <v>0</v>
      </c>
      <c r="DI66" s="408">
        <v>-5.5782290831253523E-2</v>
      </c>
      <c r="DJ66" s="408"/>
      <c r="DK66" s="408">
        <v>0</v>
      </c>
      <c r="DL66" s="408">
        <v>0</v>
      </c>
      <c r="DM66" s="408">
        <v>0</v>
      </c>
      <c r="DN66" s="408">
        <v>0</v>
      </c>
      <c r="DO66" s="408">
        <v>-7.247367713398345E-3</v>
      </c>
      <c r="DP66" s="408">
        <v>-2.191685337984986E-3</v>
      </c>
      <c r="DQ66" s="408">
        <v>0</v>
      </c>
      <c r="DR66" s="408">
        <v>0</v>
      </c>
      <c r="DS66" s="408"/>
      <c r="DT66" s="408"/>
      <c r="DU66" s="408"/>
      <c r="DV66" s="408">
        <v>50.102708260963226</v>
      </c>
      <c r="DW66" s="408">
        <v>0</v>
      </c>
      <c r="DX66" s="408">
        <v>0</v>
      </c>
      <c r="DY66" s="408">
        <v>-27.433119999999995</v>
      </c>
      <c r="DZ66" s="408">
        <v>1.1871599999999987</v>
      </c>
      <c r="EA66" s="408">
        <v>0</v>
      </c>
      <c r="EB66" s="408">
        <v>0</v>
      </c>
      <c r="EC66" s="408">
        <v>-28.107103236188131</v>
      </c>
      <c r="ED66" s="408">
        <v>0</v>
      </c>
      <c r="EE66" s="408">
        <v>0</v>
      </c>
      <c r="EF66" s="408">
        <v>0</v>
      </c>
      <c r="EG66" s="408">
        <v>0</v>
      </c>
      <c r="EH66" s="408">
        <v>0</v>
      </c>
      <c r="EI66" s="408">
        <v>0</v>
      </c>
      <c r="EJ66" s="408">
        <v>0</v>
      </c>
      <c r="EK66" s="408">
        <v>0</v>
      </c>
      <c r="EL66" s="408">
        <v>0</v>
      </c>
      <c r="EM66" s="408">
        <v>0</v>
      </c>
      <c r="EN66" s="408">
        <v>0</v>
      </c>
      <c r="EO66" s="408">
        <v>0</v>
      </c>
      <c r="EP66" s="408">
        <v>0</v>
      </c>
      <c r="EQ66" s="408">
        <v>0</v>
      </c>
      <c r="ER66" s="408">
        <v>0</v>
      </c>
      <c r="ES66" s="408">
        <v>0</v>
      </c>
      <c r="ET66" s="408">
        <v>0</v>
      </c>
      <c r="EU66" s="408">
        <v>0</v>
      </c>
      <c r="EV66" s="408">
        <v>238</v>
      </c>
      <c r="EW66" s="408">
        <v>0</v>
      </c>
      <c r="EX66" s="408">
        <v>0</v>
      </c>
      <c r="EY66" s="408">
        <v>0</v>
      </c>
      <c r="EZ66" s="408"/>
      <c r="FA66" s="408">
        <v>0</v>
      </c>
      <c r="FB66" s="408"/>
      <c r="FC66" s="408"/>
      <c r="FD66" s="408"/>
      <c r="FE66" s="408"/>
      <c r="FF66" s="408">
        <v>0</v>
      </c>
      <c r="FG66" s="408">
        <v>0</v>
      </c>
      <c r="FH66" s="408">
        <v>0</v>
      </c>
      <c r="FI66" s="408">
        <v>0</v>
      </c>
    </row>
    <row r="67" spans="1:165" customFormat="1">
      <c r="A67" s="408">
        <v>69</v>
      </c>
      <c r="B67" s="408" t="s">
        <v>1036</v>
      </c>
      <c r="C67" s="408" t="s">
        <v>2321</v>
      </c>
      <c r="D67" s="408" t="s">
        <v>1955</v>
      </c>
      <c r="E67" s="408" t="s">
        <v>969</v>
      </c>
      <c r="F67" s="408" t="s">
        <v>969</v>
      </c>
      <c r="G67" s="408" t="s">
        <v>1322</v>
      </c>
      <c r="H67" s="408" t="s">
        <v>1322</v>
      </c>
      <c r="I67" s="408" t="s">
        <v>2244</v>
      </c>
      <c r="J67" s="408" t="s">
        <v>2236</v>
      </c>
      <c r="K67" s="824">
        <v>44409</v>
      </c>
      <c r="L67" s="408">
        <v>0</v>
      </c>
      <c r="M67" s="408">
        <v>0</v>
      </c>
      <c r="N67" s="408">
        <v>0.52600000000000002</v>
      </c>
      <c r="O67" s="408">
        <v>0.52600000000000002</v>
      </c>
      <c r="P67" s="408">
        <v>0.52600000000000002</v>
      </c>
      <c r="Q67" s="408">
        <v>0.52600000000000002</v>
      </c>
      <c r="R67" s="408"/>
      <c r="S67" s="408">
        <v>344.38</v>
      </c>
      <c r="T67" s="408">
        <v>209.4</v>
      </c>
      <c r="U67" s="408"/>
      <c r="V67" s="408">
        <v>291.28827999999999</v>
      </c>
      <c r="W67" s="408">
        <v>291.28827999999999</v>
      </c>
      <c r="X67" s="408">
        <v>248.87689999999998</v>
      </c>
      <c r="Y67" s="408">
        <v>0</v>
      </c>
      <c r="Z67" s="408">
        <v>32.368939332732211</v>
      </c>
      <c r="AA67" s="408">
        <v>0</v>
      </c>
      <c r="AB67" s="408">
        <v>0</v>
      </c>
      <c r="AC67" s="408">
        <v>0</v>
      </c>
      <c r="AD67" s="408">
        <v>19.512271081299239</v>
      </c>
      <c r="AE67" s="408">
        <v>101.36159702701794</v>
      </c>
      <c r="AF67" s="408">
        <v>108.69829228607915</v>
      </c>
      <c r="AG67" s="408">
        <v>1.4480595711628566</v>
      </c>
      <c r="AH67" s="408">
        <v>0</v>
      </c>
      <c r="AI67" s="408">
        <v>0</v>
      </c>
      <c r="AJ67" s="408">
        <v>0</v>
      </c>
      <c r="AK67" s="408">
        <v>0</v>
      </c>
      <c r="AL67" s="408">
        <v>5.0020504653355502</v>
      </c>
      <c r="AM67" s="408"/>
      <c r="AN67" s="408">
        <v>0.95887923012598564</v>
      </c>
      <c r="AO67" s="408">
        <v>1.4989634438408328</v>
      </c>
      <c r="AP67" s="408">
        <v>2.2579049622403322</v>
      </c>
      <c r="AQ67" s="408">
        <v>0</v>
      </c>
      <c r="AR67" s="408">
        <v>0</v>
      </c>
      <c r="AS67" s="408">
        <v>0</v>
      </c>
      <c r="AT67" s="408">
        <v>0</v>
      </c>
      <c r="AU67" s="408">
        <v>0</v>
      </c>
      <c r="AV67" s="408">
        <v>0</v>
      </c>
      <c r="AW67" s="408">
        <v>0</v>
      </c>
      <c r="AX67" s="408">
        <v>0</v>
      </c>
      <c r="AY67" s="408">
        <v>0</v>
      </c>
      <c r="AZ67" s="408">
        <v>0</v>
      </c>
      <c r="BA67" s="408"/>
      <c r="BB67" s="408">
        <v>0</v>
      </c>
      <c r="BC67" s="408">
        <v>0</v>
      </c>
      <c r="BD67" s="408">
        <v>0</v>
      </c>
      <c r="BE67" s="408">
        <v>0</v>
      </c>
      <c r="BF67" s="408">
        <v>0</v>
      </c>
      <c r="BG67" s="408">
        <v>18.185021098612861</v>
      </c>
      <c r="BH67" s="408">
        <v>0</v>
      </c>
      <c r="BI67" s="408">
        <v>0</v>
      </c>
      <c r="BJ67" s="408">
        <v>0</v>
      </c>
      <c r="BK67" s="408">
        <v>0</v>
      </c>
      <c r="BL67" s="408">
        <v>0</v>
      </c>
      <c r="BM67" s="408"/>
      <c r="BN67" s="408"/>
      <c r="BO67" s="408"/>
      <c r="BP67" s="408"/>
      <c r="BQ67" s="408"/>
      <c r="BR67" s="408"/>
      <c r="BS67" s="408"/>
      <c r="BT67" s="408"/>
      <c r="BU67" s="408"/>
      <c r="BV67" s="408">
        <v>126.88331338469202</v>
      </c>
      <c r="BW67" s="408"/>
      <c r="BX67" s="408"/>
      <c r="BY67" s="408"/>
      <c r="BZ67" s="408"/>
      <c r="CA67" s="408"/>
      <c r="CB67" s="408"/>
      <c r="CC67" s="408"/>
      <c r="CD67" s="408"/>
      <c r="CE67" s="408"/>
      <c r="CF67" s="408"/>
      <c r="CG67" s="408"/>
      <c r="CH67" s="408"/>
      <c r="CI67" s="408">
        <v>250.76949999999999</v>
      </c>
      <c r="CJ67" s="408">
        <v>-40.548779999999965</v>
      </c>
      <c r="CK67" s="408"/>
      <c r="CL67" s="408"/>
      <c r="CM67" s="408"/>
      <c r="CN67" s="408"/>
      <c r="CO67" s="408">
        <v>-54.419960000000003</v>
      </c>
      <c r="CP67" s="408">
        <v>12.008579999999991</v>
      </c>
      <c r="CQ67" s="408">
        <v>31</v>
      </c>
      <c r="CR67" s="408">
        <v>14.446841830690801</v>
      </c>
      <c r="CS67" s="408">
        <v>0.18097290022156698</v>
      </c>
      <c r="CT67" s="408">
        <v>0.27260145076939901</v>
      </c>
      <c r="CU67" s="408">
        <v>0</v>
      </c>
      <c r="CV67" s="408">
        <v>0</v>
      </c>
      <c r="CW67" s="408">
        <v>0</v>
      </c>
      <c r="CX67" s="408">
        <v>0</v>
      </c>
      <c r="CY67" s="408">
        <v>0</v>
      </c>
      <c r="CZ67" s="408">
        <v>0.63965981130459326</v>
      </c>
      <c r="DA67" s="408">
        <v>0</v>
      </c>
      <c r="DB67" s="408">
        <v>0</v>
      </c>
      <c r="DC67" s="408">
        <v>12.004942250465362</v>
      </c>
      <c r="DD67" s="408">
        <v>0</v>
      </c>
      <c r="DE67" s="408">
        <v>0</v>
      </c>
      <c r="DF67" s="408">
        <v>0</v>
      </c>
      <c r="DG67" s="408">
        <v>2.0084043964349547</v>
      </c>
      <c r="DH67" s="408">
        <v>0</v>
      </c>
      <c r="DI67" s="408">
        <v>-0.56425932648537724</v>
      </c>
      <c r="DJ67" s="408"/>
      <c r="DK67" s="408">
        <v>0</v>
      </c>
      <c r="DL67" s="408">
        <v>0</v>
      </c>
      <c r="DM67" s="408">
        <v>0</v>
      </c>
      <c r="DN67" s="408">
        <v>0</v>
      </c>
      <c r="DO67" s="408">
        <v>-7.3309911870143907E-2</v>
      </c>
      <c r="DP67" s="408">
        <v>-2.2169740149617478E-2</v>
      </c>
      <c r="DQ67" s="408">
        <v>0</v>
      </c>
      <c r="DR67" s="408">
        <v>0</v>
      </c>
      <c r="DS67" s="408"/>
      <c r="DT67" s="408"/>
      <c r="DU67" s="408"/>
      <c r="DV67" s="408">
        <v>101.36159702701794</v>
      </c>
      <c r="DW67" s="408">
        <v>0</v>
      </c>
      <c r="DX67" s="408">
        <v>0</v>
      </c>
      <c r="DY67" s="408">
        <v>-54.419960000000003</v>
      </c>
      <c r="DZ67" s="408">
        <v>12.008579999999995</v>
      </c>
      <c r="EA67" s="408">
        <v>0</v>
      </c>
      <c r="EB67" s="408">
        <v>0</v>
      </c>
      <c r="EC67" s="408">
        <v>-56.862811826143108</v>
      </c>
      <c r="ED67" s="408">
        <v>0</v>
      </c>
      <c r="EE67" s="408">
        <v>0</v>
      </c>
      <c r="EF67" s="408">
        <v>0</v>
      </c>
      <c r="EG67" s="408">
        <v>0</v>
      </c>
      <c r="EH67" s="408">
        <v>0</v>
      </c>
      <c r="EI67" s="408">
        <v>0</v>
      </c>
      <c r="EJ67" s="408">
        <v>0</v>
      </c>
      <c r="EK67" s="408">
        <v>0</v>
      </c>
      <c r="EL67" s="408">
        <v>0</v>
      </c>
      <c r="EM67" s="408">
        <v>0</v>
      </c>
      <c r="EN67" s="408">
        <v>0</v>
      </c>
      <c r="EO67" s="408">
        <v>0</v>
      </c>
      <c r="EP67" s="408">
        <v>0</v>
      </c>
      <c r="EQ67" s="408">
        <v>0</v>
      </c>
      <c r="ER67" s="408">
        <v>0</v>
      </c>
      <c r="ES67" s="408">
        <v>0</v>
      </c>
      <c r="ET67" s="408">
        <v>0</v>
      </c>
      <c r="EU67" s="408">
        <v>0</v>
      </c>
      <c r="EV67" s="408">
        <v>238</v>
      </c>
      <c r="EW67" s="408">
        <v>0</v>
      </c>
      <c r="EX67" s="408">
        <v>0</v>
      </c>
      <c r="EY67" s="408">
        <v>0</v>
      </c>
      <c r="EZ67" s="408"/>
      <c r="FA67" s="408">
        <v>0</v>
      </c>
      <c r="FB67" s="408"/>
      <c r="FC67" s="408"/>
      <c r="FD67" s="408"/>
      <c r="FE67" s="408"/>
      <c r="FF67" s="408">
        <v>0</v>
      </c>
      <c r="FG67" s="408">
        <v>0</v>
      </c>
      <c r="FH67" s="408">
        <v>0</v>
      </c>
      <c r="FI67" s="408">
        <v>0</v>
      </c>
    </row>
    <row r="68" spans="1:165" customFormat="1">
      <c r="A68" s="408">
        <v>70</v>
      </c>
      <c r="B68" s="408" t="s">
        <v>1036</v>
      </c>
      <c r="C68" s="408" t="s">
        <v>2321</v>
      </c>
      <c r="D68" s="408" t="s">
        <v>1955</v>
      </c>
      <c r="E68" s="408" t="s">
        <v>969</v>
      </c>
      <c r="F68" s="408" t="s">
        <v>969</v>
      </c>
      <c r="G68" s="408" t="s">
        <v>1322</v>
      </c>
      <c r="H68" s="408" t="s">
        <v>1322</v>
      </c>
      <c r="I68" s="408" t="s">
        <v>1322</v>
      </c>
      <c r="J68" s="408" t="s">
        <v>2236</v>
      </c>
      <c r="K68" s="824">
        <v>44409</v>
      </c>
      <c r="L68" s="408">
        <v>0</v>
      </c>
      <c r="M68" s="408">
        <v>0</v>
      </c>
      <c r="N68" s="408">
        <v>0</v>
      </c>
      <c r="O68" s="408">
        <v>0</v>
      </c>
      <c r="P68" s="408">
        <v>0</v>
      </c>
      <c r="Q68" s="408">
        <v>0</v>
      </c>
      <c r="R68" s="408"/>
      <c r="S68" s="408"/>
      <c r="T68" s="408"/>
      <c r="U68" s="408"/>
      <c r="V68" s="408"/>
      <c r="W68" s="408"/>
      <c r="X68" s="408"/>
      <c r="Y68" s="408"/>
      <c r="Z68" s="408"/>
      <c r="AA68" s="408">
        <v>0</v>
      </c>
      <c r="AB68" s="408"/>
      <c r="AC68" s="408"/>
      <c r="AD68" s="408"/>
      <c r="AE68" s="408"/>
      <c r="AF68" s="408"/>
      <c r="AG68" s="408"/>
      <c r="AH68" s="408"/>
      <c r="AI68" s="408"/>
      <c r="AJ68" s="408"/>
      <c r="AK68" s="408"/>
      <c r="AL68" s="408"/>
      <c r="AM68" s="408"/>
      <c r="AN68" s="408"/>
      <c r="AO68" s="408"/>
      <c r="AP68" s="408"/>
      <c r="AQ68" s="408"/>
      <c r="AR68" s="408"/>
      <c r="AS68" s="408"/>
      <c r="AT68" s="408"/>
      <c r="AU68" s="408"/>
      <c r="AV68" s="408"/>
      <c r="AW68" s="408"/>
      <c r="AX68" s="408"/>
      <c r="AY68" s="408"/>
      <c r="AZ68" s="408">
        <v>0</v>
      </c>
      <c r="BA68" s="408"/>
      <c r="BB68" s="408"/>
      <c r="BC68" s="408"/>
      <c r="BD68" s="408"/>
      <c r="BE68" s="408"/>
      <c r="BF68" s="408"/>
      <c r="BG68" s="408"/>
      <c r="BH68" s="408"/>
      <c r="BI68" s="408">
        <v>0.56000000000000005</v>
      </c>
      <c r="BJ68" s="408">
        <v>2.74</v>
      </c>
      <c r="BK68" s="408">
        <v>171.11</v>
      </c>
      <c r="BL68" s="408">
        <v>2</v>
      </c>
      <c r="BM68" s="408"/>
      <c r="BN68" s="408"/>
      <c r="BO68" s="408"/>
      <c r="BP68" s="408"/>
      <c r="BQ68" s="408"/>
      <c r="BR68" s="408"/>
      <c r="BS68" s="408"/>
      <c r="BT68" s="408"/>
      <c r="BU68" s="408"/>
      <c r="BV68" s="408"/>
      <c r="BW68" s="408"/>
      <c r="BX68" s="408"/>
      <c r="BY68" s="408"/>
      <c r="BZ68" s="408"/>
      <c r="CA68" s="408"/>
      <c r="CB68" s="408"/>
      <c r="CC68" s="408"/>
      <c r="CD68" s="408"/>
      <c r="CE68" s="408"/>
      <c r="CF68" s="408"/>
      <c r="CG68" s="408"/>
      <c r="CH68" s="408"/>
      <c r="CI68" s="408"/>
      <c r="CJ68" s="408">
        <v>-0.03</v>
      </c>
      <c r="CK68" s="408"/>
      <c r="CL68" s="408"/>
      <c r="CM68" s="408"/>
      <c r="CN68" s="408"/>
      <c r="CO68" s="408">
        <v>0</v>
      </c>
      <c r="CP68" s="408">
        <v>0</v>
      </c>
      <c r="CQ68" s="408">
        <v>31</v>
      </c>
      <c r="CR68" s="408"/>
      <c r="CS68" s="408"/>
      <c r="CT68" s="408"/>
      <c r="CU68" s="408"/>
      <c r="CV68" s="408"/>
      <c r="CW68" s="408"/>
      <c r="CX68" s="408"/>
      <c r="CY68" s="408"/>
      <c r="CZ68" s="408"/>
      <c r="DA68" s="408"/>
      <c r="DB68" s="408"/>
      <c r="DC68" s="408"/>
      <c r="DD68" s="408"/>
      <c r="DE68" s="408"/>
      <c r="DF68" s="408"/>
      <c r="DG68" s="408"/>
      <c r="DH68" s="408"/>
      <c r="DI68" s="408"/>
      <c r="DJ68" s="408"/>
      <c r="DK68" s="408">
        <v>0</v>
      </c>
      <c r="DL68" s="408"/>
      <c r="DM68" s="408"/>
      <c r="DN68" s="408"/>
      <c r="DO68" s="408"/>
      <c r="DP68" s="408"/>
      <c r="DQ68" s="408"/>
      <c r="DR68" s="408"/>
      <c r="DS68" s="408"/>
      <c r="DT68" s="408"/>
      <c r="DU68" s="408"/>
      <c r="DV68" s="408"/>
      <c r="DW68" s="408"/>
      <c r="DX68" s="408"/>
      <c r="DY68" s="408"/>
      <c r="DZ68" s="408"/>
      <c r="EA68" s="408"/>
      <c r="EB68" s="408"/>
      <c r="EC68" s="408"/>
      <c r="ED68" s="408"/>
      <c r="EE68" s="408"/>
      <c r="EF68" s="408"/>
      <c r="EG68" s="408"/>
      <c r="EH68" s="408"/>
      <c r="EI68" s="408"/>
      <c r="EJ68" s="408"/>
      <c r="EK68" s="408"/>
      <c r="EL68" s="408"/>
      <c r="EM68" s="408"/>
      <c r="EN68" s="408"/>
      <c r="EO68" s="408"/>
      <c r="EP68" s="408"/>
      <c r="EQ68" s="408"/>
      <c r="ER68" s="408"/>
      <c r="ES68" s="408"/>
      <c r="ET68" s="408"/>
      <c r="EU68" s="408"/>
      <c r="EV68" s="408">
        <v>238</v>
      </c>
      <c r="EW68" s="408"/>
      <c r="EX68" s="408"/>
      <c r="EY68" s="408"/>
      <c r="EZ68" s="408"/>
      <c r="FA68" s="408">
        <v>0</v>
      </c>
      <c r="FB68" s="408"/>
      <c r="FC68" s="408"/>
      <c r="FD68" s="408"/>
      <c r="FE68" s="408"/>
      <c r="FF68" s="408">
        <v>0</v>
      </c>
      <c r="FG68" s="408">
        <v>0</v>
      </c>
      <c r="FH68" s="408">
        <v>0</v>
      </c>
      <c r="FI68" s="408">
        <v>0</v>
      </c>
    </row>
    <row r="69" spans="1:165" customFormat="1">
      <c r="A69" s="408">
        <v>71</v>
      </c>
      <c r="B69" s="408" t="s">
        <v>1036</v>
      </c>
      <c r="C69" s="408" t="s">
        <v>2321</v>
      </c>
      <c r="D69" s="408" t="s">
        <v>1955</v>
      </c>
      <c r="E69" s="408" t="s">
        <v>969</v>
      </c>
      <c r="F69" s="408" t="s">
        <v>969</v>
      </c>
      <c r="G69" s="408" t="s">
        <v>1322</v>
      </c>
      <c r="H69" s="408" t="s">
        <v>1322</v>
      </c>
      <c r="I69" s="408" t="s">
        <v>2322</v>
      </c>
      <c r="J69" s="408" t="s">
        <v>2236</v>
      </c>
      <c r="K69" s="824">
        <v>44409</v>
      </c>
      <c r="L69" s="408">
        <v>0</v>
      </c>
      <c r="M69" s="408">
        <v>0</v>
      </c>
      <c r="N69" s="408">
        <v>4.2999999999999997E-2</v>
      </c>
      <c r="O69" s="408">
        <v>4.2999999999999997E-2</v>
      </c>
      <c r="P69" s="408">
        <v>4.2999999999999997E-2</v>
      </c>
      <c r="Q69" s="408">
        <v>4.2999999999999997E-2</v>
      </c>
      <c r="R69" s="408"/>
      <c r="S69" s="408">
        <v>818.26</v>
      </c>
      <c r="T69" s="408">
        <v>209.4</v>
      </c>
      <c r="U69" s="408"/>
      <c r="V69" s="408">
        <v>44.189379999999993</v>
      </c>
      <c r="W69" s="408">
        <v>44.189379999999993</v>
      </c>
      <c r="X69" s="408">
        <v>31.604140000000001</v>
      </c>
      <c r="Y69" s="408">
        <v>0</v>
      </c>
      <c r="Z69" s="408">
        <v>2.6461300214971195</v>
      </c>
      <c r="AA69" s="408">
        <v>0</v>
      </c>
      <c r="AB69" s="408">
        <v>0</v>
      </c>
      <c r="AC69" s="408">
        <v>0</v>
      </c>
      <c r="AD69" s="408">
        <v>4.7853288393300453</v>
      </c>
      <c r="AE69" s="408">
        <v>24.858657266073532</v>
      </c>
      <c r="AF69" s="408">
        <v>8.8859820690140747</v>
      </c>
      <c r="AG69" s="408">
        <v>0.11837749346008142</v>
      </c>
      <c r="AH69" s="408">
        <v>0</v>
      </c>
      <c r="AI69" s="408">
        <v>0</v>
      </c>
      <c r="AJ69" s="408">
        <v>0</v>
      </c>
      <c r="AK69" s="408">
        <v>0</v>
      </c>
      <c r="AL69" s="408">
        <v>0.40891287074035865</v>
      </c>
      <c r="AM69" s="408"/>
      <c r="AN69" s="408">
        <v>7.8387465580641399E-2</v>
      </c>
      <c r="AO69" s="408">
        <v>0.36762202839162916</v>
      </c>
      <c r="AP69" s="408">
        <v>0.55374475309696181</v>
      </c>
      <c r="AQ69" s="408">
        <v>0</v>
      </c>
      <c r="AR69" s="408">
        <v>0</v>
      </c>
      <c r="AS69" s="408">
        <v>0</v>
      </c>
      <c r="AT69" s="408">
        <v>0</v>
      </c>
      <c r="AU69" s="408">
        <v>0</v>
      </c>
      <c r="AV69" s="408">
        <v>0</v>
      </c>
      <c r="AW69" s="408">
        <v>0</v>
      </c>
      <c r="AX69" s="408">
        <v>0</v>
      </c>
      <c r="AY69" s="408">
        <v>0</v>
      </c>
      <c r="AZ69" s="408">
        <v>0</v>
      </c>
      <c r="BA69" s="408"/>
      <c r="BB69" s="408">
        <v>0</v>
      </c>
      <c r="BC69" s="408">
        <v>0</v>
      </c>
      <c r="BD69" s="408">
        <v>0</v>
      </c>
      <c r="BE69" s="408">
        <v>0</v>
      </c>
      <c r="BF69" s="408">
        <v>0</v>
      </c>
      <c r="BG69" s="408">
        <v>1.4866081886698725</v>
      </c>
      <c r="BH69" s="408">
        <v>0</v>
      </c>
      <c r="BI69" s="408">
        <v>0</v>
      </c>
      <c r="BJ69" s="408">
        <v>0</v>
      </c>
      <c r="BK69" s="408">
        <v>0</v>
      </c>
      <c r="BL69" s="408">
        <v>0</v>
      </c>
      <c r="BM69" s="408"/>
      <c r="BN69" s="408"/>
      <c r="BO69" s="408"/>
      <c r="BP69" s="408"/>
      <c r="BQ69" s="408"/>
      <c r="BR69" s="408"/>
      <c r="BS69" s="408"/>
      <c r="BT69" s="408"/>
      <c r="BU69" s="408"/>
      <c r="BV69" s="408">
        <v>10.372590257683948</v>
      </c>
      <c r="BW69" s="408"/>
      <c r="BX69" s="408"/>
      <c r="BY69" s="408"/>
      <c r="BZ69" s="408"/>
      <c r="CA69" s="408"/>
      <c r="CB69" s="408"/>
      <c r="CC69" s="408"/>
      <c r="CD69" s="408"/>
      <c r="CE69" s="408"/>
      <c r="CF69" s="408"/>
      <c r="CG69" s="408"/>
      <c r="CH69" s="408"/>
      <c r="CI69" s="408">
        <v>29.3992</v>
      </c>
      <c r="CJ69" s="408">
        <v>-14.820179999999986</v>
      </c>
      <c r="CK69" s="408"/>
      <c r="CL69" s="408"/>
      <c r="CM69" s="408"/>
      <c r="CN69" s="408"/>
      <c r="CO69" s="408">
        <v>-13.566929999999999</v>
      </c>
      <c r="CP69" s="408">
        <v>0.98168999999999929</v>
      </c>
      <c r="CQ69" s="408">
        <v>31</v>
      </c>
      <c r="CR69" s="408">
        <v>1.3597579603106382</v>
      </c>
      <c r="CS69" s="408">
        <v>4.438375394459132E-2</v>
      </c>
      <c r="CT69" s="408">
        <v>6.6854728420631671E-2</v>
      </c>
      <c r="CU69" s="408">
        <v>0</v>
      </c>
      <c r="CV69" s="408">
        <v>0</v>
      </c>
      <c r="CW69" s="408">
        <v>0</v>
      </c>
      <c r="CX69" s="408">
        <v>0</v>
      </c>
      <c r="CY69" s="408">
        <v>0</v>
      </c>
      <c r="CZ69" s="408">
        <v>0.15687474459752337</v>
      </c>
      <c r="DA69" s="408">
        <v>0</v>
      </c>
      <c r="DB69" s="408">
        <v>0</v>
      </c>
      <c r="DC69" s="408">
        <v>0.98139261743347816</v>
      </c>
      <c r="DD69" s="408">
        <v>0</v>
      </c>
      <c r="DE69" s="408">
        <v>0</v>
      </c>
      <c r="DF69" s="408">
        <v>0</v>
      </c>
      <c r="DG69" s="408">
        <v>0.1641851502789029</v>
      </c>
      <c r="DH69" s="408">
        <v>0</v>
      </c>
      <c r="DI69" s="408">
        <v>-4.612766357199849E-2</v>
      </c>
      <c r="DJ69" s="408"/>
      <c r="DK69" s="408">
        <v>0</v>
      </c>
      <c r="DL69" s="408">
        <v>0</v>
      </c>
      <c r="DM69" s="408">
        <v>0</v>
      </c>
      <c r="DN69" s="408">
        <v>0</v>
      </c>
      <c r="DO69" s="408">
        <v>-5.9930156091563269E-3</v>
      </c>
      <c r="DP69" s="408">
        <v>-1.8123551833337387E-3</v>
      </c>
      <c r="DQ69" s="408">
        <v>0</v>
      </c>
      <c r="DR69" s="408">
        <v>0</v>
      </c>
      <c r="DS69" s="408"/>
      <c r="DT69" s="408"/>
      <c r="DU69" s="408"/>
      <c r="DV69" s="408">
        <v>24.858657266073532</v>
      </c>
      <c r="DW69" s="408">
        <v>0</v>
      </c>
      <c r="DX69" s="408">
        <v>0</v>
      </c>
      <c r="DY69" s="408">
        <v>-13.566929999999996</v>
      </c>
      <c r="DZ69" s="408">
        <v>0.9816900000000004</v>
      </c>
      <c r="EA69" s="408">
        <v>0</v>
      </c>
      <c r="EB69" s="408">
        <v>0</v>
      </c>
      <c r="EC69" s="408">
        <v>-13.945450662093899</v>
      </c>
      <c r="ED69" s="408">
        <v>0</v>
      </c>
      <c r="EE69" s="408">
        <v>0</v>
      </c>
      <c r="EF69" s="408">
        <v>0</v>
      </c>
      <c r="EG69" s="408">
        <v>0</v>
      </c>
      <c r="EH69" s="408">
        <v>0</v>
      </c>
      <c r="EI69" s="408">
        <v>0</v>
      </c>
      <c r="EJ69" s="408">
        <v>0</v>
      </c>
      <c r="EK69" s="408">
        <v>0</v>
      </c>
      <c r="EL69" s="408">
        <v>0</v>
      </c>
      <c r="EM69" s="408">
        <v>0</v>
      </c>
      <c r="EN69" s="408">
        <v>0</v>
      </c>
      <c r="EO69" s="408">
        <v>0</v>
      </c>
      <c r="EP69" s="408">
        <v>0</v>
      </c>
      <c r="EQ69" s="408">
        <v>0</v>
      </c>
      <c r="ER69" s="408">
        <v>0</v>
      </c>
      <c r="ES69" s="408">
        <v>0</v>
      </c>
      <c r="ET69" s="408">
        <v>0</v>
      </c>
      <c r="EU69" s="408">
        <v>0</v>
      </c>
      <c r="EV69" s="408">
        <v>238</v>
      </c>
      <c r="EW69" s="408">
        <v>0</v>
      </c>
      <c r="EX69" s="408">
        <v>0</v>
      </c>
      <c r="EY69" s="408">
        <v>0</v>
      </c>
      <c r="EZ69" s="408"/>
      <c r="FA69" s="408">
        <v>0</v>
      </c>
      <c r="FB69" s="408"/>
      <c r="FC69" s="408"/>
      <c r="FD69" s="408"/>
      <c r="FE69" s="408"/>
      <c r="FF69" s="408">
        <v>0</v>
      </c>
      <c r="FG69" s="408">
        <v>0</v>
      </c>
      <c r="FH69" s="408">
        <v>0</v>
      </c>
      <c r="FI69" s="408">
        <v>0</v>
      </c>
    </row>
    <row r="70" spans="1:165" customFormat="1">
      <c r="A70" s="408">
        <v>72</v>
      </c>
      <c r="B70" s="408" t="s">
        <v>1036</v>
      </c>
      <c r="C70" s="408" t="s">
        <v>2235</v>
      </c>
      <c r="D70" s="408" t="s">
        <v>1958</v>
      </c>
      <c r="E70" s="408" t="s">
        <v>970</v>
      </c>
      <c r="F70" s="408" t="s">
        <v>1322</v>
      </c>
      <c r="G70" s="408" t="s">
        <v>1322</v>
      </c>
      <c r="H70" s="408" t="s">
        <v>1322</v>
      </c>
      <c r="I70" s="408" t="s">
        <v>1322</v>
      </c>
      <c r="J70" s="408" t="s">
        <v>2236</v>
      </c>
      <c r="K70" s="824">
        <v>44409</v>
      </c>
      <c r="L70" s="408">
        <v>0</v>
      </c>
      <c r="M70" s="408">
        <v>0</v>
      </c>
      <c r="N70" s="408">
        <v>8.7360000000000007</v>
      </c>
      <c r="O70" s="408">
        <v>8.7360000000000007</v>
      </c>
      <c r="P70" s="408">
        <v>8.7360000000000007</v>
      </c>
      <c r="Q70" s="408">
        <v>8.7360000000000007</v>
      </c>
      <c r="R70" s="408"/>
      <c r="S70" s="408">
        <v>581.32000000000005</v>
      </c>
      <c r="T70" s="408">
        <v>209.4</v>
      </c>
      <c r="U70" s="408"/>
      <c r="V70" s="408">
        <v>6907.7299200000007</v>
      </c>
      <c r="W70" s="408">
        <v>6907.7299200000007</v>
      </c>
      <c r="X70" s="408">
        <v>5277.1555200000003</v>
      </c>
      <c r="Y70" s="408">
        <v>0</v>
      </c>
      <c r="Z70" s="408">
        <v>537.59515971625206</v>
      </c>
      <c r="AA70" s="408">
        <v>0</v>
      </c>
      <c r="AB70" s="408">
        <v>0</v>
      </c>
      <c r="AC70" s="408">
        <v>0</v>
      </c>
      <c r="AD70" s="408">
        <v>648.13384093623552</v>
      </c>
      <c r="AE70" s="408">
        <v>3366.9008046693016</v>
      </c>
      <c r="AF70" s="408">
        <v>1805.3009152303946</v>
      </c>
      <c r="AG70" s="408">
        <v>24.049901927145847</v>
      </c>
      <c r="AH70" s="408">
        <v>0</v>
      </c>
      <c r="AI70" s="408">
        <v>0</v>
      </c>
      <c r="AJ70" s="408">
        <v>0</v>
      </c>
      <c r="AK70" s="408">
        <v>0</v>
      </c>
      <c r="AL70" s="408">
        <v>83.075879971808689</v>
      </c>
      <c r="AM70" s="408"/>
      <c r="AN70" s="408">
        <v>15.92541626308101</v>
      </c>
      <c r="AO70" s="408">
        <v>49.790664050925912</v>
      </c>
      <c r="AP70" s="408">
        <v>75.000219582249215</v>
      </c>
      <c r="AQ70" s="408">
        <v>0</v>
      </c>
      <c r="AR70" s="408">
        <v>0</v>
      </c>
      <c r="AS70" s="408">
        <v>0</v>
      </c>
      <c r="AT70" s="408">
        <v>0</v>
      </c>
      <c r="AU70" s="408">
        <v>0</v>
      </c>
      <c r="AV70" s="408">
        <v>0</v>
      </c>
      <c r="AW70" s="408">
        <v>0</v>
      </c>
      <c r="AX70" s="408">
        <v>0</v>
      </c>
      <c r="AY70" s="408">
        <v>0</v>
      </c>
      <c r="AZ70" s="408">
        <v>0</v>
      </c>
      <c r="BA70" s="408"/>
      <c r="BB70" s="408">
        <v>0</v>
      </c>
      <c r="BC70" s="408">
        <v>0</v>
      </c>
      <c r="BD70" s="408">
        <v>0</v>
      </c>
      <c r="BE70" s="408">
        <v>0</v>
      </c>
      <c r="BF70" s="408">
        <v>0</v>
      </c>
      <c r="BG70" s="408">
        <v>302.02346828418627</v>
      </c>
      <c r="BH70" s="408">
        <v>0</v>
      </c>
      <c r="BI70" s="408">
        <v>7.5</v>
      </c>
      <c r="BJ70" s="408">
        <v>36.22</v>
      </c>
      <c r="BK70" s="408">
        <v>1320.1</v>
      </c>
      <c r="BL70" s="408">
        <v>7</v>
      </c>
      <c r="BM70" s="408"/>
      <c r="BN70" s="408"/>
      <c r="BO70" s="408"/>
      <c r="BP70" s="408"/>
      <c r="BQ70" s="408"/>
      <c r="BR70" s="408"/>
      <c r="BS70" s="408"/>
      <c r="BT70" s="408"/>
      <c r="BU70" s="408"/>
      <c r="BV70" s="408">
        <v>2107.3243835145809</v>
      </c>
      <c r="BW70" s="408"/>
      <c r="BX70" s="408"/>
      <c r="BY70" s="408"/>
      <c r="BZ70" s="408"/>
      <c r="CA70" s="408"/>
      <c r="CB70" s="408"/>
      <c r="CC70" s="408"/>
      <c r="CD70" s="408"/>
      <c r="CE70" s="408"/>
      <c r="CF70" s="408"/>
      <c r="CG70" s="408"/>
      <c r="CH70" s="408"/>
      <c r="CI70" s="408">
        <v>5279.5717999999997</v>
      </c>
      <c r="CJ70" s="408">
        <v>-1628.1881200000016</v>
      </c>
      <c r="CK70" s="408"/>
      <c r="CL70" s="408"/>
      <c r="CM70" s="408"/>
      <c r="CN70" s="408"/>
      <c r="CO70" s="408">
        <v>-1830.0172800000007</v>
      </c>
      <c r="CP70" s="408">
        <v>199.44287999999989</v>
      </c>
      <c r="CQ70" s="408">
        <v>31</v>
      </c>
      <c r="CR70" s="408">
        <v>258.09525451469199</v>
      </c>
      <c r="CS70" s="408">
        <v>6.011327970857927</v>
      </c>
      <c r="CT70" s="408">
        <v>9.0549287981803985</v>
      </c>
      <c r="CU70" s="408">
        <v>0</v>
      </c>
      <c r="CV70" s="408">
        <v>0</v>
      </c>
      <c r="CW70" s="408">
        <v>0</v>
      </c>
      <c r="CX70" s="408">
        <v>0</v>
      </c>
      <c r="CY70" s="408">
        <v>0</v>
      </c>
      <c r="CZ70" s="408">
        <v>21.247407268277243</v>
      </c>
      <c r="DA70" s="408">
        <v>0</v>
      </c>
      <c r="DB70" s="408">
        <v>0</v>
      </c>
      <c r="DC70" s="408">
        <v>199.38246292788085</v>
      </c>
      <c r="DD70" s="408">
        <v>0</v>
      </c>
      <c r="DE70" s="408">
        <v>0</v>
      </c>
      <c r="DF70" s="408">
        <v>0</v>
      </c>
      <c r="DG70" s="408">
        <v>33.356313321778998</v>
      </c>
      <c r="DH70" s="408">
        <v>0</v>
      </c>
      <c r="DI70" s="408">
        <v>-9.3714248596506877</v>
      </c>
      <c r="DJ70" s="408"/>
      <c r="DK70" s="408">
        <v>0</v>
      </c>
      <c r="DL70" s="408">
        <v>0</v>
      </c>
      <c r="DM70" s="408">
        <v>0</v>
      </c>
      <c r="DN70" s="408">
        <v>0</v>
      </c>
      <c r="DO70" s="408">
        <v>-1.2175577758509206</v>
      </c>
      <c r="DP70" s="408">
        <v>-0.36820313678147976</v>
      </c>
      <c r="DQ70" s="408">
        <v>0</v>
      </c>
      <c r="DR70" s="408">
        <v>0</v>
      </c>
      <c r="DS70" s="408"/>
      <c r="DT70" s="408"/>
      <c r="DU70" s="408"/>
      <c r="DV70" s="408">
        <v>3366.9008046693016</v>
      </c>
      <c r="DW70" s="408">
        <v>0</v>
      </c>
      <c r="DX70" s="408">
        <v>0</v>
      </c>
      <c r="DY70" s="408">
        <v>-1830.0172800000005</v>
      </c>
      <c r="DZ70" s="408">
        <v>199.44288000000006</v>
      </c>
      <c r="EA70" s="408">
        <v>0</v>
      </c>
      <c r="EB70" s="408">
        <v>0</v>
      </c>
      <c r="EC70" s="408">
        <v>-1888.7966696318776</v>
      </c>
      <c r="ED70" s="408">
        <v>0</v>
      </c>
      <c r="EE70" s="408">
        <v>0</v>
      </c>
      <c r="EF70" s="408">
        <v>0</v>
      </c>
      <c r="EG70" s="408">
        <v>0</v>
      </c>
      <c r="EH70" s="408">
        <v>0</v>
      </c>
      <c r="EI70" s="408">
        <v>0</v>
      </c>
      <c r="EJ70" s="408">
        <v>0</v>
      </c>
      <c r="EK70" s="408">
        <v>0</v>
      </c>
      <c r="EL70" s="408">
        <v>0</v>
      </c>
      <c r="EM70" s="408">
        <v>0</v>
      </c>
      <c r="EN70" s="408">
        <v>0</v>
      </c>
      <c r="EO70" s="408">
        <v>0</v>
      </c>
      <c r="EP70" s="408">
        <v>0</v>
      </c>
      <c r="EQ70" s="408">
        <v>0</v>
      </c>
      <c r="ER70" s="408">
        <v>0</v>
      </c>
      <c r="ES70" s="408">
        <v>0</v>
      </c>
      <c r="ET70" s="408">
        <v>0</v>
      </c>
      <c r="EU70" s="408">
        <v>0</v>
      </c>
      <c r="EV70" s="408">
        <v>238</v>
      </c>
      <c r="EW70" s="408">
        <v>0</v>
      </c>
      <c r="EX70" s="408">
        <v>0</v>
      </c>
      <c r="EY70" s="408">
        <v>0</v>
      </c>
      <c r="EZ70" s="408"/>
      <c r="FA70" s="408">
        <v>0</v>
      </c>
      <c r="FB70" s="408"/>
      <c r="FC70" s="408"/>
      <c r="FD70" s="408"/>
      <c r="FE70" s="408"/>
      <c r="FF70" s="408">
        <v>0</v>
      </c>
      <c r="FG70" s="408">
        <v>0</v>
      </c>
      <c r="FH70" s="408">
        <v>0</v>
      </c>
      <c r="FI70" s="408">
        <v>0</v>
      </c>
    </row>
    <row r="71" spans="1:165" customFormat="1">
      <c r="A71" s="408">
        <v>73</v>
      </c>
      <c r="B71" s="408" t="s">
        <v>2238</v>
      </c>
      <c r="C71" s="408" t="s">
        <v>2235</v>
      </c>
      <c r="D71" s="408" t="s">
        <v>1958</v>
      </c>
      <c r="E71" s="408" t="s">
        <v>970</v>
      </c>
      <c r="F71" s="408" t="s">
        <v>1322</v>
      </c>
      <c r="G71" s="408" t="s">
        <v>1322</v>
      </c>
      <c r="H71" s="408" t="s">
        <v>1322</v>
      </c>
      <c r="I71" s="408" t="s">
        <v>1322</v>
      </c>
      <c r="J71" s="408" t="s">
        <v>2236</v>
      </c>
      <c r="K71" s="824">
        <v>44409</v>
      </c>
      <c r="L71" s="408">
        <v>0</v>
      </c>
      <c r="M71" s="408">
        <v>0</v>
      </c>
      <c r="N71" s="408">
        <v>2.2970000000000002</v>
      </c>
      <c r="O71" s="408">
        <v>2.2970000000000002</v>
      </c>
      <c r="P71" s="408">
        <v>2.2970000000000002</v>
      </c>
      <c r="Q71" s="408">
        <v>2.2970000000000002</v>
      </c>
      <c r="R71" s="408"/>
      <c r="S71" s="408">
        <v>581.32000000000005</v>
      </c>
      <c r="T71" s="408">
        <v>209.4</v>
      </c>
      <c r="U71" s="408"/>
      <c r="V71" s="408">
        <v>1816.2838400000003</v>
      </c>
      <c r="W71" s="408">
        <v>1816.2838400000003</v>
      </c>
      <c r="X71" s="408">
        <v>1387.5487900000001</v>
      </c>
      <c r="Y71" s="408">
        <v>0</v>
      </c>
      <c r="Z71" s="408">
        <v>141.35257347392752</v>
      </c>
      <c r="AA71" s="408">
        <v>0</v>
      </c>
      <c r="AB71" s="408">
        <v>0</v>
      </c>
      <c r="AC71" s="408">
        <v>0</v>
      </c>
      <c r="AD71" s="408">
        <v>170.4170595959859</v>
      </c>
      <c r="AE71" s="408">
        <v>885.27600141087294</v>
      </c>
      <c r="AF71" s="408">
        <v>474.67676308198446</v>
      </c>
      <c r="AG71" s="408">
        <v>6.3235605227396992</v>
      </c>
      <c r="AH71" s="408">
        <v>0</v>
      </c>
      <c r="AI71" s="408">
        <v>0</v>
      </c>
      <c r="AJ71" s="408">
        <v>0</v>
      </c>
      <c r="AK71" s="408">
        <v>0</v>
      </c>
      <c r="AL71" s="408">
        <v>21.843554978851255</v>
      </c>
      <c r="AM71" s="408"/>
      <c r="AN71" s="408">
        <v>4.187349033458915</v>
      </c>
      <c r="AO71" s="408">
        <v>13.091707340313281</v>
      </c>
      <c r="AP71" s="408">
        <v>19.720181362228299</v>
      </c>
      <c r="AQ71" s="408">
        <v>0</v>
      </c>
      <c r="AR71" s="408">
        <v>0</v>
      </c>
      <c r="AS71" s="408">
        <v>0</v>
      </c>
      <c r="AT71" s="408">
        <v>0</v>
      </c>
      <c r="AU71" s="408">
        <v>0</v>
      </c>
      <c r="AV71" s="408">
        <v>0</v>
      </c>
      <c r="AW71" s="408">
        <v>0</v>
      </c>
      <c r="AX71" s="408">
        <v>0</v>
      </c>
      <c r="AY71" s="408">
        <v>0</v>
      </c>
      <c r="AZ71" s="408">
        <v>0</v>
      </c>
      <c r="BA71" s="408"/>
      <c r="BB71" s="408">
        <v>0</v>
      </c>
      <c r="BC71" s="408">
        <v>0</v>
      </c>
      <c r="BD71" s="408">
        <v>0</v>
      </c>
      <c r="BE71" s="408">
        <v>0</v>
      </c>
      <c r="BF71" s="408">
        <v>0</v>
      </c>
      <c r="BG71" s="408">
        <v>79.412535101737163</v>
      </c>
      <c r="BH71" s="408">
        <v>0</v>
      </c>
      <c r="BI71" s="408">
        <v>1.97</v>
      </c>
      <c r="BJ71" s="408">
        <v>9.48</v>
      </c>
      <c r="BK71" s="408">
        <v>388.87</v>
      </c>
      <c r="BL71" s="408">
        <v>2</v>
      </c>
      <c r="BM71" s="408"/>
      <c r="BN71" s="408"/>
      <c r="BO71" s="408"/>
      <c r="BP71" s="408"/>
      <c r="BQ71" s="408"/>
      <c r="BR71" s="408"/>
      <c r="BS71" s="408"/>
      <c r="BT71" s="408"/>
      <c r="BU71" s="408"/>
      <c r="BV71" s="408">
        <v>554.08929818372167</v>
      </c>
      <c r="BW71" s="408"/>
      <c r="BX71" s="408"/>
      <c r="BY71" s="408"/>
      <c r="BZ71" s="408"/>
      <c r="CA71" s="408"/>
      <c r="CB71" s="408"/>
      <c r="CC71" s="408"/>
      <c r="CD71" s="408"/>
      <c r="CE71" s="408"/>
      <c r="CF71" s="408"/>
      <c r="CG71" s="408"/>
      <c r="CH71" s="408"/>
      <c r="CI71" s="408">
        <v>1389.3609999999999</v>
      </c>
      <c r="CJ71" s="408">
        <v>-426.95284000000038</v>
      </c>
      <c r="CK71" s="408"/>
      <c r="CL71" s="408"/>
      <c r="CM71" s="408"/>
      <c r="CN71" s="408"/>
      <c r="CO71" s="408">
        <v>-481.17556000000019</v>
      </c>
      <c r="CP71" s="408">
        <v>52.440509999999968</v>
      </c>
      <c r="CQ71" s="408">
        <v>31</v>
      </c>
      <c r="CR71" s="408">
        <v>67.862271018801493</v>
      </c>
      <c r="CS71" s="408">
        <v>1.5805884099199474</v>
      </c>
      <c r="CT71" s="408">
        <v>2.3808575377083798</v>
      </c>
      <c r="CU71" s="408">
        <v>0</v>
      </c>
      <c r="CV71" s="408">
        <v>0</v>
      </c>
      <c r="CW71" s="408">
        <v>0</v>
      </c>
      <c r="CX71" s="408">
        <v>0</v>
      </c>
      <c r="CY71" s="408">
        <v>0</v>
      </c>
      <c r="CZ71" s="408">
        <v>5.5866866409378417</v>
      </c>
      <c r="DA71" s="408">
        <v>0</v>
      </c>
      <c r="DB71" s="408">
        <v>0</v>
      </c>
      <c r="DC71" s="408">
        <v>52.424624238248896</v>
      </c>
      <c r="DD71" s="408">
        <v>0</v>
      </c>
      <c r="DE71" s="408">
        <v>0</v>
      </c>
      <c r="DF71" s="408">
        <v>0</v>
      </c>
      <c r="DG71" s="408">
        <v>8.7705416323404677</v>
      </c>
      <c r="DH71" s="408">
        <v>0</v>
      </c>
      <c r="DI71" s="408">
        <v>-2.4640754238344016</v>
      </c>
      <c r="DJ71" s="408"/>
      <c r="DK71" s="408">
        <v>0</v>
      </c>
      <c r="DL71" s="408">
        <v>0</v>
      </c>
      <c r="DM71" s="408">
        <v>0</v>
      </c>
      <c r="DN71" s="408">
        <v>0</v>
      </c>
      <c r="DO71" s="408">
        <v>-0.32013853149376814</v>
      </c>
      <c r="DP71" s="408">
        <v>-9.6813485025990964E-2</v>
      </c>
      <c r="DQ71" s="408">
        <v>0</v>
      </c>
      <c r="DR71" s="408">
        <v>0</v>
      </c>
      <c r="DS71" s="408"/>
      <c r="DT71" s="408"/>
      <c r="DU71" s="408"/>
      <c r="DV71" s="408">
        <v>885.27600141087294</v>
      </c>
      <c r="DW71" s="408">
        <v>0</v>
      </c>
      <c r="DX71" s="408">
        <v>0</v>
      </c>
      <c r="DY71" s="408">
        <v>-481.17556000000025</v>
      </c>
      <c r="DZ71" s="408">
        <v>52.440509999999961</v>
      </c>
      <c r="EA71" s="408">
        <v>0</v>
      </c>
      <c r="EB71" s="408">
        <v>0</v>
      </c>
      <c r="EC71" s="408">
        <v>-496.63071773631219</v>
      </c>
      <c r="ED71" s="408">
        <v>0</v>
      </c>
      <c r="EE71" s="408">
        <v>0</v>
      </c>
      <c r="EF71" s="408">
        <v>0</v>
      </c>
      <c r="EG71" s="408">
        <v>0</v>
      </c>
      <c r="EH71" s="408">
        <v>0</v>
      </c>
      <c r="EI71" s="408">
        <v>0</v>
      </c>
      <c r="EJ71" s="408">
        <v>0</v>
      </c>
      <c r="EK71" s="408">
        <v>0</v>
      </c>
      <c r="EL71" s="408">
        <v>0</v>
      </c>
      <c r="EM71" s="408">
        <v>0</v>
      </c>
      <c r="EN71" s="408">
        <v>0</v>
      </c>
      <c r="EO71" s="408">
        <v>0</v>
      </c>
      <c r="EP71" s="408">
        <v>0</v>
      </c>
      <c r="EQ71" s="408">
        <v>0</v>
      </c>
      <c r="ER71" s="408">
        <v>0</v>
      </c>
      <c r="ES71" s="408">
        <v>0</v>
      </c>
      <c r="ET71" s="408">
        <v>0</v>
      </c>
      <c r="EU71" s="408">
        <v>0</v>
      </c>
      <c r="EV71" s="408">
        <v>238</v>
      </c>
      <c r="EW71" s="408">
        <v>0</v>
      </c>
      <c r="EX71" s="408">
        <v>0</v>
      </c>
      <c r="EY71" s="408">
        <v>0</v>
      </c>
      <c r="EZ71" s="408"/>
      <c r="FA71" s="408">
        <v>0</v>
      </c>
      <c r="FB71" s="408"/>
      <c r="FC71" s="408"/>
      <c r="FD71" s="408"/>
      <c r="FE71" s="408"/>
      <c r="FF71" s="408">
        <v>0</v>
      </c>
      <c r="FG71" s="408">
        <v>0</v>
      </c>
      <c r="FH71" s="408">
        <v>0</v>
      </c>
      <c r="FI71" s="408">
        <v>0</v>
      </c>
    </row>
    <row r="72" spans="1:165" customFormat="1">
      <c r="A72" s="408">
        <v>74</v>
      </c>
      <c r="B72" s="408" t="s">
        <v>1036</v>
      </c>
      <c r="C72" s="408" t="s">
        <v>2243</v>
      </c>
      <c r="D72" s="408" t="s">
        <v>597</v>
      </c>
      <c r="E72" s="408" t="s">
        <v>970</v>
      </c>
      <c r="F72" s="408" t="s">
        <v>1322</v>
      </c>
      <c r="G72" s="408" t="s">
        <v>1322</v>
      </c>
      <c r="H72" s="408" t="s">
        <v>1322</v>
      </c>
      <c r="I72" s="408" t="s">
        <v>973</v>
      </c>
      <c r="J72" s="408" t="s">
        <v>2236</v>
      </c>
      <c r="K72" s="824">
        <v>44409</v>
      </c>
      <c r="L72" s="408">
        <v>0</v>
      </c>
      <c r="M72" s="408">
        <v>0</v>
      </c>
      <c r="N72" s="408">
        <v>5.2439999999999998</v>
      </c>
      <c r="O72" s="408">
        <v>5.2439999999999998</v>
      </c>
      <c r="P72" s="408">
        <v>5.2439999999999998</v>
      </c>
      <c r="Q72" s="408">
        <v>5.2439999999999998</v>
      </c>
      <c r="R72" s="408"/>
      <c r="S72" s="408">
        <v>1614.19</v>
      </c>
      <c r="T72" s="408">
        <v>209.4</v>
      </c>
      <c r="U72" s="408"/>
      <c r="V72" s="408">
        <v>9562.9059600000001</v>
      </c>
      <c r="W72" s="408">
        <v>9562.9059600000001</v>
      </c>
      <c r="X72" s="408">
        <v>6356.5145999999995</v>
      </c>
      <c r="Y72" s="408">
        <v>0</v>
      </c>
      <c r="Z72" s="408">
        <v>280.75316452269504</v>
      </c>
      <c r="AA72" s="408">
        <v>0</v>
      </c>
      <c r="AB72" s="408">
        <v>0</v>
      </c>
      <c r="AC72" s="408">
        <v>0</v>
      </c>
      <c r="AD72" s="408">
        <v>1633.0759413639203</v>
      </c>
      <c r="AE72" s="408">
        <v>6097.9152150505361</v>
      </c>
      <c r="AF72" s="408">
        <v>1083.676510928135</v>
      </c>
      <c r="AG72" s="408">
        <v>14.436548272201557</v>
      </c>
      <c r="AH72" s="408">
        <v>0</v>
      </c>
      <c r="AI72" s="408">
        <v>0</v>
      </c>
      <c r="AJ72" s="408">
        <v>0</v>
      </c>
      <c r="AK72" s="408">
        <v>0</v>
      </c>
      <c r="AL72" s="408">
        <v>49.868351027033505</v>
      </c>
      <c r="AM72" s="408"/>
      <c r="AN72" s="408">
        <v>6.963215553816581</v>
      </c>
      <c r="AO72" s="408">
        <v>126.87818865477074</v>
      </c>
      <c r="AP72" s="408">
        <v>188.98696290725692</v>
      </c>
      <c r="AQ72" s="408">
        <v>0</v>
      </c>
      <c r="AR72" s="408">
        <v>0</v>
      </c>
      <c r="AS72" s="408">
        <v>0</v>
      </c>
      <c r="AT72" s="408">
        <v>0</v>
      </c>
      <c r="AU72" s="408">
        <v>0</v>
      </c>
      <c r="AV72" s="408">
        <v>0</v>
      </c>
      <c r="AW72" s="408">
        <v>0</v>
      </c>
      <c r="AX72" s="408">
        <v>0</v>
      </c>
      <c r="AY72" s="408">
        <v>0</v>
      </c>
      <c r="AZ72" s="408">
        <v>0</v>
      </c>
      <c r="BA72" s="408"/>
      <c r="BB72" s="408">
        <v>0</v>
      </c>
      <c r="BC72" s="408">
        <v>0</v>
      </c>
      <c r="BD72" s="408">
        <v>0</v>
      </c>
      <c r="BE72" s="408">
        <v>0</v>
      </c>
      <c r="BF72" s="408">
        <v>0</v>
      </c>
      <c r="BG72" s="408">
        <v>80.361344278240821</v>
      </c>
      <c r="BH72" s="408">
        <v>0</v>
      </c>
      <c r="BI72" s="408">
        <v>0</v>
      </c>
      <c r="BJ72" s="408">
        <v>0</v>
      </c>
      <c r="BK72" s="408">
        <v>0</v>
      </c>
      <c r="BL72" s="408">
        <v>0</v>
      </c>
      <c r="BM72" s="408"/>
      <c r="BN72" s="408"/>
      <c r="BO72" s="408"/>
      <c r="BP72" s="408"/>
      <c r="BQ72" s="408"/>
      <c r="BR72" s="408"/>
      <c r="BS72" s="408"/>
      <c r="BT72" s="408"/>
      <c r="BU72" s="408"/>
      <c r="BV72" s="408">
        <v>1164.0378552063758</v>
      </c>
      <c r="BW72" s="408"/>
      <c r="BX72" s="408"/>
      <c r="BY72" s="408"/>
      <c r="BZ72" s="408"/>
      <c r="CA72" s="408"/>
      <c r="CB72" s="408"/>
      <c r="CC72" s="408"/>
      <c r="CD72" s="408"/>
      <c r="CE72" s="408"/>
      <c r="CF72" s="408"/>
      <c r="CG72" s="408"/>
      <c r="CH72" s="408"/>
      <c r="CI72" s="408">
        <v>6351.6659999999993</v>
      </c>
      <c r="CJ72" s="408">
        <v>-3211.2699600000014</v>
      </c>
      <c r="CK72" s="408"/>
      <c r="CL72" s="408"/>
      <c r="CM72" s="408"/>
      <c r="CN72" s="408"/>
      <c r="CO72" s="408">
        <v>-3326.1118800000004</v>
      </c>
      <c r="CP72" s="408">
        <v>119.72051999999991</v>
      </c>
      <c r="CQ72" s="408">
        <v>31</v>
      </c>
      <c r="CR72" s="408">
        <v>214.44484971794054</v>
      </c>
      <c r="CS72" s="408">
        <v>15.318261342570096</v>
      </c>
      <c r="CT72" s="408">
        <v>22.816779769997027</v>
      </c>
      <c r="CU72" s="408">
        <v>0</v>
      </c>
      <c r="CV72" s="408">
        <v>0</v>
      </c>
      <c r="CW72" s="408">
        <v>0</v>
      </c>
      <c r="CX72" s="408">
        <v>0</v>
      </c>
      <c r="CY72" s="408">
        <v>0</v>
      </c>
      <c r="CZ72" s="408">
        <v>53.536210323570003</v>
      </c>
      <c r="DA72" s="408">
        <v>0</v>
      </c>
      <c r="DB72" s="408">
        <v>0</v>
      </c>
      <c r="DC72" s="408">
        <v>119.68425315863169</v>
      </c>
      <c r="DD72" s="408">
        <v>0</v>
      </c>
      <c r="DE72" s="408">
        <v>0</v>
      </c>
      <c r="DF72" s="408">
        <v>0</v>
      </c>
      <c r="DG72" s="408">
        <v>8.8753307613240509</v>
      </c>
      <c r="DH72" s="408">
        <v>0</v>
      </c>
      <c r="DI72" s="408">
        <v>-4.8941236502619745</v>
      </c>
      <c r="DJ72" s="408"/>
      <c r="DK72" s="408">
        <v>0</v>
      </c>
      <c r="DL72" s="408">
        <v>0</v>
      </c>
      <c r="DM72" s="408">
        <v>0</v>
      </c>
      <c r="DN72" s="408">
        <v>0</v>
      </c>
      <c r="DO72" s="408">
        <v>-0.73086915940501029</v>
      </c>
      <c r="DP72" s="408">
        <v>-0.16099282848544316</v>
      </c>
      <c r="DQ72" s="408">
        <v>0</v>
      </c>
      <c r="DR72" s="408">
        <v>0</v>
      </c>
      <c r="DS72" s="408"/>
      <c r="DT72" s="408"/>
      <c r="DU72" s="408"/>
      <c r="DV72" s="408">
        <v>6097.9152150505361</v>
      </c>
      <c r="DW72" s="408">
        <v>0</v>
      </c>
      <c r="DX72" s="408">
        <v>0</v>
      </c>
      <c r="DY72" s="408">
        <v>-3326.1118800000004</v>
      </c>
      <c r="DZ72" s="408">
        <v>119.72052000000008</v>
      </c>
      <c r="EA72" s="408">
        <v>0</v>
      </c>
      <c r="EB72" s="408">
        <v>0</v>
      </c>
      <c r="EC72" s="408">
        <v>-3420.8676222097165</v>
      </c>
      <c r="ED72" s="408">
        <v>0</v>
      </c>
      <c r="EE72" s="408">
        <v>0</v>
      </c>
      <c r="EF72" s="408">
        <v>0</v>
      </c>
      <c r="EG72" s="408">
        <v>0</v>
      </c>
      <c r="EH72" s="408">
        <v>0</v>
      </c>
      <c r="EI72" s="408">
        <v>0</v>
      </c>
      <c r="EJ72" s="408">
        <v>0</v>
      </c>
      <c r="EK72" s="408">
        <v>0</v>
      </c>
      <c r="EL72" s="408">
        <v>0</v>
      </c>
      <c r="EM72" s="408">
        <v>0</v>
      </c>
      <c r="EN72" s="408">
        <v>0</v>
      </c>
      <c r="EO72" s="408">
        <v>0</v>
      </c>
      <c r="EP72" s="408">
        <v>0</v>
      </c>
      <c r="EQ72" s="408">
        <v>0</v>
      </c>
      <c r="ER72" s="408">
        <v>0</v>
      </c>
      <c r="ES72" s="408">
        <v>0</v>
      </c>
      <c r="ET72" s="408">
        <v>0</v>
      </c>
      <c r="EU72" s="408">
        <v>0</v>
      </c>
      <c r="EV72" s="408">
        <v>238</v>
      </c>
      <c r="EW72" s="408">
        <v>0</v>
      </c>
      <c r="EX72" s="408">
        <v>0</v>
      </c>
      <c r="EY72" s="408">
        <v>0</v>
      </c>
      <c r="EZ72" s="408"/>
      <c r="FA72" s="408">
        <v>0</v>
      </c>
      <c r="FB72" s="408"/>
      <c r="FC72" s="408"/>
      <c r="FD72" s="408"/>
      <c r="FE72" s="408"/>
      <c r="FF72" s="408">
        <v>0</v>
      </c>
      <c r="FG72" s="408">
        <v>0</v>
      </c>
      <c r="FH72" s="408">
        <v>0</v>
      </c>
      <c r="FI72" s="408">
        <v>0</v>
      </c>
    </row>
    <row r="73" spans="1:165" customFormat="1">
      <c r="A73" s="408">
        <v>75</v>
      </c>
      <c r="B73" s="408" t="s">
        <v>1036</v>
      </c>
      <c r="C73" s="408" t="s">
        <v>2243</v>
      </c>
      <c r="D73" s="408" t="s">
        <v>597</v>
      </c>
      <c r="E73" s="408" t="s">
        <v>970</v>
      </c>
      <c r="F73" s="408" t="s">
        <v>1322</v>
      </c>
      <c r="G73" s="408" t="s">
        <v>1322</v>
      </c>
      <c r="H73" s="408" t="s">
        <v>1322</v>
      </c>
      <c r="I73" s="408" t="s">
        <v>2244</v>
      </c>
      <c r="J73" s="408" t="s">
        <v>2236</v>
      </c>
      <c r="K73" s="824">
        <v>44409</v>
      </c>
      <c r="L73" s="408">
        <v>0</v>
      </c>
      <c r="M73" s="408">
        <v>0</v>
      </c>
      <c r="N73" s="408">
        <v>185.566</v>
      </c>
      <c r="O73" s="408">
        <v>185.566</v>
      </c>
      <c r="P73" s="408">
        <v>185.566</v>
      </c>
      <c r="Q73" s="408">
        <v>185.566</v>
      </c>
      <c r="R73" s="408"/>
      <c r="S73" s="408">
        <v>79.7</v>
      </c>
      <c r="T73" s="408">
        <v>209.4</v>
      </c>
      <c r="U73" s="408"/>
      <c r="V73" s="408">
        <v>53647.130600000004</v>
      </c>
      <c r="W73" s="408">
        <v>53647.130600000004</v>
      </c>
      <c r="X73" s="408">
        <v>57993.086320000002</v>
      </c>
      <c r="Y73" s="408">
        <v>0</v>
      </c>
      <c r="Z73" s="408">
        <v>9934.8287047708673</v>
      </c>
      <c r="AA73" s="408">
        <v>0</v>
      </c>
      <c r="AB73" s="408">
        <v>0</v>
      </c>
      <c r="AC73" s="408">
        <v>0</v>
      </c>
      <c r="AD73" s="408">
        <v>0</v>
      </c>
      <c r="AE73" s="408">
        <v>0</v>
      </c>
      <c r="AF73" s="408">
        <v>38347.352293457348</v>
      </c>
      <c r="AG73" s="408">
        <v>510.8566965444993</v>
      </c>
      <c r="AH73" s="408">
        <v>0</v>
      </c>
      <c r="AI73" s="408">
        <v>0</v>
      </c>
      <c r="AJ73" s="408">
        <v>0</v>
      </c>
      <c r="AK73" s="408">
        <v>0</v>
      </c>
      <c r="AL73" s="408">
        <v>1764.6587388791954</v>
      </c>
      <c r="AM73" s="408"/>
      <c r="AN73" s="408">
        <v>246.40275695261778</v>
      </c>
      <c r="AO73" s="408">
        <v>0</v>
      </c>
      <c r="AP73" s="408">
        <v>0</v>
      </c>
      <c r="AQ73" s="408">
        <v>0</v>
      </c>
      <c r="AR73" s="408">
        <v>0</v>
      </c>
      <c r="AS73" s="408">
        <v>0</v>
      </c>
      <c r="AT73" s="408">
        <v>0</v>
      </c>
      <c r="AU73" s="408">
        <v>0</v>
      </c>
      <c r="AV73" s="408">
        <v>0</v>
      </c>
      <c r="AW73" s="408">
        <v>0</v>
      </c>
      <c r="AX73" s="408">
        <v>0</v>
      </c>
      <c r="AY73" s="408">
        <v>0</v>
      </c>
      <c r="AZ73" s="408">
        <v>0</v>
      </c>
      <c r="BA73" s="408"/>
      <c r="BB73" s="408">
        <v>0</v>
      </c>
      <c r="BC73" s="408">
        <v>0</v>
      </c>
      <c r="BD73" s="408">
        <v>0</v>
      </c>
      <c r="BE73" s="408">
        <v>0</v>
      </c>
      <c r="BF73" s="408">
        <v>0</v>
      </c>
      <c r="BG73" s="408">
        <v>2843.6943578062619</v>
      </c>
      <c r="BH73" s="408">
        <v>0</v>
      </c>
      <c r="BI73" s="408">
        <v>0</v>
      </c>
      <c r="BJ73" s="408">
        <v>0</v>
      </c>
      <c r="BK73" s="408">
        <v>0</v>
      </c>
      <c r="BL73" s="408">
        <v>0</v>
      </c>
      <c r="BM73" s="408"/>
      <c r="BN73" s="408"/>
      <c r="BO73" s="408"/>
      <c r="BP73" s="408"/>
      <c r="BQ73" s="408"/>
      <c r="BR73" s="408"/>
      <c r="BS73" s="408"/>
      <c r="BT73" s="408"/>
      <c r="BU73" s="408"/>
      <c r="BV73" s="408">
        <v>41191.046651263612</v>
      </c>
      <c r="BW73" s="408"/>
      <c r="BX73" s="408"/>
      <c r="BY73" s="408"/>
      <c r="BZ73" s="408"/>
      <c r="CA73" s="408"/>
      <c r="CB73" s="408"/>
      <c r="CC73" s="408"/>
      <c r="CD73" s="408"/>
      <c r="CE73" s="408"/>
      <c r="CF73" s="408"/>
      <c r="CG73" s="408"/>
      <c r="CH73" s="408"/>
      <c r="CI73" s="408">
        <v>57994.3364</v>
      </c>
      <c r="CJ73" s="408">
        <v>4347.1757999999973</v>
      </c>
      <c r="CK73" s="408"/>
      <c r="CL73" s="408"/>
      <c r="CM73" s="408"/>
      <c r="CN73" s="408"/>
      <c r="CO73" s="408">
        <v>109.48394000000063</v>
      </c>
      <c r="CP73" s="408">
        <v>4236.4717799999971</v>
      </c>
      <c r="CQ73" s="408">
        <v>31</v>
      </c>
      <c r="CR73" s="408">
        <v>4344.5090653625302</v>
      </c>
      <c r="CS73" s="408">
        <v>0</v>
      </c>
      <c r="CT73" s="408">
        <v>0</v>
      </c>
      <c r="CU73" s="408">
        <v>0</v>
      </c>
      <c r="CV73" s="408">
        <v>0</v>
      </c>
      <c r="CW73" s="408">
        <v>0</v>
      </c>
      <c r="CX73" s="408">
        <v>0</v>
      </c>
      <c r="CY73" s="408">
        <v>0</v>
      </c>
      <c r="CZ73" s="408">
        <v>0</v>
      </c>
      <c r="DA73" s="408">
        <v>0</v>
      </c>
      <c r="DB73" s="408">
        <v>0</v>
      </c>
      <c r="DC73" s="408">
        <v>4235.1884289921145</v>
      </c>
      <c r="DD73" s="408">
        <v>0</v>
      </c>
      <c r="DE73" s="408">
        <v>0</v>
      </c>
      <c r="DF73" s="408">
        <v>0</v>
      </c>
      <c r="DG73" s="408">
        <v>314.06552785199437</v>
      </c>
      <c r="DH73" s="408">
        <v>0</v>
      </c>
      <c r="DI73" s="408">
        <v>-173.18515432580352</v>
      </c>
      <c r="DJ73" s="408"/>
      <c r="DK73" s="408">
        <v>0</v>
      </c>
      <c r="DL73" s="408">
        <v>0</v>
      </c>
      <c r="DM73" s="408">
        <v>0</v>
      </c>
      <c r="DN73" s="408">
        <v>0</v>
      </c>
      <c r="DO73" s="408">
        <v>-25.862789175086164</v>
      </c>
      <c r="DP73" s="408">
        <v>-5.6969479806883498</v>
      </c>
      <c r="DQ73" s="408">
        <v>0</v>
      </c>
      <c r="DR73" s="408">
        <v>0</v>
      </c>
      <c r="DS73" s="408"/>
      <c r="DT73" s="408"/>
      <c r="DU73" s="408"/>
      <c r="DV73" s="408">
        <v>0</v>
      </c>
      <c r="DW73" s="408">
        <v>0</v>
      </c>
      <c r="DX73" s="408">
        <v>0</v>
      </c>
      <c r="DY73" s="408">
        <v>109.48394000000008</v>
      </c>
      <c r="DZ73" s="408">
        <v>4236.4717799999999</v>
      </c>
      <c r="EA73" s="408">
        <v>0</v>
      </c>
      <c r="EB73" s="408">
        <v>0</v>
      </c>
      <c r="EC73" s="408">
        <v>0</v>
      </c>
      <c r="ED73" s="408">
        <v>0</v>
      </c>
      <c r="EE73" s="408">
        <v>0</v>
      </c>
      <c r="EF73" s="408">
        <v>0</v>
      </c>
      <c r="EG73" s="408">
        <v>0</v>
      </c>
      <c r="EH73" s="408">
        <v>0</v>
      </c>
      <c r="EI73" s="408">
        <v>0</v>
      </c>
      <c r="EJ73" s="408">
        <v>0</v>
      </c>
      <c r="EK73" s="408">
        <v>0</v>
      </c>
      <c r="EL73" s="408">
        <v>0</v>
      </c>
      <c r="EM73" s="408">
        <v>0</v>
      </c>
      <c r="EN73" s="408">
        <v>0</v>
      </c>
      <c r="EO73" s="408">
        <v>0</v>
      </c>
      <c r="EP73" s="408">
        <v>0</v>
      </c>
      <c r="EQ73" s="408">
        <v>0</v>
      </c>
      <c r="ER73" s="408">
        <v>0</v>
      </c>
      <c r="ES73" s="408">
        <v>0</v>
      </c>
      <c r="ET73" s="408">
        <v>0</v>
      </c>
      <c r="EU73" s="408">
        <v>0</v>
      </c>
      <c r="EV73" s="408">
        <v>238</v>
      </c>
      <c r="EW73" s="408">
        <v>0</v>
      </c>
      <c r="EX73" s="408">
        <v>0</v>
      </c>
      <c r="EY73" s="408">
        <v>0</v>
      </c>
      <c r="EZ73" s="408"/>
      <c r="FA73" s="408">
        <v>0</v>
      </c>
      <c r="FB73" s="408"/>
      <c r="FC73" s="408"/>
      <c r="FD73" s="408"/>
      <c r="FE73" s="408"/>
      <c r="FF73" s="408">
        <v>0</v>
      </c>
      <c r="FG73" s="408">
        <v>0</v>
      </c>
      <c r="FH73" s="408">
        <v>0</v>
      </c>
      <c r="FI73" s="408">
        <v>0</v>
      </c>
    </row>
    <row r="74" spans="1:165" customFormat="1">
      <c r="A74" s="408">
        <v>76</v>
      </c>
      <c r="B74" s="408" t="s">
        <v>1036</v>
      </c>
      <c r="C74" s="408" t="s">
        <v>2243</v>
      </c>
      <c r="D74" s="408" t="s">
        <v>597</v>
      </c>
      <c r="E74" s="408" t="s">
        <v>970</v>
      </c>
      <c r="F74" s="408" t="s">
        <v>1322</v>
      </c>
      <c r="G74" s="408" t="s">
        <v>1322</v>
      </c>
      <c r="H74" s="408" t="s">
        <v>1322</v>
      </c>
      <c r="I74" s="408" t="s">
        <v>1322</v>
      </c>
      <c r="J74" s="408" t="s">
        <v>2236</v>
      </c>
      <c r="K74" s="824">
        <v>44409</v>
      </c>
      <c r="L74" s="408">
        <v>1350</v>
      </c>
      <c r="M74" s="408">
        <v>1350</v>
      </c>
      <c r="N74" s="408">
        <v>0</v>
      </c>
      <c r="O74" s="408">
        <v>0</v>
      </c>
      <c r="P74" s="408">
        <v>0</v>
      </c>
      <c r="Q74" s="408">
        <v>0</v>
      </c>
      <c r="R74" s="408">
        <v>44.35</v>
      </c>
      <c r="S74" s="408"/>
      <c r="T74" s="408"/>
      <c r="U74" s="408">
        <v>59872.5</v>
      </c>
      <c r="V74" s="408"/>
      <c r="W74" s="408">
        <v>59872.5</v>
      </c>
      <c r="X74" s="408">
        <v>39109.5</v>
      </c>
      <c r="Y74" s="408">
        <v>0</v>
      </c>
      <c r="Z74" s="408">
        <v>0</v>
      </c>
      <c r="AA74" s="408">
        <v>0</v>
      </c>
      <c r="AB74" s="408">
        <v>0</v>
      </c>
      <c r="AC74" s="408">
        <v>0</v>
      </c>
      <c r="AD74" s="408">
        <v>17714.785978915155</v>
      </c>
      <c r="AE74" s="408">
        <v>38769.092485757101</v>
      </c>
      <c r="AF74" s="408"/>
      <c r="AG74" s="408"/>
      <c r="AH74" s="408"/>
      <c r="AI74" s="408">
        <v>0</v>
      </c>
      <c r="AJ74" s="408">
        <v>0</v>
      </c>
      <c r="AK74" s="408">
        <v>0</v>
      </c>
      <c r="AL74" s="408">
        <v>0</v>
      </c>
      <c r="AM74" s="408"/>
      <c r="AN74" s="408">
        <v>0</v>
      </c>
      <c r="AO74" s="408">
        <v>1338.8229337423054</v>
      </c>
      <c r="AP74" s="408">
        <v>2048.3433811010027</v>
      </c>
      <c r="AQ74" s="408">
        <v>0</v>
      </c>
      <c r="AR74" s="408">
        <v>0</v>
      </c>
      <c r="AS74" s="408"/>
      <c r="AT74" s="408"/>
      <c r="AU74" s="408">
        <v>0</v>
      </c>
      <c r="AV74" s="408">
        <v>0</v>
      </c>
      <c r="AW74" s="408">
        <v>0</v>
      </c>
      <c r="AX74" s="408"/>
      <c r="AY74" s="408"/>
      <c r="AZ74" s="408">
        <v>0</v>
      </c>
      <c r="BA74" s="408"/>
      <c r="BB74" s="408">
        <v>0</v>
      </c>
      <c r="BC74" s="408">
        <v>0</v>
      </c>
      <c r="BD74" s="408">
        <v>0</v>
      </c>
      <c r="BE74" s="408">
        <v>0</v>
      </c>
      <c r="BF74" s="408"/>
      <c r="BG74" s="408">
        <v>0</v>
      </c>
      <c r="BH74" s="408">
        <v>0</v>
      </c>
      <c r="BI74" s="408">
        <v>147.22999999999999</v>
      </c>
      <c r="BJ74" s="408">
        <v>706.9</v>
      </c>
      <c r="BK74" s="408">
        <v>23724.38</v>
      </c>
      <c r="BL74" s="408">
        <v>7</v>
      </c>
      <c r="BM74" s="408"/>
      <c r="BN74" s="408"/>
      <c r="BO74" s="408"/>
      <c r="BP74" s="408"/>
      <c r="BQ74" s="408"/>
      <c r="BR74" s="408"/>
      <c r="BS74" s="408"/>
      <c r="BT74" s="408"/>
      <c r="BU74" s="408"/>
      <c r="BV74" s="408">
        <v>0</v>
      </c>
      <c r="BW74" s="408"/>
      <c r="BX74" s="408"/>
      <c r="BY74" s="408"/>
      <c r="BZ74" s="408"/>
      <c r="CA74" s="408"/>
      <c r="CB74" s="408"/>
      <c r="CC74" s="408"/>
      <c r="CD74" s="408"/>
      <c r="CE74" s="408"/>
      <c r="CF74" s="408"/>
      <c r="CG74" s="408"/>
      <c r="CH74" s="408"/>
      <c r="CI74" s="408">
        <v>39109.5</v>
      </c>
      <c r="CJ74" s="408">
        <v>-20763.030000000006</v>
      </c>
      <c r="CK74" s="408"/>
      <c r="CL74" s="408"/>
      <c r="CM74" s="408"/>
      <c r="CN74" s="408"/>
      <c r="CO74" s="408">
        <v>-20763.000000000004</v>
      </c>
      <c r="CP74" s="408">
        <v>0</v>
      </c>
      <c r="CQ74" s="408">
        <v>31</v>
      </c>
      <c r="CR74" s="408">
        <v>989.6733347363479</v>
      </c>
      <c r="CS74" s="408">
        <v>161.63881127191758</v>
      </c>
      <c r="CT74" s="408">
        <v>247.30065556346244</v>
      </c>
      <c r="CU74" s="408">
        <v>0</v>
      </c>
      <c r="CV74" s="408">
        <v>0</v>
      </c>
      <c r="CW74" s="408"/>
      <c r="CX74" s="408"/>
      <c r="CY74" s="408"/>
      <c r="CZ74" s="408">
        <v>580.73386790096993</v>
      </c>
      <c r="DA74" s="408">
        <v>0</v>
      </c>
      <c r="DB74" s="408">
        <v>0</v>
      </c>
      <c r="DC74" s="408"/>
      <c r="DD74" s="408"/>
      <c r="DE74" s="408">
        <v>0</v>
      </c>
      <c r="DF74" s="408">
        <v>0</v>
      </c>
      <c r="DG74" s="408">
        <v>0</v>
      </c>
      <c r="DH74" s="408">
        <v>0</v>
      </c>
      <c r="DI74" s="408">
        <v>0</v>
      </c>
      <c r="DJ74" s="408"/>
      <c r="DK74" s="408">
        <v>0</v>
      </c>
      <c r="DL74" s="408">
        <v>0</v>
      </c>
      <c r="DM74" s="408"/>
      <c r="DN74" s="408">
        <v>0</v>
      </c>
      <c r="DO74" s="408">
        <v>0</v>
      </c>
      <c r="DP74" s="408">
        <v>0</v>
      </c>
      <c r="DQ74" s="408">
        <v>0</v>
      </c>
      <c r="DR74" s="408">
        <v>0</v>
      </c>
      <c r="DS74" s="408"/>
      <c r="DT74" s="408"/>
      <c r="DU74" s="408">
        <v>38769.092485757101</v>
      </c>
      <c r="DV74" s="408"/>
      <c r="DW74" s="408">
        <v>0</v>
      </c>
      <c r="DX74" s="408">
        <v>0</v>
      </c>
      <c r="DY74" s="408">
        <v>-20763</v>
      </c>
      <c r="DZ74" s="408"/>
      <c r="EA74" s="408">
        <v>0</v>
      </c>
      <c r="EB74" s="408"/>
      <c r="EC74" s="408">
        <v>-21749.061531660031</v>
      </c>
      <c r="ED74" s="408"/>
      <c r="EE74" s="408">
        <v>0</v>
      </c>
      <c r="EF74" s="408">
        <v>0</v>
      </c>
      <c r="EG74" s="408"/>
      <c r="EH74" s="408">
        <v>0</v>
      </c>
      <c r="EI74" s="408">
        <v>0</v>
      </c>
      <c r="EJ74" s="408">
        <v>0</v>
      </c>
      <c r="EK74" s="408">
        <v>0</v>
      </c>
      <c r="EL74" s="408">
        <v>0</v>
      </c>
      <c r="EM74" s="408"/>
      <c r="EN74" s="408"/>
      <c r="EO74" s="408">
        <v>0</v>
      </c>
      <c r="EP74" s="408">
        <v>0</v>
      </c>
      <c r="EQ74" s="408"/>
      <c r="ER74" s="408">
        <v>0</v>
      </c>
      <c r="ES74" s="408"/>
      <c r="ET74" s="408">
        <v>0</v>
      </c>
      <c r="EU74" s="408"/>
      <c r="EV74" s="408">
        <v>238</v>
      </c>
      <c r="EW74" s="408"/>
      <c r="EX74" s="408"/>
      <c r="EY74" s="408"/>
      <c r="EZ74" s="408"/>
      <c r="FA74" s="408">
        <v>0</v>
      </c>
      <c r="FB74" s="408"/>
      <c r="FC74" s="408"/>
      <c r="FD74" s="408"/>
      <c r="FE74" s="408"/>
      <c r="FF74" s="408">
        <v>0</v>
      </c>
      <c r="FG74" s="408">
        <v>0</v>
      </c>
      <c r="FH74" s="408">
        <v>0</v>
      </c>
      <c r="FI74" s="408">
        <v>0</v>
      </c>
    </row>
    <row r="75" spans="1:165" customFormat="1">
      <c r="A75" s="408">
        <v>77</v>
      </c>
      <c r="B75" s="408" t="s">
        <v>1036</v>
      </c>
      <c r="C75" s="408" t="s">
        <v>2235</v>
      </c>
      <c r="D75" s="408" t="s">
        <v>1958</v>
      </c>
      <c r="E75" s="408" t="s">
        <v>998</v>
      </c>
      <c r="F75" s="408" t="s">
        <v>1322</v>
      </c>
      <c r="G75" s="408" t="s">
        <v>1322</v>
      </c>
      <c r="H75" s="408" t="s">
        <v>1322</v>
      </c>
      <c r="I75" s="408" t="s">
        <v>1322</v>
      </c>
      <c r="J75" s="408" t="s">
        <v>2236</v>
      </c>
      <c r="K75" s="824">
        <v>44409</v>
      </c>
      <c r="L75" s="408">
        <v>0</v>
      </c>
      <c r="M75" s="408">
        <v>0</v>
      </c>
      <c r="N75" s="408">
        <v>295.86799999999999</v>
      </c>
      <c r="O75" s="408">
        <v>295.86799999999999</v>
      </c>
      <c r="P75" s="408">
        <v>295.86799999999999</v>
      </c>
      <c r="Q75" s="408">
        <v>295.86799999999999</v>
      </c>
      <c r="R75" s="408"/>
      <c r="S75" s="408">
        <v>581.32000000000005</v>
      </c>
      <c r="T75" s="408">
        <v>209.4</v>
      </c>
      <c r="U75" s="408"/>
      <c r="V75" s="408">
        <v>233948.74496000001</v>
      </c>
      <c r="W75" s="408">
        <v>233948.74496000001</v>
      </c>
      <c r="X75" s="408">
        <v>178724.98275999998</v>
      </c>
      <c r="Y75" s="408">
        <v>0</v>
      </c>
      <c r="Z75" s="408">
        <v>18207.097609309531</v>
      </c>
      <c r="AA75" s="408">
        <v>0</v>
      </c>
      <c r="AB75" s="408">
        <v>0</v>
      </c>
      <c r="AC75" s="408">
        <v>0</v>
      </c>
      <c r="AD75" s="408">
        <v>21950.785628448044</v>
      </c>
      <c r="AE75" s="408">
        <v>114029.09881821164</v>
      </c>
      <c r="AF75" s="408">
        <v>61141.342855698982</v>
      </c>
      <c r="AG75" s="408">
        <v>814.5142380243575</v>
      </c>
      <c r="AH75" s="408">
        <v>0</v>
      </c>
      <c r="AI75" s="408">
        <v>0</v>
      </c>
      <c r="AJ75" s="408">
        <v>0</v>
      </c>
      <c r="AK75" s="408">
        <v>0</v>
      </c>
      <c r="AL75" s="408">
        <v>2813.5868195397311</v>
      </c>
      <c r="AM75" s="408"/>
      <c r="AN75" s="408">
        <v>539.35680619565608</v>
      </c>
      <c r="AO75" s="408">
        <v>1686.2939779555113</v>
      </c>
      <c r="AP75" s="408">
        <v>2540.08298619058</v>
      </c>
      <c r="AQ75" s="408">
        <v>0</v>
      </c>
      <c r="AR75" s="408">
        <v>0</v>
      </c>
      <c r="AS75" s="408">
        <v>0</v>
      </c>
      <c r="AT75" s="408">
        <v>0</v>
      </c>
      <c r="AU75" s="408">
        <v>0</v>
      </c>
      <c r="AV75" s="408">
        <v>0</v>
      </c>
      <c r="AW75" s="408">
        <v>0</v>
      </c>
      <c r="AX75" s="408">
        <v>0</v>
      </c>
      <c r="AY75" s="408">
        <v>0</v>
      </c>
      <c r="AZ75" s="408">
        <v>0</v>
      </c>
      <c r="BA75" s="408"/>
      <c r="BB75" s="408">
        <v>0</v>
      </c>
      <c r="BC75" s="408">
        <v>0</v>
      </c>
      <c r="BD75" s="408">
        <v>0</v>
      </c>
      <c r="BE75" s="408">
        <v>0</v>
      </c>
      <c r="BF75" s="408">
        <v>0</v>
      </c>
      <c r="BG75" s="408">
        <v>10228.832361985533</v>
      </c>
      <c r="BH75" s="408">
        <v>0</v>
      </c>
      <c r="BI75" s="408">
        <v>299.45</v>
      </c>
      <c r="BJ75" s="408">
        <v>1448.28</v>
      </c>
      <c r="BK75" s="408">
        <v>90337.85</v>
      </c>
      <c r="BL75" s="408">
        <v>818</v>
      </c>
      <c r="BM75" s="408"/>
      <c r="BN75" s="408"/>
      <c r="BO75" s="408"/>
      <c r="BP75" s="408"/>
      <c r="BQ75" s="408"/>
      <c r="BR75" s="408"/>
      <c r="BS75" s="408"/>
      <c r="BT75" s="408"/>
      <c r="BU75" s="408"/>
      <c r="BV75" s="408">
        <v>71370.175217684518</v>
      </c>
      <c r="BW75" s="408"/>
      <c r="BX75" s="408"/>
      <c r="BY75" s="408"/>
      <c r="BZ75" s="408"/>
      <c r="CA75" s="408"/>
      <c r="CB75" s="408"/>
      <c r="CC75" s="408"/>
      <c r="CD75" s="408"/>
      <c r="CE75" s="408"/>
      <c r="CF75" s="408"/>
      <c r="CG75" s="408"/>
      <c r="CH75" s="408"/>
      <c r="CI75" s="408">
        <v>178726.19089999999</v>
      </c>
      <c r="CJ75" s="408">
        <v>-55222.584060000052</v>
      </c>
      <c r="CK75" s="408"/>
      <c r="CL75" s="408"/>
      <c r="CM75" s="408"/>
      <c r="CN75" s="408"/>
      <c r="CO75" s="408">
        <v>-61978.42864000002</v>
      </c>
      <c r="CP75" s="408">
        <v>6754.6664399999954</v>
      </c>
      <c r="CQ75" s="408">
        <v>31</v>
      </c>
      <c r="CR75" s="408">
        <v>8741.0859389597899</v>
      </c>
      <c r="CS75" s="408">
        <v>203.58969598005865</v>
      </c>
      <c r="CT75" s="408">
        <v>306.66937656364917</v>
      </c>
      <c r="CU75" s="408">
        <v>0</v>
      </c>
      <c r="CV75" s="408">
        <v>0</v>
      </c>
      <c r="CW75" s="408">
        <v>0</v>
      </c>
      <c r="CX75" s="408">
        <v>0</v>
      </c>
      <c r="CY75" s="408">
        <v>0</v>
      </c>
      <c r="CZ75" s="408">
        <v>719.60026255158664</v>
      </c>
      <c r="DA75" s="408">
        <v>0</v>
      </c>
      <c r="DB75" s="408">
        <v>0</v>
      </c>
      <c r="DC75" s="408">
        <v>6752.6202542978717</v>
      </c>
      <c r="DD75" s="408">
        <v>0</v>
      </c>
      <c r="DE75" s="408">
        <v>0</v>
      </c>
      <c r="DF75" s="408">
        <v>0</v>
      </c>
      <c r="DG75" s="408">
        <v>1129.700745179498</v>
      </c>
      <c r="DH75" s="408">
        <v>0</v>
      </c>
      <c r="DI75" s="408">
        <v>-317.38836199348953</v>
      </c>
      <c r="DJ75" s="408"/>
      <c r="DK75" s="408">
        <v>0</v>
      </c>
      <c r="DL75" s="408">
        <v>0</v>
      </c>
      <c r="DM75" s="408">
        <v>0</v>
      </c>
      <c r="DN75" s="408">
        <v>0</v>
      </c>
      <c r="DO75" s="408">
        <v>-41.235849819764098</v>
      </c>
      <c r="DP75" s="408">
        <v>-12.47018379959502</v>
      </c>
      <c r="DQ75" s="408">
        <v>0</v>
      </c>
      <c r="DR75" s="408">
        <v>0</v>
      </c>
      <c r="DS75" s="408"/>
      <c r="DT75" s="408"/>
      <c r="DU75" s="408"/>
      <c r="DV75" s="408">
        <v>114029.09881821164</v>
      </c>
      <c r="DW75" s="408">
        <v>0</v>
      </c>
      <c r="DX75" s="408">
        <v>0</v>
      </c>
      <c r="DY75" s="408">
        <v>-61978.428640000013</v>
      </c>
      <c r="DZ75" s="408">
        <v>6754.6664400000009</v>
      </c>
      <c r="EA75" s="408">
        <v>0</v>
      </c>
      <c r="EB75" s="408">
        <v>0</v>
      </c>
      <c r="EC75" s="408">
        <v>-63969.1498455408</v>
      </c>
      <c r="ED75" s="408">
        <v>0</v>
      </c>
      <c r="EE75" s="408">
        <v>0</v>
      </c>
      <c r="EF75" s="408">
        <v>0</v>
      </c>
      <c r="EG75" s="408">
        <v>0</v>
      </c>
      <c r="EH75" s="408">
        <v>0</v>
      </c>
      <c r="EI75" s="408">
        <v>0</v>
      </c>
      <c r="EJ75" s="408">
        <v>0</v>
      </c>
      <c r="EK75" s="408">
        <v>0</v>
      </c>
      <c r="EL75" s="408">
        <v>0</v>
      </c>
      <c r="EM75" s="408">
        <v>0</v>
      </c>
      <c r="EN75" s="408">
        <v>0</v>
      </c>
      <c r="EO75" s="408">
        <v>0</v>
      </c>
      <c r="EP75" s="408">
        <v>0</v>
      </c>
      <c r="EQ75" s="408">
        <v>0</v>
      </c>
      <c r="ER75" s="408">
        <v>0</v>
      </c>
      <c r="ES75" s="408">
        <v>0</v>
      </c>
      <c r="ET75" s="408">
        <v>0</v>
      </c>
      <c r="EU75" s="408">
        <v>0</v>
      </c>
      <c r="EV75" s="408">
        <v>238</v>
      </c>
      <c r="EW75" s="408">
        <v>0</v>
      </c>
      <c r="EX75" s="408">
        <v>0</v>
      </c>
      <c r="EY75" s="408">
        <v>0</v>
      </c>
      <c r="EZ75" s="408"/>
      <c r="FA75" s="408">
        <v>0</v>
      </c>
      <c r="FB75" s="408"/>
      <c r="FC75" s="408"/>
      <c r="FD75" s="408"/>
      <c r="FE75" s="408"/>
      <c r="FF75" s="408">
        <v>0</v>
      </c>
      <c r="FG75" s="408">
        <v>0</v>
      </c>
      <c r="FH75" s="408">
        <v>0</v>
      </c>
      <c r="FI75" s="408">
        <v>0</v>
      </c>
    </row>
    <row r="76" spans="1:165" customFormat="1">
      <c r="A76" s="408">
        <v>78</v>
      </c>
      <c r="B76" s="408" t="s">
        <v>2237</v>
      </c>
      <c r="C76" s="408" t="s">
        <v>2235</v>
      </c>
      <c r="D76" s="408" t="s">
        <v>1958</v>
      </c>
      <c r="E76" s="408" t="s">
        <v>998</v>
      </c>
      <c r="F76" s="408" t="s">
        <v>1322</v>
      </c>
      <c r="G76" s="408" t="s">
        <v>1322</v>
      </c>
      <c r="H76" s="408" t="s">
        <v>1322</v>
      </c>
      <c r="I76" s="408" t="s">
        <v>1322</v>
      </c>
      <c r="J76" s="408" t="s">
        <v>2236</v>
      </c>
      <c r="K76" s="824">
        <v>44409</v>
      </c>
      <c r="L76" s="408">
        <v>0</v>
      </c>
      <c r="M76" s="408">
        <v>0</v>
      </c>
      <c r="N76" s="408">
        <v>0.03</v>
      </c>
      <c r="O76" s="408">
        <v>0.03</v>
      </c>
      <c r="P76" s="408">
        <v>0.03</v>
      </c>
      <c r="Q76" s="408">
        <v>0.03</v>
      </c>
      <c r="R76" s="408"/>
      <c r="S76" s="408">
        <v>581.32000000000005</v>
      </c>
      <c r="T76" s="408">
        <v>209.4</v>
      </c>
      <c r="U76" s="408"/>
      <c r="V76" s="408">
        <v>23.721600000000002</v>
      </c>
      <c r="W76" s="408">
        <v>23.721600000000002</v>
      </c>
      <c r="X76" s="408">
        <v>18.1221</v>
      </c>
      <c r="Y76" s="408">
        <v>0</v>
      </c>
      <c r="Z76" s="408">
        <v>1.8461372243003158</v>
      </c>
      <c r="AA76" s="408">
        <v>0</v>
      </c>
      <c r="AB76" s="408">
        <v>0</v>
      </c>
      <c r="AC76" s="408">
        <v>0</v>
      </c>
      <c r="AD76" s="408">
        <v>2.2257343438744348</v>
      </c>
      <c r="AE76" s="408">
        <v>11.56215935669403</v>
      </c>
      <c r="AF76" s="408">
        <v>6.1995223737307494</v>
      </c>
      <c r="AG76" s="408">
        <v>8.25889489256382E-2</v>
      </c>
      <c r="AH76" s="408">
        <v>0</v>
      </c>
      <c r="AI76" s="408">
        <v>0</v>
      </c>
      <c r="AJ76" s="408">
        <v>0</v>
      </c>
      <c r="AK76" s="408">
        <v>0</v>
      </c>
      <c r="AL76" s="408">
        <v>0.28528804935373858</v>
      </c>
      <c r="AM76" s="408"/>
      <c r="AN76" s="408">
        <v>5.4688929474866095E-2</v>
      </c>
      <c r="AO76" s="408">
        <v>0.17098442325180602</v>
      </c>
      <c r="AP76" s="408">
        <v>0.25755569911486675</v>
      </c>
      <c r="AQ76" s="408">
        <v>0</v>
      </c>
      <c r="AR76" s="408">
        <v>0</v>
      </c>
      <c r="AS76" s="408">
        <v>0</v>
      </c>
      <c r="AT76" s="408">
        <v>0</v>
      </c>
      <c r="AU76" s="408">
        <v>0</v>
      </c>
      <c r="AV76" s="408">
        <v>0</v>
      </c>
      <c r="AW76" s="408">
        <v>0</v>
      </c>
      <c r="AX76" s="408">
        <v>0</v>
      </c>
      <c r="AY76" s="408">
        <v>0</v>
      </c>
      <c r="AZ76" s="408">
        <v>0</v>
      </c>
      <c r="BA76" s="408"/>
      <c r="BB76" s="408">
        <v>0</v>
      </c>
      <c r="BC76" s="408">
        <v>0</v>
      </c>
      <c r="BD76" s="408">
        <v>0</v>
      </c>
      <c r="BE76" s="408">
        <v>0</v>
      </c>
      <c r="BF76" s="408">
        <v>0</v>
      </c>
      <c r="BG76" s="408">
        <v>1.037168503723167</v>
      </c>
      <c r="BH76" s="408">
        <v>0</v>
      </c>
      <c r="BI76" s="408">
        <v>0.03</v>
      </c>
      <c r="BJ76" s="408">
        <v>0.13</v>
      </c>
      <c r="BK76" s="408">
        <v>9.07</v>
      </c>
      <c r="BL76" s="408">
        <v>0</v>
      </c>
      <c r="BM76" s="408"/>
      <c r="BN76" s="408"/>
      <c r="BO76" s="408"/>
      <c r="BP76" s="408"/>
      <c r="BQ76" s="408"/>
      <c r="BR76" s="408"/>
      <c r="BS76" s="408"/>
      <c r="BT76" s="408"/>
      <c r="BU76" s="408"/>
      <c r="BV76" s="408">
        <v>7.2366908774539169</v>
      </c>
      <c r="BW76" s="408"/>
      <c r="BX76" s="408"/>
      <c r="BY76" s="408"/>
      <c r="BZ76" s="408"/>
      <c r="CA76" s="408"/>
      <c r="CB76" s="408"/>
      <c r="CC76" s="408"/>
      <c r="CD76" s="408"/>
      <c r="CE76" s="408"/>
      <c r="CF76" s="408"/>
      <c r="CG76" s="408"/>
      <c r="CH76" s="408"/>
      <c r="CI76" s="408">
        <v>18.1221</v>
      </c>
      <c r="CJ76" s="408">
        <v>-5.6295000000000073</v>
      </c>
      <c r="CK76" s="408"/>
      <c r="CL76" s="408"/>
      <c r="CM76" s="408"/>
      <c r="CN76" s="408"/>
      <c r="CO76" s="408">
        <v>-6.2844000000000024</v>
      </c>
      <c r="CP76" s="408">
        <v>0.68489999999999951</v>
      </c>
      <c r="CQ76" s="408">
        <v>31</v>
      </c>
      <c r="CR76" s="408">
        <v>0.88631612127298531</v>
      </c>
      <c r="CS76" s="408">
        <v>2.0643296603220895E-2</v>
      </c>
      <c r="CT76" s="408">
        <v>3.1095222521223931E-2</v>
      </c>
      <c r="CU76" s="408">
        <v>0</v>
      </c>
      <c r="CV76" s="408">
        <v>0</v>
      </c>
      <c r="CW76" s="408">
        <v>0</v>
      </c>
      <c r="CX76" s="408">
        <v>0</v>
      </c>
      <c r="CY76" s="408">
        <v>0</v>
      </c>
      <c r="CZ76" s="408">
        <v>7.2964997487215744E-2</v>
      </c>
      <c r="DA76" s="408">
        <v>0</v>
      </c>
      <c r="DB76" s="408">
        <v>0</v>
      </c>
      <c r="DC76" s="408">
        <v>0.68469252379080014</v>
      </c>
      <c r="DD76" s="408">
        <v>0</v>
      </c>
      <c r="DE76" s="408">
        <v>0</v>
      </c>
      <c r="DF76" s="408">
        <v>0</v>
      </c>
      <c r="DG76" s="408">
        <v>0.11454777926435078</v>
      </c>
      <c r="DH76" s="408">
        <v>0</v>
      </c>
      <c r="DI76" s="408">
        <v>-3.2182090864184776E-2</v>
      </c>
      <c r="DJ76" s="408"/>
      <c r="DK76" s="408">
        <v>0</v>
      </c>
      <c r="DL76" s="408">
        <v>0</v>
      </c>
      <c r="DM76" s="408">
        <v>0</v>
      </c>
      <c r="DN76" s="408">
        <v>0</v>
      </c>
      <c r="DO76" s="408">
        <v>-4.1811736808067268E-3</v>
      </c>
      <c r="DP76" s="408">
        <v>-1.2644338488374957E-3</v>
      </c>
      <c r="DQ76" s="408">
        <v>0</v>
      </c>
      <c r="DR76" s="408">
        <v>0</v>
      </c>
      <c r="DS76" s="408"/>
      <c r="DT76" s="408"/>
      <c r="DU76" s="408"/>
      <c r="DV76" s="408">
        <v>11.56215935669403</v>
      </c>
      <c r="DW76" s="408">
        <v>0</v>
      </c>
      <c r="DX76" s="408">
        <v>0</v>
      </c>
      <c r="DY76" s="408">
        <v>-6.2844000000000033</v>
      </c>
      <c r="DZ76" s="408">
        <v>0.68489999999999984</v>
      </c>
      <c r="EA76" s="408">
        <v>0</v>
      </c>
      <c r="EB76" s="408">
        <v>0</v>
      </c>
      <c r="EC76" s="408">
        <v>-6.4862522995600198</v>
      </c>
      <c r="ED76" s="408">
        <v>0</v>
      </c>
      <c r="EE76" s="408">
        <v>0</v>
      </c>
      <c r="EF76" s="408">
        <v>0</v>
      </c>
      <c r="EG76" s="408">
        <v>0</v>
      </c>
      <c r="EH76" s="408">
        <v>0</v>
      </c>
      <c r="EI76" s="408">
        <v>0</v>
      </c>
      <c r="EJ76" s="408">
        <v>0</v>
      </c>
      <c r="EK76" s="408">
        <v>0</v>
      </c>
      <c r="EL76" s="408">
        <v>0</v>
      </c>
      <c r="EM76" s="408">
        <v>0</v>
      </c>
      <c r="EN76" s="408">
        <v>0</v>
      </c>
      <c r="EO76" s="408">
        <v>0</v>
      </c>
      <c r="EP76" s="408">
        <v>0</v>
      </c>
      <c r="EQ76" s="408">
        <v>0</v>
      </c>
      <c r="ER76" s="408">
        <v>0</v>
      </c>
      <c r="ES76" s="408">
        <v>0</v>
      </c>
      <c r="ET76" s="408">
        <v>0</v>
      </c>
      <c r="EU76" s="408">
        <v>0</v>
      </c>
      <c r="EV76" s="408">
        <v>238</v>
      </c>
      <c r="EW76" s="408">
        <v>0</v>
      </c>
      <c r="EX76" s="408">
        <v>0</v>
      </c>
      <c r="EY76" s="408">
        <v>0</v>
      </c>
      <c r="EZ76" s="408"/>
      <c r="FA76" s="408">
        <v>0</v>
      </c>
      <c r="FB76" s="408"/>
      <c r="FC76" s="408"/>
      <c r="FD76" s="408"/>
      <c r="FE76" s="408"/>
      <c r="FF76" s="408">
        <v>0</v>
      </c>
      <c r="FG76" s="408">
        <v>0</v>
      </c>
      <c r="FH76" s="408">
        <v>0</v>
      </c>
      <c r="FI76" s="408">
        <v>0</v>
      </c>
    </row>
    <row r="77" spans="1:165" customFormat="1">
      <c r="A77" s="408">
        <v>79</v>
      </c>
      <c r="B77" s="408" t="s">
        <v>2238</v>
      </c>
      <c r="C77" s="408" t="s">
        <v>2235</v>
      </c>
      <c r="D77" s="408" t="s">
        <v>1958</v>
      </c>
      <c r="E77" s="408" t="s">
        <v>998</v>
      </c>
      <c r="F77" s="408" t="s">
        <v>1322</v>
      </c>
      <c r="G77" s="408" t="s">
        <v>1322</v>
      </c>
      <c r="H77" s="408" t="s">
        <v>1322</v>
      </c>
      <c r="I77" s="408" t="s">
        <v>1322</v>
      </c>
      <c r="J77" s="408" t="s">
        <v>2236</v>
      </c>
      <c r="K77" s="824">
        <v>44409</v>
      </c>
      <c r="L77" s="408">
        <v>0</v>
      </c>
      <c r="M77" s="408">
        <v>0</v>
      </c>
      <c r="N77" s="408">
        <v>19.481000000000002</v>
      </c>
      <c r="O77" s="408">
        <v>19.481000000000002</v>
      </c>
      <c r="P77" s="408">
        <v>19.481000000000002</v>
      </c>
      <c r="Q77" s="408">
        <v>19.481000000000002</v>
      </c>
      <c r="R77" s="408"/>
      <c r="S77" s="408">
        <v>581.32000000000005</v>
      </c>
      <c r="T77" s="408">
        <v>209.4</v>
      </c>
      <c r="U77" s="408"/>
      <c r="V77" s="408">
        <v>15404.016320000002</v>
      </c>
      <c r="W77" s="408">
        <v>15404.016320000002</v>
      </c>
      <c r="X77" s="408">
        <v>11767.88767</v>
      </c>
      <c r="Y77" s="408">
        <v>0</v>
      </c>
      <c r="Z77" s="408">
        <v>1198.8199755531487</v>
      </c>
      <c r="AA77" s="408">
        <v>0</v>
      </c>
      <c r="AB77" s="408">
        <v>0</v>
      </c>
      <c r="AC77" s="408">
        <v>0</v>
      </c>
      <c r="AD77" s="408">
        <v>1445.3176917672622</v>
      </c>
      <c r="AE77" s="408">
        <v>7508.0808809252139</v>
      </c>
      <c r="AF77" s="408">
        <v>4025.7631787549585</v>
      </c>
      <c r="AG77" s="408">
        <v>53.630510467345268</v>
      </c>
      <c r="AH77" s="408">
        <v>0</v>
      </c>
      <c r="AI77" s="408">
        <v>0</v>
      </c>
      <c r="AJ77" s="408">
        <v>0</v>
      </c>
      <c r="AK77" s="408">
        <v>0</v>
      </c>
      <c r="AL77" s="408">
        <v>185.25654964867275</v>
      </c>
      <c r="AM77" s="408"/>
      <c r="AN77" s="408">
        <v>35.51316783666222</v>
      </c>
      <c r="AO77" s="408">
        <v>111.03158497894778</v>
      </c>
      <c r="AP77" s="408">
        <v>167.24808581522402</v>
      </c>
      <c r="AQ77" s="408">
        <v>0</v>
      </c>
      <c r="AR77" s="408">
        <v>0</v>
      </c>
      <c r="AS77" s="408">
        <v>0</v>
      </c>
      <c r="AT77" s="408">
        <v>0</v>
      </c>
      <c r="AU77" s="408">
        <v>0</v>
      </c>
      <c r="AV77" s="408">
        <v>0</v>
      </c>
      <c r="AW77" s="408">
        <v>0</v>
      </c>
      <c r="AX77" s="408">
        <v>0</v>
      </c>
      <c r="AY77" s="408">
        <v>0</v>
      </c>
      <c r="AZ77" s="408">
        <v>0</v>
      </c>
      <c r="BA77" s="408"/>
      <c r="BB77" s="408">
        <v>0</v>
      </c>
      <c r="BC77" s="408">
        <v>0</v>
      </c>
      <c r="BD77" s="408">
        <v>0</v>
      </c>
      <c r="BE77" s="408">
        <v>0</v>
      </c>
      <c r="BF77" s="408">
        <v>0</v>
      </c>
      <c r="BG77" s="408">
        <v>673.50265403436731</v>
      </c>
      <c r="BH77" s="408">
        <v>0</v>
      </c>
      <c r="BI77" s="408">
        <v>19.71</v>
      </c>
      <c r="BJ77" s="408">
        <v>95.48</v>
      </c>
      <c r="BK77" s="408">
        <v>15853.98</v>
      </c>
      <c r="BL77" s="408">
        <v>60</v>
      </c>
      <c r="BM77" s="408"/>
      <c r="BN77" s="408"/>
      <c r="BO77" s="408"/>
      <c r="BP77" s="408"/>
      <c r="BQ77" s="408"/>
      <c r="BR77" s="408"/>
      <c r="BS77" s="408"/>
      <c r="BT77" s="408"/>
      <c r="BU77" s="408"/>
      <c r="BV77" s="408">
        <v>4699.2658327893259</v>
      </c>
      <c r="BW77" s="408"/>
      <c r="BX77" s="408"/>
      <c r="BY77" s="408"/>
      <c r="BZ77" s="408"/>
      <c r="CA77" s="408"/>
      <c r="CB77" s="408"/>
      <c r="CC77" s="408"/>
      <c r="CD77" s="408"/>
      <c r="CE77" s="408"/>
      <c r="CF77" s="408"/>
      <c r="CG77" s="408"/>
      <c r="CH77" s="408"/>
      <c r="CI77" s="408">
        <v>11767.283599999999</v>
      </c>
      <c r="CJ77" s="408">
        <v>-3636.7627200000043</v>
      </c>
      <c r="CK77" s="408"/>
      <c r="CL77" s="408"/>
      <c r="CM77" s="408"/>
      <c r="CN77" s="408"/>
      <c r="CO77" s="408">
        <v>-4080.8798800000018</v>
      </c>
      <c r="CP77" s="408">
        <v>444.75122999999974</v>
      </c>
      <c r="CQ77" s="408">
        <v>31</v>
      </c>
      <c r="CR77" s="408">
        <v>575.54414528396501</v>
      </c>
      <c r="CS77" s="408">
        <v>13.405068704244883</v>
      </c>
      <c r="CT77" s="408">
        <v>20.192200997865427</v>
      </c>
      <c r="CU77" s="408">
        <v>0</v>
      </c>
      <c r="CV77" s="408">
        <v>0</v>
      </c>
      <c r="CW77" s="408">
        <v>0</v>
      </c>
      <c r="CX77" s="408">
        <v>0</v>
      </c>
      <c r="CY77" s="408">
        <v>0</v>
      </c>
      <c r="CZ77" s="408">
        <v>47.3810372016153</v>
      </c>
      <c r="DA77" s="408">
        <v>0</v>
      </c>
      <c r="DB77" s="408">
        <v>0</v>
      </c>
      <c r="DC77" s="408">
        <v>444.61650186561883</v>
      </c>
      <c r="DD77" s="408">
        <v>0</v>
      </c>
      <c r="DE77" s="408">
        <v>0</v>
      </c>
      <c r="DF77" s="408">
        <v>0</v>
      </c>
      <c r="DG77" s="408">
        <v>74.383509594960628</v>
      </c>
      <c r="DH77" s="408">
        <v>0</v>
      </c>
      <c r="DI77" s="408">
        <v>-20.897977070839488</v>
      </c>
      <c r="DJ77" s="408"/>
      <c r="DK77" s="408">
        <v>0</v>
      </c>
      <c r="DL77" s="408">
        <v>0</v>
      </c>
      <c r="DM77" s="408">
        <v>0</v>
      </c>
      <c r="DN77" s="408">
        <v>0</v>
      </c>
      <c r="DO77" s="408">
        <v>-2.715114815859863</v>
      </c>
      <c r="DP77" s="408">
        <v>-0.82108119364011145</v>
      </c>
      <c r="DQ77" s="408">
        <v>0</v>
      </c>
      <c r="DR77" s="408">
        <v>0</v>
      </c>
      <c r="DS77" s="408"/>
      <c r="DT77" s="408"/>
      <c r="DU77" s="408"/>
      <c r="DV77" s="408">
        <v>7508.0808809252139</v>
      </c>
      <c r="DW77" s="408">
        <v>0</v>
      </c>
      <c r="DX77" s="408">
        <v>0</v>
      </c>
      <c r="DY77" s="408">
        <v>-4080.8798800000013</v>
      </c>
      <c r="DZ77" s="408">
        <v>444.75123000000031</v>
      </c>
      <c r="EA77" s="408">
        <v>0</v>
      </c>
      <c r="EB77" s="408">
        <v>0</v>
      </c>
      <c r="EC77" s="408">
        <v>-4211.956034924292</v>
      </c>
      <c r="ED77" s="408">
        <v>0</v>
      </c>
      <c r="EE77" s="408">
        <v>0</v>
      </c>
      <c r="EF77" s="408">
        <v>0</v>
      </c>
      <c r="EG77" s="408">
        <v>0</v>
      </c>
      <c r="EH77" s="408">
        <v>0</v>
      </c>
      <c r="EI77" s="408">
        <v>0</v>
      </c>
      <c r="EJ77" s="408">
        <v>0</v>
      </c>
      <c r="EK77" s="408">
        <v>0</v>
      </c>
      <c r="EL77" s="408">
        <v>0</v>
      </c>
      <c r="EM77" s="408">
        <v>0</v>
      </c>
      <c r="EN77" s="408">
        <v>0</v>
      </c>
      <c r="EO77" s="408">
        <v>0</v>
      </c>
      <c r="EP77" s="408">
        <v>0</v>
      </c>
      <c r="EQ77" s="408">
        <v>0</v>
      </c>
      <c r="ER77" s="408">
        <v>0</v>
      </c>
      <c r="ES77" s="408">
        <v>0</v>
      </c>
      <c r="ET77" s="408">
        <v>0</v>
      </c>
      <c r="EU77" s="408">
        <v>0</v>
      </c>
      <c r="EV77" s="408">
        <v>238</v>
      </c>
      <c r="EW77" s="408">
        <v>0</v>
      </c>
      <c r="EX77" s="408">
        <v>0</v>
      </c>
      <c r="EY77" s="408">
        <v>0</v>
      </c>
      <c r="EZ77" s="408"/>
      <c r="FA77" s="408">
        <v>0</v>
      </c>
      <c r="FB77" s="408"/>
      <c r="FC77" s="408"/>
      <c r="FD77" s="408"/>
      <c r="FE77" s="408"/>
      <c r="FF77" s="408">
        <v>0</v>
      </c>
      <c r="FG77" s="408">
        <v>0</v>
      </c>
      <c r="FH77" s="408">
        <v>0</v>
      </c>
      <c r="FI77" s="408">
        <v>0</v>
      </c>
    </row>
    <row r="78" spans="1:165" customFormat="1">
      <c r="A78" s="408">
        <v>80</v>
      </c>
      <c r="B78" s="408" t="s">
        <v>1036</v>
      </c>
      <c r="C78" s="408" t="s">
        <v>2243</v>
      </c>
      <c r="D78" s="408" t="s">
        <v>597</v>
      </c>
      <c r="E78" s="408" t="s">
        <v>998</v>
      </c>
      <c r="F78" s="408" t="s">
        <v>1322</v>
      </c>
      <c r="G78" s="408" t="s">
        <v>1322</v>
      </c>
      <c r="H78" s="408" t="s">
        <v>1322</v>
      </c>
      <c r="I78" s="408" t="s">
        <v>973</v>
      </c>
      <c r="J78" s="408" t="s">
        <v>2236</v>
      </c>
      <c r="K78" s="824">
        <v>44409</v>
      </c>
      <c r="L78" s="408">
        <v>0</v>
      </c>
      <c r="M78" s="408">
        <v>0</v>
      </c>
      <c r="N78" s="408">
        <v>16.466000000000001</v>
      </c>
      <c r="O78" s="408">
        <v>16.466000000000001</v>
      </c>
      <c r="P78" s="408">
        <v>16.466000000000001</v>
      </c>
      <c r="Q78" s="408">
        <v>16.466000000000001</v>
      </c>
      <c r="R78" s="408"/>
      <c r="S78" s="408">
        <v>1614.19</v>
      </c>
      <c r="T78" s="408">
        <v>209.4</v>
      </c>
      <c r="U78" s="408"/>
      <c r="V78" s="408">
        <v>30027.232940000002</v>
      </c>
      <c r="W78" s="408">
        <v>30027.232940000002</v>
      </c>
      <c r="X78" s="408">
        <v>19959.261900000001</v>
      </c>
      <c r="Y78" s="408">
        <v>0</v>
      </c>
      <c r="Z78" s="408">
        <v>881.55637052454176</v>
      </c>
      <c r="AA78" s="408">
        <v>0</v>
      </c>
      <c r="AB78" s="408">
        <v>0</v>
      </c>
      <c r="AC78" s="408">
        <v>0</v>
      </c>
      <c r="AD78" s="408">
        <v>5127.8086290042556</v>
      </c>
      <c r="AE78" s="408">
        <v>19147.267721400101</v>
      </c>
      <c r="AF78" s="408">
        <v>3402.7111801950177</v>
      </c>
      <c r="AG78" s="408">
        <v>45.330321100318628</v>
      </c>
      <c r="AH78" s="408">
        <v>0</v>
      </c>
      <c r="AI78" s="408">
        <v>0</v>
      </c>
      <c r="AJ78" s="408">
        <v>0</v>
      </c>
      <c r="AK78" s="408">
        <v>0</v>
      </c>
      <c r="AL78" s="408">
        <v>156.58510068862202</v>
      </c>
      <c r="AM78" s="408"/>
      <c r="AN78" s="408">
        <v>21.864284383894706</v>
      </c>
      <c r="AO78" s="408">
        <v>398.39364118792054</v>
      </c>
      <c r="AP78" s="408">
        <v>593.41329733617329</v>
      </c>
      <c r="AQ78" s="408">
        <v>0</v>
      </c>
      <c r="AR78" s="408">
        <v>0</v>
      </c>
      <c r="AS78" s="408">
        <v>0</v>
      </c>
      <c r="AT78" s="408">
        <v>0</v>
      </c>
      <c r="AU78" s="408">
        <v>0</v>
      </c>
      <c r="AV78" s="408">
        <v>0</v>
      </c>
      <c r="AW78" s="408">
        <v>0</v>
      </c>
      <c r="AX78" s="408">
        <v>0</v>
      </c>
      <c r="AY78" s="408">
        <v>0</v>
      </c>
      <c r="AZ78" s="408">
        <v>0</v>
      </c>
      <c r="BA78" s="408"/>
      <c r="BB78" s="408">
        <v>0</v>
      </c>
      <c r="BC78" s="408">
        <v>0</v>
      </c>
      <c r="BD78" s="408">
        <v>0</v>
      </c>
      <c r="BE78" s="408">
        <v>0</v>
      </c>
      <c r="BF78" s="408">
        <v>0</v>
      </c>
      <c r="BG78" s="408">
        <v>252.33216912385842</v>
      </c>
      <c r="BH78" s="408">
        <v>0</v>
      </c>
      <c r="BI78" s="408">
        <v>0</v>
      </c>
      <c r="BJ78" s="408">
        <v>0</v>
      </c>
      <c r="BK78" s="408">
        <v>0</v>
      </c>
      <c r="BL78" s="408">
        <v>0</v>
      </c>
      <c r="BM78" s="408"/>
      <c r="BN78" s="408"/>
      <c r="BO78" s="408"/>
      <c r="BP78" s="408"/>
      <c r="BQ78" s="408"/>
      <c r="BR78" s="408"/>
      <c r="BS78" s="408"/>
      <c r="BT78" s="408"/>
      <c r="BU78" s="408"/>
      <c r="BV78" s="408">
        <v>3655.0433493188762</v>
      </c>
      <c r="BW78" s="408"/>
      <c r="BX78" s="408"/>
      <c r="BY78" s="408"/>
      <c r="BZ78" s="408"/>
      <c r="CA78" s="408"/>
      <c r="CB78" s="408"/>
      <c r="CC78" s="408"/>
      <c r="CD78" s="408"/>
      <c r="CE78" s="408"/>
      <c r="CF78" s="408"/>
      <c r="CG78" s="408"/>
      <c r="CH78" s="408"/>
      <c r="CI78" s="408">
        <v>19964.110499999999</v>
      </c>
      <c r="CJ78" s="408">
        <v>-10063.152439999998</v>
      </c>
      <c r="CK78" s="408"/>
      <c r="CL78" s="408"/>
      <c r="CM78" s="408"/>
      <c r="CN78" s="408"/>
      <c r="CO78" s="408">
        <v>-10443.889820000002</v>
      </c>
      <c r="CP78" s="408">
        <v>375.91877999999974</v>
      </c>
      <c r="CQ78" s="408">
        <v>31</v>
      </c>
      <c r="CR78" s="408">
        <v>673.35028517459978</v>
      </c>
      <c r="CS78" s="408">
        <v>48.098873239275179</v>
      </c>
      <c r="CT78" s="408">
        <v>71.643992313648141</v>
      </c>
      <c r="CU78" s="408">
        <v>0</v>
      </c>
      <c r="CV78" s="408">
        <v>0</v>
      </c>
      <c r="CW78" s="408">
        <v>0</v>
      </c>
      <c r="CX78" s="408">
        <v>0</v>
      </c>
      <c r="CY78" s="408">
        <v>0</v>
      </c>
      <c r="CZ78" s="408">
        <v>168.10206696946989</v>
      </c>
      <c r="DA78" s="408">
        <v>0</v>
      </c>
      <c r="DB78" s="408">
        <v>0</v>
      </c>
      <c r="DC78" s="408">
        <v>375.80490322464357</v>
      </c>
      <c r="DD78" s="408">
        <v>0</v>
      </c>
      <c r="DE78" s="408">
        <v>0</v>
      </c>
      <c r="DF78" s="408">
        <v>0</v>
      </c>
      <c r="DG78" s="408">
        <v>27.868267794805831</v>
      </c>
      <c r="DH78" s="408">
        <v>0</v>
      </c>
      <c r="DI78" s="408">
        <v>-15.367398936921063</v>
      </c>
      <c r="DJ78" s="408"/>
      <c r="DK78" s="408">
        <v>0</v>
      </c>
      <c r="DL78" s="408">
        <v>0</v>
      </c>
      <c r="DM78" s="408">
        <v>0</v>
      </c>
      <c r="DN78" s="408">
        <v>0</v>
      </c>
      <c r="DO78" s="408">
        <v>-2.294906860938795</v>
      </c>
      <c r="DP78" s="408">
        <v>-0.50551256938240385</v>
      </c>
      <c r="DQ78" s="408">
        <v>0</v>
      </c>
      <c r="DR78" s="408">
        <v>0</v>
      </c>
      <c r="DS78" s="408"/>
      <c r="DT78" s="408"/>
      <c r="DU78" s="408"/>
      <c r="DV78" s="408">
        <v>19147.267721400101</v>
      </c>
      <c r="DW78" s="408">
        <v>0</v>
      </c>
      <c r="DX78" s="408">
        <v>0</v>
      </c>
      <c r="DY78" s="408">
        <v>-10443.88982</v>
      </c>
      <c r="DZ78" s="408">
        <v>375.91877999999951</v>
      </c>
      <c r="EA78" s="408">
        <v>0</v>
      </c>
      <c r="EB78" s="408">
        <v>0</v>
      </c>
      <c r="EC78" s="408">
        <v>-10741.419959440349</v>
      </c>
      <c r="ED78" s="408">
        <v>0</v>
      </c>
      <c r="EE78" s="408">
        <v>0</v>
      </c>
      <c r="EF78" s="408">
        <v>0</v>
      </c>
      <c r="EG78" s="408">
        <v>0</v>
      </c>
      <c r="EH78" s="408">
        <v>0</v>
      </c>
      <c r="EI78" s="408">
        <v>0</v>
      </c>
      <c r="EJ78" s="408">
        <v>0</v>
      </c>
      <c r="EK78" s="408">
        <v>0</v>
      </c>
      <c r="EL78" s="408">
        <v>0</v>
      </c>
      <c r="EM78" s="408">
        <v>0</v>
      </c>
      <c r="EN78" s="408">
        <v>0</v>
      </c>
      <c r="EO78" s="408">
        <v>0</v>
      </c>
      <c r="EP78" s="408">
        <v>0</v>
      </c>
      <c r="EQ78" s="408">
        <v>0</v>
      </c>
      <c r="ER78" s="408">
        <v>0</v>
      </c>
      <c r="ES78" s="408">
        <v>0</v>
      </c>
      <c r="ET78" s="408">
        <v>0</v>
      </c>
      <c r="EU78" s="408">
        <v>0</v>
      </c>
      <c r="EV78" s="408">
        <v>238</v>
      </c>
      <c r="EW78" s="408">
        <v>0</v>
      </c>
      <c r="EX78" s="408">
        <v>0</v>
      </c>
      <c r="EY78" s="408">
        <v>0</v>
      </c>
      <c r="EZ78" s="408"/>
      <c r="FA78" s="408">
        <v>0</v>
      </c>
      <c r="FB78" s="408"/>
      <c r="FC78" s="408"/>
      <c r="FD78" s="408"/>
      <c r="FE78" s="408"/>
      <c r="FF78" s="408">
        <v>0</v>
      </c>
      <c r="FG78" s="408">
        <v>0</v>
      </c>
      <c r="FH78" s="408">
        <v>0</v>
      </c>
      <c r="FI78" s="408">
        <v>0</v>
      </c>
    </row>
    <row r="79" spans="1:165" customFormat="1">
      <c r="A79" s="408">
        <v>81</v>
      </c>
      <c r="B79" s="408" t="s">
        <v>2238</v>
      </c>
      <c r="C79" s="408" t="s">
        <v>2243</v>
      </c>
      <c r="D79" s="408" t="s">
        <v>597</v>
      </c>
      <c r="E79" s="408" t="s">
        <v>998</v>
      </c>
      <c r="F79" s="408" t="s">
        <v>1322</v>
      </c>
      <c r="G79" s="408" t="s">
        <v>1322</v>
      </c>
      <c r="H79" s="408" t="s">
        <v>1322</v>
      </c>
      <c r="I79" s="408" t="s">
        <v>973</v>
      </c>
      <c r="J79" s="408" t="s">
        <v>2236</v>
      </c>
      <c r="K79" s="824">
        <v>44409</v>
      </c>
      <c r="L79" s="408">
        <v>0</v>
      </c>
      <c r="M79" s="408">
        <v>0</v>
      </c>
      <c r="N79" s="408">
        <v>0.254</v>
      </c>
      <c r="O79" s="408">
        <v>0.254</v>
      </c>
      <c r="P79" s="408">
        <v>0.254</v>
      </c>
      <c r="Q79" s="408">
        <v>0.254</v>
      </c>
      <c r="R79" s="408"/>
      <c r="S79" s="408">
        <v>1614.19</v>
      </c>
      <c r="T79" s="408">
        <v>209.4</v>
      </c>
      <c r="U79" s="408"/>
      <c r="V79" s="408">
        <v>463.19186000000002</v>
      </c>
      <c r="W79" s="408">
        <v>463.19186000000002</v>
      </c>
      <c r="X79" s="408">
        <v>307.8861</v>
      </c>
      <c r="Y79" s="408">
        <v>0</v>
      </c>
      <c r="Z79" s="408">
        <v>13.598646794196137</v>
      </c>
      <c r="AA79" s="408">
        <v>0</v>
      </c>
      <c r="AB79" s="408">
        <v>0</v>
      </c>
      <c r="AC79" s="408">
        <v>0</v>
      </c>
      <c r="AD79" s="408">
        <v>79.100169547375245</v>
      </c>
      <c r="AE79" s="408">
        <v>295.36050050015945</v>
      </c>
      <c r="AF79" s="408">
        <v>52.489289430920351</v>
      </c>
      <c r="AG79" s="408">
        <v>0.69925310090373682</v>
      </c>
      <c r="AH79" s="408">
        <v>0</v>
      </c>
      <c r="AI79" s="408">
        <v>0</v>
      </c>
      <c r="AJ79" s="408">
        <v>0</v>
      </c>
      <c r="AK79" s="408">
        <v>0</v>
      </c>
      <c r="AL79" s="408">
        <v>2.4154388178616535</v>
      </c>
      <c r="AM79" s="408"/>
      <c r="AN79" s="408">
        <v>0.33727245436106246</v>
      </c>
      <c r="AO79" s="408">
        <v>6.1455110446818786</v>
      </c>
      <c r="AP79" s="408">
        <v>9.1538307739212925</v>
      </c>
      <c r="AQ79" s="408">
        <v>0</v>
      </c>
      <c r="AR79" s="408">
        <v>0</v>
      </c>
      <c r="AS79" s="408">
        <v>0</v>
      </c>
      <c r="AT79" s="408">
        <v>0</v>
      </c>
      <c r="AU79" s="408">
        <v>0</v>
      </c>
      <c r="AV79" s="408">
        <v>0</v>
      </c>
      <c r="AW79" s="408">
        <v>0</v>
      </c>
      <c r="AX79" s="408">
        <v>0</v>
      </c>
      <c r="AY79" s="408">
        <v>0</v>
      </c>
      <c r="AZ79" s="408">
        <v>0</v>
      </c>
      <c r="BA79" s="408"/>
      <c r="BB79" s="408">
        <v>0</v>
      </c>
      <c r="BC79" s="408">
        <v>0</v>
      </c>
      <c r="BD79" s="408">
        <v>0</v>
      </c>
      <c r="BE79" s="408">
        <v>0</v>
      </c>
      <c r="BF79" s="408">
        <v>0</v>
      </c>
      <c r="BG79" s="408">
        <v>3.8924068357500325</v>
      </c>
      <c r="BH79" s="408">
        <v>0</v>
      </c>
      <c r="BI79" s="408">
        <v>0</v>
      </c>
      <c r="BJ79" s="408">
        <v>0</v>
      </c>
      <c r="BK79" s="408">
        <v>0</v>
      </c>
      <c r="BL79" s="408">
        <v>0</v>
      </c>
      <c r="BM79" s="408"/>
      <c r="BN79" s="408"/>
      <c r="BO79" s="408"/>
      <c r="BP79" s="408"/>
      <c r="BQ79" s="408"/>
      <c r="BR79" s="408"/>
      <c r="BS79" s="408"/>
      <c r="BT79" s="408"/>
      <c r="BU79" s="408"/>
      <c r="BV79" s="408">
        <v>56.381696266670382</v>
      </c>
      <c r="BW79" s="408"/>
      <c r="BX79" s="408"/>
      <c r="BY79" s="408"/>
      <c r="BZ79" s="408"/>
      <c r="CA79" s="408"/>
      <c r="CB79" s="408"/>
      <c r="CC79" s="408"/>
      <c r="CD79" s="408"/>
      <c r="CE79" s="408"/>
      <c r="CF79" s="408"/>
      <c r="CG79" s="408"/>
      <c r="CH79" s="408"/>
      <c r="CI79" s="408">
        <v>303.03749999999997</v>
      </c>
      <c r="CJ79" s="408">
        <v>-160.18436000000003</v>
      </c>
      <c r="CK79" s="408"/>
      <c r="CL79" s="408"/>
      <c r="CM79" s="408"/>
      <c r="CN79" s="408"/>
      <c r="CO79" s="408">
        <v>-161.10458000000003</v>
      </c>
      <c r="CP79" s="408">
        <v>5.7988199999999956</v>
      </c>
      <c r="CQ79" s="408">
        <v>31</v>
      </c>
      <c r="CR79" s="408">
        <v>10.386916824629452</v>
      </c>
      <c r="CS79" s="408">
        <v>0.74196002689031282</v>
      </c>
      <c r="CT79" s="408">
        <v>1.1051605761974148</v>
      </c>
      <c r="CU79" s="408">
        <v>0</v>
      </c>
      <c r="CV79" s="408">
        <v>0</v>
      </c>
      <c r="CW79" s="408">
        <v>0</v>
      </c>
      <c r="CX79" s="408">
        <v>0</v>
      </c>
      <c r="CY79" s="408">
        <v>0</v>
      </c>
      <c r="CZ79" s="408">
        <v>2.5930963810424856</v>
      </c>
      <c r="DA79" s="408">
        <v>0</v>
      </c>
      <c r="DB79" s="408">
        <v>0</v>
      </c>
      <c r="DC79" s="408">
        <v>5.7970633680954364</v>
      </c>
      <c r="DD79" s="408">
        <v>0</v>
      </c>
      <c r="DE79" s="408">
        <v>0</v>
      </c>
      <c r="DF79" s="408">
        <v>0</v>
      </c>
      <c r="DG79" s="408">
        <v>0.42988825579258405</v>
      </c>
      <c r="DH79" s="408">
        <v>0</v>
      </c>
      <c r="DI79" s="408">
        <v>-0.23705328130559522</v>
      </c>
      <c r="DJ79" s="408"/>
      <c r="DK79" s="408">
        <v>0</v>
      </c>
      <c r="DL79" s="408">
        <v>0</v>
      </c>
      <c r="DM79" s="408">
        <v>0</v>
      </c>
      <c r="DN79" s="408">
        <v>0</v>
      </c>
      <c r="DO79" s="408">
        <v>-3.5400603830830324E-2</v>
      </c>
      <c r="DP79" s="408">
        <v>-7.7978982523460028E-3</v>
      </c>
      <c r="DQ79" s="408">
        <v>0</v>
      </c>
      <c r="DR79" s="408">
        <v>0</v>
      </c>
      <c r="DS79" s="408"/>
      <c r="DT79" s="408"/>
      <c r="DU79" s="408"/>
      <c r="DV79" s="408">
        <v>295.36050050015945</v>
      </c>
      <c r="DW79" s="408">
        <v>0</v>
      </c>
      <c r="DX79" s="408">
        <v>0</v>
      </c>
      <c r="DY79" s="408">
        <v>-161.10458000000006</v>
      </c>
      <c r="DZ79" s="408">
        <v>5.7988199999999921</v>
      </c>
      <c r="EA79" s="408">
        <v>0</v>
      </c>
      <c r="EB79" s="408">
        <v>0</v>
      </c>
      <c r="EC79" s="408">
        <v>-165.69419832976124</v>
      </c>
      <c r="ED79" s="408">
        <v>0</v>
      </c>
      <c r="EE79" s="408">
        <v>0</v>
      </c>
      <c r="EF79" s="408">
        <v>0</v>
      </c>
      <c r="EG79" s="408">
        <v>0</v>
      </c>
      <c r="EH79" s="408">
        <v>0</v>
      </c>
      <c r="EI79" s="408">
        <v>0</v>
      </c>
      <c r="EJ79" s="408">
        <v>0</v>
      </c>
      <c r="EK79" s="408">
        <v>0</v>
      </c>
      <c r="EL79" s="408">
        <v>0</v>
      </c>
      <c r="EM79" s="408">
        <v>0</v>
      </c>
      <c r="EN79" s="408">
        <v>0</v>
      </c>
      <c r="EO79" s="408">
        <v>0</v>
      </c>
      <c r="EP79" s="408">
        <v>0</v>
      </c>
      <c r="EQ79" s="408">
        <v>0</v>
      </c>
      <c r="ER79" s="408">
        <v>0</v>
      </c>
      <c r="ES79" s="408">
        <v>0</v>
      </c>
      <c r="ET79" s="408">
        <v>0</v>
      </c>
      <c r="EU79" s="408">
        <v>0</v>
      </c>
      <c r="EV79" s="408">
        <v>238</v>
      </c>
      <c r="EW79" s="408">
        <v>0</v>
      </c>
      <c r="EX79" s="408">
        <v>0</v>
      </c>
      <c r="EY79" s="408">
        <v>0</v>
      </c>
      <c r="EZ79" s="408"/>
      <c r="FA79" s="408">
        <v>0</v>
      </c>
      <c r="FB79" s="408"/>
      <c r="FC79" s="408"/>
      <c r="FD79" s="408"/>
      <c r="FE79" s="408"/>
      <c r="FF79" s="408">
        <v>0</v>
      </c>
      <c r="FG79" s="408">
        <v>0</v>
      </c>
      <c r="FH79" s="408">
        <v>0</v>
      </c>
      <c r="FI79" s="408">
        <v>0</v>
      </c>
    </row>
    <row r="80" spans="1:165" customFormat="1">
      <c r="A80" s="408">
        <v>82</v>
      </c>
      <c r="B80" s="408" t="s">
        <v>1036</v>
      </c>
      <c r="C80" s="408" t="s">
        <v>2243</v>
      </c>
      <c r="D80" s="408" t="s">
        <v>597</v>
      </c>
      <c r="E80" s="408" t="s">
        <v>998</v>
      </c>
      <c r="F80" s="408" t="s">
        <v>1322</v>
      </c>
      <c r="G80" s="408" t="s">
        <v>1322</v>
      </c>
      <c r="H80" s="408" t="s">
        <v>1322</v>
      </c>
      <c r="I80" s="408" t="s">
        <v>2244</v>
      </c>
      <c r="J80" s="408" t="s">
        <v>2236</v>
      </c>
      <c r="K80" s="824">
        <v>44409</v>
      </c>
      <c r="L80" s="408">
        <v>0</v>
      </c>
      <c r="M80" s="408">
        <v>0</v>
      </c>
      <c r="N80" s="408">
        <v>232.05600000000001</v>
      </c>
      <c r="O80" s="408">
        <v>232.05600000000001</v>
      </c>
      <c r="P80" s="408">
        <v>232.05600000000001</v>
      </c>
      <c r="Q80" s="408">
        <v>232.05600000000001</v>
      </c>
      <c r="R80" s="408"/>
      <c r="S80" s="408">
        <v>79.7</v>
      </c>
      <c r="T80" s="408">
        <v>209.4</v>
      </c>
      <c r="U80" s="408"/>
      <c r="V80" s="408">
        <v>67087.389599999995</v>
      </c>
      <c r="W80" s="408">
        <v>67087.389599999995</v>
      </c>
      <c r="X80" s="408">
        <v>72522.14112</v>
      </c>
      <c r="Y80" s="408">
        <v>0</v>
      </c>
      <c r="Z80" s="408">
        <v>12423.809371944799</v>
      </c>
      <c r="AA80" s="408">
        <v>0</v>
      </c>
      <c r="AB80" s="408">
        <v>0</v>
      </c>
      <c r="AC80" s="408">
        <v>0</v>
      </c>
      <c r="AD80" s="408">
        <v>0</v>
      </c>
      <c r="AE80" s="408">
        <v>0</v>
      </c>
      <c r="AF80" s="408">
        <v>47954.545465282099</v>
      </c>
      <c r="AG80" s="408">
        <v>638.84203772959665</v>
      </c>
      <c r="AH80" s="408">
        <v>0</v>
      </c>
      <c r="AI80" s="408">
        <v>0</v>
      </c>
      <c r="AJ80" s="408">
        <v>0</v>
      </c>
      <c r="AK80" s="408">
        <v>0</v>
      </c>
      <c r="AL80" s="408">
        <v>2206.760119361039</v>
      </c>
      <c r="AM80" s="408"/>
      <c r="AN80" s="408">
        <v>308.13423885516028</v>
      </c>
      <c r="AO80" s="408">
        <v>0</v>
      </c>
      <c r="AP80" s="408">
        <v>0</v>
      </c>
      <c r="AQ80" s="408">
        <v>0</v>
      </c>
      <c r="AR80" s="408">
        <v>0</v>
      </c>
      <c r="AS80" s="408">
        <v>0</v>
      </c>
      <c r="AT80" s="408">
        <v>0</v>
      </c>
      <c r="AU80" s="408">
        <v>0</v>
      </c>
      <c r="AV80" s="408">
        <v>0</v>
      </c>
      <c r="AW80" s="408">
        <v>0</v>
      </c>
      <c r="AX80" s="408">
        <v>0</v>
      </c>
      <c r="AY80" s="408">
        <v>0</v>
      </c>
      <c r="AZ80" s="408">
        <v>0</v>
      </c>
      <c r="BA80" s="408"/>
      <c r="BB80" s="408">
        <v>0</v>
      </c>
      <c r="BC80" s="408">
        <v>0</v>
      </c>
      <c r="BD80" s="408">
        <v>0</v>
      </c>
      <c r="BE80" s="408">
        <v>0</v>
      </c>
      <c r="BF80" s="408">
        <v>0</v>
      </c>
      <c r="BG80" s="408">
        <v>3556.127404239408</v>
      </c>
      <c r="BH80" s="408">
        <v>0</v>
      </c>
      <c r="BI80" s="408">
        <v>0</v>
      </c>
      <c r="BJ80" s="408">
        <v>0</v>
      </c>
      <c r="BK80" s="408">
        <v>0</v>
      </c>
      <c r="BL80" s="408">
        <v>0</v>
      </c>
      <c r="BM80" s="408"/>
      <c r="BN80" s="408"/>
      <c r="BO80" s="408"/>
      <c r="BP80" s="408"/>
      <c r="BQ80" s="408"/>
      <c r="BR80" s="408"/>
      <c r="BS80" s="408"/>
      <c r="BT80" s="408"/>
      <c r="BU80" s="408"/>
      <c r="BV80" s="408">
        <v>51510.672869521506</v>
      </c>
      <c r="BW80" s="408"/>
      <c r="BX80" s="408"/>
      <c r="BY80" s="408"/>
      <c r="BZ80" s="408"/>
      <c r="CA80" s="408"/>
      <c r="CB80" s="408"/>
      <c r="CC80" s="408"/>
      <c r="CD80" s="408"/>
      <c r="CE80" s="408"/>
      <c r="CF80" s="408"/>
      <c r="CG80" s="408"/>
      <c r="CH80" s="408"/>
      <c r="CI80" s="408">
        <v>72523.391199999998</v>
      </c>
      <c r="CJ80" s="408">
        <v>5435.9716000000044</v>
      </c>
      <c r="CK80" s="408"/>
      <c r="CL80" s="408"/>
      <c r="CM80" s="408"/>
      <c r="CN80" s="408"/>
      <c r="CO80" s="408">
        <v>136.91304000000079</v>
      </c>
      <c r="CP80" s="408">
        <v>5297.8384799999967</v>
      </c>
      <c r="CQ80" s="408">
        <v>31</v>
      </c>
      <c r="CR80" s="408">
        <v>5432.9424338066747</v>
      </c>
      <c r="CS80" s="408">
        <v>0</v>
      </c>
      <c r="CT80" s="408">
        <v>0</v>
      </c>
      <c r="CU80" s="408">
        <v>0</v>
      </c>
      <c r="CV80" s="408">
        <v>0</v>
      </c>
      <c r="CW80" s="408">
        <v>0</v>
      </c>
      <c r="CX80" s="408">
        <v>0</v>
      </c>
      <c r="CY80" s="408">
        <v>0</v>
      </c>
      <c r="CZ80" s="408">
        <v>0</v>
      </c>
      <c r="DA80" s="408">
        <v>0</v>
      </c>
      <c r="DB80" s="408">
        <v>0</v>
      </c>
      <c r="DC80" s="408">
        <v>5296.2336100265966</v>
      </c>
      <c r="DD80" s="408">
        <v>0</v>
      </c>
      <c r="DE80" s="408">
        <v>0</v>
      </c>
      <c r="DF80" s="408">
        <v>0</v>
      </c>
      <c r="DG80" s="408">
        <v>392.74861844962106</v>
      </c>
      <c r="DH80" s="408">
        <v>0</v>
      </c>
      <c r="DI80" s="408">
        <v>-216.57337104980797</v>
      </c>
      <c r="DJ80" s="408"/>
      <c r="DK80" s="408">
        <v>0</v>
      </c>
      <c r="DL80" s="408">
        <v>0</v>
      </c>
      <c r="DM80" s="408">
        <v>0</v>
      </c>
      <c r="DN80" s="408">
        <v>0</v>
      </c>
      <c r="DO80" s="408">
        <v>-32.342214655775933</v>
      </c>
      <c r="DP80" s="408">
        <v>-7.1242089639622463</v>
      </c>
      <c r="DQ80" s="408">
        <v>0</v>
      </c>
      <c r="DR80" s="408">
        <v>0</v>
      </c>
      <c r="DS80" s="408"/>
      <c r="DT80" s="408"/>
      <c r="DU80" s="408"/>
      <c r="DV80" s="408">
        <v>0</v>
      </c>
      <c r="DW80" s="408">
        <v>0</v>
      </c>
      <c r="DX80" s="408">
        <v>0</v>
      </c>
      <c r="DY80" s="408">
        <v>136.91304000000309</v>
      </c>
      <c r="DZ80" s="408">
        <v>5297.8384799999985</v>
      </c>
      <c r="EA80" s="408">
        <v>0</v>
      </c>
      <c r="EB80" s="408">
        <v>0</v>
      </c>
      <c r="EC80" s="408">
        <v>0</v>
      </c>
      <c r="ED80" s="408">
        <v>0</v>
      </c>
      <c r="EE80" s="408">
        <v>0</v>
      </c>
      <c r="EF80" s="408">
        <v>0</v>
      </c>
      <c r="EG80" s="408">
        <v>0</v>
      </c>
      <c r="EH80" s="408">
        <v>0</v>
      </c>
      <c r="EI80" s="408">
        <v>0</v>
      </c>
      <c r="EJ80" s="408">
        <v>0</v>
      </c>
      <c r="EK80" s="408">
        <v>0</v>
      </c>
      <c r="EL80" s="408">
        <v>0</v>
      </c>
      <c r="EM80" s="408">
        <v>0</v>
      </c>
      <c r="EN80" s="408">
        <v>0</v>
      </c>
      <c r="EO80" s="408">
        <v>0</v>
      </c>
      <c r="EP80" s="408">
        <v>0</v>
      </c>
      <c r="EQ80" s="408">
        <v>0</v>
      </c>
      <c r="ER80" s="408">
        <v>0</v>
      </c>
      <c r="ES80" s="408">
        <v>0</v>
      </c>
      <c r="ET80" s="408">
        <v>0</v>
      </c>
      <c r="EU80" s="408">
        <v>0</v>
      </c>
      <c r="EV80" s="408">
        <v>238</v>
      </c>
      <c r="EW80" s="408">
        <v>0</v>
      </c>
      <c r="EX80" s="408">
        <v>0</v>
      </c>
      <c r="EY80" s="408">
        <v>0</v>
      </c>
      <c r="EZ80" s="408"/>
      <c r="FA80" s="408">
        <v>0</v>
      </c>
      <c r="FB80" s="408"/>
      <c r="FC80" s="408"/>
      <c r="FD80" s="408"/>
      <c r="FE80" s="408"/>
      <c r="FF80" s="408">
        <v>0</v>
      </c>
      <c r="FG80" s="408">
        <v>0</v>
      </c>
      <c r="FH80" s="408">
        <v>0</v>
      </c>
      <c r="FI80" s="408">
        <v>0</v>
      </c>
    </row>
    <row r="81" spans="1:165" customFormat="1">
      <c r="A81" s="408">
        <v>83</v>
      </c>
      <c r="B81" s="408" t="s">
        <v>2238</v>
      </c>
      <c r="C81" s="408" t="s">
        <v>2243</v>
      </c>
      <c r="D81" s="408" t="s">
        <v>597</v>
      </c>
      <c r="E81" s="408" t="s">
        <v>998</v>
      </c>
      <c r="F81" s="408" t="s">
        <v>1322</v>
      </c>
      <c r="G81" s="408" t="s">
        <v>1322</v>
      </c>
      <c r="H81" s="408" t="s">
        <v>1322</v>
      </c>
      <c r="I81" s="408" t="s">
        <v>2244</v>
      </c>
      <c r="J81" s="408" t="s">
        <v>2236</v>
      </c>
      <c r="K81" s="824">
        <v>44409</v>
      </c>
      <c r="L81" s="408">
        <v>0</v>
      </c>
      <c r="M81" s="408">
        <v>0</v>
      </c>
      <c r="N81" s="408">
        <v>0.64700000000000002</v>
      </c>
      <c r="O81" s="408">
        <v>0.64700000000000002</v>
      </c>
      <c r="P81" s="408">
        <v>0.64700000000000002</v>
      </c>
      <c r="Q81" s="408">
        <v>0.64700000000000002</v>
      </c>
      <c r="R81" s="408"/>
      <c r="S81" s="408">
        <v>79.7</v>
      </c>
      <c r="T81" s="408">
        <v>209.4</v>
      </c>
      <c r="U81" s="408"/>
      <c r="V81" s="408">
        <v>187.04770000000002</v>
      </c>
      <c r="W81" s="408">
        <v>187.04770000000002</v>
      </c>
      <c r="X81" s="408">
        <v>202.20044000000001</v>
      </c>
      <c r="Y81" s="408">
        <v>0</v>
      </c>
      <c r="Z81" s="408">
        <v>34.639072739546855</v>
      </c>
      <c r="AA81" s="408">
        <v>0</v>
      </c>
      <c r="AB81" s="408">
        <v>0</v>
      </c>
      <c r="AC81" s="408">
        <v>0</v>
      </c>
      <c r="AD81" s="408">
        <v>0</v>
      </c>
      <c r="AE81" s="408">
        <v>0</v>
      </c>
      <c r="AF81" s="408">
        <v>133.70303252679318</v>
      </c>
      <c r="AG81" s="408">
        <v>1.7811683318295972</v>
      </c>
      <c r="AH81" s="408">
        <v>0</v>
      </c>
      <c r="AI81" s="408">
        <v>0</v>
      </c>
      <c r="AJ81" s="408">
        <v>0</v>
      </c>
      <c r="AK81" s="408">
        <v>0</v>
      </c>
      <c r="AL81" s="408">
        <v>6.1527122643956291</v>
      </c>
      <c r="AM81" s="408"/>
      <c r="AN81" s="408">
        <v>0.85911526760475365</v>
      </c>
      <c r="AO81" s="408">
        <v>0</v>
      </c>
      <c r="AP81" s="408">
        <v>0</v>
      </c>
      <c r="AQ81" s="408">
        <v>0</v>
      </c>
      <c r="AR81" s="408">
        <v>0</v>
      </c>
      <c r="AS81" s="408">
        <v>0</v>
      </c>
      <c r="AT81" s="408">
        <v>0</v>
      </c>
      <c r="AU81" s="408">
        <v>0</v>
      </c>
      <c r="AV81" s="408">
        <v>0</v>
      </c>
      <c r="AW81" s="408">
        <v>0</v>
      </c>
      <c r="AX81" s="408">
        <v>0</v>
      </c>
      <c r="AY81" s="408">
        <v>0</v>
      </c>
      <c r="AZ81" s="408">
        <v>0</v>
      </c>
      <c r="BA81" s="408"/>
      <c r="BB81" s="408">
        <v>0</v>
      </c>
      <c r="BC81" s="408">
        <v>0</v>
      </c>
      <c r="BD81" s="408">
        <v>0</v>
      </c>
      <c r="BE81" s="408">
        <v>0</v>
      </c>
      <c r="BF81" s="408">
        <v>0</v>
      </c>
      <c r="BG81" s="408">
        <v>9.9149103257097284</v>
      </c>
      <c r="BH81" s="408">
        <v>0</v>
      </c>
      <c r="BI81" s="408">
        <v>0</v>
      </c>
      <c r="BJ81" s="408">
        <v>0</v>
      </c>
      <c r="BK81" s="408">
        <v>0</v>
      </c>
      <c r="BL81" s="408">
        <v>0</v>
      </c>
      <c r="BM81" s="408"/>
      <c r="BN81" s="408"/>
      <c r="BO81" s="408"/>
      <c r="BP81" s="408"/>
      <c r="BQ81" s="408"/>
      <c r="BR81" s="408"/>
      <c r="BS81" s="408"/>
      <c r="BT81" s="408"/>
      <c r="BU81" s="408"/>
      <c r="BV81" s="408">
        <v>143.61794285250292</v>
      </c>
      <c r="BW81" s="408"/>
      <c r="BX81" s="408"/>
      <c r="BY81" s="408"/>
      <c r="BZ81" s="408"/>
      <c r="CA81" s="408"/>
      <c r="CB81" s="408"/>
      <c r="CC81" s="408"/>
      <c r="CD81" s="408"/>
      <c r="CE81" s="408"/>
      <c r="CF81" s="408"/>
      <c r="CG81" s="408"/>
      <c r="CH81" s="408"/>
      <c r="CI81" s="408">
        <v>203.13800000000001</v>
      </c>
      <c r="CJ81" s="408">
        <v>16.060299999999984</v>
      </c>
      <c r="CK81" s="408"/>
      <c r="CL81" s="408"/>
      <c r="CM81" s="408"/>
      <c r="CN81" s="408"/>
      <c r="CO81" s="408">
        <v>0.38173000000000223</v>
      </c>
      <c r="CP81" s="408">
        <v>14.77100999999999</v>
      </c>
      <c r="CQ81" s="408">
        <v>31</v>
      </c>
      <c r="CR81" s="408">
        <v>15.147696050405528</v>
      </c>
      <c r="CS81" s="408">
        <v>0</v>
      </c>
      <c r="CT81" s="408">
        <v>0</v>
      </c>
      <c r="CU81" s="408">
        <v>0</v>
      </c>
      <c r="CV81" s="408">
        <v>0</v>
      </c>
      <c r="CW81" s="408">
        <v>0</v>
      </c>
      <c r="CX81" s="408">
        <v>0</v>
      </c>
      <c r="CY81" s="408">
        <v>0</v>
      </c>
      <c r="CZ81" s="408">
        <v>0</v>
      </c>
      <c r="DA81" s="408">
        <v>0</v>
      </c>
      <c r="DB81" s="408">
        <v>0</v>
      </c>
      <c r="DC81" s="408">
        <v>14.766535429754924</v>
      </c>
      <c r="DD81" s="408">
        <v>0</v>
      </c>
      <c r="DE81" s="408">
        <v>0</v>
      </c>
      <c r="DF81" s="408">
        <v>0</v>
      </c>
      <c r="DG81" s="408">
        <v>1.0950303208574876</v>
      </c>
      <c r="DH81" s="408">
        <v>0</v>
      </c>
      <c r="DI81" s="408">
        <v>-0.60383257088472675</v>
      </c>
      <c r="DJ81" s="408"/>
      <c r="DK81" s="408">
        <v>0</v>
      </c>
      <c r="DL81" s="408">
        <v>0</v>
      </c>
      <c r="DM81" s="408">
        <v>0</v>
      </c>
      <c r="DN81" s="408">
        <v>0</v>
      </c>
      <c r="DO81" s="408">
        <v>-9.0173979049398056E-2</v>
      </c>
      <c r="DP81" s="408">
        <v>-1.9863150272708241E-2</v>
      </c>
      <c r="DQ81" s="408">
        <v>0</v>
      </c>
      <c r="DR81" s="408">
        <v>0</v>
      </c>
      <c r="DS81" s="408"/>
      <c r="DT81" s="408"/>
      <c r="DU81" s="408"/>
      <c r="DV81" s="408">
        <v>0</v>
      </c>
      <c r="DW81" s="408">
        <v>0</v>
      </c>
      <c r="DX81" s="408">
        <v>0</v>
      </c>
      <c r="DY81" s="408">
        <v>0.38172999999999746</v>
      </c>
      <c r="DZ81" s="408">
        <v>14.77100999999999</v>
      </c>
      <c r="EA81" s="408">
        <v>0</v>
      </c>
      <c r="EB81" s="408">
        <v>0</v>
      </c>
      <c r="EC81" s="408">
        <v>0</v>
      </c>
      <c r="ED81" s="408">
        <v>0</v>
      </c>
      <c r="EE81" s="408">
        <v>0</v>
      </c>
      <c r="EF81" s="408">
        <v>0</v>
      </c>
      <c r="EG81" s="408">
        <v>0</v>
      </c>
      <c r="EH81" s="408">
        <v>0</v>
      </c>
      <c r="EI81" s="408">
        <v>0</v>
      </c>
      <c r="EJ81" s="408">
        <v>0</v>
      </c>
      <c r="EK81" s="408">
        <v>0</v>
      </c>
      <c r="EL81" s="408">
        <v>0</v>
      </c>
      <c r="EM81" s="408">
        <v>0</v>
      </c>
      <c r="EN81" s="408">
        <v>0</v>
      </c>
      <c r="EO81" s="408">
        <v>0</v>
      </c>
      <c r="EP81" s="408">
        <v>0</v>
      </c>
      <c r="EQ81" s="408">
        <v>0</v>
      </c>
      <c r="ER81" s="408">
        <v>0</v>
      </c>
      <c r="ES81" s="408">
        <v>0</v>
      </c>
      <c r="ET81" s="408">
        <v>0</v>
      </c>
      <c r="EU81" s="408">
        <v>0</v>
      </c>
      <c r="EV81" s="408">
        <v>238</v>
      </c>
      <c r="EW81" s="408">
        <v>0</v>
      </c>
      <c r="EX81" s="408">
        <v>0</v>
      </c>
      <c r="EY81" s="408">
        <v>0</v>
      </c>
      <c r="EZ81" s="408"/>
      <c r="FA81" s="408">
        <v>0</v>
      </c>
      <c r="FB81" s="408"/>
      <c r="FC81" s="408"/>
      <c r="FD81" s="408"/>
      <c r="FE81" s="408"/>
      <c r="FF81" s="408">
        <v>0</v>
      </c>
      <c r="FG81" s="408">
        <v>0</v>
      </c>
      <c r="FH81" s="408">
        <v>0</v>
      </c>
      <c r="FI81" s="408">
        <v>0</v>
      </c>
    </row>
    <row r="82" spans="1:165" customFormat="1">
      <c r="A82" s="408">
        <v>84</v>
      </c>
      <c r="B82" s="408" t="s">
        <v>1036</v>
      </c>
      <c r="C82" s="408" t="s">
        <v>2243</v>
      </c>
      <c r="D82" s="408" t="s">
        <v>597</v>
      </c>
      <c r="E82" s="408" t="s">
        <v>998</v>
      </c>
      <c r="F82" s="408" t="s">
        <v>1322</v>
      </c>
      <c r="G82" s="408" t="s">
        <v>1322</v>
      </c>
      <c r="H82" s="408" t="s">
        <v>1322</v>
      </c>
      <c r="I82" s="408" t="s">
        <v>1322</v>
      </c>
      <c r="J82" s="408" t="s">
        <v>2236</v>
      </c>
      <c r="K82" s="824">
        <v>44409</v>
      </c>
      <c r="L82" s="408">
        <v>3561</v>
      </c>
      <c r="M82" s="408">
        <v>3561</v>
      </c>
      <c r="N82" s="408">
        <v>0</v>
      </c>
      <c r="O82" s="408">
        <v>0</v>
      </c>
      <c r="P82" s="408">
        <v>0</v>
      </c>
      <c r="Q82" s="408">
        <v>0</v>
      </c>
      <c r="R82" s="408">
        <v>44.35</v>
      </c>
      <c r="S82" s="408"/>
      <c r="T82" s="408"/>
      <c r="U82" s="408">
        <v>157930.35</v>
      </c>
      <c r="V82" s="408"/>
      <c r="W82" s="408">
        <v>157930.35</v>
      </c>
      <c r="X82" s="408">
        <v>103162.17</v>
      </c>
      <c r="Y82" s="408">
        <v>0</v>
      </c>
      <c r="Z82" s="408">
        <v>0</v>
      </c>
      <c r="AA82" s="408">
        <v>0</v>
      </c>
      <c r="AB82" s="408">
        <v>0</v>
      </c>
      <c r="AC82" s="408">
        <v>0</v>
      </c>
      <c r="AD82" s="408">
        <v>46727.668793271754</v>
      </c>
      <c r="AE82" s="408">
        <v>102264.25062354151</v>
      </c>
      <c r="AF82" s="408"/>
      <c r="AG82" s="408"/>
      <c r="AH82" s="408"/>
      <c r="AI82" s="408">
        <v>0</v>
      </c>
      <c r="AJ82" s="408">
        <v>0</v>
      </c>
      <c r="AK82" s="408">
        <v>0</v>
      </c>
      <c r="AL82" s="408">
        <v>0</v>
      </c>
      <c r="AM82" s="408"/>
      <c r="AN82" s="408">
        <v>0</v>
      </c>
      <c r="AO82" s="408">
        <v>3531.5173830047033</v>
      </c>
      <c r="AP82" s="408">
        <v>5403.0746519264221</v>
      </c>
      <c r="AQ82" s="408">
        <v>0</v>
      </c>
      <c r="AR82" s="408">
        <v>0</v>
      </c>
      <c r="AS82" s="408"/>
      <c r="AT82" s="408"/>
      <c r="AU82" s="408">
        <v>0</v>
      </c>
      <c r="AV82" s="408">
        <v>0</v>
      </c>
      <c r="AW82" s="408">
        <v>0</v>
      </c>
      <c r="AX82" s="408"/>
      <c r="AY82" s="408"/>
      <c r="AZ82" s="408">
        <v>0</v>
      </c>
      <c r="BA82" s="408"/>
      <c r="BB82" s="408">
        <v>0</v>
      </c>
      <c r="BC82" s="408">
        <v>0</v>
      </c>
      <c r="BD82" s="408">
        <v>0</v>
      </c>
      <c r="BE82" s="408">
        <v>0</v>
      </c>
      <c r="BF82" s="408"/>
      <c r="BG82" s="408">
        <v>0</v>
      </c>
      <c r="BH82" s="408">
        <v>0</v>
      </c>
      <c r="BI82" s="408">
        <v>311.44</v>
      </c>
      <c r="BJ82" s="408">
        <v>1495.59</v>
      </c>
      <c r="BK82" s="408">
        <v>85740</v>
      </c>
      <c r="BL82" s="408">
        <v>35</v>
      </c>
      <c r="BM82" s="408"/>
      <c r="BN82" s="408"/>
      <c r="BO82" s="408"/>
      <c r="BP82" s="408"/>
      <c r="BQ82" s="408"/>
      <c r="BR82" s="408"/>
      <c r="BS82" s="408"/>
      <c r="BT82" s="408"/>
      <c r="BU82" s="408"/>
      <c r="BV82" s="408">
        <v>0</v>
      </c>
      <c r="BW82" s="408"/>
      <c r="BX82" s="408"/>
      <c r="BY82" s="408"/>
      <c r="BZ82" s="408"/>
      <c r="CA82" s="408"/>
      <c r="CB82" s="408"/>
      <c r="CC82" s="408"/>
      <c r="CD82" s="408"/>
      <c r="CE82" s="408"/>
      <c r="CF82" s="408"/>
      <c r="CG82" s="408"/>
      <c r="CH82" s="408"/>
      <c r="CI82" s="408">
        <v>103162.17</v>
      </c>
      <c r="CJ82" s="408">
        <v>-54768.210000000036</v>
      </c>
      <c r="CK82" s="408"/>
      <c r="CL82" s="408"/>
      <c r="CM82" s="408"/>
      <c r="CN82" s="408"/>
      <c r="CO82" s="408">
        <v>-54768.180000000008</v>
      </c>
      <c r="CP82" s="408">
        <v>0</v>
      </c>
      <c r="CQ82" s="408">
        <v>31</v>
      </c>
      <c r="CR82" s="408">
        <v>2610.5383296267755</v>
      </c>
      <c r="CS82" s="408">
        <v>426.36726439948052</v>
      </c>
      <c r="CT82" s="408">
        <v>652.32417367517792</v>
      </c>
      <c r="CU82" s="408">
        <v>0</v>
      </c>
      <c r="CV82" s="408">
        <v>0</v>
      </c>
      <c r="CW82" s="408"/>
      <c r="CX82" s="408"/>
      <c r="CY82" s="408"/>
      <c r="CZ82" s="408">
        <v>1531.8468915521153</v>
      </c>
      <c r="DA82" s="408">
        <v>0</v>
      </c>
      <c r="DB82" s="408">
        <v>0</v>
      </c>
      <c r="DC82" s="408"/>
      <c r="DD82" s="408"/>
      <c r="DE82" s="408">
        <v>0</v>
      </c>
      <c r="DF82" s="408">
        <v>0</v>
      </c>
      <c r="DG82" s="408">
        <v>0</v>
      </c>
      <c r="DH82" s="408">
        <v>0</v>
      </c>
      <c r="DI82" s="408">
        <v>0</v>
      </c>
      <c r="DJ82" s="408"/>
      <c r="DK82" s="408">
        <v>0</v>
      </c>
      <c r="DL82" s="408">
        <v>0</v>
      </c>
      <c r="DM82" s="408"/>
      <c r="DN82" s="408">
        <v>0</v>
      </c>
      <c r="DO82" s="408">
        <v>0</v>
      </c>
      <c r="DP82" s="408">
        <v>0</v>
      </c>
      <c r="DQ82" s="408">
        <v>0</v>
      </c>
      <c r="DR82" s="408">
        <v>0</v>
      </c>
      <c r="DS82" s="408"/>
      <c r="DT82" s="408"/>
      <c r="DU82" s="408">
        <v>102264.25062354151</v>
      </c>
      <c r="DV82" s="408"/>
      <c r="DW82" s="408">
        <v>0</v>
      </c>
      <c r="DX82" s="408">
        <v>0</v>
      </c>
      <c r="DY82" s="408">
        <v>-54768.180000000008</v>
      </c>
      <c r="DZ82" s="408"/>
      <c r="EA82" s="408">
        <v>0</v>
      </c>
      <c r="EB82" s="408"/>
      <c r="EC82" s="408">
        <v>-57369.191195734347</v>
      </c>
      <c r="ED82" s="408"/>
      <c r="EE82" s="408">
        <v>0</v>
      </c>
      <c r="EF82" s="408">
        <v>0</v>
      </c>
      <c r="EG82" s="408"/>
      <c r="EH82" s="408">
        <v>0</v>
      </c>
      <c r="EI82" s="408">
        <v>0</v>
      </c>
      <c r="EJ82" s="408">
        <v>0</v>
      </c>
      <c r="EK82" s="408">
        <v>0</v>
      </c>
      <c r="EL82" s="408">
        <v>0</v>
      </c>
      <c r="EM82" s="408"/>
      <c r="EN82" s="408"/>
      <c r="EO82" s="408">
        <v>0</v>
      </c>
      <c r="EP82" s="408">
        <v>0</v>
      </c>
      <c r="EQ82" s="408"/>
      <c r="ER82" s="408">
        <v>0</v>
      </c>
      <c r="ES82" s="408"/>
      <c r="ET82" s="408">
        <v>0</v>
      </c>
      <c r="EU82" s="408"/>
      <c r="EV82" s="408">
        <v>238</v>
      </c>
      <c r="EW82" s="408"/>
      <c r="EX82" s="408"/>
      <c r="EY82" s="408"/>
      <c r="EZ82" s="408"/>
      <c r="FA82" s="408">
        <v>0</v>
      </c>
      <c r="FB82" s="408"/>
      <c r="FC82" s="408"/>
      <c r="FD82" s="408"/>
      <c r="FE82" s="408"/>
      <c r="FF82" s="408">
        <v>0</v>
      </c>
      <c r="FG82" s="408">
        <v>0</v>
      </c>
      <c r="FH82" s="408">
        <v>0</v>
      </c>
      <c r="FI82" s="408">
        <v>0</v>
      </c>
    </row>
    <row r="83" spans="1:165" s="857" customFormat="1">
      <c r="A83" s="408">
        <v>85</v>
      </c>
      <c r="B83" s="408" t="s">
        <v>2238</v>
      </c>
      <c r="C83" s="408" t="s">
        <v>2243</v>
      </c>
      <c r="D83" s="408" t="s">
        <v>597</v>
      </c>
      <c r="E83" s="408" t="s">
        <v>998</v>
      </c>
      <c r="F83" s="408" t="s">
        <v>1322</v>
      </c>
      <c r="G83" s="408" t="s">
        <v>1322</v>
      </c>
      <c r="H83" s="408" t="s">
        <v>1322</v>
      </c>
      <c r="I83" s="408" t="s">
        <v>1322</v>
      </c>
      <c r="J83" s="408" t="s">
        <v>2236</v>
      </c>
      <c r="K83" s="824">
        <v>44409</v>
      </c>
      <c r="L83" s="408">
        <v>36</v>
      </c>
      <c r="M83" s="408">
        <v>36</v>
      </c>
      <c r="N83" s="408">
        <v>0</v>
      </c>
      <c r="O83" s="408">
        <v>0</v>
      </c>
      <c r="P83" s="408">
        <v>0</v>
      </c>
      <c r="Q83" s="408">
        <v>0</v>
      </c>
      <c r="R83" s="408">
        <v>44.35</v>
      </c>
      <c r="S83" s="408"/>
      <c r="T83" s="408"/>
      <c r="U83" s="408">
        <v>1596.6000000000001</v>
      </c>
      <c r="V83" s="408"/>
      <c r="W83" s="408">
        <v>1596.6000000000001</v>
      </c>
      <c r="X83" s="408">
        <v>1042.92</v>
      </c>
      <c r="Y83" s="408">
        <v>0</v>
      </c>
      <c r="Z83" s="408">
        <v>0</v>
      </c>
      <c r="AA83" s="408">
        <v>0</v>
      </c>
      <c r="AB83" s="408">
        <v>0</v>
      </c>
      <c r="AC83" s="408">
        <v>0</v>
      </c>
      <c r="AD83" s="408">
        <v>472.39429277107081</v>
      </c>
      <c r="AE83" s="408">
        <v>1033.8424662868561</v>
      </c>
      <c r="AF83" s="408"/>
      <c r="AG83" s="408"/>
      <c r="AH83" s="408"/>
      <c r="AI83" s="408">
        <v>0</v>
      </c>
      <c r="AJ83" s="408">
        <v>0</v>
      </c>
      <c r="AK83" s="408">
        <v>0</v>
      </c>
      <c r="AL83" s="408">
        <v>0</v>
      </c>
      <c r="AM83" s="408"/>
      <c r="AN83" s="408">
        <v>0</v>
      </c>
      <c r="AO83" s="408">
        <v>35.70194489979481</v>
      </c>
      <c r="AP83" s="408">
        <v>54.622490162693403</v>
      </c>
      <c r="AQ83" s="408">
        <v>0</v>
      </c>
      <c r="AR83" s="408">
        <v>0</v>
      </c>
      <c r="AS83" s="408"/>
      <c r="AT83" s="408"/>
      <c r="AU83" s="408">
        <v>0</v>
      </c>
      <c r="AV83" s="408">
        <v>0</v>
      </c>
      <c r="AW83" s="408">
        <v>0</v>
      </c>
      <c r="AX83" s="408"/>
      <c r="AY83" s="408"/>
      <c r="AZ83" s="408">
        <v>0</v>
      </c>
      <c r="BA83" s="408"/>
      <c r="BB83" s="408">
        <v>0</v>
      </c>
      <c r="BC83" s="408">
        <v>0</v>
      </c>
      <c r="BD83" s="408">
        <v>0</v>
      </c>
      <c r="BE83" s="408">
        <v>0</v>
      </c>
      <c r="BF83" s="408"/>
      <c r="BG83" s="408">
        <v>0</v>
      </c>
      <c r="BH83" s="408">
        <v>0</v>
      </c>
      <c r="BI83" s="408">
        <v>2.37</v>
      </c>
      <c r="BJ83" s="408">
        <v>11.41</v>
      </c>
      <c r="BK83" s="408">
        <v>741.96</v>
      </c>
      <c r="BL83" s="408">
        <v>1</v>
      </c>
      <c r="BM83" s="408"/>
      <c r="BN83" s="408"/>
      <c r="BO83" s="408"/>
      <c r="BP83" s="408"/>
      <c r="BQ83" s="408"/>
      <c r="BR83" s="408"/>
      <c r="BS83" s="408"/>
      <c r="BT83" s="408"/>
      <c r="BU83" s="408"/>
      <c r="BV83" s="408">
        <v>0</v>
      </c>
      <c r="BW83" s="408"/>
      <c r="BX83" s="408"/>
      <c r="BY83" s="408"/>
      <c r="BZ83" s="408"/>
      <c r="CA83" s="408"/>
      <c r="CB83" s="408"/>
      <c r="CC83" s="408"/>
      <c r="CD83" s="408"/>
      <c r="CE83" s="408"/>
      <c r="CF83" s="408"/>
      <c r="CG83" s="408"/>
      <c r="CH83" s="408"/>
      <c r="CI83" s="408">
        <v>1042.92</v>
      </c>
      <c r="CJ83" s="408">
        <v>-553.71</v>
      </c>
      <c r="CK83" s="408"/>
      <c r="CL83" s="408"/>
      <c r="CM83" s="408"/>
      <c r="CN83" s="408"/>
      <c r="CO83" s="408">
        <v>-553.68000000000006</v>
      </c>
      <c r="CP83" s="408">
        <v>0</v>
      </c>
      <c r="CQ83" s="408">
        <v>31</v>
      </c>
      <c r="CR83" s="408">
        <v>26.391288926302764</v>
      </c>
      <c r="CS83" s="408">
        <v>4.3103683005844715</v>
      </c>
      <c r="CT83" s="408">
        <v>6.5946841483589935</v>
      </c>
      <c r="CU83" s="408">
        <v>0</v>
      </c>
      <c r="CV83" s="408">
        <v>0</v>
      </c>
      <c r="CW83" s="408"/>
      <c r="CX83" s="408"/>
      <c r="CY83" s="408"/>
      <c r="CZ83" s="408">
        <v>15.486236477359228</v>
      </c>
      <c r="DA83" s="408">
        <v>0</v>
      </c>
      <c r="DB83" s="408">
        <v>0</v>
      </c>
      <c r="DC83" s="408"/>
      <c r="DD83" s="408"/>
      <c r="DE83" s="408">
        <v>0</v>
      </c>
      <c r="DF83" s="408">
        <v>0</v>
      </c>
      <c r="DG83" s="408">
        <v>0</v>
      </c>
      <c r="DH83" s="408">
        <v>0</v>
      </c>
      <c r="DI83" s="408">
        <v>0</v>
      </c>
      <c r="DJ83" s="408"/>
      <c r="DK83" s="408">
        <v>0</v>
      </c>
      <c r="DL83" s="408">
        <v>0</v>
      </c>
      <c r="DM83" s="408"/>
      <c r="DN83" s="408">
        <v>0</v>
      </c>
      <c r="DO83" s="408">
        <v>0</v>
      </c>
      <c r="DP83" s="408">
        <v>0</v>
      </c>
      <c r="DQ83" s="408">
        <v>0</v>
      </c>
      <c r="DR83" s="408">
        <v>0</v>
      </c>
      <c r="DS83" s="408"/>
      <c r="DT83" s="408"/>
      <c r="DU83" s="408">
        <v>1033.8424662868561</v>
      </c>
      <c r="DV83" s="408"/>
      <c r="DW83" s="408">
        <v>0</v>
      </c>
      <c r="DX83" s="408">
        <v>0</v>
      </c>
      <c r="DY83" s="408">
        <v>-553.68000000000006</v>
      </c>
      <c r="DZ83" s="408"/>
      <c r="EA83" s="408">
        <v>0</v>
      </c>
      <c r="EB83" s="408"/>
      <c r="EC83" s="408">
        <v>-579.97497417760087</v>
      </c>
      <c r="ED83" s="408"/>
      <c r="EE83" s="408">
        <v>0</v>
      </c>
      <c r="EF83" s="408">
        <v>0</v>
      </c>
      <c r="EG83" s="408"/>
      <c r="EH83" s="408">
        <v>0</v>
      </c>
      <c r="EI83" s="408">
        <v>0</v>
      </c>
      <c r="EJ83" s="408">
        <v>0</v>
      </c>
      <c r="EK83" s="408">
        <v>0</v>
      </c>
      <c r="EL83" s="408">
        <v>0</v>
      </c>
      <c r="EM83" s="408"/>
      <c r="EN83" s="408"/>
      <c r="EO83" s="408">
        <v>0</v>
      </c>
      <c r="EP83" s="408">
        <v>0</v>
      </c>
      <c r="EQ83" s="408"/>
      <c r="ER83" s="408">
        <v>0</v>
      </c>
      <c r="ES83" s="408"/>
      <c r="ET83" s="408">
        <v>0</v>
      </c>
      <c r="EU83" s="408"/>
      <c r="EV83" s="408">
        <v>238</v>
      </c>
      <c r="EW83" s="408"/>
      <c r="EX83" s="408"/>
      <c r="EY83" s="408"/>
      <c r="EZ83" s="408"/>
      <c r="FA83" s="408">
        <v>0</v>
      </c>
      <c r="FB83" s="408"/>
      <c r="FC83" s="408"/>
      <c r="FD83" s="408"/>
      <c r="FE83" s="408"/>
      <c r="FF83" s="408">
        <v>0</v>
      </c>
      <c r="FG83" s="408">
        <v>0</v>
      </c>
      <c r="FH83" s="408">
        <v>0</v>
      </c>
      <c r="FI83" s="408">
        <v>0</v>
      </c>
    </row>
    <row r="84" spans="1:165" s="857" customFormat="1">
      <c r="A84" s="408">
        <v>86</v>
      </c>
      <c r="B84" s="408" t="s">
        <v>1036</v>
      </c>
      <c r="C84" s="408" t="s">
        <v>2235</v>
      </c>
      <c r="D84" s="408" t="s">
        <v>2245</v>
      </c>
      <c r="E84" s="408" t="s">
        <v>974</v>
      </c>
      <c r="F84" s="408" t="s">
        <v>1322</v>
      </c>
      <c r="G84" s="408" t="s">
        <v>1322</v>
      </c>
      <c r="H84" s="408" t="s">
        <v>1322</v>
      </c>
      <c r="I84" s="408" t="s">
        <v>1322</v>
      </c>
      <c r="J84" s="408" t="s">
        <v>2236</v>
      </c>
      <c r="K84" s="824">
        <v>44409</v>
      </c>
      <c r="L84" s="408">
        <v>0</v>
      </c>
      <c r="M84" s="408">
        <v>0</v>
      </c>
      <c r="N84" s="408">
        <v>3667.989</v>
      </c>
      <c r="O84" s="408">
        <v>3667.989</v>
      </c>
      <c r="P84" s="408">
        <v>3667.989</v>
      </c>
      <c r="Q84" s="408">
        <v>3667.989</v>
      </c>
      <c r="R84" s="408"/>
      <c r="S84" s="408">
        <v>581.32000000000005</v>
      </c>
      <c r="T84" s="408">
        <v>209.4</v>
      </c>
      <c r="U84" s="408"/>
      <c r="V84" s="408">
        <v>2900352.2620800002</v>
      </c>
      <c r="W84" s="408">
        <v>2900352.2620800002</v>
      </c>
      <c r="X84" s="408">
        <v>2215722.1152299996</v>
      </c>
      <c r="Y84" s="408">
        <v>0</v>
      </c>
      <c r="Z84" s="408">
        <v>225720.36770746973</v>
      </c>
      <c r="AA84" s="408">
        <v>0</v>
      </c>
      <c r="AB84" s="408">
        <v>0</v>
      </c>
      <c r="AC84" s="408">
        <v>0</v>
      </c>
      <c r="AD84" s="408">
        <v>272132.30300845479</v>
      </c>
      <c r="AE84" s="408">
        <v>1413662.4445533592</v>
      </c>
      <c r="AF84" s="408">
        <v>757992.66240327596</v>
      </c>
      <c r="AG84" s="408">
        <v>10097.845206026759</v>
      </c>
      <c r="AH84" s="408">
        <v>0</v>
      </c>
      <c r="AI84" s="408">
        <v>0</v>
      </c>
      <c r="AJ84" s="408">
        <v>0</v>
      </c>
      <c r="AK84" s="408">
        <v>0</v>
      </c>
      <c r="AL84" s="408">
        <v>34881.114228699014</v>
      </c>
      <c r="AM84" s="408"/>
      <c r="AN84" s="408">
        <v>6686.6130578528209</v>
      </c>
      <c r="AO84" s="408">
        <v>20905.632788632291</v>
      </c>
      <c r="AP84" s="408">
        <v>31490.382374688037</v>
      </c>
      <c r="AQ84" s="408">
        <v>0</v>
      </c>
      <c r="AR84" s="408">
        <v>0</v>
      </c>
      <c r="AS84" s="408">
        <v>0</v>
      </c>
      <c r="AT84" s="408">
        <v>0</v>
      </c>
      <c r="AU84" s="408">
        <v>0</v>
      </c>
      <c r="AV84" s="408">
        <v>0</v>
      </c>
      <c r="AW84" s="408">
        <v>0</v>
      </c>
      <c r="AX84" s="408">
        <v>0</v>
      </c>
      <c r="AY84" s="408">
        <v>0</v>
      </c>
      <c r="AZ84" s="408">
        <v>0</v>
      </c>
      <c r="BA84" s="408"/>
      <c r="BB84" s="408">
        <v>0</v>
      </c>
      <c r="BC84" s="408">
        <v>0</v>
      </c>
      <c r="BD84" s="408">
        <v>0</v>
      </c>
      <c r="BE84" s="408">
        <v>0</v>
      </c>
      <c r="BF84" s="408">
        <v>0</v>
      </c>
      <c r="BG84" s="408">
        <v>126810.75542676785</v>
      </c>
      <c r="BH84" s="408">
        <v>0</v>
      </c>
      <c r="BI84" s="408">
        <v>2478.12</v>
      </c>
      <c r="BJ84" s="408">
        <v>12214.53</v>
      </c>
      <c r="BK84" s="408">
        <v>258901.34</v>
      </c>
      <c r="BL84" s="408">
        <v>14100</v>
      </c>
      <c r="BM84" s="408"/>
      <c r="BN84" s="408"/>
      <c r="BO84" s="408"/>
      <c r="BP84" s="408"/>
      <c r="BQ84" s="408"/>
      <c r="BR84" s="408">
        <v>265892.52260999975</v>
      </c>
      <c r="BS84" s="408"/>
      <c r="BT84" s="408"/>
      <c r="BU84" s="408"/>
      <c r="BV84" s="408">
        <v>884803.41783004382</v>
      </c>
      <c r="BW84" s="408"/>
      <c r="BX84" s="408"/>
      <c r="BY84" s="408"/>
      <c r="BZ84" s="408"/>
      <c r="CA84" s="408"/>
      <c r="CB84" s="408"/>
      <c r="CC84" s="408"/>
      <c r="CD84" s="408"/>
      <c r="CE84" s="408"/>
      <c r="CF84" s="408"/>
      <c r="CG84" s="408"/>
      <c r="CH84" s="408"/>
      <c r="CI84" s="408">
        <v>1949830.1242</v>
      </c>
      <c r="CJ84" s="408">
        <v>-602540.05144999968</v>
      </c>
      <c r="CK84" s="408"/>
      <c r="CL84" s="408"/>
      <c r="CM84" s="408"/>
      <c r="CN84" s="408"/>
      <c r="CO84" s="408">
        <v>-768370.33572000032</v>
      </c>
      <c r="CP84" s="408">
        <v>83740.18886999994</v>
      </c>
      <c r="CQ84" s="408">
        <v>31</v>
      </c>
      <c r="CR84" s="408">
        <v>108366.59277839866</v>
      </c>
      <c r="CS84" s="408">
        <v>2523.9794954783865</v>
      </c>
      <c r="CT84" s="408">
        <v>3801.8978053467144</v>
      </c>
      <c r="CU84" s="408">
        <v>0</v>
      </c>
      <c r="CV84" s="408">
        <v>0</v>
      </c>
      <c r="CW84" s="408">
        <v>0</v>
      </c>
      <c r="CX84" s="408">
        <v>0</v>
      </c>
      <c r="CY84" s="408">
        <v>0</v>
      </c>
      <c r="CZ84" s="408">
        <v>8921.1602722711978</v>
      </c>
      <c r="DA84" s="408">
        <v>0</v>
      </c>
      <c r="DB84" s="408">
        <v>0</v>
      </c>
      <c r="DC84" s="408">
        <v>83714.821521563106</v>
      </c>
      <c r="DD84" s="408">
        <v>0</v>
      </c>
      <c r="DE84" s="408">
        <v>0</v>
      </c>
      <c r="DF84" s="408">
        <v>0</v>
      </c>
      <c r="DG84" s="408">
        <v>14005.333143868906</v>
      </c>
      <c r="DH84" s="408">
        <v>0</v>
      </c>
      <c r="DI84" s="408">
        <v>-3934.7851762276841</v>
      </c>
      <c r="DJ84" s="408"/>
      <c r="DK84" s="408">
        <v>0</v>
      </c>
      <c r="DL84" s="408">
        <v>0</v>
      </c>
      <c r="DM84" s="408">
        <v>0</v>
      </c>
      <c r="DN84" s="408">
        <v>0</v>
      </c>
      <c r="DO84" s="408">
        <v>-511.21663560962043</v>
      </c>
      <c r="DP84" s="408">
        <v>-154.59764829211963</v>
      </c>
      <c r="DQ84" s="408">
        <v>0</v>
      </c>
      <c r="DR84" s="408">
        <v>0</v>
      </c>
      <c r="DS84" s="408"/>
      <c r="DT84" s="408"/>
      <c r="DU84" s="408"/>
      <c r="DV84" s="408">
        <v>1413662.4445533592</v>
      </c>
      <c r="DW84" s="408">
        <v>0</v>
      </c>
      <c r="DX84" s="408">
        <v>0</v>
      </c>
      <c r="DY84" s="408">
        <v>-768370.33572000032</v>
      </c>
      <c r="DZ84" s="408">
        <v>83740.188869999954</v>
      </c>
      <c r="EA84" s="408">
        <v>0</v>
      </c>
      <c r="EB84" s="408">
        <v>0</v>
      </c>
      <c r="EC84" s="408">
        <v>-793050.06953369512</v>
      </c>
      <c r="ED84" s="408">
        <v>0</v>
      </c>
      <c r="EE84" s="408">
        <v>0</v>
      </c>
      <c r="EF84" s="408">
        <v>0</v>
      </c>
      <c r="EG84" s="408">
        <v>0</v>
      </c>
      <c r="EH84" s="408">
        <v>0</v>
      </c>
      <c r="EI84" s="408">
        <v>0</v>
      </c>
      <c r="EJ84" s="408">
        <v>0</v>
      </c>
      <c r="EK84" s="408">
        <v>0</v>
      </c>
      <c r="EL84" s="408">
        <v>0</v>
      </c>
      <c r="EM84" s="408">
        <v>0</v>
      </c>
      <c r="EN84" s="408">
        <v>0</v>
      </c>
      <c r="EO84" s="408">
        <v>0</v>
      </c>
      <c r="EP84" s="408">
        <v>0</v>
      </c>
      <c r="EQ84" s="408">
        <v>0</v>
      </c>
      <c r="ER84" s="408">
        <v>0</v>
      </c>
      <c r="ES84" s="408">
        <v>0</v>
      </c>
      <c r="ET84" s="408">
        <v>0</v>
      </c>
      <c r="EU84" s="408">
        <v>0</v>
      </c>
      <c r="EV84" s="408">
        <v>238</v>
      </c>
      <c r="EW84" s="408">
        <v>0</v>
      </c>
      <c r="EX84" s="408">
        <v>0</v>
      </c>
      <c r="EY84" s="408">
        <v>0</v>
      </c>
      <c r="EZ84" s="408"/>
      <c r="FA84" s="408">
        <v>0</v>
      </c>
      <c r="FB84" s="408"/>
      <c r="FC84" s="408"/>
      <c r="FD84" s="408"/>
      <c r="FE84" s="408"/>
      <c r="FF84" s="408">
        <v>0</v>
      </c>
      <c r="FG84" s="408">
        <v>0</v>
      </c>
      <c r="FH84" s="408">
        <v>0</v>
      </c>
      <c r="FI84" s="408">
        <v>0</v>
      </c>
    </row>
    <row r="85" spans="1:165" s="857" customFormat="1">
      <c r="A85" s="408">
        <v>87</v>
      </c>
      <c r="B85" s="408" t="s">
        <v>2237</v>
      </c>
      <c r="C85" s="408" t="s">
        <v>2235</v>
      </c>
      <c r="D85" s="408" t="s">
        <v>2245</v>
      </c>
      <c r="E85" s="408" t="s">
        <v>974</v>
      </c>
      <c r="F85" s="408" t="s">
        <v>1322</v>
      </c>
      <c r="G85" s="408" t="s">
        <v>1322</v>
      </c>
      <c r="H85" s="408" t="s">
        <v>1322</v>
      </c>
      <c r="I85" s="408" t="s">
        <v>1322</v>
      </c>
      <c r="J85" s="408" t="s">
        <v>2236</v>
      </c>
      <c r="K85" s="824">
        <v>44409</v>
      </c>
      <c r="L85" s="408">
        <v>0</v>
      </c>
      <c r="M85" s="408">
        <v>0</v>
      </c>
      <c r="N85" s="408">
        <v>-11.359</v>
      </c>
      <c r="O85" s="408">
        <v>-11.359</v>
      </c>
      <c r="P85" s="408">
        <v>-11.359</v>
      </c>
      <c r="Q85" s="408">
        <v>-11.359</v>
      </c>
      <c r="R85" s="408"/>
      <c r="S85" s="408">
        <v>581.32000000000005</v>
      </c>
      <c r="T85" s="408">
        <v>209.4</v>
      </c>
      <c r="U85" s="408"/>
      <c r="V85" s="408">
        <v>-8981.7884799999993</v>
      </c>
      <c r="W85" s="408">
        <v>-8981.7884799999993</v>
      </c>
      <c r="X85" s="408">
        <v>-6861.6311299999998</v>
      </c>
      <c r="Y85" s="408">
        <v>0</v>
      </c>
      <c r="Z85" s="408">
        <v>-699.00909102757635</v>
      </c>
      <c r="AA85" s="408">
        <v>0</v>
      </c>
      <c r="AB85" s="408">
        <v>0</v>
      </c>
      <c r="AC85" s="408">
        <v>0</v>
      </c>
      <c r="AD85" s="408">
        <v>-842.73721373565684</v>
      </c>
      <c r="AE85" s="408">
        <v>-4377.8189377562494</v>
      </c>
      <c r="AF85" s="408">
        <v>-2347.3458214402531</v>
      </c>
      <c r="AG85" s="408">
        <v>-31.270929028210812</v>
      </c>
      <c r="AH85" s="408">
        <v>0</v>
      </c>
      <c r="AI85" s="408">
        <v>0</v>
      </c>
      <c r="AJ85" s="408">
        <v>0</v>
      </c>
      <c r="AK85" s="408">
        <v>0</v>
      </c>
      <c r="AL85" s="408">
        <v>-108.01956508697056</v>
      </c>
      <c r="AM85" s="408"/>
      <c r="AN85" s="408">
        <v>-20.707051663500135</v>
      </c>
      <c r="AO85" s="408">
        <v>-64.740402123908822</v>
      </c>
      <c r="AP85" s="408">
        <v>-97.519172874859052</v>
      </c>
      <c r="AQ85" s="408">
        <v>0</v>
      </c>
      <c r="AR85" s="408">
        <v>0</v>
      </c>
      <c r="AS85" s="408">
        <v>0</v>
      </c>
      <c r="AT85" s="408">
        <v>0</v>
      </c>
      <c r="AU85" s="408">
        <v>0</v>
      </c>
      <c r="AV85" s="408">
        <v>0</v>
      </c>
      <c r="AW85" s="408">
        <v>0</v>
      </c>
      <c r="AX85" s="408">
        <v>0</v>
      </c>
      <c r="AY85" s="408">
        <v>0</v>
      </c>
      <c r="AZ85" s="408">
        <v>0</v>
      </c>
      <c r="BA85" s="408"/>
      <c r="BB85" s="408">
        <v>0</v>
      </c>
      <c r="BC85" s="408">
        <v>0</v>
      </c>
      <c r="BD85" s="408">
        <v>0</v>
      </c>
      <c r="BE85" s="408">
        <v>0</v>
      </c>
      <c r="BF85" s="408">
        <v>0</v>
      </c>
      <c r="BG85" s="408">
        <v>-392.70656779304846</v>
      </c>
      <c r="BH85" s="408">
        <v>0</v>
      </c>
      <c r="BI85" s="408">
        <v>-9.85</v>
      </c>
      <c r="BJ85" s="408">
        <v>-45.16</v>
      </c>
      <c r="BK85" s="408">
        <v>-222.15</v>
      </c>
      <c r="BL85" s="408">
        <v>0</v>
      </c>
      <c r="BM85" s="408"/>
      <c r="BN85" s="408"/>
      <c r="BO85" s="408"/>
      <c r="BP85" s="408"/>
      <c r="BQ85" s="408"/>
      <c r="BR85" s="408">
        <v>-823.41390999999908</v>
      </c>
      <c r="BS85" s="408"/>
      <c r="BT85" s="408"/>
      <c r="BU85" s="408"/>
      <c r="BV85" s="408">
        <v>-2740.0523892333017</v>
      </c>
      <c r="BW85" s="408"/>
      <c r="BX85" s="408"/>
      <c r="BY85" s="408"/>
      <c r="BZ85" s="408"/>
      <c r="CA85" s="408"/>
      <c r="CB85" s="408"/>
      <c r="CC85" s="408"/>
      <c r="CD85" s="408"/>
      <c r="CE85" s="408"/>
      <c r="CF85" s="408"/>
      <c r="CG85" s="408"/>
      <c r="CH85" s="408"/>
      <c r="CI85" s="408">
        <v>-6038.7487999999994</v>
      </c>
      <c r="CJ85" s="408">
        <v>1865.3813499999997</v>
      </c>
      <c r="CK85" s="408"/>
      <c r="CL85" s="408"/>
      <c r="CM85" s="408"/>
      <c r="CN85" s="408"/>
      <c r="CO85" s="408">
        <v>2379.4833200000007</v>
      </c>
      <c r="CP85" s="408">
        <v>-259.32596999999981</v>
      </c>
      <c r="CQ85" s="408">
        <v>31</v>
      </c>
      <c r="CR85" s="408">
        <v>-335.58882738465945</v>
      </c>
      <c r="CS85" s="408">
        <v>-7.8162402038662009</v>
      </c>
      <c r="CT85" s="408">
        <v>-11.773687753952757</v>
      </c>
      <c r="CU85" s="408">
        <v>0</v>
      </c>
      <c r="CV85" s="408">
        <v>0</v>
      </c>
      <c r="CW85" s="408">
        <v>0</v>
      </c>
      <c r="CX85" s="408">
        <v>0</v>
      </c>
      <c r="CY85" s="408">
        <v>0</v>
      </c>
      <c r="CZ85" s="408">
        <v>-27.626980215242952</v>
      </c>
      <c r="DA85" s="408">
        <v>0</v>
      </c>
      <c r="DB85" s="408">
        <v>0</v>
      </c>
      <c r="DC85" s="408">
        <v>-259.24741259132315</v>
      </c>
      <c r="DD85" s="408">
        <v>0</v>
      </c>
      <c r="DE85" s="408">
        <v>0</v>
      </c>
      <c r="DF85" s="408">
        <v>0</v>
      </c>
      <c r="DG85" s="408">
        <v>-43.371607488792051</v>
      </c>
      <c r="DH85" s="408">
        <v>0</v>
      </c>
      <c r="DI85" s="408">
        <v>12.185212337542566</v>
      </c>
      <c r="DJ85" s="408"/>
      <c r="DK85" s="408">
        <v>0</v>
      </c>
      <c r="DL85" s="408">
        <v>0</v>
      </c>
      <c r="DM85" s="408">
        <v>0</v>
      </c>
      <c r="DN85" s="408">
        <v>0</v>
      </c>
      <c r="DO85" s="408">
        <v>1.5831317280094481</v>
      </c>
      <c r="DP85" s="408">
        <v>0.47875680296483836</v>
      </c>
      <c r="DQ85" s="408">
        <v>0</v>
      </c>
      <c r="DR85" s="408">
        <v>0</v>
      </c>
      <c r="DS85" s="408"/>
      <c r="DT85" s="408"/>
      <c r="DU85" s="408"/>
      <c r="DV85" s="408">
        <v>-4377.8189377562494</v>
      </c>
      <c r="DW85" s="408">
        <v>0</v>
      </c>
      <c r="DX85" s="408">
        <v>0</v>
      </c>
      <c r="DY85" s="408">
        <v>2379.4833200000003</v>
      </c>
      <c r="DZ85" s="408">
        <v>-259.32596999999987</v>
      </c>
      <c r="EA85" s="408">
        <v>0</v>
      </c>
      <c r="EB85" s="408">
        <v>0</v>
      </c>
      <c r="EC85" s="408">
        <v>2455.9113290234086</v>
      </c>
      <c r="ED85" s="408">
        <v>0</v>
      </c>
      <c r="EE85" s="408">
        <v>0</v>
      </c>
      <c r="EF85" s="408">
        <v>0</v>
      </c>
      <c r="EG85" s="408">
        <v>0</v>
      </c>
      <c r="EH85" s="408">
        <v>0</v>
      </c>
      <c r="EI85" s="408">
        <v>0</v>
      </c>
      <c r="EJ85" s="408">
        <v>0</v>
      </c>
      <c r="EK85" s="408">
        <v>0</v>
      </c>
      <c r="EL85" s="408">
        <v>0</v>
      </c>
      <c r="EM85" s="408">
        <v>0</v>
      </c>
      <c r="EN85" s="408">
        <v>0</v>
      </c>
      <c r="EO85" s="408">
        <v>0</v>
      </c>
      <c r="EP85" s="408">
        <v>0</v>
      </c>
      <c r="EQ85" s="408">
        <v>0</v>
      </c>
      <c r="ER85" s="408">
        <v>0</v>
      </c>
      <c r="ES85" s="408">
        <v>0</v>
      </c>
      <c r="ET85" s="408">
        <v>0</v>
      </c>
      <c r="EU85" s="408">
        <v>0</v>
      </c>
      <c r="EV85" s="408">
        <v>238</v>
      </c>
      <c r="EW85" s="408">
        <v>0</v>
      </c>
      <c r="EX85" s="408">
        <v>0</v>
      </c>
      <c r="EY85" s="408">
        <v>0</v>
      </c>
      <c r="EZ85" s="408"/>
      <c r="FA85" s="408">
        <v>0</v>
      </c>
      <c r="FB85" s="408"/>
      <c r="FC85" s="408"/>
      <c r="FD85" s="408"/>
      <c r="FE85" s="408"/>
      <c r="FF85" s="408">
        <v>0</v>
      </c>
      <c r="FG85" s="408">
        <v>0</v>
      </c>
      <c r="FH85" s="408">
        <v>0</v>
      </c>
      <c r="FI85" s="408">
        <v>0</v>
      </c>
    </row>
    <row r="86" spans="1:165" s="857" customFormat="1">
      <c r="A86" s="408">
        <v>88</v>
      </c>
      <c r="B86" s="408" t="s">
        <v>2238</v>
      </c>
      <c r="C86" s="408" t="s">
        <v>2235</v>
      </c>
      <c r="D86" s="408" t="s">
        <v>2245</v>
      </c>
      <c r="E86" s="408" t="s">
        <v>974</v>
      </c>
      <c r="F86" s="408" t="s">
        <v>1322</v>
      </c>
      <c r="G86" s="408" t="s">
        <v>1322</v>
      </c>
      <c r="H86" s="408" t="s">
        <v>1322</v>
      </c>
      <c r="I86" s="408" t="s">
        <v>1322</v>
      </c>
      <c r="J86" s="408" t="s">
        <v>2236</v>
      </c>
      <c r="K86" s="824">
        <v>44409</v>
      </c>
      <c r="L86" s="408">
        <v>0</v>
      </c>
      <c r="M86" s="408">
        <v>0</v>
      </c>
      <c r="N86" s="408">
        <v>110.562</v>
      </c>
      <c r="O86" s="408">
        <v>110.562</v>
      </c>
      <c r="P86" s="408">
        <v>110.562</v>
      </c>
      <c r="Q86" s="408">
        <v>110.562</v>
      </c>
      <c r="R86" s="408"/>
      <c r="S86" s="408">
        <v>581.32000000000005</v>
      </c>
      <c r="T86" s="408">
        <v>209.4</v>
      </c>
      <c r="U86" s="408"/>
      <c r="V86" s="408">
        <v>87423.584640000001</v>
      </c>
      <c r="W86" s="408">
        <v>87423.584640000001</v>
      </c>
      <c r="X86" s="408">
        <v>66787.187339999989</v>
      </c>
      <c r="Y86" s="408">
        <v>0</v>
      </c>
      <c r="Z86" s="408">
        <v>6803.7541264363845</v>
      </c>
      <c r="AA86" s="408">
        <v>0</v>
      </c>
      <c r="AB86" s="408">
        <v>0</v>
      </c>
      <c r="AC86" s="408">
        <v>0</v>
      </c>
      <c r="AD86" s="408">
        <v>8202.7213509148423</v>
      </c>
      <c r="AE86" s="408">
        <v>42611.182093160176</v>
      </c>
      <c r="AF86" s="408">
        <v>22847.719756147308</v>
      </c>
      <c r="AG86" s="408">
        <v>304.37331237054701</v>
      </c>
      <c r="AH86" s="408">
        <v>0</v>
      </c>
      <c r="AI86" s="408">
        <v>0</v>
      </c>
      <c r="AJ86" s="408">
        <v>0</v>
      </c>
      <c r="AK86" s="408">
        <v>0</v>
      </c>
      <c r="AL86" s="408">
        <v>1051.4005770882682</v>
      </c>
      <c r="AM86" s="408"/>
      <c r="AN86" s="408">
        <v>201.55058068667151</v>
      </c>
      <c r="AO86" s="408">
        <v>630.14599345220586</v>
      </c>
      <c r="AP86" s="408">
        <v>949.19577351792998</v>
      </c>
      <c r="AQ86" s="408">
        <v>0</v>
      </c>
      <c r="AR86" s="408">
        <v>0</v>
      </c>
      <c r="AS86" s="408">
        <v>0</v>
      </c>
      <c r="AT86" s="408">
        <v>0</v>
      </c>
      <c r="AU86" s="408">
        <v>0</v>
      </c>
      <c r="AV86" s="408">
        <v>0</v>
      </c>
      <c r="AW86" s="408">
        <v>0</v>
      </c>
      <c r="AX86" s="408">
        <v>0</v>
      </c>
      <c r="AY86" s="408">
        <v>0</v>
      </c>
      <c r="AZ86" s="408">
        <v>0</v>
      </c>
      <c r="BA86" s="408"/>
      <c r="BB86" s="408">
        <v>0</v>
      </c>
      <c r="BC86" s="408">
        <v>0</v>
      </c>
      <c r="BD86" s="408">
        <v>0</v>
      </c>
      <c r="BE86" s="408">
        <v>0</v>
      </c>
      <c r="BF86" s="408">
        <v>0</v>
      </c>
      <c r="BG86" s="408">
        <v>3822.3808036213595</v>
      </c>
      <c r="BH86" s="408">
        <v>0</v>
      </c>
      <c r="BI86" s="408">
        <v>71.349999999999994</v>
      </c>
      <c r="BJ86" s="408">
        <v>350.09</v>
      </c>
      <c r="BK86" s="408">
        <v>5894.74</v>
      </c>
      <c r="BL86" s="408">
        <v>479</v>
      </c>
      <c r="BM86" s="408"/>
      <c r="BN86" s="408"/>
      <c r="BO86" s="408"/>
      <c r="BP86" s="408"/>
      <c r="BQ86" s="408"/>
      <c r="BR86" s="408">
        <v>8014.6393799999914</v>
      </c>
      <c r="BS86" s="408"/>
      <c r="BT86" s="408"/>
      <c r="BU86" s="408"/>
      <c r="BV86" s="408">
        <v>26670.100559768667</v>
      </c>
      <c r="BW86" s="408"/>
      <c r="BX86" s="408"/>
      <c r="BY86" s="408"/>
      <c r="BZ86" s="408"/>
      <c r="CA86" s="408"/>
      <c r="CB86" s="408"/>
      <c r="CC86" s="408"/>
      <c r="CD86" s="408"/>
      <c r="CE86" s="408"/>
      <c r="CF86" s="408"/>
      <c r="CG86" s="408"/>
      <c r="CH86" s="408"/>
      <c r="CI86" s="408">
        <v>58771.484800000006</v>
      </c>
      <c r="CJ86" s="408">
        <v>-18163.112899999993</v>
      </c>
      <c r="CK86" s="408"/>
      <c r="CL86" s="408"/>
      <c r="CM86" s="408"/>
      <c r="CN86" s="408"/>
      <c r="CO86" s="408">
        <v>-23160.527760000008</v>
      </c>
      <c r="CP86" s="408">
        <v>2524.130459999998</v>
      </c>
      <c r="CQ86" s="408">
        <v>31</v>
      </c>
      <c r="CR86" s="408">
        <v>3266.42943333945</v>
      </c>
      <c r="CS86" s="408">
        <v>76.078805301510329</v>
      </c>
      <c r="CT86" s="408">
        <v>114.5983330797186</v>
      </c>
      <c r="CU86" s="408">
        <v>0</v>
      </c>
      <c r="CV86" s="408">
        <v>0</v>
      </c>
      <c r="CW86" s="408">
        <v>0</v>
      </c>
      <c r="CX86" s="408">
        <v>0</v>
      </c>
      <c r="CY86" s="408">
        <v>0</v>
      </c>
      <c r="CZ86" s="408">
        <v>268.90520173938603</v>
      </c>
      <c r="DA86" s="408">
        <v>0</v>
      </c>
      <c r="DB86" s="408">
        <v>0</v>
      </c>
      <c r="DC86" s="408">
        <v>2523.3658271786117</v>
      </c>
      <c r="DD86" s="408">
        <v>0</v>
      </c>
      <c r="DE86" s="408">
        <v>0</v>
      </c>
      <c r="DF86" s="408">
        <v>0</v>
      </c>
      <c r="DG86" s="408">
        <v>422.15438570083916</v>
      </c>
      <c r="DH86" s="408">
        <v>0</v>
      </c>
      <c r="DI86" s="408">
        <v>-118.6038776708674</v>
      </c>
      <c r="DJ86" s="408"/>
      <c r="DK86" s="408">
        <v>0</v>
      </c>
      <c r="DL86" s="408">
        <v>0</v>
      </c>
      <c r="DM86" s="408">
        <v>0</v>
      </c>
      <c r="DN86" s="408">
        <v>0</v>
      </c>
      <c r="DO86" s="408">
        <v>-15.409297483244927</v>
      </c>
      <c r="DP86" s="408">
        <v>-4.6599445065056955</v>
      </c>
      <c r="DQ86" s="408">
        <v>0</v>
      </c>
      <c r="DR86" s="408">
        <v>0</v>
      </c>
      <c r="DS86" s="408"/>
      <c r="DT86" s="408"/>
      <c r="DU86" s="408"/>
      <c r="DV86" s="408">
        <v>42611.182093160176</v>
      </c>
      <c r="DW86" s="408">
        <v>0</v>
      </c>
      <c r="DX86" s="408">
        <v>0</v>
      </c>
      <c r="DY86" s="408">
        <v>-23160.527760000012</v>
      </c>
      <c r="DZ86" s="408">
        <v>2524.1304600000003</v>
      </c>
      <c r="EA86" s="408">
        <v>0</v>
      </c>
      <c r="EB86" s="408">
        <v>0</v>
      </c>
      <c r="EC86" s="408">
        <v>-23904.434224798493</v>
      </c>
      <c r="ED86" s="408">
        <v>0</v>
      </c>
      <c r="EE86" s="408">
        <v>0</v>
      </c>
      <c r="EF86" s="408">
        <v>0</v>
      </c>
      <c r="EG86" s="408">
        <v>0</v>
      </c>
      <c r="EH86" s="408">
        <v>0</v>
      </c>
      <c r="EI86" s="408">
        <v>0</v>
      </c>
      <c r="EJ86" s="408">
        <v>0</v>
      </c>
      <c r="EK86" s="408">
        <v>0</v>
      </c>
      <c r="EL86" s="408">
        <v>0</v>
      </c>
      <c r="EM86" s="408">
        <v>0</v>
      </c>
      <c r="EN86" s="408">
        <v>0</v>
      </c>
      <c r="EO86" s="408">
        <v>0</v>
      </c>
      <c r="EP86" s="408">
        <v>0</v>
      </c>
      <c r="EQ86" s="408">
        <v>0</v>
      </c>
      <c r="ER86" s="408">
        <v>0</v>
      </c>
      <c r="ES86" s="408">
        <v>0</v>
      </c>
      <c r="ET86" s="408">
        <v>0</v>
      </c>
      <c r="EU86" s="408">
        <v>0</v>
      </c>
      <c r="EV86" s="408">
        <v>238</v>
      </c>
      <c r="EW86" s="408">
        <v>0</v>
      </c>
      <c r="EX86" s="408">
        <v>0</v>
      </c>
      <c r="EY86" s="408">
        <v>0</v>
      </c>
      <c r="EZ86" s="408"/>
      <c r="FA86" s="408">
        <v>0</v>
      </c>
      <c r="FB86" s="408"/>
      <c r="FC86" s="408"/>
      <c r="FD86" s="408"/>
      <c r="FE86" s="408"/>
      <c r="FF86" s="408">
        <v>0</v>
      </c>
      <c r="FG86" s="408">
        <v>0</v>
      </c>
      <c r="FH86" s="408">
        <v>0</v>
      </c>
      <c r="FI86" s="408">
        <v>0</v>
      </c>
    </row>
    <row r="87" spans="1:165" s="857" customFormat="1">
      <c r="A87" s="408">
        <v>89</v>
      </c>
      <c r="B87" s="408" t="s">
        <v>1036</v>
      </c>
      <c r="C87" s="408" t="s">
        <v>2243</v>
      </c>
      <c r="D87" s="408" t="s">
        <v>597</v>
      </c>
      <c r="E87" s="408" t="s">
        <v>974</v>
      </c>
      <c r="F87" s="408" t="s">
        <v>1322</v>
      </c>
      <c r="G87" s="408" t="s">
        <v>1322</v>
      </c>
      <c r="H87" s="408" t="s">
        <v>1322</v>
      </c>
      <c r="I87" s="408" t="s">
        <v>973</v>
      </c>
      <c r="J87" s="408" t="s">
        <v>2236</v>
      </c>
      <c r="K87" s="824">
        <v>44409</v>
      </c>
      <c r="L87" s="408">
        <v>0</v>
      </c>
      <c r="M87" s="408">
        <v>0</v>
      </c>
      <c r="N87" s="408">
        <v>18.216999999999999</v>
      </c>
      <c r="O87" s="408">
        <v>17.488320000000002</v>
      </c>
      <c r="P87" s="408">
        <v>18.216999999999999</v>
      </c>
      <c r="Q87" s="408">
        <v>17.488320000000002</v>
      </c>
      <c r="R87" s="408"/>
      <c r="S87" s="408">
        <v>1614.19</v>
      </c>
      <c r="T87" s="408">
        <v>209.4</v>
      </c>
      <c r="U87" s="408"/>
      <c r="V87" s="408">
        <v>33220.339029999996</v>
      </c>
      <c r="W87" s="408">
        <v>33220.339029999996</v>
      </c>
      <c r="X87" s="408">
        <v>22081.736549999998</v>
      </c>
      <c r="Y87" s="408">
        <v>0</v>
      </c>
      <c r="Z87" s="408">
        <v>975.30137263728739</v>
      </c>
      <c r="AA87" s="408">
        <v>0</v>
      </c>
      <c r="AB87" s="408">
        <v>0</v>
      </c>
      <c r="AC87" s="408">
        <v>0</v>
      </c>
      <c r="AD87" s="408">
        <v>5673.1015300965937</v>
      </c>
      <c r="AE87" s="408">
        <v>21183.394636265373</v>
      </c>
      <c r="AF87" s="408">
        <v>3764.5566360751022</v>
      </c>
      <c r="AG87" s="408">
        <v>50.150762752611705</v>
      </c>
      <c r="AH87" s="408">
        <v>0</v>
      </c>
      <c r="AI87" s="408">
        <v>0</v>
      </c>
      <c r="AJ87" s="408">
        <v>0</v>
      </c>
      <c r="AK87" s="408">
        <v>0</v>
      </c>
      <c r="AL87" s="408">
        <v>173.23641316923519</v>
      </c>
      <c r="AM87" s="408"/>
      <c r="AN87" s="408">
        <v>24.18933976809242</v>
      </c>
      <c r="AO87" s="408">
        <v>440.758955515629</v>
      </c>
      <c r="AP87" s="408">
        <v>656.51706775009518</v>
      </c>
      <c r="AQ87" s="408">
        <v>0</v>
      </c>
      <c r="AR87" s="408">
        <v>0</v>
      </c>
      <c r="AS87" s="408">
        <v>0</v>
      </c>
      <c r="AT87" s="408">
        <v>0</v>
      </c>
      <c r="AU87" s="408">
        <v>0</v>
      </c>
      <c r="AV87" s="408">
        <v>0</v>
      </c>
      <c r="AW87" s="408">
        <v>0</v>
      </c>
      <c r="AX87" s="408">
        <v>0</v>
      </c>
      <c r="AY87" s="408">
        <v>0</v>
      </c>
      <c r="AZ87" s="408">
        <v>0</v>
      </c>
      <c r="BA87" s="408"/>
      <c r="BB87" s="408">
        <v>0</v>
      </c>
      <c r="BC87" s="408">
        <v>0</v>
      </c>
      <c r="BD87" s="408">
        <v>0</v>
      </c>
      <c r="BE87" s="408">
        <v>0</v>
      </c>
      <c r="BF87" s="408">
        <v>0</v>
      </c>
      <c r="BG87" s="408">
        <v>279.16525719235568</v>
      </c>
      <c r="BH87" s="408">
        <v>0</v>
      </c>
      <c r="BI87" s="408">
        <v>0</v>
      </c>
      <c r="BJ87" s="408">
        <v>0</v>
      </c>
      <c r="BK87" s="408">
        <v>0</v>
      </c>
      <c r="BL87" s="408">
        <v>0</v>
      </c>
      <c r="BM87" s="408"/>
      <c r="BN87" s="408"/>
      <c r="BO87" s="408"/>
      <c r="BP87" s="408"/>
      <c r="BQ87" s="408"/>
      <c r="BR87" s="408">
        <v>883.26946199999645</v>
      </c>
      <c r="BS87" s="408"/>
      <c r="BT87" s="408"/>
      <c r="BU87" s="408"/>
      <c r="BV87" s="408">
        <v>4043.7218932674577</v>
      </c>
      <c r="BW87" s="408"/>
      <c r="BX87" s="408"/>
      <c r="BY87" s="408"/>
      <c r="BZ87" s="408"/>
      <c r="CA87" s="408"/>
      <c r="CB87" s="408"/>
      <c r="CC87" s="408"/>
      <c r="CD87" s="408"/>
      <c r="CE87" s="408"/>
      <c r="CF87" s="408"/>
      <c r="CG87" s="408"/>
      <c r="CH87" s="408"/>
      <c r="CI87" s="408">
        <v>21200.503499999995</v>
      </c>
      <c r="CJ87" s="408">
        <v>-10691.051968800006</v>
      </c>
      <c r="CK87" s="408"/>
      <c r="CL87" s="408"/>
      <c r="CM87" s="408"/>
      <c r="CN87" s="408"/>
      <c r="CO87" s="408">
        <v>-11554.496590000001</v>
      </c>
      <c r="CP87" s="408">
        <v>415.89410999999967</v>
      </c>
      <c r="CQ87" s="408">
        <v>31</v>
      </c>
      <c r="CR87" s="408">
        <v>744.95458186722317</v>
      </c>
      <c r="CS87" s="408">
        <v>53.213723660869448</v>
      </c>
      <c r="CT87" s="408">
        <v>79.262638647985455</v>
      </c>
      <c r="CU87" s="408">
        <v>0</v>
      </c>
      <c r="CV87" s="408">
        <v>0</v>
      </c>
      <c r="CW87" s="408">
        <v>0</v>
      </c>
      <c r="CX87" s="408">
        <v>0</v>
      </c>
      <c r="CY87" s="408">
        <v>0</v>
      </c>
      <c r="CZ87" s="408">
        <v>185.97809753327056</v>
      </c>
      <c r="DA87" s="408">
        <v>0</v>
      </c>
      <c r="DB87" s="408">
        <v>0</v>
      </c>
      <c r="DC87" s="408">
        <v>415.76812352990009</v>
      </c>
      <c r="DD87" s="408">
        <v>0</v>
      </c>
      <c r="DE87" s="408">
        <v>0</v>
      </c>
      <c r="DF87" s="408">
        <v>0</v>
      </c>
      <c r="DG87" s="408">
        <v>30.831788802257847</v>
      </c>
      <c r="DH87" s="408">
        <v>0</v>
      </c>
      <c r="DI87" s="408">
        <v>-17.001573328913537</v>
      </c>
      <c r="DJ87" s="408"/>
      <c r="DK87" s="408">
        <v>0</v>
      </c>
      <c r="DL87" s="408">
        <v>0</v>
      </c>
      <c r="DM87" s="408">
        <v>0</v>
      </c>
      <c r="DN87" s="408">
        <v>0</v>
      </c>
      <c r="DO87" s="408">
        <v>-2.538948031441862</v>
      </c>
      <c r="DP87" s="408">
        <v>-0.55926894670467675</v>
      </c>
      <c r="DQ87" s="408">
        <v>0</v>
      </c>
      <c r="DR87" s="408">
        <v>0</v>
      </c>
      <c r="DS87" s="408"/>
      <c r="DT87" s="408"/>
      <c r="DU87" s="408"/>
      <c r="DV87" s="408">
        <v>21183.394636265373</v>
      </c>
      <c r="DW87" s="408">
        <v>0</v>
      </c>
      <c r="DX87" s="408">
        <v>0</v>
      </c>
      <c r="DY87" s="408">
        <v>-11554.496589999999</v>
      </c>
      <c r="DZ87" s="408">
        <v>415.89410999999927</v>
      </c>
      <c r="EA87" s="408">
        <v>0</v>
      </c>
      <c r="EB87" s="408">
        <v>0</v>
      </c>
      <c r="EC87" s="408">
        <v>-11883.666184934098</v>
      </c>
      <c r="ED87" s="408">
        <v>0</v>
      </c>
      <c r="EE87" s="408">
        <v>0</v>
      </c>
      <c r="EF87" s="408">
        <v>0</v>
      </c>
      <c r="EG87" s="408">
        <v>0</v>
      </c>
      <c r="EH87" s="408">
        <v>0</v>
      </c>
      <c r="EI87" s="408">
        <v>0</v>
      </c>
      <c r="EJ87" s="408">
        <v>0</v>
      </c>
      <c r="EK87" s="408">
        <v>0</v>
      </c>
      <c r="EL87" s="408">
        <v>0</v>
      </c>
      <c r="EM87" s="408">
        <v>0</v>
      </c>
      <c r="EN87" s="408">
        <v>0</v>
      </c>
      <c r="EO87" s="408">
        <v>0</v>
      </c>
      <c r="EP87" s="408">
        <v>0</v>
      </c>
      <c r="EQ87" s="408">
        <v>0</v>
      </c>
      <c r="ER87" s="408">
        <v>0</v>
      </c>
      <c r="ES87" s="408">
        <v>0</v>
      </c>
      <c r="ET87" s="408">
        <v>0</v>
      </c>
      <c r="EU87" s="408">
        <v>0</v>
      </c>
      <c r="EV87" s="408">
        <v>238</v>
      </c>
      <c r="EW87" s="408">
        <v>0</v>
      </c>
      <c r="EX87" s="408">
        <v>0</v>
      </c>
      <c r="EY87" s="408">
        <v>0</v>
      </c>
      <c r="EZ87" s="408"/>
      <c r="FA87" s="408">
        <v>0</v>
      </c>
      <c r="FB87" s="408"/>
      <c r="FC87" s="408"/>
      <c r="FD87" s="408"/>
      <c r="FE87" s="408"/>
      <c r="FF87" s="408">
        <v>0</v>
      </c>
      <c r="FG87" s="408">
        <v>0</v>
      </c>
      <c r="FH87" s="408">
        <v>0</v>
      </c>
      <c r="FI87" s="408">
        <v>0</v>
      </c>
    </row>
    <row r="88" spans="1:165" s="857" customFormat="1">
      <c r="A88" s="408">
        <v>91</v>
      </c>
      <c r="B88" s="408" t="s">
        <v>1036</v>
      </c>
      <c r="C88" s="408" t="s">
        <v>2243</v>
      </c>
      <c r="D88" s="408" t="s">
        <v>597</v>
      </c>
      <c r="E88" s="408" t="s">
        <v>974</v>
      </c>
      <c r="F88" s="408" t="s">
        <v>1322</v>
      </c>
      <c r="G88" s="408" t="s">
        <v>1322</v>
      </c>
      <c r="H88" s="408" t="s">
        <v>1322</v>
      </c>
      <c r="I88" s="408" t="s">
        <v>2244</v>
      </c>
      <c r="J88" s="408" t="s">
        <v>2236</v>
      </c>
      <c r="K88" s="824">
        <v>44409</v>
      </c>
      <c r="L88" s="408">
        <v>0</v>
      </c>
      <c r="M88" s="408">
        <v>0</v>
      </c>
      <c r="N88" s="408">
        <v>168.06299999999999</v>
      </c>
      <c r="O88" s="408">
        <v>161.34048000000001</v>
      </c>
      <c r="P88" s="408">
        <v>168.06299999999999</v>
      </c>
      <c r="Q88" s="408">
        <v>161.34048000000001</v>
      </c>
      <c r="R88" s="408"/>
      <c r="S88" s="408">
        <v>79.7</v>
      </c>
      <c r="T88" s="408">
        <v>209.4</v>
      </c>
      <c r="U88" s="408"/>
      <c r="V88" s="408">
        <v>48587.013300000006</v>
      </c>
      <c r="W88" s="408">
        <v>48587.013300000006</v>
      </c>
      <c r="X88" s="408">
        <v>52523.048759999998</v>
      </c>
      <c r="Y88" s="408">
        <v>0</v>
      </c>
      <c r="Z88" s="408">
        <v>8997.7534494999418</v>
      </c>
      <c r="AA88" s="408">
        <v>0</v>
      </c>
      <c r="AB88" s="408">
        <v>0</v>
      </c>
      <c r="AC88" s="408">
        <v>0</v>
      </c>
      <c r="AD88" s="408">
        <v>0</v>
      </c>
      <c r="AE88" s="408">
        <v>0</v>
      </c>
      <c r="AF88" s="408">
        <v>34730.34428987703</v>
      </c>
      <c r="AG88" s="408">
        <v>462.67155077631776</v>
      </c>
      <c r="AH88" s="408">
        <v>0</v>
      </c>
      <c r="AI88" s="408">
        <v>0</v>
      </c>
      <c r="AJ88" s="408">
        <v>0</v>
      </c>
      <c r="AK88" s="408">
        <v>0</v>
      </c>
      <c r="AL88" s="408">
        <v>1598.2121812845789</v>
      </c>
      <c r="AM88" s="408"/>
      <c r="AN88" s="408">
        <v>223.16149802080014</v>
      </c>
      <c r="AO88" s="408">
        <v>0</v>
      </c>
      <c r="AP88" s="408">
        <v>0</v>
      </c>
      <c r="AQ88" s="408">
        <v>0</v>
      </c>
      <c r="AR88" s="408">
        <v>0</v>
      </c>
      <c r="AS88" s="408">
        <v>0</v>
      </c>
      <c r="AT88" s="408">
        <v>0</v>
      </c>
      <c r="AU88" s="408">
        <v>0</v>
      </c>
      <c r="AV88" s="408">
        <v>0</v>
      </c>
      <c r="AW88" s="408">
        <v>0</v>
      </c>
      <c r="AX88" s="408">
        <v>0</v>
      </c>
      <c r="AY88" s="408">
        <v>0</v>
      </c>
      <c r="AZ88" s="408">
        <v>0</v>
      </c>
      <c r="BA88" s="408"/>
      <c r="BB88" s="408">
        <v>0</v>
      </c>
      <c r="BC88" s="408">
        <v>0</v>
      </c>
      <c r="BD88" s="408">
        <v>0</v>
      </c>
      <c r="BE88" s="408">
        <v>0</v>
      </c>
      <c r="BF88" s="408">
        <v>0</v>
      </c>
      <c r="BG88" s="408">
        <v>2575.4707481758178</v>
      </c>
      <c r="BH88" s="408">
        <v>0</v>
      </c>
      <c r="BI88" s="408">
        <v>0</v>
      </c>
      <c r="BJ88" s="408">
        <v>0</v>
      </c>
      <c r="BK88" s="408">
        <v>0</v>
      </c>
      <c r="BL88" s="408">
        <v>0</v>
      </c>
      <c r="BM88" s="408"/>
      <c r="BN88" s="408"/>
      <c r="BO88" s="408"/>
      <c r="BP88" s="408"/>
      <c r="BQ88" s="408"/>
      <c r="BR88" s="408">
        <v>2100.9219503999921</v>
      </c>
      <c r="BS88" s="408"/>
      <c r="BT88" s="408"/>
      <c r="BU88" s="408"/>
      <c r="BV88" s="408">
        <v>37305.815038052846</v>
      </c>
      <c r="BW88" s="408"/>
      <c r="BX88" s="408"/>
      <c r="BY88" s="408"/>
      <c r="BZ88" s="408"/>
      <c r="CA88" s="408"/>
      <c r="CB88" s="408"/>
      <c r="CC88" s="408"/>
      <c r="CD88" s="408"/>
      <c r="CE88" s="408"/>
      <c r="CF88" s="408"/>
      <c r="CG88" s="408"/>
      <c r="CH88" s="408"/>
      <c r="CI88" s="408">
        <v>50421.976800000004</v>
      </c>
      <c r="CJ88" s="408">
        <v>3778.4140319999933</v>
      </c>
      <c r="CK88" s="408"/>
      <c r="CL88" s="408"/>
      <c r="CM88" s="408"/>
      <c r="CN88" s="408"/>
      <c r="CO88" s="408">
        <v>99.157170000000562</v>
      </c>
      <c r="CP88" s="408">
        <v>3836.8782899999969</v>
      </c>
      <c r="CQ88" s="408">
        <v>31</v>
      </c>
      <c r="CR88" s="408">
        <v>3934.7252570623023</v>
      </c>
      <c r="CS88" s="408">
        <v>0</v>
      </c>
      <c r="CT88" s="408">
        <v>0</v>
      </c>
      <c r="CU88" s="408">
        <v>0</v>
      </c>
      <c r="CV88" s="408">
        <v>0</v>
      </c>
      <c r="CW88" s="408">
        <v>0</v>
      </c>
      <c r="CX88" s="408">
        <v>0</v>
      </c>
      <c r="CY88" s="408">
        <v>0</v>
      </c>
      <c r="CZ88" s="408">
        <v>0</v>
      </c>
      <c r="DA88" s="408">
        <v>0</v>
      </c>
      <c r="DB88" s="408">
        <v>0</v>
      </c>
      <c r="DC88" s="408">
        <v>3835.7159875284415</v>
      </c>
      <c r="DD88" s="408">
        <v>0</v>
      </c>
      <c r="DE88" s="408">
        <v>0</v>
      </c>
      <c r="DF88" s="408">
        <v>0</v>
      </c>
      <c r="DG88" s="408">
        <v>284.44216509161015</v>
      </c>
      <c r="DH88" s="408">
        <v>0</v>
      </c>
      <c r="DI88" s="408">
        <v>-156.84994337032367</v>
      </c>
      <c r="DJ88" s="408"/>
      <c r="DK88" s="408">
        <v>0</v>
      </c>
      <c r="DL88" s="408">
        <v>0</v>
      </c>
      <c r="DM88" s="408">
        <v>0</v>
      </c>
      <c r="DN88" s="408">
        <v>0</v>
      </c>
      <c r="DO88" s="408">
        <v>-23.423353077247384</v>
      </c>
      <c r="DP88" s="408">
        <v>-5.1595991101733318</v>
      </c>
      <c r="DQ88" s="408">
        <v>0</v>
      </c>
      <c r="DR88" s="408">
        <v>0</v>
      </c>
      <c r="DS88" s="408"/>
      <c r="DT88" s="408"/>
      <c r="DU88" s="408"/>
      <c r="DV88" s="408">
        <v>0</v>
      </c>
      <c r="DW88" s="408">
        <v>0</v>
      </c>
      <c r="DX88" s="408">
        <v>0</v>
      </c>
      <c r="DY88" s="408">
        <v>99.157170000000406</v>
      </c>
      <c r="DZ88" s="408">
        <v>3836.8782899999933</v>
      </c>
      <c r="EA88" s="408">
        <v>0</v>
      </c>
      <c r="EB88" s="408">
        <v>0</v>
      </c>
      <c r="EC88" s="408">
        <v>0</v>
      </c>
      <c r="ED88" s="408">
        <v>0</v>
      </c>
      <c r="EE88" s="408">
        <v>0</v>
      </c>
      <c r="EF88" s="408">
        <v>0</v>
      </c>
      <c r="EG88" s="408">
        <v>0</v>
      </c>
      <c r="EH88" s="408">
        <v>0</v>
      </c>
      <c r="EI88" s="408">
        <v>0</v>
      </c>
      <c r="EJ88" s="408">
        <v>0</v>
      </c>
      <c r="EK88" s="408">
        <v>0</v>
      </c>
      <c r="EL88" s="408">
        <v>0</v>
      </c>
      <c r="EM88" s="408">
        <v>0</v>
      </c>
      <c r="EN88" s="408">
        <v>0</v>
      </c>
      <c r="EO88" s="408">
        <v>0</v>
      </c>
      <c r="EP88" s="408">
        <v>0</v>
      </c>
      <c r="EQ88" s="408">
        <v>0</v>
      </c>
      <c r="ER88" s="408">
        <v>0</v>
      </c>
      <c r="ES88" s="408">
        <v>0</v>
      </c>
      <c r="ET88" s="408">
        <v>0</v>
      </c>
      <c r="EU88" s="408">
        <v>0</v>
      </c>
      <c r="EV88" s="408">
        <v>238</v>
      </c>
      <c r="EW88" s="408">
        <v>0</v>
      </c>
      <c r="EX88" s="408">
        <v>0</v>
      </c>
      <c r="EY88" s="408">
        <v>0</v>
      </c>
      <c r="EZ88" s="408"/>
      <c r="FA88" s="408">
        <v>0</v>
      </c>
      <c r="FB88" s="408"/>
      <c r="FC88" s="408"/>
      <c r="FD88" s="408"/>
      <c r="FE88" s="408"/>
      <c r="FF88" s="408">
        <v>0</v>
      </c>
      <c r="FG88" s="408">
        <v>0</v>
      </c>
      <c r="FH88" s="408">
        <v>0</v>
      </c>
      <c r="FI88" s="408">
        <v>0</v>
      </c>
    </row>
    <row r="89" spans="1:165" s="857" customFormat="1">
      <c r="A89" s="408">
        <v>93</v>
      </c>
      <c r="B89" s="408" t="s">
        <v>1036</v>
      </c>
      <c r="C89" s="408" t="s">
        <v>2243</v>
      </c>
      <c r="D89" s="408" t="s">
        <v>597</v>
      </c>
      <c r="E89" s="408" t="s">
        <v>974</v>
      </c>
      <c r="F89" s="408" t="s">
        <v>1322</v>
      </c>
      <c r="G89" s="408" t="s">
        <v>1322</v>
      </c>
      <c r="H89" s="408" t="s">
        <v>1322</v>
      </c>
      <c r="I89" s="408" t="s">
        <v>1322</v>
      </c>
      <c r="J89" s="408" t="s">
        <v>2236</v>
      </c>
      <c r="K89" s="824">
        <v>44409</v>
      </c>
      <c r="L89" s="408">
        <v>1598</v>
      </c>
      <c r="M89" s="408">
        <v>1534.08</v>
      </c>
      <c r="N89" s="408">
        <v>0</v>
      </c>
      <c r="O89" s="408">
        <v>0</v>
      </c>
      <c r="P89" s="408">
        <v>0</v>
      </c>
      <c r="Q89" s="408">
        <v>0</v>
      </c>
      <c r="R89" s="408">
        <v>44.35</v>
      </c>
      <c r="S89" s="408"/>
      <c r="T89" s="408"/>
      <c r="U89" s="408">
        <v>70871.3</v>
      </c>
      <c r="V89" s="408"/>
      <c r="W89" s="408">
        <v>70871.3</v>
      </c>
      <c r="X89" s="408">
        <v>46294.06</v>
      </c>
      <c r="Y89" s="408">
        <v>0</v>
      </c>
      <c r="Z89" s="408">
        <v>0</v>
      </c>
      <c r="AA89" s="408">
        <v>0</v>
      </c>
      <c r="AB89" s="408">
        <v>0</v>
      </c>
      <c r="AC89" s="408">
        <v>0</v>
      </c>
      <c r="AD89" s="408">
        <v>20969.057773560307</v>
      </c>
      <c r="AE89" s="408">
        <v>45891.118364622103</v>
      </c>
      <c r="AF89" s="408"/>
      <c r="AG89" s="408"/>
      <c r="AH89" s="408"/>
      <c r="AI89" s="408">
        <v>0</v>
      </c>
      <c r="AJ89" s="408">
        <v>0</v>
      </c>
      <c r="AK89" s="408">
        <v>0</v>
      </c>
      <c r="AL89" s="408">
        <v>0</v>
      </c>
      <c r="AM89" s="408"/>
      <c r="AN89" s="408">
        <v>0</v>
      </c>
      <c r="AO89" s="408">
        <v>1584.7696652742252</v>
      </c>
      <c r="AP89" s="408">
        <v>2424.6316466662238</v>
      </c>
      <c r="AQ89" s="408">
        <v>0</v>
      </c>
      <c r="AR89" s="408">
        <v>0</v>
      </c>
      <c r="AS89" s="408"/>
      <c r="AT89" s="408"/>
      <c r="AU89" s="408">
        <v>0</v>
      </c>
      <c r="AV89" s="408">
        <v>0</v>
      </c>
      <c r="AW89" s="408">
        <v>0</v>
      </c>
      <c r="AX89" s="408"/>
      <c r="AY89" s="408"/>
      <c r="AZ89" s="408">
        <v>0</v>
      </c>
      <c r="BA89" s="408"/>
      <c r="BB89" s="408">
        <v>0</v>
      </c>
      <c r="BC89" s="408">
        <v>0</v>
      </c>
      <c r="BD89" s="408">
        <v>0</v>
      </c>
      <c r="BE89" s="408">
        <v>0</v>
      </c>
      <c r="BF89" s="408"/>
      <c r="BG89" s="408">
        <v>0</v>
      </c>
      <c r="BH89" s="408">
        <v>0</v>
      </c>
      <c r="BI89" s="408">
        <v>137.44999999999999</v>
      </c>
      <c r="BJ89" s="408">
        <v>660.26</v>
      </c>
      <c r="BK89" s="408">
        <v>114.59</v>
      </c>
      <c r="BL89" s="408">
        <v>17</v>
      </c>
      <c r="BM89" s="408"/>
      <c r="BN89" s="408"/>
      <c r="BO89" s="408"/>
      <c r="BP89" s="408"/>
      <c r="BQ89" s="408"/>
      <c r="BR89" s="408">
        <v>1851.7624000000021</v>
      </c>
      <c r="BS89" s="408"/>
      <c r="BT89" s="408"/>
      <c r="BU89" s="408"/>
      <c r="BV89" s="408">
        <v>0</v>
      </c>
      <c r="BW89" s="408"/>
      <c r="BX89" s="408"/>
      <c r="BY89" s="408"/>
      <c r="BZ89" s="408"/>
      <c r="CA89" s="408"/>
      <c r="CB89" s="408"/>
      <c r="CC89" s="408"/>
      <c r="CD89" s="408"/>
      <c r="CE89" s="408"/>
      <c r="CF89" s="408"/>
      <c r="CG89" s="408"/>
      <c r="CH89" s="408"/>
      <c r="CI89" s="408">
        <v>44442.297599999998</v>
      </c>
      <c r="CJ89" s="408">
        <v>-23594.18039999999</v>
      </c>
      <c r="CK89" s="408"/>
      <c r="CL89" s="408"/>
      <c r="CM89" s="408"/>
      <c r="CN89" s="408"/>
      <c r="CO89" s="408">
        <v>-24577.240000000005</v>
      </c>
      <c r="CP89" s="408">
        <v>0</v>
      </c>
      <c r="CQ89" s="408">
        <v>31</v>
      </c>
      <c r="CR89" s="408">
        <v>1171.4799917842138</v>
      </c>
      <c r="CS89" s="408">
        <v>191.33245956483279</v>
      </c>
      <c r="CT89" s="408">
        <v>292.73070191882425</v>
      </c>
      <c r="CU89" s="408">
        <v>0</v>
      </c>
      <c r="CV89" s="408">
        <v>0</v>
      </c>
      <c r="CW89" s="408"/>
      <c r="CX89" s="408"/>
      <c r="CY89" s="408"/>
      <c r="CZ89" s="408">
        <v>687.41683030055719</v>
      </c>
      <c r="DA89" s="408">
        <v>0</v>
      </c>
      <c r="DB89" s="408">
        <v>0</v>
      </c>
      <c r="DC89" s="408"/>
      <c r="DD89" s="408"/>
      <c r="DE89" s="408">
        <v>0</v>
      </c>
      <c r="DF89" s="408">
        <v>0</v>
      </c>
      <c r="DG89" s="408">
        <v>0</v>
      </c>
      <c r="DH89" s="408">
        <v>0</v>
      </c>
      <c r="DI89" s="408">
        <v>0</v>
      </c>
      <c r="DJ89" s="408"/>
      <c r="DK89" s="408">
        <v>0</v>
      </c>
      <c r="DL89" s="408">
        <v>0</v>
      </c>
      <c r="DM89" s="408"/>
      <c r="DN89" s="408">
        <v>0</v>
      </c>
      <c r="DO89" s="408">
        <v>0</v>
      </c>
      <c r="DP89" s="408">
        <v>0</v>
      </c>
      <c r="DQ89" s="408">
        <v>0</v>
      </c>
      <c r="DR89" s="408">
        <v>0</v>
      </c>
      <c r="DS89" s="408"/>
      <c r="DT89" s="408"/>
      <c r="DU89" s="408">
        <v>45891.118364622103</v>
      </c>
      <c r="DV89" s="408"/>
      <c r="DW89" s="408">
        <v>0</v>
      </c>
      <c r="DX89" s="408">
        <v>0</v>
      </c>
      <c r="DY89" s="408">
        <v>-24577.240000000005</v>
      </c>
      <c r="DZ89" s="408"/>
      <c r="EA89" s="408">
        <v>0</v>
      </c>
      <c r="EB89" s="408"/>
      <c r="EC89" s="408">
        <v>-25744.444687105719</v>
      </c>
      <c r="ED89" s="408"/>
      <c r="EE89" s="408">
        <v>0</v>
      </c>
      <c r="EF89" s="408">
        <v>0</v>
      </c>
      <c r="EG89" s="408"/>
      <c r="EH89" s="408">
        <v>0</v>
      </c>
      <c r="EI89" s="408">
        <v>0</v>
      </c>
      <c r="EJ89" s="408">
        <v>0</v>
      </c>
      <c r="EK89" s="408">
        <v>0</v>
      </c>
      <c r="EL89" s="408">
        <v>0</v>
      </c>
      <c r="EM89" s="408"/>
      <c r="EN89" s="408"/>
      <c r="EO89" s="408">
        <v>0</v>
      </c>
      <c r="EP89" s="408">
        <v>0</v>
      </c>
      <c r="EQ89" s="408"/>
      <c r="ER89" s="408">
        <v>0</v>
      </c>
      <c r="ES89" s="408"/>
      <c r="ET89" s="408">
        <v>0</v>
      </c>
      <c r="EU89" s="408"/>
      <c r="EV89" s="408">
        <v>238</v>
      </c>
      <c r="EW89" s="408"/>
      <c r="EX89" s="408"/>
      <c r="EY89" s="408"/>
      <c r="EZ89" s="408"/>
      <c r="FA89" s="408">
        <v>0</v>
      </c>
      <c r="FB89" s="408"/>
      <c r="FC89" s="408"/>
      <c r="FD89" s="408"/>
      <c r="FE89" s="408"/>
      <c r="FF89" s="408">
        <v>0</v>
      </c>
      <c r="FG89" s="408">
        <v>0</v>
      </c>
      <c r="FH89" s="408">
        <v>0</v>
      </c>
      <c r="FI89" s="408">
        <v>0</v>
      </c>
    </row>
    <row r="90" spans="1:165" s="857" customFormat="1">
      <c r="A90" s="408">
        <v>94</v>
      </c>
      <c r="B90" s="408" t="s">
        <v>2238</v>
      </c>
      <c r="C90" s="408" t="s">
        <v>2243</v>
      </c>
      <c r="D90" s="408" t="s">
        <v>597</v>
      </c>
      <c r="E90" s="408" t="s">
        <v>974</v>
      </c>
      <c r="F90" s="408" t="s">
        <v>1322</v>
      </c>
      <c r="G90" s="408" t="s">
        <v>1322</v>
      </c>
      <c r="H90" s="408" t="s">
        <v>1322</v>
      </c>
      <c r="I90" s="408" t="s">
        <v>1322</v>
      </c>
      <c r="J90" s="408" t="s">
        <v>2236</v>
      </c>
      <c r="K90" s="824">
        <v>44409</v>
      </c>
      <c r="L90" s="408">
        <v>527</v>
      </c>
      <c r="M90" s="408">
        <v>505.92</v>
      </c>
      <c r="N90" s="408">
        <v>0</v>
      </c>
      <c r="O90" s="408">
        <v>0</v>
      </c>
      <c r="P90" s="408">
        <v>0</v>
      </c>
      <c r="Q90" s="408">
        <v>0</v>
      </c>
      <c r="R90" s="408">
        <v>44.35</v>
      </c>
      <c r="S90" s="408"/>
      <c r="T90" s="408"/>
      <c r="U90" s="408">
        <v>23372.45</v>
      </c>
      <c r="V90" s="408"/>
      <c r="W90" s="408">
        <v>23372.45</v>
      </c>
      <c r="X90" s="408">
        <v>15267.189999999999</v>
      </c>
      <c r="Y90" s="408">
        <v>0</v>
      </c>
      <c r="Z90" s="408">
        <v>0</v>
      </c>
      <c r="AA90" s="408">
        <v>0</v>
      </c>
      <c r="AB90" s="408">
        <v>0</v>
      </c>
      <c r="AC90" s="408">
        <v>0</v>
      </c>
      <c r="AD90" s="408">
        <v>6915.3275636209528</v>
      </c>
      <c r="AE90" s="408">
        <v>15134.304992588142</v>
      </c>
      <c r="AF90" s="408"/>
      <c r="AG90" s="408"/>
      <c r="AH90" s="408"/>
      <c r="AI90" s="408">
        <v>0</v>
      </c>
      <c r="AJ90" s="408">
        <v>0</v>
      </c>
      <c r="AK90" s="408">
        <v>0</v>
      </c>
      <c r="AL90" s="408">
        <v>0</v>
      </c>
      <c r="AM90" s="408"/>
      <c r="AN90" s="408">
        <v>0</v>
      </c>
      <c r="AO90" s="408">
        <v>522.63680450532956</v>
      </c>
      <c r="AP90" s="408">
        <v>799.61256432609503</v>
      </c>
      <c r="AQ90" s="408">
        <v>0</v>
      </c>
      <c r="AR90" s="408">
        <v>0</v>
      </c>
      <c r="AS90" s="408"/>
      <c r="AT90" s="408"/>
      <c r="AU90" s="408">
        <v>0</v>
      </c>
      <c r="AV90" s="408">
        <v>0</v>
      </c>
      <c r="AW90" s="408">
        <v>0</v>
      </c>
      <c r="AX90" s="408"/>
      <c r="AY90" s="408"/>
      <c r="AZ90" s="408">
        <v>0</v>
      </c>
      <c r="BA90" s="408"/>
      <c r="BB90" s="408">
        <v>0</v>
      </c>
      <c r="BC90" s="408">
        <v>0</v>
      </c>
      <c r="BD90" s="408">
        <v>0</v>
      </c>
      <c r="BE90" s="408">
        <v>0</v>
      </c>
      <c r="BF90" s="408"/>
      <c r="BG90" s="408">
        <v>0</v>
      </c>
      <c r="BH90" s="408">
        <v>0</v>
      </c>
      <c r="BI90" s="408">
        <v>18.62</v>
      </c>
      <c r="BJ90" s="408">
        <v>89.53</v>
      </c>
      <c r="BK90" s="408">
        <v>20.52</v>
      </c>
      <c r="BL90" s="408">
        <v>7</v>
      </c>
      <c r="BM90" s="408"/>
      <c r="BN90" s="408"/>
      <c r="BO90" s="408"/>
      <c r="BP90" s="408"/>
      <c r="BQ90" s="408"/>
      <c r="BR90" s="408">
        <v>610.68759999999952</v>
      </c>
      <c r="BS90" s="408"/>
      <c r="BT90" s="408"/>
      <c r="BU90" s="408"/>
      <c r="BV90" s="408">
        <v>0</v>
      </c>
      <c r="BW90" s="408"/>
      <c r="BX90" s="408"/>
      <c r="BY90" s="408"/>
      <c r="BZ90" s="408"/>
      <c r="CA90" s="408"/>
      <c r="CB90" s="408"/>
      <c r="CC90" s="408"/>
      <c r="CD90" s="408"/>
      <c r="CE90" s="408"/>
      <c r="CF90" s="408"/>
      <c r="CG90" s="408"/>
      <c r="CH90" s="408"/>
      <c r="CI90" s="408">
        <v>14656.502399999999</v>
      </c>
      <c r="CJ90" s="408">
        <v>-7781.0795999999955</v>
      </c>
      <c r="CK90" s="408"/>
      <c r="CL90" s="408"/>
      <c r="CM90" s="408"/>
      <c r="CN90" s="408"/>
      <c r="CO90" s="408">
        <v>-8105.2600000000011</v>
      </c>
      <c r="CP90" s="408">
        <v>0</v>
      </c>
      <c r="CQ90" s="408">
        <v>31</v>
      </c>
      <c r="CR90" s="408">
        <v>386.33914622671</v>
      </c>
      <c r="CS90" s="408">
        <v>63.099002622444914</v>
      </c>
      <c r="CT90" s="408">
        <v>96.538848505144301</v>
      </c>
      <c r="CU90" s="408">
        <v>0</v>
      </c>
      <c r="CV90" s="408">
        <v>0</v>
      </c>
      <c r="CW90" s="408"/>
      <c r="CX90" s="408"/>
      <c r="CY90" s="408"/>
      <c r="CZ90" s="408">
        <v>226.70129509912022</v>
      </c>
      <c r="DA90" s="408">
        <v>0</v>
      </c>
      <c r="DB90" s="408">
        <v>0</v>
      </c>
      <c r="DC90" s="408"/>
      <c r="DD90" s="408"/>
      <c r="DE90" s="408">
        <v>0</v>
      </c>
      <c r="DF90" s="408">
        <v>0</v>
      </c>
      <c r="DG90" s="408">
        <v>0</v>
      </c>
      <c r="DH90" s="408">
        <v>0</v>
      </c>
      <c r="DI90" s="408">
        <v>0</v>
      </c>
      <c r="DJ90" s="408"/>
      <c r="DK90" s="408">
        <v>0</v>
      </c>
      <c r="DL90" s="408">
        <v>0</v>
      </c>
      <c r="DM90" s="408"/>
      <c r="DN90" s="408">
        <v>0</v>
      </c>
      <c r="DO90" s="408">
        <v>0</v>
      </c>
      <c r="DP90" s="408">
        <v>0</v>
      </c>
      <c r="DQ90" s="408">
        <v>0</v>
      </c>
      <c r="DR90" s="408">
        <v>0</v>
      </c>
      <c r="DS90" s="408"/>
      <c r="DT90" s="408"/>
      <c r="DU90" s="408">
        <v>15134.304992588142</v>
      </c>
      <c r="DV90" s="408"/>
      <c r="DW90" s="408">
        <v>0</v>
      </c>
      <c r="DX90" s="408">
        <v>0</v>
      </c>
      <c r="DY90" s="408">
        <v>-8105.260000000002</v>
      </c>
      <c r="DZ90" s="408"/>
      <c r="EA90" s="408">
        <v>0</v>
      </c>
      <c r="EB90" s="408"/>
      <c r="EC90" s="408">
        <v>-8490.1892053221018</v>
      </c>
      <c r="ED90" s="408"/>
      <c r="EE90" s="408">
        <v>0</v>
      </c>
      <c r="EF90" s="408">
        <v>0</v>
      </c>
      <c r="EG90" s="408"/>
      <c r="EH90" s="408">
        <v>0</v>
      </c>
      <c r="EI90" s="408">
        <v>0</v>
      </c>
      <c r="EJ90" s="408">
        <v>0</v>
      </c>
      <c r="EK90" s="408">
        <v>0</v>
      </c>
      <c r="EL90" s="408">
        <v>0</v>
      </c>
      <c r="EM90" s="408"/>
      <c r="EN90" s="408"/>
      <c r="EO90" s="408">
        <v>0</v>
      </c>
      <c r="EP90" s="408">
        <v>0</v>
      </c>
      <c r="EQ90" s="408"/>
      <c r="ER90" s="408">
        <v>0</v>
      </c>
      <c r="ES90" s="408"/>
      <c r="ET90" s="408">
        <v>0</v>
      </c>
      <c r="EU90" s="408"/>
      <c r="EV90" s="408">
        <v>238</v>
      </c>
      <c r="EW90" s="408"/>
      <c r="EX90" s="408"/>
      <c r="EY90" s="408"/>
      <c r="EZ90" s="408"/>
      <c r="FA90" s="408">
        <v>0</v>
      </c>
      <c r="FB90" s="408"/>
      <c r="FC90" s="408"/>
      <c r="FD90" s="408"/>
      <c r="FE90" s="408"/>
      <c r="FF90" s="408">
        <v>0</v>
      </c>
      <c r="FG90" s="408">
        <v>0</v>
      </c>
      <c r="FH90" s="408">
        <v>0</v>
      </c>
      <c r="FI90" s="408">
        <v>0</v>
      </c>
    </row>
    <row r="91" spans="1:165" s="857" customFormat="1">
      <c r="A91" s="408">
        <v>95</v>
      </c>
      <c r="B91" s="408" t="s">
        <v>1036</v>
      </c>
      <c r="C91" s="408" t="s">
        <v>2235</v>
      </c>
      <c r="D91" s="408" t="s">
        <v>1958</v>
      </c>
      <c r="E91" s="408" t="s">
        <v>2246</v>
      </c>
      <c r="F91" s="408" t="s">
        <v>1322</v>
      </c>
      <c r="G91" s="408" t="s">
        <v>1322</v>
      </c>
      <c r="H91" s="408" t="s">
        <v>1322</v>
      </c>
      <c r="I91" s="408" t="s">
        <v>1322</v>
      </c>
      <c r="J91" s="408" t="s">
        <v>2236</v>
      </c>
      <c r="K91" s="824">
        <v>44409</v>
      </c>
      <c r="L91" s="408">
        <v>0</v>
      </c>
      <c r="M91" s="408">
        <v>0</v>
      </c>
      <c r="N91" s="408">
        <v>239.22200000000001</v>
      </c>
      <c r="O91" s="408">
        <v>239.22200000000001</v>
      </c>
      <c r="P91" s="408">
        <v>239.22200000000001</v>
      </c>
      <c r="Q91" s="408">
        <v>239.22200000000001</v>
      </c>
      <c r="R91" s="408"/>
      <c r="S91" s="408">
        <v>581.32000000000005</v>
      </c>
      <c r="T91" s="408">
        <v>209.4</v>
      </c>
      <c r="U91" s="408"/>
      <c r="V91" s="408">
        <v>189157.61984</v>
      </c>
      <c r="W91" s="408">
        <v>189157.61984</v>
      </c>
      <c r="X91" s="408">
        <v>144506.83353999999</v>
      </c>
      <c r="Y91" s="408">
        <v>0</v>
      </c>
      <c r="Z91" s="408">
        <v>14721.221302385673</v>
      </c>
      <c r="AA91" s="408">
        <v>0</v>
      </c>
      <c r="AB91" s="408">
        <v>0</v>
      </c>
      <c r="AC91" s="408">
        <v>0</v>
      </c>
      <c r="AD91" s="408">
        <v>17748.154040344336</v>
      </c>
      <c r="AE91" s="408">
        <v>92197.429520901977</v>
      </c>
      <c r="AF91" s="408">
        <v>49435.404709620583</v>
      </c>
      <c r="AG91" s="408">
        <v>658.56978466296744</v>
      </c>
      <c r="AH91" s="408">
        <v>0</v>
      </c>
      <c r="AI91" s="408">
        <v>0</v>
      </c>
      <c r="AJ91" s="408">
        <v>0</v>
      </c>
      <c r="AK91" s="408">
        <v>0</v>
      </c>
      <c r="AL91" s="408">
        <v>2274.9059247500022</v>
      </c>
      <c r="AM91" s="408"/>
      <c r="AN91" s="408">
        <v>436.09316956121393</v>
      </c>
      <c r="AO91" s="408">
        <v>1363.4411899714512</v>
      </c>
      <c r="AP91" s="408">
        <v>2053.7663151218885</v>
      </c>
      <c r="AQ91" s="408">
        <v>0</v>
      </c>
      <c r="AR91" s="408">
        <v>0</v>
      </c>
      <c r="AS91" s="408">
        <v>0</v>
      </c>
      <c r="AT91" s="408">
        <v>0</v>
      </c>
      <c r="AU91" s="408">
        <v>0</v>
      </c>
      <c r="AV91" s="408">
        <v>0</v>
      </c>
      <c r="AW91" s="408">
        <v>0</v>
      </c>
      <c r="AX91" s="408">
        <v>0</v>
      </c>
      <c r="AY91" s="408">
        <v>0</v>
      </c>
      <c r="AZ91" s="408">
        <v>0</v>
      </c>
      <c r="BA91" s="408"/>
      <c r="BB91" s="408">
        <v>0</v>
      </c>
      <c r="BC91" s="408">
        <v>0</v>
      </c>
      <c r="BD91" s="408">
        <v>0</v>
      </c>
      <c r="BE91" s="408">
        <v>0</v>
      </c>
      <c r="BF91" s="408">
        <v>0</v>
      </c>
      <c r="BG91" s="408">
        <v>8270.4507932554479</v>
      </c>
      <c r="BH91" s="408">
        <v>0</v>
      </c>
      <c r="BI91" s="408">
        <v>234.2</v>
      </c>
      <c r="BJ91" s="408">
        <v>1131.78</v>
      </c>
      <c r="BK91" s="408">
        <v>64625.21</v>
      </c>
      <c r="BL91" s="408">
        <v>478</v>
      </c>
      <c r="BM91" s="408"/>
      <c r="BN91" s="408"/>
      <c r="BO91" s="408"/>
      <c r="BP91" s="408"/>
      <c r="BQ91" s="408"/>
      <c r="BR91" s="408"/>
      <c r="BS91" s="408"/>
      <c r="BT91" s="408"/>
      <c r="BU91" s="408"/>
      <c r="BV91" s="408">
        <v>57705.855502876031</v>
      </c>
      <c r="BW91" s="408"/>
      <c r="BX91" s="408"/>
      <c r="BY91" s="408"/>
      <c r="BZ91" s="408"/>
      <c r="CA91" s="408"/>
      <c r="CB91" s="408"/>
      <c r="CC91" s="408"/>
      <c r="CD91" s="408"/>
      <c r="CE91" s="408"/>
      <c r="CF91" s="408"/>
      <c r="CG91" s="408"/>
      <c r="CH91" s="408"/>
      <c r="CI91" s="408">
        <v>144505.62539999999</v>
      </c>
      <c r="CJ91" s="408">
        <v>-44652.024440000037</v>
      </c>
      <c r="CK91" s="408"/>
      <c r="CL91" s="408"/>
      <c r="CM91" s="408"/>
      <c r="CN91" s="408"/>
      <c r="CO91" s="408">
        <v>-50112.224560000017</v>
      </c>
      <c r="CP91" s="408">
        <v>5461.4382599999963</v>
      </c>
      <c r="CQ91" s="408">
        <v>31</v>
      </c>
      <c r="CR91" s="408">
        <v>7067.5438387721952</v>
      </c>
      <c r="CS91" s="408">
        <v>164.61102333385702</v>
      </c>
      <c r="CT91" s="408">
        <v>247.95537739907422</v>
      </c>
      <c r="CU91" s="408">
        <v>0</v>
      </c>
      <c r="CV91" s="408">
        <v>0</v>
      </c>
      <c r="CW91" s="408">
        <v>0</v>
      </c>
      <c r="CX91" s="408">
        <v>0</v>
      </c>
      <c r="CY91" s="408">
        <v>0</v>
      </c>
      <c r="CZ91" s="408">
        <v>581.82775429622779</v>
      </c>
      <c r="DA91" s="408">
        <v>0</v>
      </c>
      <c r="DB91" s="408">
        <v>0</v>
      </c>
      <c r="DC91" s="408">
        <v>5459.7838308760911</v>
      </c>
      <c r="DD91" s="408">
        <v>0</v>
      </c>
      <c r="DE91" s="408">
        <v>0</v>
      </c>
      <c r="DF91" s="408">
        <v>0</v>
      </c>
      <c r="DG91" s="408">
        <v>913.41162837255251</v>
      </c>
      <c r="DH91" s="408">
        <v>0</v>
      </c>
      <c r="DI91" s="408">
        <v>-256.62213802373481</v>
      </c>
      <c r="DJ91" s="408"/>
      <c r="DK91" s="408">
        <v>0</v>
      </c>
      <c r="DL91" s="408">
        <v>0</v>
      </c>
      <c r="DM91" s="408">
        <v>0</v>
      </c>
      <c r="DN91" s="408">
        <v>0</v>
      </c>
      <c r="DO91" s="408">
        <v>-33.340957675664868</v>
      </c>
      <c r="DP91" s="408">
        <v>-10.082679806220085</v>
      </c>
      <c r="DQ91" s="408">
        <v>0</v>
      </c>
      <c r="DR91" s="408">
        <v>0</v>
      </c>
      <c r="DS91" s="408"/>
      <c r="DT91" s="408"/>
      <c r="DU91" s="408"/>
      <c r="DV91" s="408">
        <v>92197.429520901977</v>
      </c>
      <c r="DW91" s="408">
        <v>0</v>
      </c>
      <c r="DX91" s="408">
        <v>0</v>
      </c>
      <c r="DY91" s="408">
        <v>-50112.224560000017</v>
      </c>
      <c r="DZ91" s="408">
        <v>5461.4382599999954</v>
      </c>
      <c r="EA91" s="408">
        <v>0</v>
      </c>
      <c r="EB91" s="408">
        <v>0</v>
      </c>
      <c r="EC91" s="408">
        <v>-51721.808253511568</v>
      </c>
      <c r="ED91" s="408">
        <v>0</v>
      </c>
      <c r="EE91" s="408">
        <v>0</v>
      </c>
      <c r="EF91" s="408">
        <v>0</v>
      </c>
      <c r="EG91" s="408">
        <v>0</v>
      </c>
      <c r="EH91" s="408">
        <v>0</v>
      </c>
      <c r="EI91" s="408">
        <v>0</v>
      </c>
      <c r="EJ91" s="408">
        <v>0</v>
      </c>
      <c r="EK91" s="408">
        <v>0</v>
      </c>
      <c r="EL91" s="408">
        <v>0</v>
      </c>
      <c r="EM91" s="408">
        <v>0</v>
      </c>
      <c r="EN91" s="408">
        <v>0</v>
      </c>
      <c r="EO91" s="408">
        <v>0</v>
      </c>
      <c r="EP91" s="408">
        <v>0</v>
      </c>
      <c r="EQ91" s="408">
        <v>0</v>
      </c>
      <c r="ER91" s="408">
        <v>0</v>
      </c>
      <c r="ES91" s="408">
        <v>0</v>
      </c>
      <c r="ET91" s="408">
        <v>0</v>
      </c>
      <c r="EU91" s="408">
        <v>0</v>
      </c>
      <c r="EV91" s="408">
        <v>238</v>
      </c>
      <c r="EW91" s="408">
        <v>0</v>
      </c>
      <c r="EX91" s="408">
        <v>0</v>
      </c>
      <c r="EY91" s="408">
        <v>0</v>
      </c>
      <c r="EZ91" s="408"/>
      <c r="FA91" s="408">
        <v>0</v>
      </c>
      <c r="FB91" s="408"/>
      <c r="FC91" s="408"/>
      <c r="FD91" s="408"/>
      <c r="FE91" s="408"/>
      <c r="FF91" s="408">
        <v>0</v>
      </c>
      <c r="FG91" s="408">
        <v>0</v>
      </c>
      <c r="FH91" s="408">
        <v>0</v>
      </c>
      <c r="FI91" s="408">
        <v>0</v>
      </c>
    </row>
    <row r="92" spans="1:165" s="857" customFormat="1">
      <c r="A92" s="408">
        <v>96</v>
      </c>
      <c r="B92" s="408" t="s">
        <v>2237</v>
      </c>
      <c r="C92" s="408" t="s">
        <v>2235</v>
      </c>
      <c r="D92" s="408" t="s">
        <v>1958</v>
      </c>
      <c r="E92" s="408" t="s">
        <v>2246</v>
      </c>
      <c r="F92" s="408" t="s">
        <v>1322</v>
      </c>
      <c r="G92" s="408" t="s">
        <v>1322</v>
      </c>
      <c r="H92" s="408" t="s">
        <v>1322</v>
      </c>
      <c r="I92" s="408" t="s">
        <v>1322</v>
      </c>
      <c r="J92" s="408" t="s">
        <v>2236</v>
      </c>
      <c r="K92" s="824">
        <v>44409</v>
      </c>
      <c r="L92" s="408">
        <v>0</v>
      </c>
      <c r="M92" s="408">
        <v>0</v>
      </c>
      <c r="N92" s="408">
        <v>-8.6999999999999994E-2</v>
      </c>
      <c r="O92" s="408">
        <v>-8.6999999999999994E-2</v>
      </c>
      <c r="P92" s="408">
        <v>-8.6999999999999994E-2</v>
      </c>
      <c r="Q92" s="408">
        <v>-8.6999999999999994E-2</v>
      </c>
      <c r="R92" s="408"/>
      <c r="S92" s="408">
        <v>581.32000000000005</v>
      </c>
      <c r="T92" s="408">
        <v>209.4</v>
      </c>
      <c r="U92" s="408"/>
      <c r="V92" s="408">
        <v>-68.792640000000006</v>
      </c>
      <c r="W92" s="408">
        <v>-68.792640000000006</v>
      </c>
      <c r="X92" s="408">
        <v>-52.554089999999995</v>
      </c>
      <c r="Y92" s="408">
        <v>0</v>
      </c>
      <c r="Z92" s="408">
        <v>-5.3537979504709154</v>
      </c>
      <c r="AA92" s="408">
        <v>0</v>
      </c>
      <c r="AB92" s="408">
        <v>0</v>
      </c>
      <c r="AC92" s="408">
        <v>0</v>
      </c>
      <c r="AD92" s="408">
        <v>-6.4546295972358605</v>
      </c>
      <c r="AE92" s="408">
        <v>-33.530262134412688</v>
      </c>
      <c r="AF92" s="408">
        <v>-17.978614883819173</v>
      </c>
      <c r="AG92" s="408">
        <v>-0.23950795188435078</v>
      </c>
      <c r="AH92" s="408">
        <v>0</v>
      </c>
      <c r="AI92" s="408">
        <v>0</v>
      </c>
      <c r="AJ92" s="408">
        <v>0</v>
      </c>
      <c r="AK92" s="408">
        <v>0</v>
      </c>
      <c r="AL92" s="408">
        <v>-0.82733534312584189</v>
      </c>
      <c r="AM92" s="408"/>
      <c r="AN92" s="408">
        <v>-0.15859789547711167</v>
      </c>
      <c r="AO92" s="408">
        <v>-0.4958548274302374</v>
      </c>
      <c r="AP92" s="408">
        <v>-0.74691152743311362</v>
      </c>
      <c r="AQ92" s="408">
        <v>0</v>
      </c>
      <c r="AR92" s="408">
        <v>0</v>
      </c>
      <c r="AS92" s="408">
        <v>0</v>
      </c>
      <c r="AT92" s="408">
        <v>0</v>
      </c>
      <c r="AU92" s="408">
        <v>0</v>
      </c>
      <c r="AV92" s="408">
        <v>0</v>
      </c>
      <c r="AW92" s="408">
        <v>0</v>
      </c>
      <c r="AX92" s="408">
        <v>0</v>
      </c>
      <c r="AY92" s="408">
        <v>0</v>
      </c>
      <c r="AZ92" s="408">
        <v>0</v>
      </c>
      <c r="BA92" s="408"/>
      <c r="BB92" s="408">
        <v>0</v>
      </c>
      <c r="BC92" s="408">
        <v>0</v>
      </c>
      <c r="BD92" s="408">
        <v>0</v>
      </c>
      <c r="BE92" s="408">
        <v>0</v>
      </c>
      <c r="BF92" s="408">
        <v>0</v>
      </c>
      <c r="BG92" s="408">
        <v>-3.0077886607971842</v>
      </c>
      <c r="BH92" s="408">
        <v>0</v>
      </c>
      <c r="BI92" s="408">
        <v>-0.08</v>
      </c>
      <c r="BJ92" s="408">
        <v>-0.41</v>
      </c>
      <c r="BK92" s="408">
        <v>-26.74</v>
      </c>
      <c r="BL92" s="408">
        <v>0</v>
      </c>
      <c r="BM92" s="408"/>
      <c r="BN92" s="408"/>
      <c r="BO92" s="408"/>
      <c r="BP92" s="408"/>
      <c r="BQ92" s="408"/>
      <c r="BR92" s="408"/>
      <c r="BS92" s="408"/>
      <c r="BT92" s="408"/>
      <c r="BU92" s="408"/>
      <c r="BV92" s="408">
        <v>-20.986403544616358</v>
      </c>
      <c r="BW92" s="408"/>
      <c r="BX92" s="408"/>
      <c r="BY92" s="408"/>
      <c r="BZ92" s="408"/>
      <c r="CA92" s="408"/>
      <c r="CB92" s="408"/>
      <c r="CC92" s="408"/>
      <c r="CD92" s="408"/>
      <c r="CE92" s="408"/>
      <c r="CF92" s="408"/>
      <c r="CG92" s="408"/>
      <c r="CH92" s="408"/>
      <c r="CI92" s="408">
        <v>-54.366299999999995</v>
      </c>
      <c r="CJ92" s="408">
        <v>14.396340000000009</v>
      </c>
      <c r="CK92" s="408"/>
      <c r="CL92" s="408"/>
      <c r="CM92" s="408"/>
      <c r="CN92" s="408"/>
      <c r="CO92" s="408">
        <v>18.224760000000007</v>
      </c>
      <c r="CP92" s="408">
        <v>-1.9862099999999985</v>
      </c>
      <c r="CQ92" s="408">
        <v>31</v>
      </c>
      <c r="CR92" s="408">
        <v>-2.5703167516916494</v>
      </c>
      <c r="CS92" s="408">
        <v>-5.986556014934058E-2</v>
      </c>
      <c r="CT92" s="408">
        <v>-9.0176145311549272E-2</v>
      </c>
      <c r="CU92" s="408">
        <v>0</v>
      </c>
      <c r="CV92" s="408">
        <v>0</v>
      </c>
      <c r="CW92" s="408">
        <v>0</v>
      </c>
      <c r="CX92" s="408">
        <v>0</v>
      </c>
      <c r="CY92" s="408">
        <v>0</v>
      </c>
      <c r="CZ92" s="408">
        <v>-0.21159849271292686</v>
      </c>
      <c r="DA92" s="408">
        <v>0</v>
      </c>
      <c r="DB92" s="408">
        <v>0</v>
      </c>
      <c r="DC92" s="408">
        <v>-1.9856083189933216</v>
      </c>
      <c r="DD92" s="408">
        <v>0</v>
      </c>
      <c r="DE92" s="408">
        <v>0</v>
      </c>
      <c r="DF92" s="408">
        <v>0</v>
      </c>
      <c r="DG92" s="408">
        <v>-0.33218855986661744</v>
      </c>
      <c r="DH92" s="408">
        <v>0</v>
      </c>
      <c r="DI92" s="408">
        <v>9.3328063506135983E-2</v>
      </c>
      <c r="DJ92" s="408"/>
      <c r="DK92" s="408">
        <v>0</v>
      </c>
      <c r="DL92" s="408">
        <v>0</v>
      </c>
      <c r="DM92" s="408">
        <v>0</v>
      </c>
      <c r="DN92" s="408">
        <v>0</v>
      </c>
      <c r="DO92" s="408">
        <v>1.2125403674339452E-2</v>
      </c>
      <c r="DP92" s="408">
        <v>3.6668581616287332E-3</v>
      </c>
      <c r="DQ92" s="408">
        <v>0</v>
      </c>
      <c r="DR92" s="408">
        <v>0</v>
      </c>
      <c r="DS92" s="408"/>
      <c r="DT92" s="408"/>
      <c r="DU92" s="408"/>
      <c r="DV92" s="408">
        <v>-33.530262134412688</v>
      </c>
      <c r="DW92" s="408">
        <v>0</v>
      </c>
      <c r="DX92" s="408">
        <v>0</v>
      </c>
      <c r="DY92" s="408">
        <v>18.224760000000003</v>
      </c>
      <c r="DZ92" s="408">
        <v>-1.9862099999999963</v>
      </c>
      <c r="EA92" s="408">
        <v>0</v>
      </c>
      <c r="EB92" s="408">
        <v>0</v>
      </c>
      <c r="EC92" s="408">
        <v>18.810131668724061</v>
      </c>
      <c r="ED92" s="408">
        <v>0</v>
      </c>
      <c r="EE92" s="408">
        <v>0</v>
      </c>
      <c r="EF92" s="408">
        <v>0</v>
      </c>
      <c r="EG92" s="408">
        <v>0</v>
      </c>
      <c r="EH92" s="408">
        <v>0</v>
      </c>
      <c r="EI92" s="408">
        <v>0</v>
      </c>
      <c r="EJ92" s="408">
        <v>0</v>
      </c>
      <c r="EK92" s="408">
        <v>0</v>
      </c>
      <c r="EL92" s="408">
        <v>0</v>
      </c>
      <c r="EM92" s="408">
        <v>0</v>
      </c>
      <c r="EN92" s="408">
        <v>0</v>
      </c>
      <c r="EO92" s="408">
        <v>0</v>
      </c>
      <c r="EP92" s="408">
        <v>0</v>
      </c>
      <c r="EQ92" s="408">
        <v>0</v>
      </c>
      <c r="ER92" s="408">
        <v>0</v>
      </c>
      <c r="ES92" s="408">
        <v>0</v>
      </c>
      <c r="ET92" s="408">
        <v>0</v>
      </c>
      <c r="EU92" s="408">
        <v>0</v>
      </c>
      <c r="EV92" s="408">
        <v>238</v>
      </c>
      <c r="EW92" s="408">
        <v>0</v>
      </c>
      <c r="EX92" s="408">
        <v>0</v>
      </c>
      <c r="EY92" s="408">
        <v>0</v>
      </c>
      <c r="EZ92" s="408"/>
      <c r="FA92" s="408">
        <v>0</v>
      </c>
      <c r="FB92" s="408"/>
      <c r="FC92" s="408"/>
      <c r="FD92" s="408"/>
      <c r="FE92" s="408"/>
      <c r="FF92" s="408">
        <v>0</v>
      </c>
      <c r="FG92" s="408">
        <v>0</v>
      </c>
      <c r="FH92" s="408">
        <v>0</v>
      </c>
      <c r="FI92" s="408">
        <v>0</v>
      </c>
    </row>
    <row r="93" spans="1:165" s="857" customFormat="1">
      <c r="A93" s="408">
        <v>97</v>
      </c>
      <c r="B93" s="408" t="s">
        <v>2238</v>
      </c>
      <c r="C93" s="408" t="s">
        <v>2235</v>
      </c>
      <c r="D93" s="408" t="s">
        <v>1958</v>
      </c>
      <c r="E93" s="408" t="s">
        <v>2246</v>
      </c>
      <c r="F93" s="408" t="s">
        <v>1322</v>
      </c>
      <c r="G93" s="408" t="s">
        <v>1322</v>
      </c>
      <c r="H93" s="408" t="s">
        <v>1322</v>
      </c>
      <c r="I93" s="408" t="s">
        <v>1322</v>
      </c>
      <c r="J93" s="408" t="s">
        <v>2236</v>
      </c>
      <c r="K93" s="824">
        <v>44409</v>
      </c>
      <c r="L93" s="408">
        <v>0</v>
      </c>
      <c r="M93" s="408">
        <v>0</v>
      </c>
      <c r="N93" s="408">
        <v>4.7279999999999998</v>
      </c>
      <c r="O93" s="408">
        <v>4.7279999999999998</v>
      </c>
      <c r="P93" s="408">
        <v>4.7279999999999998</v>
      </c>
      <c r="Q93" s="408">
        <v>4.7279999999999998</v>
      </c>
      <c r="R93" s="408"/>
      <c r="S93" s="408">
        <v>581.32000000000005</v>
      </c>
      <c r="T93" s="408">
        <v>209.4</v>
      </c>
      <c r="U93" s="408"/>
      <c r="V93" s="408">
        <v>3738.5241600000004</v>
      </c>
      <c r="W93" s="408">
        <v>3738.5241600000004</v>
      </c>
      <c r="X93" s="408">
        <v>2856.0429599999998</v>
      </c>
      <c r="Y93" s="408">
        <v>0</v>
      </c>
      <c r="Z93" s="408">
        <v>290.95122654972977</v>
      </c>
      <c r="AA93" s="408">
        <v>0</v>
      </c>
      <c r="AB93" s="408">
        <v>0</v>
      </c>
      <c r="AC93" s="408">
        <v>0</v>
      </c>
      <c r="AD93" s="408">
        <v>350.77573259461093</v>
      </c>
      <c r="AE93" s="408">
        <v>1822.196314614979</v>
      </c>
      <c r="AF93" s="408">
        <v>977.04472609996617</v>
      </c>
      <c r="AG93" s="408">
        <v>13.01601835068058</v>
      </c>
      <c r="AH93" s="408">
        <v>0</v>
      </c>
      <c r="AI93" s="408">
        <v>0</v>
      </c>
      <c r="AJ93" s="408">
        <v>0</v>
      </c>
      <c r="AK93" s="408">
        <v>0</v>
      </c>
      <c r="AL93" s="408">
        <v>44.961396578149206</v>
      </c>
      <c r="AM93" s="408"/>
      <c r="AN93" s="408">
        <v>8.6189752852388963</v>
      </c>
      <c r="AO93" s="408">
        <v>26.947145104484626</v>
      </c>
      <c r="AP93" s="408">
        <v>40.590778180503001</v>
      </c>
      <c r="AQ93" s="408">
        <v>0</v>
      </c>
      <c r="AR93" s="408">
        <v>0</v>
      </c>
      <c r="AS93" s="408">
        <v>0</v>
      </c>
      <c r="AT93" s="408">
        <v>0</v>
      </c>
      <c r="AU93" s="408">
        <v>0</v>
      </c>
      <c r="AV93" s="408">
        <v>0</v>
      </c>
      <c r="AW93" s="408">
        <v>0</v>
      </c>
      <c r="AX93" s="408">
        <v>0</v>
      </c>
      <c r="AY93" s="408">
        <v>0</v>
      </c>
      <c r="AZ93" s="408">
        <v>0</v>
      </c>
      <c r="BA93" s="408"/>
      <c r="BB93" s="408">
        <v>0</v>
      </c>
      <c r="BC93" s="408">
        <v>0</v>
      </c>
      <c r="BD93" s="408">
        <v>0</v>
      </c>
      <c r="BE93" s="408">
        <v>0</v>
      </c>
      <c r="BF93" s="408">
        <v>0</v>
      </c>
      <c r="BG93" s="408">
        <v>163.45775618677112</v>
      </c>
      <c r="BH93" s="408">
        <v>0</v>
      </c>
      <c r="BI93" s="408">
        <v>4.8600000000000003</v>
      </c>
      <c r="BJ93" s="408">
        <v>23.33</v>
      </c>
      <c r="BK93" s="408">
        <v>1603.02</v>
      </c>
      <c r="BL93" s="408">
        <v>1</v>
      </c>
      <c r="BM93" s="408"/>
      <c r="BN93" s="408"/>
      <c r="BO93" s="408"/>
      <c r="BP93" s="408"/>
      <c r="BQ93" s="408"/>
      <c r="BR93" s="408"/>
      <c r="BS93" s="408"/>
      <c r="BT93" s="408"/>
      <c r="BU93" s="408"/>
      <c r="BV93" s="408">
        <v>1140.5024822867372</v>
      </c>
      <c r="BW93" s="408"/>
      <c r="BX93" s="408"/>
      <c r="BY93" s="408"/>
      <c r="BZ93" s="408"/>
      <c r="CA93" s="408"/>
      <c r="CB93" s="408"/>
      <c r="CC93" s="408"/>
      <c r="CD93" s="408"/>
      <c r="CE93" s="408"/>
      <c r="CF93" s="408"/>
      <c r="CG93" s="408"/>
      <c r="CH93" s="408"/>
      <c r="CI93" s="408">
        <v>2857.2511000000004</v>
      </c>
      <c r="CJ93" s="408">
        <v>-881.30306000000064</v>
      </c>
      <c r="CK93" s="408"/>
      <c r="CL93" s="408"/>
      <c r="CM93" s="408"/>
      <c r="CN93" s="408"/>
      <c r="CO93" s="408">
        <v>-990.4214400000003</v>
      </c>
      <c r="CP93" s="408">
        <v>107.94023999999992</v>
      </c>
      <c r="CQ93" s="408">
        <v>31</v>
      </c>
      <c r="CR93" s="408">
        <v>139.68342071262168</v>
      </c>
      <c r="CS93" s="408">
        <v>3.2533835446676136</v>
      </c>
      <c r="CT93" s="408">
        <v>4.9006070693448862</v>
      </c>
      <c r="CU93" s="408">
        <v>0</v>
      </c>
      <c r="CV93" s="408">
        <v>0</v>
      </c>
      <c r="CW93" s="408">
        <v>0</v>
      </c>
      <c r="CX93" s="408">
        <v>0</v>
      </c>
      <c r="CY93" s="408">
        <v>0</v>
      </c>
      <c r="CZ93" s="408">
        <v>11.499283603985248</v>
      </c>
      <c r="DA93" s="408">
        <v>0</v>
      </c>
      <c r="DB93" s="408">
        <v>0</v>
      </c>
      <c r="DC93" s="408">
        <v>107.90754174942992</v>
      </c>
      <c r="DD93" s="408">
        <v>0</v>
      </c>
      <c r="DE93" s="408">
        <v>0</v>
      </c>
      <c r="DF93" s="408">
        <v>0</v>
      </c>
      <c r="DG93" s="408">
        <v>18.052730012061687</v>
      </c>
      <c r="DH93" s="408">
        <v>0</v>
      </c>
      <c r="DI93" s="408">
        <v>-5.0718975201955345</v>
      </c>
      <c r="DJ93" s="408"/>
      <c r="DK93" s="408">
        <v>0</v>
      </c>
      <c r="DL93" s="408">
        <v>0</v>
      </c>
      <c r="DM93" s="408">
        <v>0</v>
      </c>
      <c r="DN93" s="408">
        <v>0</v>
      </c>
      <c r="DO93" s="408">
        <v>-0.65895297209514325</v>
      </c>
      <c r="DP93" s="408">
        <v>-0.19927477457678933</v>
      </c>
      <c r="DQ93" s="408">
        <v>0</v>
      </c>
      <c r="DR93" s="408">
        <v>0</v>
      </c>
      <c r="DS93" s="408"/>
      <c r="DT93" s="408"/>
      <c r="DU93" s="408"/>
      <c r="DV93" s="408">
        <v>1822.196314614979</v>
      </c>
      <c r="DW93" s="408">
        <v>0</v>
      </c>
      <c r="DX93" s="408">
        <v>0</v>
      </c>
      <c r="DY93" s="408">
        <v>-990.42144000000053</v>
      </c>
      <c r="DZ93" s="408">
        <v>107.94024000000002</v>
      </c>
      <c r="EA93" s="408">
        <v>0</v>
      </c>
      <c r="EB93" s="408">
        <v>0</v>
      </c>
      <c r="EC93" s="408">
        <v>-1022.233362410659</v>
      </c>
      <c r="ED93" s="408">
        <v>0</v>
      </c>
      <c r="EE93" s="408">
        <v>0</v>
      </c>
      <c r="EF93" s="408">
        <v>0</v>
      </c>
      <c r="EG93" s="408">
        <v>0</v>
      </c>
      <c r="EH93" s="408">
        <v>0</v>
      </c>
      <c r="EI93" s="408">
        <v>0</v>
      </c>
      <c r="EJ93" s="408">
        <v>0</v>
      </c>
      <c r="EK93" s="408">
        <v>0</v>
      </c>
      <c r="EL93" s="408">
        <v>0</v>
      </c>
      <c r="EM93" s="408">
        <v>0</v>
      </c>
      <c r="EN93" s="408">
        <v>0</v>
      </c>
      <c r="EO93" s="408">
        <v>0</v>
      </c>
      <c r="EP93" s="408">
        <v>0</v>
      </c>
      <c r="EQ93" s="408">
        <v>0</v>
      </c>
      <c r="ER93" s="408">
        <v>0</v>
      </c>
      <c r="ES93" s="408">
        <v>0</v>
      </c>
      <c r="ET93" s="408">
        <v>0</v>
      </c>
      <c r="EU93" s="408">
        <v>0</v>
      </c>
      <c r="EV93" s="408">
        <v>238</v>
      </c>
      <c r="EW93" s="408">
        <v>0</v>
      </c>
      <c r="EX93" s="408">
        <v>0</v>
      </c>
      <c r="EY93" s="408">
        <v>0</v>
      </c>
      <c r="EZ93" s="408"/>
      <c r="FA93" s="408">
        <v>0</v>
      </c>
      <c r="FB93" s="408"/>
      <c r="FC93" s="408"/>
      <c r="FD93" s="408"/>
      <c r="FE93" s="408"/>
      <c r="FF93" s="408">
        <v>0</v>
      </c>
      <c r="FG93" s="408">
        <v>0</v>
      </c>
      <c r="FH93" s="408">
        <v>0</v>
      </c>
      <c r="FI93" s="408">
        <v>0</v>
      </c>
    </row>
    <row r="94" spans="1:165" s="857" customFormat="1">
      <c r="A94" s="408">
        <v>98</v>
      </c>
      <c r="B94" s="408" t="s">
        <v>1036</v>
      </c>
      <c r="C94" s="408" t="s">
        <v>2243</v>
      </c>
      <c r="D94" s="408" t="s">
        <v>597</v>
      </c>
      <c r="E94" s="408" t="s">
        <v>2246</v>
      </c>
      <c r="F94" s="408" t="s">
        <v>1322</v>
      </c>
      <c r="G94" s="408" t="s">
        <v>1322</v>
      </c>
      <c r="H94" s="408" t="s">
        <v>1322</v>
      </c>
      <c r="I94" s="408" t="s">
        <v>973</v>
      </c>
      <c r="J94" s="408" t="s">
        <v>2236</v>
      </c>
      <c r="K94" s="824">
        <v>44409</v>
      </c>
      <c r="L94" s="408">
        <v>0</v>
      </c>
      <c r="M94" s="408">
        <v>0</v>
      </c>
      <c r="N94" s="408">
        <v>0.27</v>
      </c>
      <c r="O94" s="408">
        <v>0.27</v>
      </c>
      <c r="P94" s="408">
        <v>0.27</v>
      </c>
      <c r="Q94" s="408">
        <v>0.27</v>
      </c>
      <c r="R94" s="408"/>
      <c r="S94" s="408">
        <v>1614.19</v>
      </c>
      <c r="T94" s="408">
        <v>209.4</v>
      </c>
      <c r="U94" s="408"/>
      <c r="V94" s="408">
        <v>492.36930000000007</v>
      </c>
      <c r="W94" s="408">
        <v>492.36930000000007</v>
      </c>
      <c r="X94" s="408">
        <v>327.28049999999996</v>
      </c>
      <c r="Y94" s="408">
        <v>0</v>
      </c>
      <c r="Z94" s="408">
        <v>14.455254466271485</v>
      </c>
      <c r="AA94" s="408">
        <v>0</v>
      </c>
      <c r="AB94" s="408">
        <v>0</v>
      </c>
      <c r="AC94" s="408">
        <v>0</v>
      </c>
      <c r="AD94" s="408">
        <v>84.082857392879205</v>
      </c>
      <c r="AE94" s="408">
        <v>313.96588635843722</v>
      </c>
      <c r="AF94" s="408">
        <v>55.795701363576754</v>
      </c>
      <c r="AG94" s="408">
        <v>0.74330054033074389</v>
      </c>
      <c r="AH94" s="408">
        <v>0</v>
      </c>
      <c r="AI94" s="408">
        <v>0</v>
      </c>
      <c r="AJ94" s="408">
        <v>0</v>
      </c>
      <c r="AK94" s="408">
        <v>0</v>
      </c>
      <c r="AL94" s="408">
        <v>2.5675924441836475</v>
      </c>
      <c r="AM94" s="408"/>
      <c r="AN94" s="408">
        <v>0.35851796329719243</v>
      </c>
      <c r="AO94" s="408">
        <v>6.5326298506460914</v>
      </c>
      <c r="AP94" s="408">
        <v>9.7304500352706658</v>
      </c>
      <c r="AQ94" s="408">
        <v>0</v>
      </c>
      <c r="AR94" s="408">
        <v>0</v>
      </c>
      <c r="AS94" s="408">
        <v>0</v>
      </c>
      <c r="AT94" s="408">
        <v>0</v>
      </c>
      <c r="AU94" s="408">
        <v>0</v>
      </c>
      <c r="AV94" s="408">
        <v>0</v>
      </c>
      <c r="AW94" s="408">
        <v>0</v>
      </c>
      <c r="AX94" s="408">
        <v>0</v>
      </c>
      <c r="AY94" s="408">
        <v>0</v>
      </c>
      <c r="AZ94" s="408">
        <v>0</v>
      </c>
      <c r="BA94" s="408"/>
      <c r="BB94" s="408">
        <v>0</v>
      </c>
      <c r="BC94" s="408">
        <v>0</v>
      </c>
      <c r="BD94" s="408">
        <v>0</v>
      </c>
      <c r="BE94" s="408">
        <v>0</v>
      </c>
      <c r="BF94" s="408">
        <v>0</v>
      </c>
      <c r="BG94" s="408">
        <v>4.1375978175295627</v>
      </c>
      <c r="BH94" s="408">
        <v>0</v>
      </c>
      <c r="BI94" s="408">
        <v>0</v>
      </c>
      <c r="BJ94" s="408">
        <v>0</v>
      </c>
      <c r="BK94" s="408">
        <v>0</v>
      </c>
      <c r="BL94" s="408">
        <v>0</v>
      </c>
      <c r="BM94" s="408"/>
      <c r="BN94" s="408"/>
      <c r="BO94" s="408"/>
      <c r="BP94" s="408"/>
      <c r="BQ94" s="408"/>
      <c r="BR94" s="408"/>
      <c r="BS94" s="408"/>
      <c r="BT94" s="408"/>
      <c r="BU94" s="408"/>
      <c r="BV94" s="408">
        <v>59.933299181106314</v>
      </c>
      <c r="BW94" s="408"/>
      <c r="BX94" s="408"/>
      <c r="BY94" s="408"/>
      <c r="BZ94" s="408"/>
      <c r="CA94" s="408"/>
      <c r="CB94" s="408"/>
      <c r="CC94" s="408"/>
      <c r="CD94" s="408"/>
      <c r="CE94" s="408"/>
      <c r="CF94" s="408"/>
      <c r="CG94" s="408"/>
      <c r="CH94" s="408"/>
      <c r="CI94" s="408">
        <v>327.28049999999996</v>
      </c>
      <c r="CJ94" s="408">
        <v>-165.11880000000008</v>
      </c>
      <c r="CK94" s="408"/>
      <c r="CL94" s="408"/>
      <c r="CM94" s="408"/>
      <c r="CN94" s="408"/>
      <c r="CO94" s="408">
        <v>-171.25290000000004</v>
      </c>
      <c r="CP94" s="408">
        <v>6.1640999999999959</v>
      </c>
      <c r="CQ94" s="408">
        <v>31</v>
      </c>
      <c r="CR94" s="408">
        <v>11.041210797834452</v>
      </c>
      <c r="CS94" s="408">
        <v>0.78869766637946714</v>
      </c>
      <c r="CT94" s="408">
        <v>1.1747769904460714</v>
      </c>
      <c r="CU94" s="408">
        <v>0</v>
      </c>
      <c r="CV94" s="408">
        <v>0</v>
      </c>
      <c r="CW94" s="408">
        <v>0</v>
      </c>
      <c r="CX94" s="408">
        <v>0</v>
      </c>
      <c r="CY94" s="408">
        <v>0</v>
      </c>
      <c r="CZ94" s="408">
        <v>2.7564410349664143</v>
      </c>
      <c r="DA94" s="408">
        <v>0</v>
      </c>
      <c r="DB94" s="408">
        <v>0</v>
      </c>
      <c r="DC94" s="408">
        <v>6.1622327141171951</v>
      </c>
      <c r="DD94" s="408">
        <v>0</v>
      </c>
      <c r="DE94" s="408">
        <v>0</v>
      </c>
      <c r="DF94" s="408">
        <v>0</v>
      </c>
      <c r="DG94" s="408">
        <v>0.45696783096061999</v>
      </c>
      <c r="DH94" s="408">
        <v>0</v>
      </c>
      <c r="DI94" s="408">
        <v>-0.25198577146657897</v>
      </c>
      <c r="DJ94" s="408"/>
      <c r="DK94" s="408">
        <v>0</v>
      </c>
      <c r="DL94" s="408">
        <v>0</v>
      </c>
      <c r="DM94" s="408">
        <v>0</v>
      </c>
      <c r="DN94" s="408">
        <v>0</v>
      </c>
      <c r="DO94" s="408">
        <v>-3.763056312726043E-2</v>
      </c>
      <c r="DP94" s="408">
        <v>-8.2891044414702408E-3</v>
      </c>
      <c r="DQ94" s="408">
        <v>0</v>
      </c>
      <c r="DR94" s="408">
        <v>0</v>
      </c>
      <c r="DS94" s="408"/>
      <c r="DT94" s="408"/>
      <c r="DU94" s="408"/>
      <c r="DV94" s="408">
        <v>313.96588635843722</v>
      </c>
      <c r="DW94" s="408">
        <v>0</v>
      </c>
      <c r="DX94" s="408">
        <v>0</v>
      </c>
      <c r="DY94" s="408">
        <v>-171.25290000000007</v>
      </c>
      <c r="DZ94" s="408">
        <v>6.1640999999999977</v>
      </c>
      <c r="EA94" s="408">
        <v>0</v>
      </c>
      <c r="EB94" s="408">
        <v>0</v>
      </c>
      <c r="EC94" s="408">
        <v>-176.1316281458092</v>
      </c>
      <c r="ED94" s="408">
        <v>0</v>
      </c>
      <c r="EE94" s="408">
        <v>0</v>
      </c>
      <c r="EF94" s="408">
        <v>0</v>
      </c>
      <c r="EG94" s="408">
        <v>0</v>
      </c>
      <c r="EH94" s="408">
        <v>0</v>
      </c>
      <c r="EI94" s="408">
        <v>0</v>
      </c>
      <c r="EJ94" s="408">
        <v>0</v>
      </c>
      <c r="EK94" s="408">
        <v>0</v>
      </c>
      <c r="EL94" s="408">
        <v>0</v>
      </c>
      <c r="EM94" s="408">
        <v>0</v>
      </c>
      <c r="EN94" s="408">
        <v>0</v>
      </c>
      <c r="EO94" s="408">
        <v>0</v>
      </c>
      <c r="EP94" s="408">
        <v>0</v>
      </c>
      <c r="EQ94" s="408">
        <v>0</v>
      </c>
      <c r="ER94" s="408">
        <v>0</v>
      </c>
      <c r="ES94" s="408">
        <v>0</v>
      </c>
      <c r="ET94" s="408">
        <v>0</v>
      </c>
      <c r="EU94" s="408">
        <v>0</v>
      </c>
      <c r="EV94" s="408">
        <v>238</v>
      </c>
      <c r="EW94" s="408">
        <v>0</v>
      </c>
      <c r="EX94" s="408">
        <v>0</v>
      </c>
      <c r="EY94" s="408">
        <v>0</v>
      </c>
      <c r="EZ94" s="408"/>
      <c r="FA94" s="408">
        <v>0</v>
      </c>
      <c r="FB94" s="408"/>
      <c r="FC94" s="408"/>
      <c r="FD94" s="408"/>
      <c r="FE94" s="408"/>
      <c r="FF94" s="408">
        <v>0</v>
      </c>
      <c r="FG94" s="408">
        <v>0</v>
      </c>
      <c r="FH94" s="408">
        <v>0</v>
      </c>
      <c r="FI94" s="408">
        <v>0</v>
      </c>
    </row>
    <row r="95" spans="1:165" s="857" customFormat="1">
      <c r="A95" s="408">
        <v>99</v>
      </c>
      <c r="B95" s="408" t="s">
        <v>1036</v>
      </c>
      <c r="C95" s="408" t="s">
        <v>2243</v>
      </c>
      <c r="D95" s="408" t="s">
        <v>597</v>
      </c>
      <c r="E95" s="408" t="s">
        <v>2246</v>
      </c>
      <c r="F95" s="408" t="s">
        <v>1322</v>
      </c>
      <c r="G95" s="408" t="s">
        <v>1322</v>
      </c>
      <c r="H95" s="408" t="s">
        <v>1322</v>
      </c>
      <c r="I95" s="408" t="s">
        <v>2244</v>
      </c>
      <c r="J95" s="408" t="s">
        <v>2236</v>
      </c>
      <c r="K95" s="824">
        <v>44409</v>
      </c>
      <c r="L95" s="408">
        <v>0</v>
      </c>
      <c r="M95" s="408">
        <v>0</v>
      </c>
      <c r="N95" s="408">
        <v>5.6109999999999998</v>
      </c>
      <c r="O95" s="408">
        <v>5.6109999999999998</v>
      </c>
      <c r="P95" s="408">
        <v>5.6109999999999998</v>
      </c>
      <c r="Q95" s="408">
        <v>5.6109999999999998</v>
      </c>
      <c r="R95" s="408"/>
      <c r="S95" s="408">
        <v>79.7</v>
      </c>
      <c r="T95" s="408">
        <v>209.4</v>
      </c>
      <c r="U95" s="408"/>
      <c r="V95" s="408">
        <v>1622.1400999999998</v>
      </c>
      <c r="W95" s="408">
        <v>1622.1400999999998</v>
      </c>
      <c r="X95" s="408">
        <v>1753.54972</v>
      </c>
      <c r="Y95" s="408">
        <v>0</v>
      </c>
      <c r="Z95" s="408">
        <v>300.40160300092333</v>
      </c>
      <c r="AA95" s="408">
        <v>0</v>
      </c>
      <c r="AB95" s="408">
        <v>0</v>
      </c>
      <c r="AC95" s="408">
        <v>0</v>
      </c>
      <c r="AD95" s="408">
        <v>0</v>
      </c>
      <c r="AE95" s="408">
        <v>0</v>
      </c>
      <c r="AF95" s="408">
        <v>1159.5173346334414</v>
      </c>
      <c r="AG95" s="408">
        <v>15.446886414058531</v>
      </c>
      <c r="AH95" s="408">
        <v>0</v>
      </c>
      <c r="AI95" s="408">
        <v>0</v>
      </c>
      <c r="AJ95" s="408">
        <v>0</v>
      </c>
      <c r="AK95" s="408">
        <v>0</v>
      </c>
      <c r="AL95" s="408">
        <v>53.35837483079424</v>
      </c>
      <c r="AM95" s="408"/>
      <c r="AN95" s="408">
        <v>7.4505344150390611</v>
      </c>
      <c r="AO95" s="408">
        <v>0</v>
      </c>
      <c r="AP95" s="408">
        <v>0</v>
      </c>
      <c r="AQ95" s="408">
        <v>0</v>
      </c>
      <c r="AR95" s="408">
        <v>0</v>
      </c>
      <c r="AS95" s="408">
        <v>0</v>
      </c>
      <c r="AT95" s="408">
        <v>0</v>
      </c>
      <c r="AU95" s="408">
        <v>0</v>
      </c>
      <c r="AV95" s="408">
        <v>0</v>
      </c>
      <c r="AW95" s="408">
        <v>0</v>
      </c>
      <c r="AX95" s="408">
        <v>0</v>
      </c>
      <c r="AY95" s="408">
        <v>0</v>
      </c>
      <c r="AZ95" s="408">
        <v>0</v>
      </c>
      <c r="BA95" s="408"/>
      <c r="BB95" s="408">
        <v>0</v>
      </c>
      <c r="BC95" s="408">
        <v>0</v>
      </c>
      <c r="BD95" s="408">
        <v>0</v>
      </c>
      <c r="BE95" s="408">
        <v>0</v>
      </c>
      <c r="BF95" s="408">
        <v>0</v>
      </c>
      <c r="BG95" s="408">
        <v>85.985412422808793</v>
      </c>
      <c r="BH95" s="408">
        <v>0</v>
      </c>
      <c r="BI95" s="408">
        <v>0</v>
      </c>
      <c r="BJ95" s="408">
        <v>0</v>
      </c>
      <c r="BK95" s="408">
        <v>0</v>
      </c>
      <c r="BL95" s="408">
        <v>0</v>
      </c>
      <c r="BM95" s="408"/>
      <c r="BN95" s="408"/>
      <c r="BO95" s="408"/>
      <c r="BP95" s="408"/>
      <c r="BQ95" s="408"/>
      <c r="BR95" s="408"/>
      <c r="BS95" s="408"/>
      <c r="BT95" s="408"/>
      <c r="BU95" s="408"/>
      <c r="BV95" s="408">
        <v>1245.5027470562502</v>
      </c>
      <c r="BW95" s="408"/>
      <c r="BX95" s="408"/>
      <c r="BY95" s="408"/>
      <c r="BZ95" s="408"/>
      <c r="CA95" s="408"/>
      <c r="CB95" s="408"/>
      <c r="CC95" s="408"/>
      <c r="CD95" s="408"/>
      <c r="CE95" s="408"/>
      <c r="CF95" s="408"/>
      <c r="CG95" s="408"/>
      <c r="CH95" s="408"/>
      <c r="CI95" s="408">
        <v>1753.2372</v>
      </c>
      <c r="CJ95" s="408">
        <v>131.06710000000021</v>
      </c>
      <c r="CK95" s="408"/>
      <c r="CL95" s="408"/>
      <c r="CM95" s="408"/>
      <c r="CN95" s="408"/>
      <c r="CO95" s="408">
        <v>3.3104900000000188</v>
      </c>
      <c r="CP95" s="408">
        <v>128.09912999999992</v>
      </c>
      <c r="CQ95" s="408">
        <v>31</v>
      </c>
      <c r="CR95" s="408">
        <v>131.3658771852015</v>
      </c>
      <c r="CS95" s="408">
        <v>0</v>
      </c>
      <c r="CT95" s="408">
        <v>0</v>
      </c>
      <c r="CU95" s="408">
        <v>0</v>
      </c>
      <c r="CV95" s="408">
        <v>0</v>
      </c>
      <c r="CW95" s="408">
        <v>0</v>
      </c>
      <c r="CX95" s="408">
        <v>0</v>
      </c>
      <c r="CY95" s="408">
        <v>0</v>
      </c>
      <c r="CZ95" s="408">
        <v>0</v>
      </c>
      <c r="DA95" s="408">
        <v>0</v>
      </c>
      <c r="DB95" s="408">
        <v>0</v>
      </c>
      <c r="DC95" s="408">
        <v>128.06032503300571</v>
      </c>
      <c r="DD95" s="408">
        <v>0</v>
      </c>
      <c r="DE95" s="408">
        <v>0</v>
      </c>
      <c r="DF95" s="408">
        <v>0</v>
      </c>
      <c r="DG95" s="408">
        <v>9.4964685167408902</v>
      </c>
      <c r="DH95" s="408">
        <v>0</v>
      </c>
      <c r="DI95" s="408">
        <v>-5.2366376433295727</v>
      </c>
      <c r="DJ95" s="408"/>
      <c r="DK95" s="408">
        <v>0</v>
      </c>
      <c r="DL95" s="408">
        <v>0</v>
      </c>
      <c r="DM95" s="408">
        <v>0</v>
      </c>
      <c r="DN95" s="408">
        <v>0</v>
      </c>
      <c r="DO95" s="408">
        <v>-0.78201885076688171</v>
      </c>
      <c r="DP95" s="408">
        <v>-0.17225987044847901</v>
      </c>
      <c r="DQ95" s="408">
        <v>0</v>
      </c>
      <c r="DR95" s="408">
        <v>0</v>
      </c>
      <c r="DS95" s="408"/>
      <c r="DT95" s="408"/>
      <c r="DU95" s="408"/>
      <c r="DV95" s="408">
        <v>0</v>
      </c>
      <c r="DW95" s="408">
        <v>0</v>
      </c>
      <c r="DX95" s="408">
        <v>0</v>
      </c>
      <c r="DY95" s="408">
        <v>3.3104900000000157</v>
      </c>
      <c r="DZ95" s="408">
        <v>128.09913000000006</v>
      </c>
      <c r="EA95" s="408">
        <v>0</v>
      </c>
      <c r="EB95" s="408">
        <v>0</v>
      </c>
      <c r="EC95" s="408">
        <v>0</v>
      </c>
      <c r="ED95" s="408">
        <v>0</v>
      </c>
      <c r="EE95" s="408">
        <v>0</v>
      </c>
      <c r="EF95" s="408">
        <v>0</v>
      </c>
      <c r="EG95" s="408">
        <v>0</v>
      </c>
      <c r="EH95" s="408">
        <v>0</v>
      </c>
      <c r="EI95" s="408">
        <v>0</v>
      </c>
      <c r="EJ95" s="408">
        <v>0</v>
      </c>
      <c r="EK95" s="408">
        <v>0</v>
      </c>
      <c r="EL95" s="408">
        <v>0</v>
      </c>
      <c r="EM95" s="408">
        <v>0</v>
      </c>
      <c r="EN95" s="408">
        <v>0</v>
      </c>
      <c r="EO95" s="408">
        <v>0</v>
      </c>
      <c r="EP95" s="408">
        <v>0</v>
      </c>
      <c r="EQ95" s="408">
        <v>0</v>
      </c>
      <c r="ER95" s="408">
        <v>0</v>
      </c>
      <c r="ES95" s="408">
        <v>0</v>
      </c>
      <c r="ET95" s="408">
        <v>0</v>
      </c>
      <c r="EU95" s="408">
        <v>0</v>
      </c>
      <c r="EV95" s="408">
        <v>238</v>
      </c>
      <c r="EW95" s="408">
        <v>0</v>
      </c>
      <c r="EX95" s="408">
        <v>0</v>
      </c>
      <c r="EY95" s="408">
        <v>0</v>
      </c>
      <c r="EZ95" s="408"/>
      <c r="FA95" s="408">
        <v>0</v>
      </c>
      <c r="FB95" s="408"/>
      <c r="FC95" s="408"/>
      <c r="FD95" s="408"/>
      <c r="FE95" s="408"/>
      <c r="FF95" s="408">
        <v>0</v>
      </c>
      <c r="FG95" s="408">
        <v>0</v>
      </c>
      <c r="FH95" s="408">
        <v>0</v>
      </c>
      <c r="FI95" s="408">
        <v>0</v>
      </c>
    </row>
    <row r="96" spans="1:165" s="857" customFormat="1">
      <c r="A96" s="408">
        <v>100</v>
      </c>
      <c r="B96" s="408" t="s">
        <v>1036</v>
      </c>
      <c r="C96" s="408" t="s">
        <v>2243</v>
      </c>
      <c r="D96" s="408" t="s">
        <v>597</v>
      </c>
      <c r="E96" s="408" t="s">
        <v>2246</v>
      </c>
      <c r="F96" s="408" t="s">
        <v>1322</v>
      </c>
      <c r="G96" s="408" t="s">
        <v>1322</v>
      </c>
      <c r="H96" s="408" t="s">
        <v>1322</v>
      </c>
      <c r="I96" s="408" t="s">
        <v>1322</v>
      </c>
      <c r="J96" s="408" t="s">
        <v>2236</v>
      </c>
      <c r="K96" s="824">
        <v>44409</v>
      </c>
      <c r="L96" s="408">
        <v>143</v>
      </c>
      <c r="M96" s="408">
        <v>143</v>
      </c>
      <c r="N96" s="408">
        <v>0</v>
      </c>
      <c r="O96" s="408">
        <v>0</v>
      </c>
      <c r="P96" s="408">
        <v>0</v>
      </c>
      <c r="Q96" s="408">
        <v>0</v>
      </c>
      <c r="R96" s="408">
        <v>44.35</v>
      </c>
      <c r="S96" s="408"/>
      <c r="T96" s="408"/>
      <c r="U96" s="408">
        <v>6342.05</v>
      </c>
      <c r="V96" s="408"/>
      <c r="W96" s="408">
        <v>6342.05</v>
      </c>
      <c r="X96" s="408">
        <v>4142.71</v>
      </c>
      <c r="Y96" s="408">
        <v>0</v>
      </c>
      <c r="Z96" s="408">
        <v>0</v>
      </c>
      <c r="AA96" s="408">
        <v>0</v>
      </c>
      <c r="AB96" s="408">
        <v>0</v>
      </c>
      <c r="AC96" s="408">
        <v>0</v>
      </c>
      <c r="AD96" s="408">
        <v>1876.4551073961979</v>
      </c>
      <c r="AE96" s="408">
        <v>4106.6520188616778</v>
      </c>
      <c r="AF96" s="408"/>
      <c r="AG96" s="408"/>
      <c r="AH96" s="408"/>
      <c r="AI96" s="408">
        <v>0</v>
      </c>
      <c r="AJ96" s="408">
        <v>0</v>
      </c>
      <c r="AK96" s="408">
        <v>0</v>
      </c>
      <c r="AL96" s="408">
        <v>0</v>
      </c>
      <c r="AM96" s="408"/>
      <c r="AN96" s="408">
        <v>0</v>
      </c>
      <c r="AO96" s="408">
        <v>141.81605890751828</v>
      </c>
      <c r="AP96" s="408">
        <v>216.97266925736545</v>
      </c>
      <c r="AQ96" s="408">
        <v>0</v>
      </c>
      <c r="AR96" s="408">
        <v>0</v>
      </c>
      <c r="AS96" s="408"/>
      <c r="AT96" s="408"/>
      <c r="AU96" s="408">
        <v>0</v>
      </c>
      <c r="AV96" s="408">
        <v>0</v>
      </c>
      <c r="AW96" s="408">
        <v>0</v>
      </c>
      <c r="AX96" s="408"/>
      <c r="AY96" s="408"/>
      <c r="AZ96" s="408">
        <v>0</v>
      </c>
      <c r="BA96" s="408"/>
      <c r="BB96" s="408">
        <v>0</v>
      </c>
      <c r="BC96" s="408">
        <v>0</v>
      </c>
      <c r="BD96" s="408">
        <v>0</v>
      </c>
      <c r="BE96" s="408">
        <v>0</v>
      </c>
      <c r="BF96" s="408"/>
      <c r="BG96" s="408">
        <v>0</v>
      </c>
      <c r="BH96" s="408">
        <v>0</v>
      </c>
      <c r="BI96" s="408">
        <v>8.69</v>
      </c>
      <c r="BJ96" s="408">
        <v>41.76</v>
      </c>
      <c r="BK96" s="408">
        <v>1866.58</v>
      </c>
      <c r="BL96" s="408">
        <v>2</v>
      </c>
      <c r="BM96" s="408"/>
      <c r="BN96" s="408"/>
      <c r="BO96" s="408"/>
      <c r="BP96" s="408"/>
      <c r="BQ96" s="408"/>
      <c r="BR96" s="408"/>
      <c r="BS96" s="408"/>
      <c r="BT96" s="408"/>
      <c r="BU96" s="408"/>
      <c r="BV96" s="408">
        <v>0</v>
      </c>
      <c r="BW96" s="408"/>
      <c r="BX96" s="408"/>
      <c r="BY96" s="408"/>
      <c r="BZ96" s="408"/>
      <c r="CA96" s="408"/>
      <c r="CB96" s="408"/>
      <c r="CC96" s="408"/>
      <c r="CD96" s="408"/>
      <c r="CE96" s="408"/>
      <c r="CF96" s="408"/>
      <c r="CG96" s="408"/>
      <c r="CH96" s="408"/>
      <c r="CI96" s="408">
        <v>4142.71</v>
      </c>
      <c r="CJ96" s="408">
        <v>-2199.3700000000008</v>
      </c>
      <c r="CK96" s="408"/>
      <c r="CL96" s="408"/>
      <c r="CM96" s="408"/>
      <c r="CN96" s="408"/>
      <c r="CO96" s="408">
        <v>-2199.34</v>
      </c>
      <c r="CP96" s="408">
        <v>0</v>
      </c>
      <c r="CQ96" s="408">
        <v>31</v>
      </c>
      <c r="CR96" s="408">
        <v>104.83206434614658</v>
      </c>
      <c r="CS96" s="408">
        <v>17.121740749543847</v>
      </c>
      <c r="CT96" s="408">
        <v>26.195550922648238</v>
      </c>
      <c r="CU96" s="408">
        <v>0</v>
      </c>
      <c r="CV96" s="408">
        <v>0</v>
      </c>
      <c r="CW96" s="408"/>
      <c r="CX96" s="408"/>
      <c r="CY96" s="408"/>
      <c r="CZ96" s="408">
        <v>61.514772673954667</v>
      </c>
      <c r="DA96" s="408">
        <v>0</v>
      </c>
      <c r="DB96" s="408">
        <v>0</v>
      </c>
      <c r="DC96" s="408"/>
      <c r="DD96" s="408"/>
      <c r="DE96" s="408">
        <v>0</v>
      </c>
      <c r="DF96" s="408">
        <v>0</v>
      </c>
      <c r="DG96" s="408">
        <v>0</v>
      </c>
      <c r="DH96" s="408">
        <v>0</v>
      </c>
      <c r="DI96" s="408">
        <v>0</v>
      </c>
      <c r="DJ96" s="408"/>
      <c r="DK96" s="408">
        <v>0</v>
      </c>
      <c r="DL96" s="408">
        <v>0</v>
      </c>
      <c r="DM96" s="408"/>
      <c r="DN96" s="408">
        <v>0</v>
      </c>
      <c r="DO96" s="408">
        <v>0</v>
      </c>
      <c r="DP96" s="408">
        <v>0</v>
      </c>
      <c r="DQ96" s="408">
        <v>0</v>
      </c>
      <c r="DR96" s="408">
        <v>0</v>
      </c>
      <c r="DS96" s="408"/>
      <c r="DT96" s="408"/>
      <c r="DU96" s="408">
        <v>4106.6520188616778</v>
      </c>
      <c r="DV96" s="408"/>
      <c r="DW96" s="408">
        <v>0</v>
      </c>
      <c r="DX96" s="408">
        <v>0</v>
      </c>
      <c r="DY96" s="408">
        <v>-2199.34</v>
      </c>
      <c r="DZ96" s="408"/>
      <c r="EA96" s="408">
        <v>0</v>
      </c>
      <c r="EB96" s="408"/>
      <c r="EC96" s="408">
        <v>-2303.7894807610255</v>
      </c>
      <c r="ED96" s="408"/>
      <c r="EE96" s="408">
        <v>0</v>
      </c>
      <c r="EF96" s="408">
        <v>0</v>
      </c>
      <c r="EG96" s="408"/>
      <c r="EH96" s="408">
        <v>0</v>
      </c>
      <c r="EI96" s="408">
        <v>0</v>
      </c>
      <c r="EJ96" s="408">
        <v>0</v>
      </c>
      <c r="EK96" s="408">
        <v>0</v>
      </c>
      <c r="EL96" s="408">
        <v>0</v>
      </c>
      <c r="EM96" s="408"/>
      <c r="EN96" s="408"/>
      <c r="EO96" s="408">
        <v>0</v>
      </c>
      <c r="EP96" s="408">
        <v>0</v>
      </c>
      <c r="EQ96" s="408"/>
      <c r="ER96" s="408">
        <v>0</v>
      </c>
      <c r="ES96" s="408"/>
      <c r="ET96" s="408">
        <v>0</v>
      </c>
      <c r="EU96" s="408"/>
      <c r="EV96" s="408">
        <v>238</v>
      </c>
      <c r="EW96" s="408"/>
      <c r="EX96" s="408"/>
      <c r="EY96" s="408"/>
      <c r="EZ96" s="408"/>
      <c r="FA96" s="408">
        <v>0</v>
      </c>
      <c r="FB96" s="408"/>
      <c r="FC96" s="408"/>
      <c r="FD96" s="408"/>
      <c r="FE96" s="408"/>
      <c r="FF96" s="408">
        <v>0</v>
      </c>
      <c r="FG96" s="408">
        <v>0</v>
      </c>
      <c r="FH96" s="408">
        <v>0</v>
      </c>
      <c r="FI96" s="408">
        <v>0</v>
      </c>
    </row>
    <row r="97" spans="1:165" s="857" customFormat="1">
      <c r="A97" s="408">
        <v>101</v>
      </c>
      <c r="B97" s="408" t="s">
        <v>1036</v>
      </c>
      <c r="C97" s="408" t="s">
        <v>2235</v>
      </c>
      <c r="D97" s="408" t="s">
        <v>2247</v>
      </c>
      <c r="E97" s="408" t="s">
        <v>2248</v>
      </c>
      <c r="F97" s="408" t="s">
        <v>2249</v>
      </c>
      <c r="G97" s="408" t="s">
        <v>1322</v>
      </c>
      <c r="H97" s="408" t="s">
        <v>1322</v>
      </c>
      <c r="I97" s="408" t="s">
        <v>1322</v>
      </c>
      <c r="J97" s="408" t="s">
        <v>2236</v>
      </c>
      <c r="K97" s="824">
        <v>44409</v>
      </c>
      <c r="L97" s="408">
        <v>0</v>
      </c>
      <c r="M97" s="408">
        <v>0</v>
      </c>
      <c r="N97" s="408">
        <v>543.36300000000006</v>
      </c>
      <c r="O97" s="408">
        <v>543.36300000000006</v>
      </c>
      <c r="P97" s="408">
        <v>543.36300000000006</v>
      </c>
      <c r="Q97" s="408">
        <v>543.36300000000006</v>
      </c>
      <c r="R97" s="408"/>
      <c r="S97" s="408">
        <v>319.73</v>
      </c>
      <c r="T97" s="408">
        <v>115.17</v>
      </c>
      <c r="U97" s="408"/>
      <c r="V97" s="408">
        <v>236308.56870000003</v>
      </c>
      <c r="W97" s="408">
        <v>236308.56870000003</v>
      </c>
      <c r="X97" s="408">
        <v>180521.48949000001</v>
      </c>
      <c r="Y97" s="408">
        <v>0</v>
      </c>
      <c r="Z97" s="408">
        <v>18390.582111137388</v>
      </c>
      <c r="AA97" s="408">
        <v>0</v>
      </c>
      <c r="AB97" s="408">
        <v>0</v>
      </c>
      <c r="AC97" s="408">
        <v>0</v>
      </c>
      <c r="AD97" s="408">
        <v>22171.997655328501</v>
      </c>
      <c r="AE97" s="408">
        <v>115178.24256640812</v>
      </c>
      <c r="AF97" s="408">
        <v>61757.503051886932</v>
      </c>
      <c r="AG97" s="408">
        <v>822.72261600982472</v>
      </c>
      <c r="AH97" s="408">
        <v>0</v>
      </c>
      <c r="AI97" s="408">
        <v>0</v>
      </c>
      <c r="AJ97" s="408">
        <v>0</v>
      </c>
      <c r="AK97" s="408">
        <v>0</v>
      </c>
      <c r="AL97" s="408">
        <v>2841.9411232849166</v>
      </c>
      <c r="AM97" s="408"/>
      <c r="AN97" s="408">
        <v>544.79224774794807</v>
      </c>
      <c r="AO97" s="408">
        <v>1703.2878348084696</v>
      </c>
      <c r="AP97" s="408">
        <v>2565.6810178661099</v>
      </c>
      <c r="AQ97" s="408">
        <v>0</v>
      </c>
      <c r="AR97" s="408">
        <v>0</v>
      </c>
      <c r="AS97" s="408">
        <v>0</v>
      </c>
      <c r="AT97" s="408">
        <v>0</v>
      </c>
      <c r="AU97" s="408">
        <v>0</v>
      </c>
      <c r="AV97" s="408">
        <v>0</v>
      </c>
      <c r="AW97" s="408">
        <v>0</v>
      </c>
      <c r="AX97" s="408">
        <v>0</v>
      </c>
      <c r="AY97" s="408">
        <v>0</v>
      </c>
      <c r="AZ97" s="408">
        <v>0</v>
      </c>
      <c r="BA97" s="408"/>
      <c r="BB97" s="408">
        <v>0</v>
      </c>
      <c r="BC97" s="408">
        <v>0</v>
      </c>
      <c r="BD97" s="408">
        <v>0</v>
      </c>
      <c r="BE97" s="408">
        <v>0</v>
      </c>
      <c r="BF97" s="408">
        <v>0</v>
      </c>
      <c r="BG97" s="408">
        <v>10331.914810956408</v>
      </c>
      <c r="BH97" s="408">
        <v>0</v>
      </c>
      <c r="BI97" s="408">
        <v>292.19</v>
      </c>
      <c r="BJ97" s="408">
        <v>1403.51</v>
      </c>
      <c r="BK97" s="408">
        <v>58480.2</v>
      </c>
      <c r="BL97" s="408">
        <v>42</v>
      </c>
      <c r="BM97" s="408"/>
      <c r="BN97" s="408"/>
      <c r="BO97" s="408"/>
      <c r="BP97" s="408"/>
      <c r="BQ97" s="408"/>
      <c r="BR97" s="408"/>
      <c r="BS97" s="408"/>
      <c r="BT97" s="408"/>
      <c r="BU97" s="408"/>
      <c r="BV97" s="408">
        <v>72089.417862843344</v>
      </c>
      <c r="BW97" s="408"/>
      <c r="BX97" s="408"/>
      <c r="BY97" s="408"/>
      <c r="BZ97" s="408"/>
      <c r="CA97" s="408"/>
      <c r="CB97" s="408"/>
      <c r="CC97" s="408"/>
      <c r="CD97" s="408"/>
      <c r="CE97" s="408"/>
      <c r="CF97" s="408"/>
      <c r="CG97" s="408"/>
      <c r="CH97" s="408"/>
      <c r="CI97" s="408">
        <v>180520.49280000001</v>
      </c>
      <c r="CJ97" s="408">
        <v>-55788.105900000053</v>
      </c>
      <c r="CK97" s="408"/>
      <c r="CL97" s="408"/>
      <c r="CM97" s="408"/>
      <c r="CN97" s="408"/>
      <c r="CO97" s="408">
        <v>-62606.284860000022</v>
      </c>
      <c r="CP97" s="408">
        <v>6819.205649999999</v>
      </c>
      <c r="CQ97" s="408">
        <v>31</v>
      </c>
      <c r="CR97" s="408">
        <v>8829.1754210595391</v>
      </c>
      <c r="CS97" s="408">
        <v>205.64139882396057</v>
      </c>
      <c r="CT97" s="408">
        <v>309.75987890466195</v>
      </c>
      <c r="CU97" s="408">
        <v>0</v>
      </c>
      <c r="CV97" s="408">
        <v>0</v>
      </c>
      <c r="CW97" s="408">
        <v>0</v>
      </c>
      <c r="CX97" s="408">
        <v>0</v>
      </c>
      <c r="CY97" s="408">
        <v>0</v>
      </c>
      <c r="CZ97" s="408">
        <v>726.85213204347747</v>
      </c>
      <c r="DA97" s="408">
        <v>0</v>
      </c>
      <c r="DB97" s="408">
        <v>0</v>
      </c>
      <c r="DC97" s="408">
        <v>6820.6707030832476</v>
      </c>
      <c r="DD97" s="408">
        <v>0</v>
      </c>
      <c r="DE97" s="408">
        <v>0</v>
      </c>
      <c r="DF97" s="408">
        <v>0</v>
      </c>
      <c r="DG97" s="408">
        <v>1141.0854580475989</v>
      </c>
      <c r="DH97" s="408">
        <v>0</v>
      </c>
      <c r="DI97" s="408">
        <v>-320.58688636770239</v>
      </c>
      <c r="DJ97" s="408"/>
      <c r="DK97" s="408">
        <v>0</v>
      </c>
      <c r="DL97" s="408">
        <v>0</v>
      </c>
      <c r="DM97" s="408">
        <v>0</v>
      </c>
      <c r="DN97" s="408">
        <v>0</v>
      </c>
      <c r="DO97" s="408">
        <v>-41.65140970327684</v>
      </c>
      <c r="DP97" s="408">
        <v>-12.595853772441046</v>
      </c>
      <c r="DQ97" s="408">
        <v>0</v>
      </c>
      <c r="DR97" s="408">
        <v>0</v>
      </c>
      <c r="DS97" s="408"/>
      <c r="DT97" s="408"/>
      <c r="DU97" s="408"/>
      <c r="DV97" s="408">
        <v>115178.24256640812</v>
      </c>
      <c r="DW97" s="408">
        <v>0</v>
      </c>
      <c r="DX97" s="408">
        <v>0</v>
      </c>
      <c r="DY97" s="408">
        <v>-62606.284860000029</v>
      </c>
      <c r="DZ97" s="408">
        <v>6819.2056499999962</v>
      </c>
      <c r="EA97" s="408">
        <v>0</v>
      </c>
      <c r="EB97" s="408">
        <v>0</v>
      </c>
      <c r="EC97" s="408">
        <v>-64613.807651173847</v>
      </c>
      <c r="ED97" s="408">
        <v>0</v>
      </c>
      <c r="EE97" s="408">
        <v>0</v>
      </c>
      <c r="EF97" s="408">
        <v>0</v>
      </c>
      <c r="EG97" s="408">
        <v>0</v>
      </c>
      <c r="EH97" s="408">
        <v>0</v>
      </c>
      <c r="EI97" s="408">
        <v>0</v>
      </c>
      <c r="EJ97" s="408">
        <v>0</v>
      </c>
      <c r="EK97" s="408">
        <v>0</v>
      </c>
      <c r="EL97" s="408">
        <v>0</v>
      </c>
      <c r="EM97" s="408">
        <v>0</v>
      </c>
      <c r="EN97" s="408">
        <v>0</v>
      </c>
      <c r="EO97" s="408">
        <v>0</v>
      </c>
      <c r="EP97" s="408">
        <v>0</v>
      </c>
      <c r="EQ97" s="408">
        <v>0</v>
      </c>
      <c r="ER97" s="408">
        <v>0</v>
      </c>
      <c r="ES97" s="408">
        <v>0</v>
      </c>
      <c r="ET97" s="408">
        <v>0</v>
      </c>
      <c r="EU97" s="408">
        <v>0</v>
      </c>
      <c r="EV97" s="408">
        <v>238</v>
      </c>
      <c r="EW97" s="408">
        <v>0</v>
      </c>
      <c r="EX97" s="408">
        <v>0</v>
      </c>
      <c r="EY97" s="408">
        <v>0</v>
      </c>
      <c r="EZ97" s="408"/>
      <c r="FA97" s="408">
        <v>0</v>
      </c>
      <c r="FB97" s="408"/>
      <c r="FC97" s="408"/>
      <c r="FD97" s="408"/>
      <c r="FE97" s="408"/>
      <c r="FF97" s="408">
        <v>0</v>
      </c>
      <c r="FG97" s="408">
        <v>0</v>
      </c>
      <c r="FH97" s="408">
        <v>0</v>
      </c>
      <c r="FI97" s="408">
        <v>0</v>
      </c>
    </row>
    <row r="98" spans="1:165" s="857" customFormat="1">
      <c r="A98" s="408">
        <v>102</v>
      </c>
      <c r="B98" s="408" t="s">
        <v>1036</v>
      </c>
      <c r="C98" s="408" t="s">
        <v>2235</v>
      </c>
      <c r="D98" s="408" t="s">
        <v>1958</v>
      </c>
      <c r="E98" s="408" t="s">
        <v>1001</v>
      </c>
      <c r="F98" s="408" t="s">
        <v>2250</v>
      </c>
      <c r="G98" s="408" t="s">
        <v>1322</v>
      </c>
      <c r="H98" s="408" t="s">
        <v>1322</v>
      </c>
      <c r="I98" s="408" t="s">
        <v>1322</v>
      </c>
      <c r="J98" s="408" t="s">
        <v>2236</v>
      </c>
      <c r="K98" s="824">
        <v>44409</v>
      </c>
      <c r="L98" s="408">
        <v>0</v>
      </c>
      <c r="M98" s="408">
        <v>0</v>
      </c>
      <c r="N98" s="408">
        <v>82.980999999999995</v>
      </c>
      <c r="O98" s="408">
        <v>78.002139999999997</v>
      </c>
      <c r="P98" s="408">
        <v>82.980999999999995</v>
      </c>
      <c r="Q98" s="408">
        <v>78.002139999999997</v>
      </c>
      <c r="R98" s="408"/>
      <c r="S98" s="408">
        <v>581.32000000000005</v>
      </c>
      <c r="T98" s="408">
        <v>209.4</v>
      </c>
      <c r="U98" s="408"/>
      <c r="V98" s="408">
        <v>65614.736319999996</v>
      </c>
      <c r="W98" s="408">
        <v>65614.736319999996</v>
      </c>
      <c r="X98" s="408">
        <v>50126.332669999989</v>
      </c>
      <c r="Y98" s="408">
        <v>0</v>
      </c>
      <c r="Z98" s="408">
        <v>5106.4771003221504</v>
      </c>
      <c r="AA98" s="408">
        <v>0</v>
      </c>
      <c r="AB98" s="408">
        <v>0</v>
      </c>
      <c r="AC98" s="408">
        <v>0</v>
      </c>
      <c r="AD98" s="408">
        <v>6156.4553863014826</v>
      </c>
      <c r="AE98" s="408">
        <v>31981.318185927576</v>
      </c>
      <c r="AF98" s="408">
        <v>17148.085536485043</v>
      </c>
      <c r="AG98" s="408">
        <v>228.44378569327944</v>
      </c>
      <c r="AH98" s="408">
        <v>0</v>
      </c>
      <c r="AI98" s="408">
        <v>0</v>
      </c>
      <c r="AJ98" s="408">
        <v>0</v>
      </c>
      <c r="AK98" s="408">
        <v>0</v>
      </c>
      <c r="AL98" s="408">
        <v>789.11625411408602</v>
      </c>
      <c r="AM98" s="408"/>
      <c r="AN98" s="408">
        <v>151.27140189179545</v>
      </c>
      <c r="AO98" s="408">
        <v>472.94861419527047</v>
      </c>
      <c r="AP98" s="408">
        <v>712.40764894169195</v>
      </c>
      <c r="AQ98" s="408">
        <v>0</v>
      </c>
      <c r="AR98" s="408">
        <v>0</v>
      </c>
      <c r="AS98" s="408">
        <v>0</v>
      </c>
      <c r="AT98" s="408">
        <v>0</v>
      </c>
      <c r="AU98" s="408">
        <v>0</v>
      </c>
      <c r="AV98" s="408">
        <v>0</v>
      </c>
      <c r="AW98" s="408">
        <v>0</v>
      </c>
      <c r="AX98" s="408">
        <v>0</v>
      </c>
      <c r="AY98" s="408">
        <v>0</v>
      </c>
      <c r="AZ98" s="408">
        <v>0</v>
      </c>
      <c r="BA98" s="408"/>
      <c r="BB98" s="408">
        <v>0</v>
      </c>
      <c r="BC98" s="408">
        <v>0</v>
      </c>
      <c r="BD98" s="408">
        <v>0</v>
      </c>
      <c r="BE98" s="408">
        <v>0</v>
      </c>
      <c r="BF98" s="408">
        <v>0</v>
      </c>
      <c r="BG98" s="408">
        <v>2868.8426535817371</v>
      </c>
      <c r="BH98" s="408">
        <v>0</v>
      </c>
      <c r="BI98" s="408">
        <v>80.41</v>
      </c>
      <c r="BJ98" s="408">
        <v>386.6</v>
      </c>
      <c r="BK98" s="408">
        <v>25394.27</v>
      </c>
      <c r="BL98" s="408">
        <v>21</v>
      </c>
      <c r="BM98" s="408"/>
      <c r="BN98" s="408"/>
      <c r="BO98" s="408"/>
      <c r="BP98" s="408"/>
      <c r="BQ98" s="408">
        <v>3007.5799601999979</v>
      </c>
      <c r="BR98" s="408"/>
      <c r="BS98" s="408"/>
      <c r="BT98" s="408"/>
      <c r="BU98" s="408"/>
      <c r="BV98" s="408">
        <v>20016.928190066781</v>
      </c>
      <c r="BW98" s="408"/>
      <c r="BX98" s="408"/>
      <c r="BY98" s="408"/>
      <c r="BZ98" s="408"/>
      <c r="CA98" s="408"/>
      <c r="CB98" s="408"/>
      <c r="CC98" s="408"/>
      <c r="CD98" s="408"/>
      <c r="CE98" s="408"/>
      <c r="CF98" s="408"/>
      <c r="CG98" s="408"/>
      <c r="CH98" s="408"/>
      <c r="CI98" s="408">
        <v>47117.459999999992</v>
      </c>
      <c r="CJ98" s="408">
        <v>-14560.422140800023</v>
      </c>
      <c r="CK98" s="408"/>
      <c r="CL98" s="408"/>
      <c r="CM98" s="408"/>
      <c r="CN98" s="408"/>
      <c r="CO98" s="408">
        <v>-17382.859880000004</v>
      </c>
      <c r="CP98" s="408">
        <v>1894.4562299999986</v>
      </c>
      <c r="CQ98" s="408">
        <v>31</v>
      </c>
      <c r="CR98" s="408">
        <v>2451.5799353117764</v>
      </c>
      <c r="CS98" s="408">
        <v>57.100046514395785</v>
      </c>
      <c r="CT98" s="408">
        <v>86.01042200112272</v>
      </c>
      <c r="CU98" s="408">
        <v>0</v>
      </c>
      <c r="CV98" s="408">
        <v>0</v>
      </c>
      <c r="CW98" s="408">
        <v>0</v>
      </c>
      <c r="CX98" s="408">
        <v>0</v>
      </c>
      <c r="CY98" s="408">
        <v>0</v>
      </c>
      <c r="CZ98" s="408">
        <v>201.8236152162217</v>
      </c>
      <c r="DA98" s="408">
        <v>0</v>
      </c>
      <c r="DB98" s="408">
        <v>0</v>
      </c>
      <c r="DC98" s="408">
        <v>1893.8823438894797</v>
      </c>
      <c r="DD98" s="408">
        <v>0</v>
      </c>
      <c r="DE98" s="408">
        <v>0</v>
      </c>
      <c r="DF98" s="408">
        <v>0</v>
      </c>
      <c r="DG98" s="408">
        <v>316.84297570450371</v>
      </c>
      <c r="DH98" s="408">
        <v>0</v>
      </c>
      <c r="DI98" s="408">
        <v>-89.016736066697376</v>
      </c>
      <c r="DJ98" s="408"/>
      <c r="DK98" s="408">
        <v>0</v>
      </c>
      <c r="DL98" s="408">
        <v>0</v>
      </c>
      <c r="DM98" s="408">
        <v>0</v>
      </c>
      <c r="DN98" s="408">
        <v>0</v>
      </c>
      <c r="DO98" s="408">
        <v>-11.565265773567376</v>
      </c>
      <c r="DP98" s="408">
        <v>-3.4974661736794701</v>
      </c>
      <c r="DQ98" s="408">
        <v>0</v>
      </c>
      <c r="DR98" s="408">
        <v>0</v>
      </c>
      <c r="DS98" s="408"/>
      <c r="DT98" s="408"/>
      <c r="DU98" s="408"/>
      <c r="DV98" s="408">
        <v>31981.318185927576</v>
      </c>
      <c r="DW98" s="408">
        <v>0</v>
      </c>
      <c r="DX98" s="408">
        <v>0</v>
      </c>
      <c r="DY98" s="408">
        <v>-17382.859880000007</v>
      </c>
      <c r="DZ98" s="408">
        <v>1894.4562299999998</v>
      </c>
      <c r="EA98" s="408">
        <v>0</v>
      </c>
      <c r="EB98" s="408">
        <v>0</v>
      </c>
      <c r="EC98" s="408">
        <v>-17941.190068992997</v>
      </c>
      <c r="ED98" s="408">
        <v>0</v>
      </c>
      <c r="EE98" s="408">
        <v>0</v>
      </c>
      <c r="EF98" s="408">
        <v>0</v>
      </c>
      <c r="EG98" s="408">
        <v>0</v>
      </c>
      <c r="EH98" s="408">
        <v>0</v>
      </c>
      <c r="EI98" s="408">
        <v>0</v>
      </c>
      <c r="EJ98" s="408">
        <v>0</v>
      </c>
      <c r="EK98" s="408">
        <v>0</v>
      </c>
      <c r="EL98" s="408">
        <v>0</v>
      </c>
      <c r="EM98" s="408">
        <v>0</v>
      </c>
      <c r="EN98" s="408">
        <v>0</v>
      </c>
      <c r="EO98" s="408">
        <v>0</v>
      </c>
      <c r="EP98" s="408">
        <v>0</v>
      </c>
      <c r="EQ98" s="408">
        <v>0</v>
      </c>
      <c r="ER98" s="408">
        <v>0</v>
      </c>
      <c r="ES98" s="408">
        <v>0</v>
      </c>
      <c r="ET98" s="408">
        <v>0</v>
      </c>
      <c r="EU98" s="408">
        <v>0</v>
      </c>
      <c r="EV98" s="408">
        <v>238</v>
      </c>
      <c r="EW98" s="408">
        <v>0</v>
      </c>
      <c r="EX98" s="408">
        <v>0</v>
      </c>
      <c r="EY98" s="408">
        <v>0</v>
      </c>
      <c r="EZ98" s="408"/>
      <c r="FA98" s="408">
        <v>0</v>
      </c>
      <c r="FB98" s="408"/>
      <c r="FC98" s="408"/>
      <c r="FD98" s="408"/>
      <c r="FE98" s="408"/>
      <c r="FF98" s="408">
        <v>0</v>
      </c>
      <c r="FG98" s="408">
        <v>0</v>
      </c>
      <c r="FH98" s="408">
        <v>0</v>
      </c>
      <c r="FI98" s="408">
        <v>0</v>
      </c>
    </row>
    <row r="99" spans="1:165" s="857" customFormat="1">
      <c r="A99" s="408">
        <v>103</v>
      </c>
      <c r="B99" s="408" t="s">
        <v>1036</v>
      </c>
      <c r="C99" s="408" t="s">
        <v>2235</v>
      </c>
      <c r="D99" s="408" t="s">
        <v>1958</v>
      </c>
      <c r="E99" s="408" t="s">
        <v>2251</v>
      </c>
      <c r="F99" s="408" t="s">
        <v>1322</v>
      </c>
      <c r="G99" s="408" t="s">
        <v>1322</v>
      </c>
      <c r="H99" s="408" t="s">
        <v>1322</v>
      </c>
      <c r="I99" s="408" t="s">
        <v>1322</v>
      </c>
      <c r="J99" s="408" t="s">
        <v>2236</v>
      </c>
      <c r="K99" s="824">
        <v>44409</v>
      </c>
      <c r="L99" s="408">
        <v>0</v>
      </c>
      <c r="M99" s="408">
        <v>0</v>
      </c>
      <c r="N99" s="408">
        <v>27.762</v>
      </c>
      <c r="O99" s="408">
        <v>27.762</v>
      </c>
      <c r="P99" s="408">
        <v>27.762</v>
      </c>
      <c r="Q99" s="408">
        <v>27.762</v>
      </c>
      <c r="R99" s="408"/>
      <c r="S99" s="408">
        <v>581.32000000000005</v>
      </c>
      <c r="T99" s="408">
        <v>209.4</v>
      </c>
      <c r="U99" s="408"/>
      <c r="V99" s="408">
        <v>21951.968640000003</v>
      </c>
      <c r="W99" s="408">
        <v>21951.968640000003</v>
      </c>
      <c r="X99" s="408">
        <v>16770.191339999998</v>
      </c>
      <c r="Y99" s="408">
        <v>0</v>
      </c>
      <c r="Z99" s="408">
        <v>1708.4153873675125</v>
      </c>
      <c r="AA99" s="408">
        <v>0</v>
      </c>
      <c r="AB99" s="408">
        <v>0</v>
      </c>
      <c r="AC99" s="408">
        <v>0</v>
      </c>
      <c r="AD99" s="408">
        <v>2059.6945618214022</v>
      </c>
      <c r="AE99" s="408">
        <v>10699.622268684656</v>
      </c>
      <c r="AF99" s="408">
        <v>5737.0380046504361</v>
      </c>
      <c r="AG99" s="408">
        <v>76.427813335785601</v>
      </c>
      <c r="AH99" s="408">
        <v>0</v>
      </c>
      <c r="AI99" s="408">
        <v>0</v>
      </c>
      <c r="AJ99" s="408">
        <v>0</v>
      </c>
      <c r="AK99" s="408">
        <v>0</v>
      </c>
      <c r="AL99" s="408">
        <v>264.00556087194974</v>
      </c>
      <c r="AM99" s="408"/>
      <c r="AN99" s="408">
        <v>50.609135336041092</v>
      </c>
      <c r="AO99" s="408">
        <v>158.22898527722128</v>
      </c>
      <c r="AP99" s="408">
        <v>238.34204396089771</v>
      </c>
      <c r="AQ99" s="408">
        <v>0</v>
      </c>
      <c r="AR99" s="408">
        <v>0</v>
      </c>
      <c r="AS99" s="408">
        <v>0</v>
      </c>
      <c r="AT99" s="408">
        <v>0</v>
      </c>
      <c r="AU99" s="408">
        <v>0</v>
      </c>
      <c r="AV99" s="408">
        <v>0</v>
      </c>
      <c r="AW99" s="408">
        <v>0</v>
      </c>
      <c r="AX99" s="408">
        <v>0</v>
      </c>
      <c r="AY99" s="408">
        <v>0</v>
      </c>
      <c r="AZ99" s="408">
        <v>0</v>
      </c>
      <c r="BA99" s="408"/>
      <c r="BB99" s="408">
        <v>0</v>
      </c>
      <c r="BC99" s="408">
        <v>0</v>
      </c>
      <c r="BD99" s="408">
        <v>0</v>
      </c>
      <c r="BE99" s="408">
        <v>0</v>
      </c>
      <c r="BF99" s="408">
        <v>0</v>
      </c>
      <c r="BG99" s="408">
        <v>959.79573334541874</v>
      </c>
      <c r="BH99" s="408">
        <v>0</v>
      </c>
      <c r="BI99" s="408">
        <v>28.24</v>
      </c>
      <c r="BJ99" s="408">
        <v>135.74</v>
      </c>
      <c r="BK99" s="408">
        <v>8486.7999999999993</v>
      </c>
      <c r="BL99" s="408">
        <v>17</v>
      </c>
      <c r="BM99" s="408"/>
      <c r="BN99" s="408"/>
      <c r="BO99" s="408"/>
      <c r="BP99" s="408"/>
      <c r="BQ99" s="408"/>
      <c r="BR99" s="408"/>
      <c r="BS99" s="408"/>
      <c r="BT99" s="408"/>
      <c r="BU99" s="408"/>
      <c r="BV99" s="408">
        <v>6696.8337379958548</v>
      </c>
      <c r="BW99" s="408"/>
      <c r="BX99" s="408"/>
      <c r="BY99" s="408"/>
      <c r="BZ99" s="408"/>
      <c r="CA99" s="408"/>
      <c r="CB99" s="408"/>
      <c r="CC99" s="408"/>
      <c r="CD99" s="408"/>
      <c r="CE99" s="408"/>
      <c r="CF99" s="408"/>
      <c r="CG99" s="408"/>
      <c r="CH99" s="408"/>
      <c r="CI99" s="408">
        <v>16768.983199999999</v>
      </c>
      <c r="CJ99" s="408">
        <v>-5183.0154400000029</v>
      </c>
      <c r="CK99" s="408"/>
      <c r="CL99" s="408"/>
      <c r="CM99" s="408"/>
      <c r="CN99" s="408"/>
      <c r="CO99" s="408">
        <v>-5815.5837600000023</v>
      </c>
      <c r="CP99" s="408">
        <v>633.80645999999956</v>
      </c>
      <c r="CQ99" s="408">
        <v>31</v>
      </c>
      <c r="CR99" s="408">
        <v>820.19693862601889</v>
      </c>
      <c r="CS99" s="408">
        <v>19.103306676620633</v>
      </c>
      <c r="CT99" s="408">
        <v>28.775518921140616</v>
      </c>
      <c r="CU99" s="408">
        <v>0</v>
      </c>
      <c r="CV99" s="408">
        <v>0</v>
      </c>
      <c r="CW99" s="408">
        <v>0</v>
      </c>
      <c r="CX99" s="408">
        <v>0</v>
      </c>
      <c r="CY99" s="408">
        <v>0</v>
      </c>
      <c r="CZ99" s="408">
        <v>67.521808674669501</v>
      </c>
      <c r="DA99" s="408">
        <v>0</v>
      </c>
      <c r="DB99" s="408">
        <v>0</v>
      </c>
      <c r="DC99" s="408">
        <v>633.61446151600649</v>
      </c>
      <c r="DD99" s="408">
        <v>0</v>
      </c>
      <c r="DE99" s="408">
        <v>0</v>
      </c>
      <c r="DF99" s="408">
        <v>0</v>
      </c>
      <c r="DG99" s="408">
        <v>106.00251493123028</v>
      </c>
      <c r="DH99" s="408">
        <v>0</v>
      </c>
      <c r="DI99" s="408">
        <v>-29.781306885716731</v>
      </c>
      <c r="DJ99" s="408"/>
      <c r="DK99" s="408">
        <v>0</v>
      </c>
      <c r="DL99" s="408">
        <v>0</v>
      </c>
      <c r="DM99" s="408">
        <v>0</v>
      </c>
      <c r="DN99" s="408">
        <v>0</v>
      </c>
      <c r="DO99" s="408">
        <v>-3.8692581242185611</v>
      </c>
      <c r="DP99" s="408">
        <v>-1.1701070837142211</v>
      </c>
      <c r="DQ99" s="408">
        <v>0</v>
      </c>
      <c r="DR99" s="408">
        <v>0</v>
      </c>
      <c r="DS99" s="408"/>
      <c r="DT99" s="408"/>
      <c r="DU99" s="408"/>
      <c r="DV99" s="408">
        <v>10699.622268684656</v>
      </c>
      <c r="DW99" s="408">
        <v>0</v>
      </c>
      <c r="DX99" s="408">
        <v>0</v>
      </c>
      <c r="DY99" s="408">
        <v>-5815.5837600000032</v>
      </c>
      <c r="DZ99" s="408">
        <v>633.80645999999979</v>
      </c>
      <c r="EA99" s="408">
        <v>0</v>
      </c>
      <c r="EB99" s="408">
        <v>0</v>
      </c>
      <c r="EC99" s="408">
        <v>-6002.3778780128423</v>
      </c>
      <c r="ED99" s="408">
        <v>0</v>
      </c>
      <c r="EE99" s="408">
        <v>0</v>
      </c>
      <c r="EF99" s="408">
        <v>0</v>
      </c>
      <c r="EG99" s="408">
        <v>0</v>
      </c>
      <c r="EH99" s="408">
        <v>0</v>
      </c>
      <c r="EI99" s="408">
        <v>0</v>
      </c>
      <c r="EJ99" s="408">
        <v>0</v>
      </c>
      <c r="EK99" s="408">
        <v>0</v>
      </c>
      <c r="EL99" s="408">
        <v>0</v>
      </c>
      <c r="EM99" s="408">
        <v>0</v>
      </c>
      <c r="EN99" s="408">
        <v>0</v>
      </c>
      <c r="EO99" s="408">
        <v>0</v>
      </c>
      <c r="EP99" s="408">
        <v>0</v>
      </c>
      <c r="EQ99" s="408">
        <v>0</v>
      </c>
      <c r="ER99" s="408">
        <v>0</v>
      </c>
      <c r="ES99" s="408">
        <v>0</v>
      </c>
      <c r="ET99" s="408">
        <v>0</v>
      </c>
      <c r="EU99" s="408">
        <v>0</v>
      </c>
      <c r="EV99" s="408">
        <v>238</v>
      </c>
      <c r="EW99" s="408">
        <v>0</v>
      </c>
      <c r="EX99" s="408">
        <v>0</v>
      </c>
      <c r="EY99" s="408">
        <v>0</v>
      </c>
      <c r="EZ99" s="408"/>
      <c r="FA99" s="408">
        <v>0</v>
      </c>
      <c r="FB99" s="408"/>
      <c r="FC99" s="408"/>
      <c r="FD99" s="408"/>
      <c r="FE99" s="408"/>
      <c r="FF99" s="408">
        <v>0</v>
      </c>
      <c r="FG99" s="408">
        <v>0</v>
      </c>
      <c r="FH99" s="408">
        <v>0</v>
      </c>
      <c r="FI99" s="408">
        <v>0</v>
      </c>
    </row>
    <row r="100" spans="1:165" s="857" customFormat="1">
      <c r="A100" s="408">
        <v>104</v>
      </c>
      <c r="B100" s="408" t="s">
        <v>1036</v>
      </c>
      <c r="C100" s="408" t="s">
        <v>2235</v>
      </c>
      <c r="D100" s="408" t="s">
        <v>2245</v>
      </c>
      <c r="E100" s="408" t="s">
        <v>974</v>
      </c>
      <c r="F100" s="408" t="s">
        <v>2252</v>
      </c>
      <c r="G100" s="408" t="s">
        <v>2253</v>
      </c>
      <c r="H100" s="408" t="s">
        <v>1322</v>
      </c>
      <c r="I100" s="408" t="s">
        <v>1322</v>
      </c>
      <c r="J100" s="408" t="s">
        <v>2236</v>
      </c>
      <c r="K100" s="824">
        <v>44409</v>
      </c>
      <c r="L100" s="408">
        <v>0</v>
      </c>
      <c r="M100" s="408">
        <v>0</v>
      </c>
      <c r="N100" s="408">
        <v>0</v>
      </c>
      <c r="O100" s="408">
        <v>0</v>
      </c>
      <c r="P100" s="408">
        <v>0</v>
      </c>
      <c r="Q100" s="408">
        <v>0</v>
      </c>
      <c r="R100" s="408"/>
      <c r="S100" s="408"/>
      <c r="T100" s="408"/>
      <c r="U100" s="408"/>
      <c r="V100" s="408"/>
      <c r="W100" s="408"/>
      <c r="X100" s="408"/>
      <c r="Y100" s="408"/>
      <c r="Z100" s="408"/>
      <c r="AA100" s="408">
        <v>0</v>
      </c>
      <c r="AB100" s="408"/>
      <c r="AC100" s="408"/>
      <c r="AD100" s="408"/>
      <c r="AE100" s="408"/>
      <c r="AF100" s="408"/>
      <c r="AG100" s="408"/>
      <c r="AH100" s="408"/>
      <c r="AI100" s="408"/>
      <c r="AJ100" s="408"/>
      <c r="AK100" s="408"/>
      <c r="AL100" s="408"/>
      <c r="AM100" s="408"/>
      <c r="AN100" s="408"/>
      <c r="AO100" s="408"/>
      <c r="AP100" s="408"/>
      <c r="AQ100" s="408"/>
      <c r="AR100" s="408"/>
      <c r="AS100" s="408"/>
      <c r="AT100" s="408"/>
      <c r="AU100" s="408"/>
      <c r="AV100" s="408"/>
      <c r="AW100" s="408"/>
      <c r="AX100" s="408"/>
      <c r="AY100" s="408"/>
      <c r="AZ100" s="408">
        <v>0</v>
      </c>
      <c r="BA100" s="408"/>
      <c r="BB100" s="408"/>
      <c r="BC100" s="408"/>
      <c r="BD100" s="408"/>
      <c r="BE100" s="408"/>
      <c r="BF100" s="408"/>
      <c r="BG100" s="408"/>
      <c r="BH100" s="408"/>
      <c r="BI100" s="408">
        <v>92.25</v>
      </c>
      <c r="BJ100" s="408">
        <v>445.97</v>
      </c>
      <c r="BK100" s="408">
        <v>1114.04</v>
      </c>
      <c r="BL100" s="408">
        <v>126</v>
      </c>
      <c r="BM100" s="408"/>
      <c r="BN100" s="408"/>
      <c r="BO100" s="408"/>
      <c r="BP100" s="408"/>
      <c r="BQ100" s="408"/>
      <c r="BR100" s="408"/>
      <c r="BS100" s="408"/>
      <c r="BT100" s="408"/>
      <c r="BU100" s="408"/>
      <c r="BV100" s="408"/>
      <c r="BW100" s="408"/>
      <c r="BX100" s="408"/>
      <c r="BY100" s="408"/>
      <c r="BZ100" s="408"/>
      <c r="CA100" s="408"/>
      <c r="CB100" s="408"/>
      <c r="CC100" s="408"/>
      <c r="CD100" s="408"/>
      <c r="CE100" s="408"/>
      <c r="CF100" s="408"/>
      <c r="CG100" s="408"/>
      <c r="CH100" s="408"/>
      <c r="CI100" s="408"/>
      <c r="CJ100" s="408">
        <v>-0.03</v>
      </c>
      <c r="CK100" s="408"/>
      <c r="CL100" s="408"/>
      <c r="CM100" s="408"/>
      <c r="CN100" s="408"/>
      <c r="CO100" s="408">
        <v>0</v>
      </c>
      <c r="CP100" s="408">
        <v>0</v>
      </c>
      <c r="CQ100" s="408">
        <v>31</v>
      </c>
      <c r="CR100" s="408"/>
      <c r="CS100" s="408"/>
      <c r="CT100" s="408"/>
      <c r="CU100" s="408"/>
      <c r="CV100" s="408"/>
      <c r="CW100" s="408"/>
      <c r="CX100" s="408"/>
      <c r="CY100" s="408"/>
      <c r="CZ100" s="408"/>
      <c r="DA100" s="408"/>
      <c r="DB100" s="408"/>
      <c r="DC100" s="408"/>
      <c r="DD100" s="408"/>
      <c r="DE100" s="408"/>
      <c r="DF100" s="408"/>
      <c r="DG100" s="408"/>
      <c r="DH100" s="408"/>
      <c r="DI100" s="408"/>
      <c r="DJ100" s="408"/>
      <c r="DK100" s="408">
        <v>0</v>
      </c>
      <c r="DL100" s="408"/>
      <c r="DM100" s="408"/>
      <c r="DN100" s="408"/>
      <c r="DO100" s="408"/>
      <c r="DP100" s="408"/>
      <c r="DQ100" s="408"/>
      <c r="DR100" s="408"/>
      <c r="DS100" s="408"/>
      <c r="DT100" s="408"/>
      <c r="DU100" s="408"/>
      <c r="DV100" s="408"/>
      <c r="DW100" s="408"/>
      <c r="DX100" s="408"/>
      <c r="DY100" s="408"/>
      <c r="DZ100" s="408"/>
      <c r="EA100" s="408"/>
      <c r="EB100" s="408"/>
      <c r="EC100" s="408"/>
      <c r="ED100" s="408"/>
      <c r="EE100" s="408"/>
      <c r="EF100" s="408"/>
      <c r="EG100" s="408"/>
      <c r="EH100" s="408"/>
      <c r="EI100" s="408"/>
      <c r="EJ100" s="408"/>
      <c r="EK100" s="408"/>
      <c r="EL100" s="408"/>
      <c r="EM100" s="408"/>
      <c r="EN100" s="408"/>
      <c r="EO100" s="408"/>
      <c r="EP100" s="408"/>
      <c r="EQ100" s="408"/>
      <c r="ER100" s="408"/>
      <c r="ES100" s="408"/>
      <c r="ET100" s="408"/>
      <c r="EU100" s="408"/>
      <c r="EV100" s="408">
        <v>238</v>
      </c>
      <c r="EW100" s="408"/>
      <c r="EX100" s="408"/>
      <c r="EY100" s="408"/>
      <c r="EZ100" s="408"/>
      <c r="FA100" s="408">
        <v>0</v>
      </c>
      <c r="FB100" s="408"/>
      <c r="FC100" s="408"/>
      <c r="FD100" s="408"/>
      <c r="FE100" s="408"/>
      <c r="FF100" s="408">
        <v>0</v>
      </c>
      <c r="FG100" s="408">
        <v>0</v>
      </c>
      <c r="FH100" s="408">
        <v>0</v>
      </c>
      <c r="FI100" s="408">
        <v>0</v>
      </c>
    </row>
    <row r="101" spans="1:165" s="857" customFormat="1">
      <c r="A101" s="408">
        <v>105</v>
      </c>
      <c r="B101" s="408" t="s">
        <v>2238</v>
      </c>
      <c r="C101" s="408" t="s">
        <v>2235</v>
      </c>
      <c r="D101" s="408" t="s">
        <v>2245</v>
      </c>
      <c r="E101" s="408" t="s">
        <v>974</v>
      </c>
      <c r="F101" s="408" t="s">
        <v>2252</v>
      </c>
      <c r="G101" s="408" t="s">
        <v>2253</v>
      </c>
      <c r="H101" s="408" t="s">
        <v>1322</v>
      </c>
      <c r="I101" s="408" t="s">
        <v>1322</v>
      </c>
      <c r="J101" s="408" t="s">
        <v>2236</v>
      </c>
      <c r="K101" s="824">
        <v>44409</v>
      </c>
      <c r="L101" s="408">
        <v>0</v>
      </c>
      <c r="M101" s="408">
        <v>0</v>
      </c>
      <c r="N101" s="408">
        <v>0</v>
      </c>
      <c r="O101" s="408">
        <v>0</v>
      </c>
      <c r="P101" s="408">
        <v>0</v>
      </c>
      <c r="Q101" s="408">
        <v>0</v>
      </c>
      <c r="R101" s="408"/>
      <c r="S101" s="408"/>
      <c r="T101" s="408"/>
      <c r="U101" s="408"/>
      <c r="V101" s="408"/>
      <c r="W101" s="408"/>
      <c r="X101" s="408"/>
      <c r="Y101" s="408"/>
      <c r="Z101" s="408"/>
      <c r="AA101" s="408">
        <v>0</v>
      </c>
      <c r="AB101" s="408"/>
      <c r="AC101" s="408"/>
      <c r="AD101" s="408"/>
      <c r="AE101" s="408"/>
      <c r="AF101" s="408"/>
      <c r="AG101" s="408"/>
      <c r="AH101" s="408"/>
      <c r="AI101" s="408"/>
      <c r="AJ101" s="408"/>
      <c r="AK101" s="408"/>
      <c r="AL101" s="408"/>
      <c r="AM101" s="408"/>
      <c r="AN101" s="408"/>
      <c r="AO101" s="408"/>
      <c r="AP101" s="408"/>
      <c r="AQ101" s="408"/>
      <c r="AR101" s="408"/>
      <c r="AS101" s="408"/>
      <c r="AT101" s="408"/>
      <c r="AU101" s="408"/>
      <c r="AV101" s="408"/>
      <c r="AW101" s="408"/>
      <c r="AX101" s="408"/>
      <c r="AY101" s="408"/>
      <c r="AZ101" s="408">
        <v>0</v>
      </c>
      <c r="BA101" s="408"/>
      <c r="BB101" s="408"/>
      <c r="BC101" s="408"/>
      <c r="BD101" s="408"/>
      <c r="BE101" s="408"/>
      <c r="BF101" s="408"/>
      <c r="BG101" s="408"/>
      <c r="BH101" s="408"/>
      <c r="BI101" s="408">
        <v>2.82</v>
      </c>
      <c r="BJ101" s="408">
        <v>13.9</v>
      </c>
      <c r="BK101" s="408">
        <v>168.07</v>
      </c>
      <c r="BL101" s="408">
        <v>18</v>
      </c>
      <c r="BM101" s="408"/>
      <c r="BN101" s="408"/>
      <c r="BO101" s="408"/>
      <c r="BP101" s="408"/>
      <c r="BQ101" s="408"/>
      <c r="BR101" s="408"/>
      <c r="BS101" s="408"/>
      <c r="BT101" s="408"/>
      <c r="BU101" s="408"/>
      <c r="BV101" s="408"/>
      <c r="BW101" s="408"/>
      <c r="BX101" s="408"/>
      <c r="BY101" s="408"/>
      <c r="BZ101" s="408"/>
      <c r="CA101" s="408"/>
      <c r="CB101" s="408"/>
      <c r="CC101" s="408"/>
      <c r="CD101" s="408"/>
      <c r="CE101" s="408"/>
      <c r="CF101" s="408"/>
      <c r="CG101" s="408"/>
      <c r="CH101" s="408"/>
      <c r="CI101" s="408"/>
      <c r="CJ101" s="408">
        <v>-0.03</v>
      </c>
      <c r="CK101" s="408"/>
      <c r="CL101" s="408"/>
      <c r="CM101" s="408"/>
      <c r="CN101" s="408"/>
      <c r="CO101" s="408">
        <v>0</v>
      </c>
      <c r="CP101" s="408">
        <v>0</v>
      </c>
      <c r="CQ101" s="408">
        <v>31</v>
      </c>
      <c r="CR101" s="408"/>
      <c r="CS101" s="408"/>
      <c r="CT101" s="408"/>
      <c r="CU101" s="408"/>
      <c r="CV101" s="408"/>
      <c r="CW101" s="408"/>
      <c r="CX101" s="408"/>
      <c r="CY101" s="408"/>
      <c r="CZ101" s="408"/>
      <c r="DA101" s="408"/>
      <c r="DB101" s="408"/>
      <c r="DC101" s="408"/>
      <c r="DD101" s="408"/>
      <c r="DE101" s="408"/>
      <c r="DF101" s="408"/>
      <c r="DG101" s="408"/>
      <c r="DH101" s="408"/>
      <c r="DI101" s="408"/>
      <c r="DJ101" s="408"/>
      <c r="DK101" s="408">
        <v>0</v>
      </c>
      <c r="DL101" s="408"/>
      <c r="DM101" s="408"/>
      <c r="DN101" s="408"/>
      <c r="DO101" s="408"/>
      <c r="DP101" s="408"/>
      <c r="DQ101" s="408"/>
      <c r="DR101" s="408"/>
      <c r="DS101" s="408"/>
      <c r="DT101" s="408"/>
      <c r="DU101" s="408"/>
      <c r="DV101" s="408"/>
      <c r="DW101" s="408"/>
      <c r="DX101" s="408"/>
      <c r="DY101" s="408"/>
      <c r="DZ101" s="408"/>
      <c r="EA101" s="408"/>
      <c r="EB101" s="408"/>
      <c r="EC101" s="408"/>
      <c r="ED101" s="408"/>
      <c r="EE101" s="408"/>
      <c r="EF101" s="408"/>
      <c r="EG101" s="408"/>
      <c r="EH101" s="408"/>
      <c r="EI101" s="408"/>
      <c r="EJ101" s="408"/>
      <c r="EK101" s="408"/>
      <c r="EL101" s="408"/>
      <c r="EM101" s="408"/>
      <c r="EN101" s="408"/>
      <c r="EO101" s="408"/>
      <c r="EP101" s="408"/>
      <c r="EQ101" s="408"/>
      <c r="ER101" s="408"/>
      <c r="ES101" s="408"/>
      <c r="ET101" s="408"/>
      <c r="EU101" s="408"/>
      <c r="EV101" s="408">
        <v>238</v>
      </c>
      <c r="EW101" s="408"/>
      <c r="EX101" s="408"/>
      <c r="EY101" s="408"/>
      <c r="EZ101" s="408"/>
      <c r="FA101" s="408">
        <v>0</v>
      </c>
      <c r="FB101" s="408"/>
      <c r="FC101" s="408"/>
      <c r="FD101" s="408"/>
      <c r="FE101" s="408"/>
      <c r="FF101" s="408">
        <v>0</v>
      </c>
      <c r="FG101" s="408">
        <v>0</v>
      </c>
      <c r="FH101" s="408">
        <v>0</v>
      </c>
      <c r="FI101" s="408">
        <v>0</v>
      </c>
    </row>
    <row r="102" spans="1:165" s="857" customFormat="1">
      <c r="A102" s="408">
        <v>106</v>
      </c>
      <c r="B102" s="408" t="s">
        <v>1036</v>
      </c>
      <c r="C102" s="408" t="s">
        <v>2235</v>
      </c>
      <c r="D102" s="408" t="s">
        <v>2245</v>
      </c>
      <c r="E102" s="408" t="s">
        <v>974</v>
      </c>
      <c r="F102" s="408" t="s">
        <v>2252</v>
      </c>
      <c r="G102" s="408" t="s">
        <v>2253</v>
      </c>
      <c r="H102" s="408" t="s">
        <v>1322</v>
      </c>
      <c r="I102" s="408" t="s">
        <v>1322</v>
      </c>
      <c r="J102" s="408" t="s">
        <v>2236</v>
      </c>
      <c r="K102" s="824">
        <v>44409</v>
      </c>
      <c r="L102" s="408">
        <v>0</v>
      </c>
      <c r="M102" s="408">
        <v>0</v>
      </c>
      <c r="N102" s="408">
        <v>100.67100000000001</v>
      </c>
      <c r="O102" s="408">
        <v>100.67100000000001</v>
      </c>
      <c r="P102" s="408">
        <v>100.67100000000001</v>
      </c>
      <c r="Q102" s="408">
        <v>100.67100000000001</v>
      </c>
      <c r="R102" s="408"/>
      <c r="S102" s="408">
        <v>581.32000000000005</v>
      </c>
      <c r="T102" s="408">
        <v>209.4</v>
      </c>
      <c r="U102" s="408"/>
      <c r="V102" s="408">
        <v>79602.573120000015</v>
      </c>
      <c r="W102" s="408">
        <v>79602.573120000015</v>
      </c>
      <c r="X102" s="408">
        <v>60812.330969999995</v>
      </c>
      <c r="Y102" s="408">
        <v>0</v>
      </c>
      <c r="Z102" s="408">
        <v>6195.082683584571</v>
      </c>
      <c r="AA102" s="408">
        <v>0</v>
      </c>
      <c r="AB102" s="408">
        <v>0</v>
      </c>
      <c r="AC102" s="408">
        <v>0</v>
      </c>
      <c r="AD102" s="408">
        <v>7468.8967377394411</v>
      </c>
      <c r="AE102" s="408">
        <v>38799.138153258158</v>
      </c>
      <c r="AF102" s="408">
        <v>20803.73722952828</v>
      </c>
      <c r="AG102" s="408">
        <v>277.14373590976413</v>
      </c>
      <c r="AH102" s="408">
        <v>0</v>
      </c>
      <c r="AI102" s="408">
        <v>0</v>
      </c>
      <c r="AJ102" s="408">
        <v>0</v>
      </c>
      <c r="AK102" s="408">
        <v>0</v>
      </c>
      <c r="AL102" s="408">
        <v>957.34110721634067</v>
      </c>
      <c r="AM102" s="408"/>
      <c r="AN102" s="408">
        <v>183.51964063880817</v>
      </c>
      <c r="AO102" s="408">
        <v>573.7724291060855</v>
      </c>
      <c r="AP102" s="408">
        <v>864.27965951975852</v>
      </c>
      <c r="AQ102" s="408">
        <v>0</v>
      </c>
      <c r="AR102" s="408">
        <v>0</v>
      </c>
      <c r="AS102" s="408">
        <v>0</v>
      </c>
      <c r="AT102" s="408">
        <v>0</v>
      </c>
      <c r="AU102" s="408">
        <v>0</v>
      </c>
      <c r="AV102" s="408">
        <v>0</v>
      </c>
      <c r="AW102" s="408">
        <v>0</v>
      </c>
      <c r="AX102" s="408">
        <v>0</v>
      </c>
      <c r="AY102" s="408">
        <v>0</v>
      </c>
      <c r="AZ102" s="408">
        <v>0</v>
      </c>
      <c r="BA102" s="408"/>
      <c r="BB102" s="408">
        <v>0</v>
      </c>
      <c r="BC102" s="408">
        <v>0</v>
      </c>
      <c r="BD102" s="408">
        <v>0</v>
      </c>
      <c r="BE102" s="408">
        <v>0</v>
      </c>
      <c r="BF102" s="408">
        <v>0</v>
      </c>
      <c r="BG102" s="408">
        <v>3480.4263479438318</v>
      </c>
      <c r="BH102" s="408">
        <v>0</v>
      </c>
      <c r="BI102" s="408">
        <v>0</v>
      </c>
      <c r="BJ102" s="408">
        <v>0</v>
      </c>
      <c r="BK102" s="408">
        <v>0</v>
      </c>
      <c r="BL102" s="408">
        <v>0</v>
      </c>
      <c r="BM102" s="408"/>
      <c r="BN102" s="408"/>
      <c r="BO102" s="408"/>
      <c r="BP102" s="408"/>
      <c r="BQ102" s="408"/>
      <c r="BR102" s="408">
        <v>7297.6407899999931</v>
      </c>
      <c r="BS102" s="408"/>
      <c r="BT102" s="408"/>
      <c r="BU102" s="408"/>
      <c r="BV102" s="408">
        <v>24284.163577472111</v>
      </c>
      <c r="BW102" s="408"/>
      <c r="BX102" s="408"/>
      <c r="BY102" s="408"/>
      <c r="BZ102" s="408"/>
      <c r="CA102" s="408"/>
      <c r="CB102" s="408"/>
      <c r="CC102" s="408"/>
      <c r="CD102" s="408"/>
      <c r="CE102" s="408"/>
      <c r="CF102" s="408"/>
      <c r="CG102" s="408"/>
      <c r="CH102" s="408"/>
      <c r="CI102" s="408">
        <v>53514.15860000001</v>
      </c>
      <c r="CJ102" s="408">
        <v>-16537.786749999999</v>
      </c>
      <c r="CK102" s="408"/>
      <c r="CL102" s="408"/>
      <c r="CM102" s="408"/>
      <c r="CN102" s="408"/>
      <c r="CO102" s="408">
        <v>-21088.56108000001</v>
      </c>
      <c r="CP102" s="408">
        <v>2298.3189299999985</v>
      </c>
      <c r="CQ102" s="408">
        <v>31</v>
      </c>
      <c r="CR102" s="408">
        <v>2974.2110081557403</v>
      </c>
      <c r="CS102" s="408">
        <v>69.272710411428307</v>
      </c>
      <c r="CT102" s="408">
        <v>104.34623821447099</v>
      </c>
      <c r="CU102" s="408">
        <v>0</v>
      </c>
      <c r="CV102" s="408">
        <v>0</v>
      </c>
      <c r="CW102" s="408">
        <v>0</v>
      </c>
      <c r="CX102" s="408">
        <v>0</v>
      </c>
      <c r="CY102" s="408">
        <v>0</v>
      </c>
      <c r="CZ102" s="408">
        <v>244.84864206785096</v>
      </c>
      <c r="DA102" s="408">
        <v>0</v>
      </c>
      <c r="DB102" s="408">
        <v>0</v>
      </c>
      <c r="DC102" s="408">
        <v>2297.6227020847837</v>
      </c>
      <c r="DD102" s="408">
        <v>0</v>
      </c>
      <c r="DE102" s="408">
        <v>0</v>
      </c>
      <c r="DF102" s="408">
        <v>0</v>
      </c>
      <c r="DG102" s="408">
        <v>384.38798287738246</v>
      </c>
      <c r="DH102" s="408">
        <v>0</v>
      </c>
      <c r="DI102" s="408">
        <v>-107.99344231294526</v>
      </c>
      <c r="DJ102" s="408"/>
      <c r="DK102" s="408">
        <v>0</v>
      </c>
      <c r="DL102" s="408">
        <v>0</v>
      </c>
      <c r="DM102" s="408">
        <v>0</v>
      </c>
      <c r="DN102" s="408">
        <v>0</v>
      </c>
      <c r="DO102" s="408">
        <v>-14.030764520683078</v>
      </c>
      <c r="DP102" s="408">
        <v>-4.2430606665439825</v>
      </c>
      <c r="DQ102" s="408">
        <v>0</v>
      </c>
      <c r="DR102" s="408">
        <v>0</v>
      </c>
      <c r="DS102" s="408"/>
      <c r="DT102" s="408"/>
      <c r="DU102" s="408"/>
      <c r="DV102" s="408">
        <v>38799.138153258158</v>
      </c>
      <c r="DW102" s="408">
        <v>0</v>
      </c>
      <c r="DX102" s="408">
        <v>0</v>
      </c>
      <c r="DY102" s="408">
        <v>-21088.561080000007</v>
      </c>
      <c r="DZ102" s="408">
        <v>2298.3189299999976</v>
      </c>
      <c r="EA102" s="408">
        <v>0</v>
      </c>
      <c r="EB102" s="408">
        <v>0</v>
      </c>
      <c r="EC102" s="408">
        <v>-21765.91684163356</v>
      </c>
      <c r="ED102" s="408">
        <v>0</v>
      </c>
      <c r="EE102" s="408">
        <v>0</v>
      </c>
      <c r="EF102" s="408">
        <v>0</v>
      </c>
      <c r="EG102" s="408">
        <v>0</v>
      </c>
      <c r="EH102" s="408">
        <v>0</v>
      </c>
      <c r="EI102" s="408">
        <v>0</v>
      </c>
      <c r="EJ102" s="408">
        <v>0</v>
      </c>
      <c r="EK102" s="408">
        <v>0</v>
      </c>
      <c r="EL102" s="408">
        <v>0</v>
      </c>
      <c r="EM102" s="408">
        <v>0</v>
      </c>
      <c r="EN102" s="408">
        <v>0</v>
      </c>
      <c r="EO102" s="408">
        <v>0</v>
      </c>
      <c r="EP102" s="408">
        <v>0</v>
      </c>
      <c r="EQ102" s="408">
        <v>0</v>
      </c>
      <c r="ER102" s="408">
        <v>0</v>
      </c>
      <c r="ES102" s="408">
        <v>0</v>
      </c>
      <c r="ET102" s="408">
        <v>0</v>
      </c>
      <c r="EU102" s="408">
        <v>0</v>
      </c>
      <c r="EV102" s="408">
        <v>238</v>
      </c>
      <c r="EW102" s="408">
        <v>0</v>
      </c>
      <c r="EX102" s="408">
        <v>0</v>
      </c>
      <c r="EY102" s="408">
        <v>0</v>
      </c>
      <c r="EZ102" s="408"/>
      <c r="FA102" s="408">
        <v>0</v>
      </c>
      <c r="FB102" s="408"/>
      <c r="FC102" s="408"/>
      <c r="FD102" s="408"/>
      <c r="FE102" s="408"/>
      <c r="FF102" s="408">
        <v>0</v>
      </c>
      <c r="FG102" s="408">
        <v>0</v>
      </c>
      <c r="FH102" s="408">
        <v>0</v>
      </c>
      <c r="FI102" s="408">
        <v>0</v>
      </c>
    </row>
    <row r="103" spans="1:165" s="857" customFormat="1">
      <c r="A103" s="408">
        <v>107</v>
      </c>
      <c r="B103" s="408" t="s">
        <v>2238</v>
      </c>
      <c r="C103" s="408" t="s">
        <v>2235</v>
      </c>
      <c r="D103" s="408" t="s">
        <v>2245</v>
      </c>
      <c r="E103" s="408" t="s">
        <v>974</v>
      </c>
      <c r="F103" s="408" t="s">
        <v>2252</v>
      </c>
      <c r="G103" s="408" t="s">
        <v>2253</v>
      </c>
      <c r="H103" s="408" t="s">
        <v>1322</v>
      </c>
      <c r="I103" s="408" t="s">
        <v>1322</v>
      </c>
      <c r="J103" s="408" t="s">
        <v>2236</v>
      </c>
      <c r="K103" s="824">
        <v>44409</v>
      </c>
      <c r="L103" s="408">
        <v>0</v>
      </c>
      <c r="M103" s="408">
        <v>0</v>
      </c>
      <c r="N103" s="408">
        <v>1.5980000000000001</v>
      </c>
      <c r="O103" s="408">
        <v>1.5980000000000001</v>
      </c>
      <c r="P103" s="408">
        <v>1.5980000000000001</v>
      </c>
      <c r="Q103" s="408">
        <v>1.5980000000000001</v>
      </c>
      <c r="R103" s="408"/>
      <c r="S103" s="408">
        <v>581.32000000000005</v>
      </c>
      <c r="T103" s="408">
        <v>209.4</v>
      </c>
      <c r="U103" s="408"/>
      <c r="V103" s="408">
        <v>1263.5705600000001</v>
      </c>
      <c r="W103" s="408">
        <v>1263.5705600000001</v>
      </c>
      <c r="X103" s="408">
        <v>965.30385999999999</v>
      </c>
      <c r="Y103" s="408">
        <v>0</v>
      </c>
      <c r="Z103" s="408">
        <v>98.337576147730161</v>
      </c>
      <c r="AA103" s="408">
        <v>0</v>
      </c>
      <c r="AB103" s="408">
        <v>0</v>
      </c>
      <c r="AC103" s="408">
        <v>0</v>
      </c>
      <c r="AD103" s="408">
        <v>118.55744938371157</v>
      </c>
      <c r="AE103" s="408">
        <v>615.87768839990201</v>
      </c>
      <c r="AF103" s="408">
        <v>330.22789177405798</v>
      </c>
      <c r="AG103" s="408">
        <v>4.3992380127723285</v>
      </c>
      <c r="AH103" s="408">
        <v>0</v>
      </c>
      <c r="AI103" s="408">
        <v>0</v>
      </c>
      <c r="AJ103" s="408">
        <v>0</v>
      </c>
      <c r="AK103" s="408">
        <v>0</v>
      </c>
      <c r="AL103" s="408">
        <v>15.196343428909143</v>
      </c>
      <c r="AM103" s="408"/>
      <c r="AN103" s="408">
        <v>2.9130969766945345</v>
      </c>
      <c r="AO103" s="408">
        <v>9.1077702785461998</v>
      </c>
      <c r="AP103" s="408">
        <v>13.719133572851904</v>
      </c>
      <c r="AQ103" s="408">
        <v>0</v>
      </c>
      <c r="AR103" s="408">
        <v>0</v>
      </c>
      <c r="AS103" s="408">
        <v>0</v>
      </c>
      <c r="AT103" s="408">
        <v>0</v>
      </c>
      <c r="AU103" s="408">
        <v>0</v>
      </c>
      <c r="AV103" s="408">
        <v>0</v>
      </c>
      <c r="AW103" s="408">
        <v>0</v>
      </c>
      <c r="AX103" s="408">
        <v>0</v>
      </c>
      <c r="AY103" s="408">
        <v>0</v>
      </c>
      <c r="AZ103" s="408">
        <v>0</v>
      </c>
      <c r="BA103" s="408"/>
      <c r="BB103" s="408">
        <v>0</v>
      </c>
      <c r="BC103" s="408">
        <v>0</v>
      </c>
      <c r="BD103" s="408">
        <v>0</v>
      </c>
      <c r="BE103" s="408">
        <v>0</v>
      </c>
      <c r="BF103" s="408">
        <v>0</v>
      </c>
      <c r="BG103" s="408">
        <v>55.246508964987363</v>
      </c>
      <c r="BH103" s="408">
        <v>0</v>
      </c>
      <c r="BI103" s="408">
        <v>0</v>
      </c>
      <c r="BJ103" s="408">
        <v>0</v>
      </c>
      <c r="BK103" s="408">
        <v>0</v>
      </c>
      <c r="BL103" s="408">
        <v>0</v>
      </c>
      <c r="BM103" s="408"/>
      <c r="BN103" s="408"/>
      <c r="BO103" s="408"/>
      <c r="BP103" s="408"/>
      <c r="BQ103" s="408"/>
      <c r="BR103" s="408">
        <v>115.83901999999989</v>
      </c>
      <c r="BS103" s="408"/>
      <c r="BT103" s="408"/>
      <c r="BU103" s="408"/>
      <c r="BV103" s="408">
        <v>385.47440073904534</v>
      </c>
      <c r="BW103" s="408"/>
      <c r="BX103" s="408"/>
      <c r="BY103" s="408"/>
      <c r="BZ103" s="408"/>
      <c r="CA103" s="408"/>
      <c r="CB103" s="408"/>
      <c r="CC103" s="408"/>
      <c r="CD103" s="408"/>
      <c r="CE103" s="408"/>
      <c r="CF103" s="408"/>
      <c r="CG103" s="408"/>
      <c r="CH103" s="408"/>
      <c r="CI103" s="408">
        <v>850.52800000000002</v>
      </c>
      <c r="CJ103" s="408">
        <v>-261.47029999999995</v>
      </c>
      <c r="CK103" s="408"/>
      <c r="CL103" s="408"/>
      <c r="CM103" s="408"/>
      <c r="CN103" s="408"/>
      <c r="CO103" s="408">
        <v>-334.74904000000015</v>
      </c>
      <c r="CP103" s="408">
        <v>36.482339999999979</v>
      </c>
      <c r="CQ103" s="408">
        <v>31</v>
      </c>
      <c r="CR103" s="408">
        <v>47.21110539314077</v>
      </c>
      <c r="CS103" s="408">
        <v>1.0995995990649003</v>
      </c>
      <c r="CT103" s="408">
        <v>1.6563388529638612</v>
      </c>
      <c r="CU103" s="408">
        <v>0</v>
      </c>
      <c r="CV103" s="408">
        <v>0</v>
      </c>
      <c r="CW103" s="408">
        <v>0</v>
      </c>
      <c r="CX103" s="408">
        <v>0</v>
      </c>
      <c r="CY103" s="408">
        <v>0</v>
      </c>
      <c r="CZ103" s="408">
        <v>3.8866021994857078</v>
      </c>
      <c r="DA103" s="408">
        <v>0</v>
      </c>
      <c r="DB103" s="408">
        <v>0</v>
      </c>
      <c r="DC103" s="408">
        <v>36.471288433923235</v>
      </c>
      <c r="DD103" s="408">
        <v>0</v>
      </c>
      <c r="DE103" s="408">
        <v>0</v>
      </c>
      <c r="DF103" s="408">
        <v>0</v>
      </c>
      <c r="DG103" s="408">
        <v>6.1015783754810968</v>
      </c>
      <c r="DH103" s="408">
        <v>0</v>
      </c>
      <c r="DI103" s="408">
        <v>-1.7142327066989083</v>
      </c>
      <c r="DJ103" s="408"/>
      <c r="DK103" s="408">
        <v>0</v>
      </c>
      <c r="DL103" s="408">
        <v>0</v>
      </c>
      <c r="DM103" s="408">
        <v>0</v>
      </c>
      <c r="DN103" s="408">
        <v>0</v>
      </c>
      <c r="DO103" s="408">
        <v>-0.22271718473097124</v>
      </c>
      <c r="DP103" s="408">
        <v>-6.7352176348077553E-2</v>
      </c>
      <c r="DQ103" s="408">
        <v>0</v>
      </c>
      <c r="DR103" s="408">
        <v>0</v>
      </c>
      <c r="DS103" s="408"/>
      <c r="DT103" s="408"/>
      <c r="DU103" s="408"/>
      <c r="DV103" s="408">
        <v>615.87768839990201</v>
      </c>
      <c r="DW103" s="408">
        <v>0</v>
      </c>
      <c r="DX103" s="408">
        <v>0</v>
      </c>
      <c r="DY103" s="408">
        <v>-334.74904000000015</v>
      </c>
      <c r="DZ103" s="408">
        <v>36.482339999999965</v>
      </c>
      <c r="EA103" s="408">
        <v>0</v>
      </c>
      <c r="EB103" s="408">
        <v>0</v>
      </c>
      <c r="EC103" s="408">
        <v>-345.50103915656371</v>
      </c>
      <c r="ED103" s="408">
        <v>0</v>
      </c>
      <c r="EE103" s="408">
        <v>0</v>
      </c>
      <c r="EF103" s="408">
        <v>0</v>
      </c>
      <c r="EG103" s="408">
        <v>0</v>
      </c>
      <c r="EH103" s="408">
        <v>0</v>
      </c>
      <c r="EI103" s="408">
        <v>0</v>
      </c>
      <c r="EJ103" s="408">
        <v>0</v>
      </c>
      <c r="EK103" s="408">
        <v>0</v>
      </c>
      <c r="EL103" s="408">
        <v>0</v>
      </c>
      <c r="EM103" s="408">
        <v>0</v>
      </c>
      <c r="EN103" s="408">
        <v>0</v>
      </c>
      <c r="EO103" s="408">
        <v>0</v>
      </c>
      <c r="EP103" s="408">
        <v>0</v>
      </c>
      <c r="EQ103" s="408">
        <v>0</v>
      </c>
      <c r="ER103" s="408">
        <v>0</v>
      </c>
      <c r="ES103" s="408">
        <v>0</v>
      </c>
      <c r="ET103" s="408">
        <v>0</v>
      </c>
      <c r="EU103" s="408">
        <v>0</v>
      </c>
      <c r="EV103" s="408">
        <v>238</v>
      </c>
      <c r="EW103" s="408">
        <v>0</v>
      </c>
      <c r="EX103" s="408">
        <v>0</v>
      </c>
      <c r="EY103" s="408">
        <v>0</v>
      </c>
      <c r="EZ103" s="408"/>
      <c r="FA103" s="408">
        <v>0</v>
      </c>
      <c r="FB103" s="408"/>
      <c r="FC103" s="408"/>
      <c r="FD103" s="408"/>
      <c r="FE103" s="408"/>
      <c r="FF103" s="408">
        <v>0</v>
      </c>
      <c r="FG103" s="408">
        <v>0</v>
      </c>
      <c r="FH103" s="408">
        <v>0</v>
      </c>
      <c r="FI103" s="408">
        <v>0</v>
      </c>
    </row>
    <row r="104" spans="1:165" s="857" customFormat="1">
      <c r="A104" s="408">
        <v>108</v>
      </c>
      <c r="B104" s="408" t="s">
        <v>1036</v>
      </c>
      <c r="C104" s="408" t="s">
        <v>2235</v>
      </c>
      <c r="D104" s="408" t="s">
        <v>2245</v>
      </c>
      <c r="E104" s="408" t="s">
        <v>974</v>
      </c>
      <c r="F104" s="408" t="s">
        <v>2252</v>
      </c>
      <c r="G104" s="408" t="s">
        <v>2254</v>
      </c>
      <c r="H104" s="408" t="s">
        <v>1322</v>
      </c>
      <c r="I104" s="408" t="s">
        <v>1322</v>
      </c>
      <c r="J104" s="408" t="s">
        <v>2236</v>
      </c>
      <c r="K104" s="824">
        <v>44409</v>
      </c>
      <c r="L104" s="408">
        <v>0</v>
      </c>
      <c r="M104" s="408">
        <v>0</v>
      </c>
      <c r="N104" s="408">
        <v>112.492</v>
      </c>
      <c r="O104" s="408">
        <v>44.9968</v>
      </c>
      <c r="P104" s="408">
        <v>112.492</v>
      </c>
      <c r="Q104" s="408">
        <v>44.9968</v>
      </c>
      <c r="R104" s="408"/>
      <c r="S104" s="408">
        <v>581.32000000000005</v>
      </c>
      <c r="T104" s="408">
        <v>209.4</v>
      </c>
      <c r="U104" s="408"/>
      <c r="V104" s="408">
        <v>88949.674240000008</v>
      </c>
      <c r="W104" s="408">
        <v>88949.674240000008</v>
      </c>
      <c r="X104" s="408">
        <v>67953.042440000005</v>
      </c>
      <c r="Y104" s="408">
        <v>0</v>
      </c>
      <c r="Z104" s="408">
        <v>6922.5222878663717</v>
      </c>
      <c r="AA104" s="408">
        <v>0</v>
      </c>
      <c r="AB104" s="408">
        <v>0</v>
      </c>
      <c r="AC104" s="408">
        <v>0</v>
      </c>
      <c r="AD104" s="408">
        <v>8345.9102603707652</v>
      </c>
      <c r="AE104" s="408">
        <v>43355.014345107498</v>
      </c>
      <c r="AF104" s="408">
        <v>23246.555695523984</v>
      </c>
      <c r="AG104" s="408">
        <v>309.68653475142975</v>
      </c>
      <c r="AH104" s="408">
        <v>0</v>
      </c>
      <c r="AI104" s="408">
        <v>0</v>
      </c>
      <c r="AJ104" s="408">
        <v>0</v>
      </c>
      <c r="AK104" s="408">
        <v>0</v>
      </c>
      <c r="AL104" s="408">
        <v>1069.7541082633588</v>
      </c>
      <c r="AM104" s="408"/>
      <c r="AN104" s="408">
        <v>205.06890181622126</v>
      </c>
      <c r="AO104" s="408">
        <v>641.14599134807213</v>
      </c>
      <c r="AP104" s="408">
        <v>965.76519016098644</v>
      </c>
      <c r="AQ104" s="408">
        <v>0</v>
      </c>
      <c r="AR104" s="408">
        <v>0</v>
      </c>
      <c r="AS104" s="408">
        <v>0</v>
      </c>
      <c r="AT104" s="408">
        <v>0</v>
      </c>
      <c r="AU104" s="408">
        <v>0</v>
      </c>
      <c r="AV104" s="408">
        <v>0</v>
      </c>
      <c r="AW104" s="408">
        <v>0</v>
      </c>
      <c r="AX104" s="408">
        <v>0</v>
      </c>
      <c r="AY104" s="408">
        <v>0</v>
      </c>
      <c r="AZ104" s="408">
        <v>0</v>
      </c>
      <c r="BA104" s="408"/>
      <c r="BB104" s="408">
        <v>0</v>
      </c>
      <c r="BC104" s="408">
        <v>0</v>
      </c>
      <c r="BD104" s="408">
        <v>0</v>
      </c>
      <c r="BE104" s="408">
        <v>0</v>
      </c>
      <c r="BF104" s="408">
        <v>0</v>
      </c>
      <c r="BG104" s="408">
        <v>3889.1053106942168</v>
      </c>
      <c r="BH104" s="408">
        <v>0</v>
      </c>
      <c r="BI104" s="408">
        <v>0</v>
      </c>
      <c r="BJ104" s="408">
        <v>0</v>
      </c>
      <c r="BK104" s="408">
        <v>0</v>
      </c>
      <c r="BL104" s="408">
        <v>0</v>
      </c>
      <c r="BM104" s="408"/>
      <c r="BN104" s="408"/>
      <c r="BO104" s="408"/>
      <c r="BP104" s="408"/>
      <c r="BQ104" s="408"/>
      <c r="BR104" s="408"/>
      <c r="BS104" s="408">
        <v>44033.643496000004</v>
      </c>
      <c r="BT104" s="408"/>
      <c r="BU104" s="408"/>
      <c r="BV104" s="408">
        <v>27135.661006218201</v>
      </c>
      <c r="BW104" s="408"/>
      <c r="BX104" s="408"/>
      <c r="BY104" s="408"/>
      <c r="BZ104" s="408"/>
      <c r="CA104" s="408"/>
      <c r="CB104" s="408"/>
      <c r="CC104" s="408"/>
      <c r="CD104" s="408"/>
      <c r="CE104" s="408"/>
      <c r="CF104" s="408"/>
      <c r="CG104" s="408"/>
      <c r="CH104" s="408"/>
      <c r="CI104" s="408">
        <v>23921.100000000002</v>
      </c>
      <c r="CJ104" s="408">
        <v>-7389.9532799999906</v>
      </c>
      <c r="CK104" s="408"/>
      <c r="CL104" s="408"/>
      <c r="CM104" s="408"/>
      <c r="CN104" s="408"/>
      <c r="CO104" s="408">
        <v>-23564.824160000011</v>
      </c>
      <c r="CP104" s="408">
        <v>2568.1923599999982</v>
      </c>
      <c r="CQ104" s="408">
        <v>31</v>
      </c>
      <c r="CR104" s="408">
        <v>3323.4491038080014</v>
      </c>
      <c r="CS104" s="408">
        <v>77.406857382984185</v>
      </c>
      <c r="CT104" s="408">
        <v>116.5987923952506</v>
      </c>
      <c r="CU104" s="408">
        <v>0</v>
      </c>
      <c r="CV104" s="408">
        <v>0</v>
      </c>
      <c r="CW104" s="408">
        <v>0</v>
      </c>
      <c r="CX104" s="408">
        <v>0</v>
      </c>
      <c r="CY104" s="408">
        <v>0</v>
      </c>
      <c r="CZ104" s="408">
        <v>273.59928324439534</v>
      </c>
      <c r="DA104" s="408">
        <v>0</v>
      </c>
      <c r="DB104" s="408">
        <v>0</v>
      </c>
      <c r="DC104" s="408">
        <v>2567.4143795424898</v>
      </c>
      <c r="DD104" s="408">
        <v>0</v>
      </c>
      <c r="DE104" s="408">
        <v>0</v>
      </c>
      <c r="DF104" s="408">
        <v>0</v>
      </c>
      <c r="DG104" s="408">
        <v>429.52362616684559</v>
      </c>
      <c r="DH104" s="408">
        <v>0</v>
      </c>
      <c r="DI104" s="408">
        <v>-120.67425884979639</v>
      </c>
      <c r="DJ104" s="408"/>
      <c r="DK104" s="408">
        <v>0</v>
      </c>
      <c r="DL104" s="408">
        <v>0</v>
      </c>
      <c r="DM104" s="408">
        <v>0</v>
      </c>
      <c r="DN104" s="408">
        <v>0</v>
      </c>
      <c r="DO104" s="408">
        <v>-15.678286323377051</v>
      </c>
      <c r="DP104" s="408">
        <v>-4.7412897507809362</v>
      </c>
      <c r="DQ104" s="408">
        <v>0</v>
      </c>
      <c r="DR104" s="408">
        <v>0</v>
      </c>
      <c r="DS104" s="408"/>
      <c r="DT104" s="408"/>
      <c r="DU104" s="408"/>
      <c r="DV104" s="408">
        <v>43355.014345107498</v>
      </c>
      <c r="DW104" s="408">
        <v>0</v>
      </c>
      <c r="DX104" s="408">
        <v>0</v>
      </c>
      <c r="DY104" s="408">
        <v>-23564.824160000004</v>
      </c>
      <c r="DZ104" s="408">
        <v>2568.1923599999973</v>
      </c>
      <c r="EA104" s="408">
        <v>0</v>
      </c>
      <c r="EB104" s="408">
        <v>0</v>
      </c>
      <c r="EC104" s="408">
        <v>-24321.716456070193</v>
      </c>
      <c r="ED104" s="408">
        <v>0</v>
      </c>
      <c r="EE104" s="408">
        <v>0</v>
      </c>
      <c r="EF104" s="408">
        <v>0</v>
      </c>
      <c r="EG104" s="408">
        <v>0</v>
      </c>
      <c r="EH104" s="408">
        <v>0</v>
      </c>
      <c r="EI104" s="408">
        <v>0</v>
      </c>
      <c r="EJ104" s="408">
        <v>0</v>
      </c>
      <c r="EK104" s="408">
        <v>0</v>
      </c>
      <c r="EL104" s="408">
        <v>0</v>
      </c>
      <c r="EM104" s="408">
        <v>0</v>
      </c>
      <c r="EN104" s="408">
        <v>0</v>
      </c>
      <c r="EO104" s="408">
        <v>0</v>
      </c>
      <c r="EP104" s="408">
        <v>0</v>
      </c>
      <c r="EQ104" s="408">
        <v>0</v>
      </c>
      <c r="ER104" s="408">
        <v>0</v>
      </c>
      <c r="ES104" s="408">
        <v>0</v>
      </c>
      <c r="ET104" s="408">
        <v>0</v>
      </c>
      <c r="EU104" s="408">
        <v>0</v>
      </c>
      <c r="EV104" s="408">
        <v>238</v>
      </c>
      <c r="EW104" s="408">
        <v>0</v>
      </c>
      <c r="EX104" s="408">
        <v>0</v>
      </c>
      <c r="EY104" s="408">
        <v>0</v>
      </c>
      <c r="EZ104" s="408"/>
      <c r="FA104" s="408">
        <v>0</v>
      </c>
      <c r="FB104" s="408"/>
      <c r="FC104" s="408"/>
      <c r="FD104" s="408"/>
      <c r="FE104" s="408"/>
      <c r="FF104" s="408">
        <v>0</v>
      </c>
      <c r="FG104" s="408">
        <v>0</v>
      </c>
      <c r="FH104" s="408">
        <v>0</v>
      </c>
      <c r="FI104" s="408">
        <v>0</v>
      </c>
    </row>
    <row r="105" spans="1:165" s="857" customFormat="1">
      <c r="A105" s="408">
        <v>109</v>
      </c>
      <c r="B105" s="408" t="s">
        <v>2238</v>
      </c>
      <c r="C105" s="408" t="s">
        <v>2235</v>
      </c>
      <c r="D105" s="408" t="s">
        <v>2245</v>
      </c>
      <c r="E105" s="408" t="s">
        <v>974</v>
      </c>
      <c r="F105" s="408" t="s">
        <v>2252</v>
      </c>
      <c r="G105" s="408" t="s">
        <v>2254</v>
      </c>
      <c r="H105" s="408" t="s">
        <v>1322</v>
      </c>
      <c r="I105" s="408" t="s">
        <v>1322</v>
      </c>
      <c r="J105" s="408" t="s">
        <v>2236</v>
      </c>
      <c r="K105" s="824">
        <v>44409</v>
      </c>
      <c r="L105" s="408">
        <v>0</v>
      </c>
      <c r="M105" s="408">
        <v>0</v>
      </c>
      <c r="N105" s="408">
        <v>2.331</v>
      </c>
      <c r="O105" s="408">
        <v>0.93240000000000001</v>
      </c>
      <c r="P105" s="408">
        <v>2.331</v>
      </c>
      <c r="Q105" s="408">
        <v>0.93240000000000001</v>
      </c>
      <c r="R105" s="408"/>
      <c r="S105" s="408">
        <v>581.32000000000005</v>
      </c>
      <c r="T105" s="408">
        <v>209.4</v>
      </c>
      <c r="U105" s="408"/>
      <c r="V105" s="408">
        <v>1843.16832</v>
      </c>
      <c r="W105" s="408">
        <v>1843.16832</v>
      </c>
      <c r="X105" s="408">
        <v>1408.0871699999998</v>
      </c>
      <c r="Y105" s="408">
        <v>0</v>
      </c>
      <c r="Z105" s="408">
        <v>143.44486232813455</v>
      </c>
      <c r="AA105" s="408">
        <v>0</v>
      </c>
      <c r="AB105" s="408">
        <v>0</v>
      </c>
      <c r="AC105" s="408">
        <v>0</v>
      </c>
      <c r="AD105" s="408">
        <v>172.93955851904357</v>
      </c>
      <c r="AE105" s="408">
        <v>898.37978201512612</v>
      </c>
      <c r="AF105" s="408">
        <v>481.70288843887926</v>
      </c>
      <c r="AG105" s="408">
        <v>6.4171613315220881</v>
      </c>
      <c r="AH105" s="408">
        <v>0</v>
      </c>
      <c r="AI105" s="408">
        <v>0</v>
      </c>
      <c r="AJ105" s="408">
        <v>0</v>
      </c>
      <c r="AK105" s="408">
        <v>0</v>
      </c>
      <c r="AL105" s="408">
        <v>22.166881434785491</v>
      </c>
      <c r="AM105" s="408"/>
      <c r="AN105" s="408">
        <v>4.2493298201970955</v>
      </c>
      <c r="AO105" s="408">
        <v>13.285489686665327</v>
      </c>
      <c r="AP105" s="408">
        <v>20.012077821225148</v>
      </c>
      <c r="AQ105" s="408">
        <v>0</v>
      </c>
      <c r="AR105" s="408">
        <v>0</v>
      </c>
      <c r="AS105" s="408">
        <v>0</v>
      </c>
      <c r="AT105" s="408">
        <v>0</v>
      </c>
      <c r="AU105" s="408">
        <v>0</v>
      </c>
      <c r="AV105" s="408">
        <v>0</v>
      </c>
      <c r="AW105" s="408">
        <v>0</v>
      </c>
      <c r="AX105" s="408">
        <v>0</v>
      </c>
      <c r="AY105" s="408">
        <v>0</v>
      </c>
      <c r="AZ105" s="408">
        <v>0</v>
      </c>
      <c r="BA105" s="408"/>
      <c r="BB105" s="408">
        <v>0</v>
      </c>
      <c r="BC105" s="408">
        <v>0</v>
      </c>
      <c r="BD105" s="408">
        <v>0</v>
      </c>
      <c r="BE105" s="408">
        <v>0</v>
      </c>
      <c r="BF105" s="408">
        <v>0</v>
      </c>
      <c r="BG105" s="408">
        <v>80.587992739290073</v>
      </c>
      <c r="BH105" s="408">
        <v>0</v>
      </c>
      <c r="BI105" s="408">
        <v>0</v>
      </c>
      <c r="BJ105" s="408">
        <v>0</v>
      </c>
      <c r="BK105" s="408">
        <v>0</v>
      </c>
      <c r="BL105" s="408">
        <v>0</v>
      </c>
      <c r="BM105" s="408"/>
      <c r="BN105" s="408"/>
      <c r="BO105" s="408"/>
      <c r="BP105" s="408"/>
      <c r="BQ105" s="408"/>
      <c r="BR105" s="408"/>
      <c r="BS105" s="408">
        <v>912.44197800000006</v>
      </c>
      <c r="BT105" s="408"/>
      <c r="BU105" s="408"/>
      <c r="BV105" s="408">
        <v>562.29088117816934</v>
      </c>
      <c r="BW105" s="408"/>
      <c r="BX105" s="408"/>
      <c r="BY105" s="408"/>
      <c r="BZ105" s="408"/>
      <c r="CA105" s="408"/>
      <c r="CB105" s="408"/>
      <c r="CC105" s="408"/>
      <c r="CD105" s="408"/>
      <c r="CE105" s="408"/>
      <c r="CF105" s="408"/>
      <c r="CG105" s="408"/>
      <c r="CH105" s="408"/>
      <c r="CI105" s="408">
        <v>494.36940000000004</v>
      </c>
      <c r="CJ105" s="408">
        <v>-154.47113999999988</v>
      </c>
      <c r="CK105" s="408"/>
      <c r="CL105" s="408"/>
      <c r="CM105" s="408"/>
      <c r="CN105" s="408"/>
      <c r="CO105" s="408">
        <v>-488.29788000000019</v>
      </c>
      <c r="CP105" s="408">
        <v>53.216729999999963</v>
      </c>
      <c r="CQ105" s="408">
        <v>31</v>
      </c>
      <c r="CR105" s="408">
        <v>68.866762622910869</v>
      </c>
      <c r="CS105" s="408">
        <v>1.603984146070264</v>
      </c>
      <c r="CT105" s="408">
        <v>2.4160987898990989</v>
      </c>
      <c r="CU105" s="408">
        <v>0</v>
      </c>
      <c r="CV105" s="408">
        <v>0</v>
      </c>
      <c r="CW105" s="408">
        <v>0</v>
      </c>
      <c r="CX105" s="408">
        <v>0</v>
      </c>
      <c r="CY105" s="408">
        <v>0</v>
      </c>
      <c r="CZ105" s="408">
        <v>5.669380304756686</v>
      </c>
      <c r="DA105" s="408">
        <v>0</v>
      </c>
      <c r="DB105" s="408">
        <v>0</v>
      </c>
      <c r="DC105" s="408">
        <v>53.200609098545158</v>
      </c>
      <c r="DD105" s="408">
        <v>0</v>
      </c>
      <c r="DE105" s="408">
        <v>0</v>
      </c>
      <c r="DF105" s="408">
        <v>0</v>
      </c>
      <c r="DG105" s="408">
        <v>8.9003624488400703</v>
      </c>
      <c r="DH105" s="408">
        <v>0</v>
      </c>
      <c r="DI105" s="408">
        <v>-2.5005484601471721</v>
      </c>
      <c r="DJ105" s="408"/>
      <c r="DK105" s="408">
        <v>0</v>
      </c>
      <c r="DL105" s="408">
        <v>0</v>
      </c>
      <c r="DM105" s="408">
        <v>0</v>
      </c>
      <c r="DN105" s="408">
        <v>0</v>
      </c>
      <c r="DO105" s="408">
        <v>-0.32487719499868462</v>
      </c>
      <c r="DP105" s="408">
        <v>-9.8246510054672775E-2</v>
      </c>
      <c r="DQ105" s="408">
        <v>0</v>
      </c>
      <c r="DR105" s="408">
        <v>0</v>
      </c>
      <c r="DS105" s="408"/>
      <c r="DT105" s="408"/>
      <c r="DU105" s="408"/>
      <c r="DV105" s="408">
        <v>898.37978201512612</v>
      </c>
      <c r="DW105" s="408">
        <v>0</v>
      </c>
      <c r="DX105" s="408">
        <v>0</v>
      </c>
      <c r="DY105" s="408">
        <v>-488.29788000000008</v>
      </c>
      <c r="DZ105" s="408">
        <v>53.216729999999984</v>
      </c>
      <c r="EA105" s="408">
        <v>0</v>
      </c>
      <c r="EB105" s="408">
        <v>0</v>
      </c>
      <c r="EC105" s="408">
        <v>-503.98180367581352</v>
      </c>
      <c r="ED105" s="408">
        <v>0</v>
      </c>
      <c r="EE105" s="408">
        <v>0</v>
      </c>
      <c r="EF105" s="408">
        <v>0</v>
      </c>
      <c r="EG105" s="408">
        <v>0</v>
      </c>
      <c r="EH105" s="408">
        <v>0</v>
      </c>
      <c r="EI105" s="408">
        <v>0</v>
      </c>
      <c r="EJ105" s="408">
        <v>0</v>
      </c>
      <c r="EK105" s="408">
        <v>0</v>
      </c>
      <c r="EL105" s="408">
        <v>0</v>
      </c>
      <c r="EM105" s="408">
        <v>0</v>
      </c>
      <c r="EN105" s="408">
        <v>0</v>
      </c>
      <c r="EO105" s="408">
        <v>0</v>
      </c>
      <c r="EP105" s="408">
        <v>0</v>
      </c>
      <c r="EQ105" s="408">
        <v>0</v>
      </c>
      <c r="ER105" s="408">
        <v>0</v>
      </c>
      <c r="ES105" s="408">
        <v>0</v>
      </c>
      <c r="ET105" s="408">
        <v>0</v>
      </c>
      <c r="EU105" s="408">
        <v>0</v>
      </c>
      <c r="EV105" s="408">
        <v>238</v>
      </c>
      <c r="EW105" s="408">
        <v>0</v>
      </c>
      <c r="EX105" s="408">
        <v>0</v>
      </c>
      <c r="EY105" s="408">
        <v>0</v>
      </c>
      <c r="EZ105" s="408"/>
      <c r="FA105" s="408">
        <v>0</v>
      </c>
      <c r="FB105" s="408"/>
      <c r="FC105" s="408"/>
      <c r="FD105" s="408"/>
      <c r="FE105" s="408"/>
      <c r="FF105" s="408">
        <v>0</v>
      </c>
      <c r="FG105" s="408">
        <v>0</v>
      </c>
      <c r="FH105" s="408">
        <v>0</v>
      </c>
      <c r="FI105" s="408">
        <v>0</v>
      </c>
    </row>
    <row r="106" spans="1:165" s="857" customFormat="1">
      <c r="A106" s="408">
        <v>110</v>
      </c>
      <c r="B106" s="408" t="s">
        <v>1036</v>
      </c>
      <c r="C106" s="408" t="s">
        <v>2243</v>
      </c>
      <c r="D106" s="408" t="s">
        <v>597</v>
      </c>
      <c r="E106" s="408" t="s">
        <v>974</v>
      </c>
      <c r="F106" s="408" t="s">
        <v>2252</v>
      </c>
      <c r="G106" s="408" t="s">
        <v>1322</v>
      </c>
      <c r="H106" s="408" t="s">
        <v>1322</v>
      </c>
      <c r="I106" s="408" t="s">
        <v>973</v>
      </c>
      <c r="J106" s="408" t="s">
        <v>2236</v>
      </c>
      <c r="K106" s="824">
        <v>44409</v>
      </c>
      <c r="L106" s="408">
        <v>0</v>
      </c>
      <c r="M106" s="408">
        <v>0</v>
      </c>
      <c r="N106" s="408">
        <v>17.277999999999999</v>
      </c>
      <c r="O106" s="408">
        <v>16.586879999999997</v>
      </c>
      <c r="P106" s="408">
        <v>17.277999999999999</v>
      </c>
      <c r="Q106" s="408">
        <v>16.586879999999997</v>
      </c>
      <c r="R106" s="408"/>
      <c r="S106" s="408">
        <v>1614.19</v>
      </c>
      <c r="T106" s="408">
        <v>209.4</v>
      </c>
      <c r="U106" s="408"/>
      <c r="V106" s="408">
        <v>31507.988020000001</v>
      </c>
      <c r="W106" s="408">
        <v>31507.988020000001</v>
      </c>
      <c r="X106" s="408">
        <v>20943.527699999999</v>
      </c>
      <c r="Y106" s="408">
        <v>0</v>
      </c>
      <c r="Z106" s="408">
        <v>925.02920988236542</v>
      </c>
      <c r="AA106" s="408">
        <v>0</v>
      </c>
      <c r="AB106" s="408">
        <v>0</v>
      </c>
      <c r="AC106" s="408">
        <v>0</v>
      </c>
      <c r="AD106" s="408">
        <v>5380.68003716358</v>
      </c>
      <c r="AE106" s="408">
        <v>20091.491053707698</v>
      </c>
      <c r="AF106" s="408">
        <v>3570.5115857773299</v>
      </c>
      <c r="AG106" s="408">
        <v>47.565728651239226</v>
      </c>
      <c r="AH106" s="408">
        <v>0</v>
      </c>
      <c r="AI106" s="408">
        <v>0</v>
      </c>
      <c r="AJ106" s="408">
        <v>0</v>
      </c>
      <c r="AK106" s="408">
        <v>0</v>
      </c>
      <c r="AL106" s="408">
        <v>164.30689722446317</v>
      </c>
      <c r="AM106" s="408"/>
      <c r="AN106" s="408">
        <v>22.942493962403294</v>
      </c>
      <c r="AO106" s="408">
        <v>418.03992059060425</v>
      </c>
      <c r="AP106" s="408">
        <v>622.67672484965385</v>
      </c>
      <c r="AQ106" s="408">
        <v>0</v>
      </c>
      <c r="AR106" s="408">
        <v>0</v>
      </c>
      <c r="AS106" s="408">
        <v>0</v>
      </c>
      <c r="AT106" s="408">
        <v>0</v>
      </c>
      <c r="AU106" s="408">
        <v>0</v>
      </c>
      <c r="AV106" s="408">
        <v>0</v>
      </c>
      <c r="AW106" s="408">
        <v>0</v>
      </c>
      <c r="AX106" s="408">
        <v>0</v>
      </c>
      <c r="AY106" s="408">
        <v>0</v>
      </c>
      <c r="AZ106" s="408">
        <v>0</v>
      </c>
      <c r="BA106" s="408"/>
      <c r="BB106" s="408">
        <v>0</v>
      </c>
      <c r="BC106" s="408">
        <v>0</v>
      </c>
      <c r="BD106" s="408">
        <v>0</v>
      </c>
      <c r="BE106" s="408">
        <v>0</v>
      </c>
      <c r="BF106" s="408">
        <v>0</v>
      </c>
      <c r="BG106" s="408">
        <v>264.7756114491695</v>
      </c>
      <c r="BH106" s="408">
        <v>0</v>
      </c>
      <c r="BI106" s="408">
        <v>0</v>
      </c>
      <c r="BJ106" s="408">
        <v>0</v>
      </c>
      <c r="BK106" s="408">
        <v>0</v>
      </c>
      <c r="BL106" s="408">
        <v>0</v>
      </c>
      <c r="BM106" s="408"/>
      <c r="BN106" s="408"/>
      <c r="BO106" s="408"/>
      <c r="BP106" s="408"/>
      <c r="BQ106" s="408"/>
      <c r="BR106" s="408">
        <v>837.74110800000176</v>
      </c>
      <c r="BS106" s="408"/>
      <c r="BT106" s="408"/>
      <c r="BU106" s="408"/>
      <c r="BV106" s="408">
        <v>3835.2871972264993</v>
      </c>
      <c r="BW106" s="408"/>
      <c r="BX106" s="408"/>
      <c r="BY106" s="408"/>
      <c r="BZ106" s="408"/>
      <c r="CA106" s="408"/>
      <c r="CB106" s="408"/>
      <c r="CC106" s="408"/>
      <c r="CD106" s="408"/>
      <c r="CE106" s="408"/>
      <c r="CF106" s="408"/>
      <c r="CG106" s="408"/>
      <c r="CH106" s="408"/>
      <c r="CI106" s="408">
        <v>20109.568499999998</v>
      </c>
      <c r="CJ106" s="408">
        <v>-10138.129999199995</v>
      </c>
      <c r="CK106" s="408"/>
      <c r="CL106" s="408"/>
      <c r="CM106" s="408"/>
      <c r="CN106" s="408"/>
      <c r="CO106" s="408">
        <v>-10958.917060000002</v>
      </c>
      <c r="CP106" s="408">
        <v>394.45673999999968</v>
      </c>
      <c r="CQ106" s="408">
        <v>31</v>
      </c>
      <c r="CR106" s="408">
        <v>706.5557043147528</v>
      </c>
      <c r="CS106" s="408">
        <v>50.470808443349767</v>
      </c>
      <c r="CT106" s="408">
        <v>75.177025336767429</v>
      </c>
      <c r="CU106" s="408">
        <v>0</v>
      </c>
      <c r="CV106" s="408">
        <v>0</v>
      </c>
      <c r="CW106" s="408">
        <v>0</v>
      </c>
      <c r="CX106" s="408">
        <v>0</v>
      </c>
      <c r="CY106" s="408">
        <v>0</v>
      </c>
      <c r="CZ106" s="408">
        <v>176.39180815611053</v>
      </c>
      <c r="DA106" s="408">
        <v>0</v>
      </c>
      <c r="DB106" s="408">
        <v>0</v>
      </c>
      <c r="DC106" s="408">
        <v>394.33724753524757</v>
      </c>
      <c r="DD106" s="408">
        <v>0</v>
      </c>
      <c r="DE106" s="408">
        <v>0</v>
      </c>
      <c r="DF106" s="408">
        <v>0</v>
      </c>
      <c r="DG106" s="408">
        <v>29.242556234583731</v>
      </c>
      <c r="DH106" s="408">
        <v>0</v>
      </c>
      <c r="DI106" s="408">
        <v>-16.125222812590778</v>
      </c>
      <c r="DJ106" s="408"/>
      <c r="DK106" s="408">
        <v>0</v>
      </c>
      <c r="DL106" s="408">
        <v>0</v>
      </c>
      <c r="DM106" s="408">
        <v>0</v>
      </c>
      <c r="DN106" s="408">
        <v>0</v>
      </c>
      <c r="DO106" s="408">
        <v>-2.4080772952326015</v>
      </c>
      <c r="DP106" s="408">
        <v>-0.5304412834804495</v>
      </c>
      <c r="DQ106" s="408">
        <v>0</v>
      </c>
      <c r="DR106" s="408">
        <v>0</v>
      </c>
      <c r="DS106" s="408"/>
      <c r="DT106" s="408"/>
      <c r="DU106" s="408"/>
      <c r="DV106" s="408">
        <v>20091.491053707698</v>
      </c>
      <c r="DW106" s="408">
        <v>0</v>
      </c>
      <c r="DX106" s="408">
        <v>0</v>
      </c>
      <c r="DY106" s="408">
        <v>-10958.91706</v>
      </c>
      <c r="DZ106" s="408">
        <v>394.45673999999963</v>
      </c>
      <c r="EA106" s="408">
        <v>0</v>
      </c>
      <c r="EB106" s="408">
        <v>0</v>
      </c>
      <c r="EC106" s="408">
        <v>-11271.119522604784</v>
      </c>
      <c r="ED106" s="408">
        <v>0</v>
      </c>
      <c r="EE106" s="408">
        <v>0</v>
      </c>
      <c r="EF106" s="408">
        <v>0</v>
      </c>
      <c r="EG106" s="408">
        <v>0</v>
      </c>
      <c r="EH106" s="408">
        <v>0</v>
      </c>
      <c r="EI106" s="408">
        <v>0</v>
      </c>
      <c r="EJ106" s="408">
        <v>0</v>
      </c>
      <c r="EK106" s="408">
        <v>0</v>
      </c>
      <c r="EL106" s="408">
        <v>0</v>
      </c>
      <c r="EM106" s="408">
        <v>0</v>
      </c>
      <c r="EN106" s="408">
        <v>0</v>
      </c>
      <c r="EO106" s="408">
        <v>0</v>
      </c>
      <c r="EP106" s="408">
        <v>0</v>
      </c>
      <c r="EQ106" s="408">
        <v>0</v>
      </c>
      <c r="ER106" s="408">
        <v>0</v>
      </c>
      <c r="ES106" s="408">
        <v>0</v>
      </c>
      <c r="ET106" s="408">
        <v>0</v>
      </c>
      <c r="EU106" s="408">
        <v>0</v>
      </c>
      <c r="EV106" s="408">
        <v>238</v>
      </c>
      <c r="EW106" s="408">
        <v>0</v>
      </c>
      <c r="EX106" s="408">
        <v>0</v>
      </c>
      <c r="EY106" s="408">
        <v>0</v>
      </c>
      <c r="EZ106" s="408"/>
      <c r="FA106" s="408">
        <v>0</v>
      </c>
      <c r="FB106" s="408"/>
      <c r="FC106" s="408"/>
      <c r="FD106" s="408"/>
      <c r="FE106" s="408"/>
      <c r="FF106" s="408">
        <v>0</v>
      </c>
      <c r="FG106" s="408">
        <v>0</v>
      </c>
      <c r="FH106" s="408">
        <v>0</v>
      </c>
      <c r="FI106" s="408">
        <v>0</v>
      </c>
    </row>
    <row r="107" spans="1:165" s="857" customFormat="1">
      <c r="A107" s="408">
        <v>111</v>
      </c>
      <c r="B107" s="408" t="s">
        <v>2238</v>
      </c>
      <c r="C107" s="408" t="s">
        <v>2243</v>
      </c>
      <c r="D107" s="408" t="s">
        <v>597</v>
      </c>
      <c r="E107" s="408" t="s">
        <v>974</v>
      </c>
      <c r="F107" s="408" t="s">
        <v>2252</v>
      </c>
      <c r="G107" s="408" t="s">
        <v>1322</v>
      </c>
      <c r="H107" s="408" t="s">
        <v>1322</v>
      </c>
      <c r="I107" s="408" t="s">
        <v>973</v>
      </c>
      <c r="J107" s="408" t="s">
        <v>2236</v>
      </c>
      <c r="K107" s="824">
        <v>44409</v>
      </c>
      <c r="L107" s="408">
        <v>0</v>
      </c>
      <c r="M107" s="408">
        <v>0</v>
      </c>
      <c r="N107" s="408">
        <v>0.33600000000000002</v>
      </c>
      <c r="O107" s="408">
        <v>0.32256000000000001</v>
      </c>
      <c r="P107" s="408">
        <v>0.33600000000000002</v>
      </c>
      <c r="Q107" s="408">
        <v>0.32256000000000001</v>
      </c>
      <c r="R107" s="408"/>
      <c r="S107" s="408">
        <v>1614.19</v>
      </c>
      <c r="T107" s="408">
        <v>209.4</v>
      </c>
      <c r="U107" s="408"/>
      <c r="V107" s="408">
        <v>612.72623999999996</v>
      </c>
      <c r="W107" s="408">
        <v>612.72623999999996</v>
      </c>
      <c r="X107" s="408">
        <v>407.28240000000005</v>
      </c>
      <c r="Y107" s="408">
        <v>0</v>
      </c>
      <c r="Z107" s="408">
        <v>17.988761113582292</v>
      </c>
      <c r="AA107" s="408">
        <v>0</v>
      </c>
      <c r="AB107" s="408">
        <v>0</v>
      </c>
      <c r="AC107" s="408">
        <v>0</v>
      </c>
      <c r="AD107" s="408">
        <v>104.636444755583</v>
      </c>
      <c r="AE107" s="408">
        <v>390.71310302383301</v>
      </c>
      <c r="AF107" s="408">
        <v>69.434650585784411</v>
      </c>
      <c r="AG107" s="408">
        <v>0.92499622796714798</v>
      </c>
      <c r="AH107" s="408">
        <v>0</v>
      </c>
      <c r="AI107" s="408">
        <v>0</v>
      </c>
      <c r="AJ107" s="408">
        <v>0</v>
      </c>
      <c r="AK107" s="408">
        <v>0</v>
      </c>
      <c r="AL107" s="408">
        <v>3.1952261527618728</v>
      </c>
      <c r="AM107" s="408"/>
      <c r="AN107" s="408">
        <v>0.44615568765872832</v>
      </c>
      <c r="AO107" s="408">
        <v>8.1294949252484692</v>
      </c>
      <c r="AP107" s="408">
        <v>12.109004488336829</v>
      </c>
      <c r="AQ107" s="408">
        <v>0</v>
      </c>
      <c r="AR107" s="408">
        <v>0</v>
      </c>
      <c r="AS107" s="408">
        <v>0</v>
      </c>
      <c r="AT107" s="408">
        <v>0</v>
      </c>
      <c r="AU107" s="408">
        <v>0</v>
      </c>
      <c r="AV107" s="408">
        <v>0</v>
      </c>
      <c r="AW107" s="408">
        <v>0</v>
      </c>
      <c r="AX107" s="408">
        <v>0</v>
      </c>
      <c r="AY107" s="408">
        <v>0</v>
      </c>
      <c r="AZ107" s="408">
        <v>0</v>
      </c>
      <c r="BA107" s="408"/>
      <c r="BB107" s="408">
        <v>0</v>
      </c>
      <c r="BC107" s="408">
        <v>0</v>
      </c>
      <c r="BD107" s="408">
        <v>0</v>
      </c>
      <c r="BE107" s="408">
        <v>0</v>
      </c>
      <c r="BF107" s="408">
        <v>0</v>
      </c>
      <c r="BG107" s="408">
        <v>5.1490106173701218</v>
      </c>
      <c r="BH107" s="408">
        <v>0</v>
      </c>
      <c r="BI107" s="408">
        <v>0</v>
      </c>
      <c r="BJ107" s="408">
        <v>0</v>
      </c>
      <c r="BK107" s="408">
        <v>0</v>
      </c>
      <c r="BL107" s="408">
        <v>0</v>
      </c>
      <c r="BM107" s="408"/>
      <c r="BN107" s="408"/>
      <c r="BO107" s="408"/>
      <c r="BP107" s="408"/>
      <c r="BQ107" s="408"/>
      <c r="BR107" s="408">
        <v>16.29129600000001</v>
      </c>
      <c r="BS107" s="408"/>
      <c r="BT107" s="408"/>
      <c r="BU107" s="408"/>
      <c r="BV107" s="408">
        <v>74.583661203154534</v>
      </c>
      <c r="BW107" s="408"/>
      <c r="BX107" s="408"/>
      <c r="BY107" s="408"/>
      <c r="BZ107" s="408"/>
      <c r="CA107" s="408"/>
      <c r="CB107" s="408"/>
      <c r="CC107" s="408"/>
      <c r="CD107" s="408"/>
      <c r="CE107" s="408"/>
      <c r="CF107" s="408"/>
      <c r="CG107" s="408"/>
      <c r="CH107" s="408"/>
      <c r="CI107" s="408">
        <v>387.88799999999998</v>
      </c>
      <c r="CJ107" s="408">
        <v>-200.35919040000005</v>
      </c>
      <c r="CK107" s="408"/>
      <c r="CL107" s="408"/>
      <c r="CM107" s="408"/>
      <c r="CN107" s="408"/>
      <c r="CO107" s="408">
        <v>-213.11472000000003</v>
      </c>
      <c r="CP107" s="408">
        <v>7.670879999999995</v>
      </c>
      <c r="CQ107" s="408">
        <v>31</v>
      </c>
      <c r="CR107" s="408">
        <v>13.74017343730506</v>
      </c>
      <c r="CS107" s="408">
        <v>0.98149042927222574</v>
      </c>
      <c r="CT107" s="408">
        <v>1.4619446992217764</v>
      </c>
      <c r="CU107" s="408">
        <v>0</v>
      </c>
      <c r="CV107" s="408">
        <v>0</v>
      </c>
      <c r="CW107" s="408">
        <v>0</v>
      </c>
      <c r="CX107" s="408">
        <v>0</v>
      </c>
      <c r="CY107" s="408">
        <v>0</v>
      </c>
      <c r="CZ107" s="408">
        <v>3.4302377324026594</v>
      </c>
      <c r="DA107" s="408">
        <v>0</v>
      </c>
      <c r="DB107" s="408">
        <v>0</v>
      </c>
      <c r="DC107" s="408">
        <v>7.668556266456946</v>
      </c>
      <c r="DD107" s="408">
        <v>0</v>
      </c>
      <c r="DE107" s="408">
        <v>0</v>
      </c>
      <c r="DF107" s="408">
        <v>0</v>
      </c>
      <c r="DG107" s="408">
        <v>0.56867107852877208</v>
      </c>
      <c r="DH107" s="408">
        <v>0</v>
      </c>
      <c r="DI107" s="408">
        <v>-0.31358229338063026</v>
      </c>
      <c r="DJ107" s="408"/>
      <c r="DK107" s="408">
        <v>0</v>
      </c>
      <c r="DL107" s="408">
        <v>0</v>
      </c>
      <c r="DM107" s="408">
        <v>0</v>
      </c>
      <c r="DN107" s="408">
        <v>0</v>
      </c>
      <c r="DO107" s="408">
        <v>-4.682914522503534E-2</v>
      </c>
      <c r="DP107" s="408">
        <v>-1.0315329971607334E-2</v>
      </c>
      <c r="DQ107" s="408">
        <v>0</v>
      </c>
      <c r="DR107" s="408">
        <v>0</v>
      </c>
      <c r="DS107" s="408"/>
      <c r="DT107" s="408"/>
      <c r="DU107" s="408"/>
      <c r="DV107" s="408">
        <v>390.71310302383301</v>
      </c>
      <c r="DW107" s="408">
        <v>0</v>
      </c>
      <c r="DX107" s="408">
        <v>0</v>
      </c>
      <c r="DY107" s="408">
        <v>-213.11471999999998</v>
      </c>
      <c r="DZ107" s="408">
        <v>7.6708799999999968</v>
      </c>
      <c r="EA107" s="408">
        <v>0</v>
      </c>
      <c r="EB107" s="408">
        <v>0</v>
      </c>
      <c r="EC107" s="408">
        <v>-219.18602613700702</v>
      </c>
      <c r="ED107" s="408">
        <v>0</v>
      </c>
      <c r="EE107" s="408">
        <v>0</v>
      </c>
      <c r="EF107" s="408">
        <v>0</v>
      </c>
      <c r="EG107" s="408">
        <v>0</v>
      </c>
      <c r="EH107" s="408">
        <v>0</v>
      </c>
      <c r="EI107" s="408">
        <v>0</v>
      </c>
      <c r="EJ107" s="408">
        <v>0</v>
      </c>
      <c r="EK107" s="408">
        <v>0</v>
      </c>
      <c r="EL107" s="408">
        <v>0</v>
      </c>
      <c r="EM107" s="408">
        <v>0</v>
      </c>
      <c r="EN107" s="408">
        <v>0</v>
      </c>
      <c r="EO107" s="408">
        <v>0</v>
      </c>
      <c r="EP107" s="408">
        <v>0</v>
      </c>
      <c r="EQ107" s="408">
        <v>0</v>
      </c>
      <c r="ER107" s="408">
        <v>0</v>
      </c>
      <c r="ES107" s="408">
        <v>0</v>
      </c>
      <c r="ET107" s="408">
        <v>0</v>
      </c>
      <c r="EU107" s="408">
        <v>0</v>
      </c>
      <c r="EV107" s="408">
        <v>238</v>
      </c>
      <c r="EW107" s="408">
        <v>0</v>
      </c>
      <c r="EX107" s="408">
        <v>0</v>
      </c>
      <c r="EY107" s="408">
        <v>0</v>
      </c>
      <c r="EZ107" s="408"/>
      <c r="FA107" s="408">
        <v>0</v>
      </c>
      <c r="FB107" s="408"/>
      <c r="FC107" s="408"/>
      <c r="FD107" s="408"/>
      <c r="FE107" s="408"/>
      <c r="FF107" s="408">
        <v>0</v>
      </c>
      <c r="FG107" s="408">
        <v>0</v>
      </c>
      <c r="FH107" s="408">
        <v>0</v>
      </c>
      <c r="FI107" s="408">
        <v>0</v>
      </c>
    </row>
    <row r="108" spans="1:165" s="857" customFormat="1">
      <c r="A108" s="408">
        <v>112</v>
      </c>
      <c r="B108" s="408" t="s">
        <v>1036</v>
      </c>
      <c r="C108" s="408" t="s">
        <v>2243</v>
      </c>
      <c r="D108" s="408" t="s">
        <v>597</v>
      </c>
      <c r="E108" s="408" t="s">
        <v>974</v>
      </c>
      <c r="F108" s="408" t="s">
        <v>2252</v>
      </c>
      <c r="G108" s="408" t="s">
        <v>1322</v>
      </c>
      <c r="H108" s="408" t="s">
        <v>1322</v>
      </c>
      <c r="I108" s="408" t="s">
        <v>2244</v>
      </c>
      <c r="J108" s="408" t="s">
        <v>2236</v>
      </c>
      <c r="K108" s="824">
        <v>44409</v>
      </c>
      <c r="L108" s="408">
        <v>0</v>
      </c>
      <c r="M108" s="408">
        <v>0</v>
      </c>
      <c r="N108" s="408">
        <v>756.36199999999997</v>
      </c>
      <c r="O108" s="408">
        <v>726.10751999999991</v>
      </c>
      <c r="P108" s="408">
        <v>756.36199999999997</v>
      </c>
      <c r="Q108" s="408">
        <v>726.10751999999991</v>
      </c>
      <c r="R108" s="408"/>
      <c r="S108" s="408">
        <v>79.7</v>
      </c>
      <c r="T108" s="408">
        <v>209.4</v>
      </c>
      <c r="U108" s="408"/>
      <c r="V108" s="408">
        <v>218664.2542</v>
      </c>
      <c r="W108" s="408">
        <v>218664.2542</v>
      </c>
      <c r="X108" s="408">
        <v>236378.25224</v>
      </c>
      <c r="Y108" s="408">
        <v>0</v>
      </c>
      <c r="Z108" s="408">
        <v>40494.093254140855</v>
      </c>
      <c r="AA108" s="408">
        <v>0</v>
      </c>
      <c r="AB108" s="408">
        <v>0</v>
      </c>
      <c r="AC108" s="408">
        <v>0</v>
      </c>
      <c r="AD108" s="408">
        <v>0</v>
      </c>
      <c r="AE108" s="408">
        <v>0</v>
      </c>
      <c r="AF108" s="408">
        <v>156302.77138799123</v>
      </c>
      <c r="AG108" s="408">
        <v>2082.2380862431187</v>
      </c>
      <c r="AH108" s="408">
        <v>0</v>
      </c>
      <c r="AI108" s="408">
        <v>0</v>
      </c>
      <c r="AJ108" s="408">
        <v>0</v>
      </c>
      <c r="AK108" s="408">
        <v>0</v>
      </c>
      <c r="AL108" s="408">
        <v>7192.7013195097479</v>
      </c>
      <c r="AM108" s="408"/>
      <c r="AN108" s="408">
        <v>1004.3309768718186</v>
      </c>
      <c r="AO108" s="408">
        <v>0</v>
      </c>
      <c r="AP108" s="408">
        <v>0</v>
      </c>
      <c r="AQ108" s="408">
        <v>0</v>
      </c>
      <c r="AR108" s="408">
        <v>0</v>
      </c>
      <c r="AS108" s="408">
        <v>0</v>
      </c>
      <c r="AT108" s="408">
        <v>0</v>
      </c>
      <c r="AU108" s="408">
        <v>0</v>
      </c>
      <c r="AV108" s="408">
        <v>0</v>
      </c>
      <c r="AW108" s="408">
        <v>0</v>
      </c>
      <c r="AX108" s="408">
        <v>0</v>
      </c>
      <c r="AY108" s="408">
        <v>0</v>
      </c>
      <c r="AZ108" s="408">
        <v>0</v>
      </c>
      <c r="BA108" s="408"/>
      <c r="BB108" s="408">
        <v>0</v>
      </c>
      <c r="BC108" s="408">
        <v>0</v>
      </c>
      <c r="BD108" s="408">
        <v>0</v>
      </c>
      <c r="BE108" s="408">
        <v>0</v>
      </c>
      <c r="BF108" s="408">
        <v>0</v>
      </c>
      <c r="BG108" s="408">
        <v>11590.821335045535</v>
      </c>
      <c r="BH108" s="408">
        <v>0</v>
      </c>
      <c r="BI108" s="408">
        <v>0</v>
      </c>
      <c r="BJ108" s="408">
        <v>0</v>
      </c>
      <c r="BK108" s="408">
        <v>0</v>
      </c>
      <c r="BL108" s="408">
        <v>0</v>
      </c>
      <c r="BM108" s="408"/>
      <c r="BN108" s="408"/>
      <c r="BO108" s="408"/>
      <c r="BP108" s="408"/>
      <c r="BQ108" s="408"/>
      <c r="BR108" s="408">
        <v>9455.1300896000175</v>
      </c>
      <c r="BS108" s="408"/>
      <c r="BT108" s="408"/>
      <c r="BU108" s="408"/>
      <c r="BV108" s="408">
        <v>167893.59272303677</v>
      </c>
      <c r="BW108" s="408"/>
      <c r="BX108" s="408"/>
      <c r="BY108" s="408"/>
      <c r="BZ108" s="408"/>
      <c r="CA108" s="408"/>
      <c r="CB108" s="408"/>
      <c r="CC108" s="408"/>
      <c r="CD108" s="408"/>
      <c r="CE108" s="408"/>
      <c r="CF108" s="408"/>
      <c r="CG108" s="408"/>
      <c r="CH108" s="408"/>
      <c r="CI108" s="408">
        <v>226923.89720000001</v>
      </c>
      <c r="CJ108" s="408">
        <v>17006.183168000018</v>
      </c>
      <c r="CK108" s="408"/>
      <c r="CL108" s="408"/>
      <c r="CM108" s="408"/>
      <c r="CN108" s="408"/>
      <c r="CO108" s="408">
        <v>446.25358000000256</v>
      </c>
      <c r="CP108" s="408">
        <v>17267.744459999987</v>
      </c>
      <c r="CQ108" s="408">
        <v>31</v>
      </c>
      <c r="CR108" s="408">
        <v>17708.101514801994</v>
      </c>
      <c r="CS108" s="408">
        <v>0</v>
      </c>
      <c r="CT108" s="408">
        <v>0</v>
      </c>
      <c r="CU108" s="408">
        <v>0</v>
      </c>
      <c r="CV108" s="408">
        <v>0</v>
      </c>
      <c r="CW108" s="408">
        <v>0</v>
      </c>
      <c r="CX108" s="408">
        <v>0</v>
      </c>
      <c r="CY108" s="408">
        <v>0</v>
      </c>
      <c r="CZ108" s="408">
        <v>0</v>
      </c>
      <c r="DA108" s="408">
        <v>0</v>
      </c>
      <c r="DB108" s="408">
        <v>0</v>
      </c>
      <c r="DC108" s="408">
        <v>17262.513555981917</v>
      </c>
      <c r="DD108" s="408">
        <v>0</v>
      </c>
      <c r="DE108" s="408">
        <v>0</v>
      </c>
      <c r="DF108" s="408">
        <v>0</v>
      </c>
      <c r="DG108" s="408">
        <v>1280.1226020779141</v>
      </c>
      <c r="DH108" s="408">
        <v>0</v>
      </c>
      <c r="DI108" s="408">
        <v>-705.89800769630529</v>
      </c>
      <c r="DJ108" s="408"/>
      <c r="DK108" s="408">
        <v>0</v>
      </c>
      <c r="DL108" s="408">
        <v>0</v>
      </c>
      <c r="DM108" s="408">
        <v>0</v>
      </c>
      <c r="DN108" s="408">
        <v>0</v>
      </c>
      <c r="DO108" s="408">
        <v>-105.41602958541171</v>
      </c>
      <c r="DP108" s="408">
        <v>-23.220605976145521</v>
      </c>
      <c r="DQ108" s="408">
        <v>0</v>
      </c>
      <c r="DR108" s="408">
        <v>0</v>
      </c>
      <c r="DS108" s="408"/>
      <c r="DT108" s="408"/>
      <c r="DU108" s="408"/>
      <c r="DV108" s="408">
        <v>0</v>
      </c>
      <c r="DW108" s="408">
        <v>0</v>
      </c>
      <c r="DX108" s="408">
        <v>0</v>
      </c>
      <c r="DY108" s="408">
        <v>446.25358000000415</v>
      </c>
      <c r="DZ108" s="408">
        <v>17267.744459999987</v>
      </c>
      <c r="EA108" s="408">
        <v>0</v>
      </c>
      <c r="EB108" s="408">
        <v>0</v>
      </c>
      <c r="EC108" s="408">
        <v>0</v>
      </c>
      <c r="ED108" s="408">
        <v>0</v>
      </c>
      <c r="EE108" s="408">
        <v>0</v>
      </c>
      <c r="EF108" s="408">
        <v>0</v>
      </c>
      <c r="EG108" s="408">
        <v>0</v>
      </c>
      <c r="EH108" s="408">
        <v>0</v>
      </c>
      <c r="EI108" s="408">
        <v>0</v>
      </c>
      <c r="EJ108" s="408">
        <v>0</v>
      </c>
      <c r="EK108" s="408">
        <v>0</v>
      </c>
      <c r="EL108" s="408">
        <v>0</v>
      </c>
      <c r="EM108" s="408">
        <v>0</v>
      </c>
      <c r="EN108" s="408">
        <v>0</v>
      </c>
      <c r="EO108" s="408">
        <v>0</v>
      </c>
      <c r="EP108" s="408">
        <v>0</v>
      </c>
      <c r="EQ108" s="408">
        <v>0</v>
      </c>
      <c r="ER108" s="408">
        <v>0</v>
      </c>
      <c r="ES108" s="408">
        <v>0</v>
      </c>
      <c r="ET108" s="408">
        <v>0</v>
      </c>
      <c r="EU108" s="408">
        <v>0</v>
      </c>
      <c r="EV108" s="408">
        <v>238</v>
      </c>
      <c r="EW108" s="408">
        <v>0</v>
      </c>
      <c r="EX108" s="408">
        <v>0</v>
      </c>
      <c r="EY108" s="408">
        <v>0</v>
      </c>
      <c r="EZ108" s="408"/>
      <c r="FA108" s="408">
        <v>0</v>
      </c>
      <c r="FB108" s="408"/>
      <c r="FC108" s="408"/>
      <c r="FD108" s="408"/>
      <c r="FE108" s="408"/>
      <c r="FF108" s="408">
        <v>0</v>
      </c>
      <c r="FG108" s="408">
        <v>0</v>
      </c>
      <c r="FH108" s="408">
        <v>0</v>
      </c>
      <c r="FI108" s="408">
        <v>0</v>
      </c>
    </row>
    <row r="109" spans="1:165" s="857" customFormat="1">
      <c r="A109" s="408">
        <v>113</v>
      </c>
      <c r="B109" s="408" t="s">
        <v>2238</v>
      </c>
      <c r="C109" s="408" t="s">
        <v>2243</v>
      </c>
      <c r="D109" s="408" t="s">
        <v>597</v>
      </c>
      <c r="E109" s="408" t="s">
        <v>974</v>
      </c>
      <c r="F109" s="408" t="s">
        <v>2252</v>
      </c>
      <c r="G109" s="408" t="s">
        <v>1322</v>
      </c>
      <c r="H109" s="408" t="s">
        <v>1322</v>
      </c>
      <c r="I109" s="408" t="s">
        <v>2244</v>
      </c>
      <c r="J109" s="408" t="s">
        <v>2236</v>
      </c>
      <c r="K109" s="824">
        <v>44409</v>
      </c>
      <c r="L109" s="408">
        <v>0</v>
      </c>
      <c r="M109" s="408">
        <v>0</v>
      </c>
      <c r="N109" s="408">
        <v>21.524000000000001</v>
      </c>
      <c r="O109" s="408">
        <v>20.663039999999999</v>
      </c>
      <c r="P109" s="408">
        <v>21.524000000000001</v>
      </c>
      <c r="Q109" s="408">
        <v>20.663039999999999</v>
      </c>
      <c r="R109" s="408"/>
      <c r="S109" s="408">
        <v>79.7</v>
      </c>
      <c r="T109" s="408">
        <v>209.4</v>
      </c>
      <c r="U109" s="408"/>
      <c r="V109" s="408">
        <v>6222.5884000000005</v>
      </c>
      <c r="W109" s="408">
        <v>6222.5884000000005</v>
      </c>
      <c r="X109" s="408">
        <v>6726.68048</v>
      </c>
      <c r="Y109" s="408">
        <v>0</v>
      </c>
      <c r="Z109" s="408">
        <v>1152.3514708593609</v>
      </c>
      <c r="AA109" s="408">
        <v>0</v>
      </c>
      <c r="AB109" s="408">
        <v>0</v>
      </c>
      <c r="AC109" s="408">
        <v>0</v>
      </c>
      <c r="AD109" s="408">
        <v>0</v>
      </c>
      <c r="AE109" s="408">
        <v>0</v>
      </c>
      <c r="AF109" s="408">
        <v>4447.9506524060225</v>
      </c>
      <c r="AG109" s="408">
        <v>59.254817889181226</v>
      </c>
      <c r="AH109" s="408">
        <v>0</v>
      </c>
      <c r="AI109" s="408">
        <v>0</v>
      </c>
      <c r="AJ109" s="408">
        <v>0</v>
      </c>
      <c r="AK109" s="408">
        <v>0</v>
      </c>
      <c r="AL109" s="408">
        <v>204.68466580966233</v>
      </c>
      <c r="AM109" s="408"/>
      <c r="AN109" s="408">
        <v>28.580520896328775</v>
      </c>
      <c r="AO109" s="408">
        <v>0</v>
      </c>
      <c r="AP109" s="408">
        <v>0</v>
      </c>
      <c r="AQ109" s="408">
        <v>0</v>
      </c>
      <c r="AR109" s="408">
        <v>0</v>
      </c>
      <c r="AS109" s="408">
        <v>0</v>
      </c>
      <c r="AT109" s="408">
        <v>0</v>
      </c>
      <c r="AU109" s="408">
        <v>0</v>
      </c>
      <c r="AV109" s="408">
        <v>0</v>
      </c>
      <c r="AW109" s="408">
        <v>0</v>
      </c>
      <c r="AX109" s="408">
        <v>0</v>
      </c>
      <c r="AY109" s="408">
        <v>0</v>
      </c>
      <c r="AZ109" s="408">
        <v>0</v>
      </c>
      <c r="BA109" s="408"/>
      <c r="BB109" s="408">
        <v>0</v>
      </c>
      <c r="BC109" s="408">
        <v>0</v>
      </c>
      <c r="BD109" s="408">
        <v>0</v>
      </c>
      <c r="BE109" s="408">
        <v>0</v>
      </c>
      <c r="BF109" s="408">
        <v>0</v>
      </c>
      <c r="BG109" s="408">
        <v>329.8431682389122</v>
      </c>
      <c r="BH109" s="408">
        <v>0</v>
      </c>
      <c r="BI109" s="408">
        <v>0</v>
      </c>
      <c r="BJ109" s="408">
        <v>0</v>
      </c>
      <c r="BK109" s="408">
        <v>0</v>
      </c>
      <c r="BL109" s="408">
        <v>0</v>
      </c>
      <c r="BM109" s="408"/>
      <c r="BN109" s="408"/>
      <c r="BO109" s="408"/>
      <c r="BP109" s="408"/>
      <c r="BQ109" s="408"/>
      <c r="BR109" s="408">
        <v>269.06721920000069</v>
      </c>
      <c r="BS109" s="408"/>
      <c r="BT109" s="408"/>
      <c r="BU109" s="408"/>
      <c r="BV109" s="408">
        <v>4777.7938206449344</v>
      </c>
      <c r="BW109" s="408"/>
      <c r="BX109" s="408"/>
      <c r="BY109" s="408"/>
      <c r="BZ109" s="408"/>
      <c r="CA109" s="408"/>
      <c r="CB109" s="408"/>
      <c r="CC109" s="408"/>
      <c r="CD109" s="408"/>
      <c r="CE109" s="408"/>
      <c r="CF109" s="408"/>
      <c r="CG109" s="408"/>
      <c r="CH109" s="408"/>
      <c r="CI109" s="408">
        <v>6456.6632</v>
      </c>
      <c r="CJ109" s="408">
        <v>482.94833600000038</v>
      </c>
      <c r="CK109" s="408"/>
      <c r="CL109" s="408"/>
      <c r="CM109" s="408"/>
      <c r="CN109" s="408"/>
      <c r="CO109" s="408">
        <v>12.699160000000074</v>
      </c>
      <c r="CP109" s="408">
        <v>491.39291999999966</v>
      </c>
      <c r="CQ109" s="408">
        <v>31</v>
      </c>
      <c r="CR109" s="408">
        <v>503.92428097206903</v>
      </c>
      <c r="CS109" s="408">
        <v>0</v>
      </c>
      <c r="CT109" s="408">
        <v>0</v>
      </c>
      <c r="CU109" s="408">
        <v>0</v>
      </c>
      <c r="CV109" s="408">
        <v>0</v>
      </c>
      <c r="CW109" s="408">
        <v>0</v>
      </c>
      <c r="CX109" s="408">
        <v>0</v>
      </c>
      <c r="CY109" s="408">
        <v>0</v>
      </c>
      <c r="CZ109" s="408">
        <v>0</v>
      </c>
      <c r="DA109" s="408">
        <v>0</v>
      </c>
      <c r="DB109" s="408">
        <v>0</v>
      </c>
      <c r="DC109" s="408">
        <v>491.24406273577188</v>
      </c>
      <c r="DD109" s="408">
        <v>0</v>
      </c>
      <c r="DE109" s="408">
        <v>0</v>
      </c>
      <c r="DF109" s="408">
        <v>0</v>
      </c>
      <c r="DG109" s="408">
        <v>36.42879849480147</v>
      </c>
      <c r="DH109" s="408">
        <v>0</v>
      </c>
      <c r="DI109" s="408">
        <v>-20.087932389061734</v>
      </c>
      <c r="DJ109" s="408"/>
      <c r="DK109" s="408">
        <v>0</v>
      </c>
      <c r="DL109" s="408">
        <v>0</v>
      </c>
      <c r="DM109" s="408">
        <v>0</v>
      </c>
      <c r="DN109" s="408">
        <v>0</v>
      </c>
      <c r="DO109" s="408">
        <v>-2.99985274352278</v>
      </c>
      <c r="DP109" s="408">
        <v>-0.66079512591927525</v>
      </c>
      <c r="DQ109" s="408">
        <v>0</v>
      </c>
      <c r="DR109" s="408">
        <v>0</v>
      </c>
      <c r="DS109" s="408"/>
      <c r="DT109" s="408"/>
      <c r="DU109" s="408"/>
      <c r="DV109" s="408">
        <v>0</v>
      </c>
      <c r="DW109" s="408">
        <v>0</v>
      </c>
      <c r="DX109" s="408">
        <v>0</v>
      </c>
      <c r="DY109" s="408">
        <v>12.699159999999893</v>
      </c>
      <c r="DZ109" s="408">
        <v>491.39291999999932</v>
      </c>
      <c r="EA109" s="408">
        <v>0</v>
      </c>
      <c r="EB109" s="408">
        <v>0</v>
      </c>
      <c r="EC109" s="408">
        <v>0</v>
      </c>
      <c r="ED109" s="408">
        <v>0</v>
      </c>
      <c r="EE109" s="408">
        <v>0</v>
      </c>
      <c r="EF109" s="408">
        <v>0</v>
      </c>
      <c r="EG109" s="408">
        <v>0</v>
      </c>
      <c r="EH109" s="408">
        <v>0</v>
      </c>
      <c r="EI109" s="408">
        <v>0</v>
      </c>
      <c r="EJ109" s="408">
        <v>0</v>
      </c>
      <c r="EK109" s="408">
        <v>0</v>
      </c>
      <c r="EL109" s="408">
        <v>0</v>
      </c>
      <c r="EM109" s="408">
        <v>0</v>
      </c>
      <c r="EN109" s="408">
        <v>0</v>
      </c>
      <c r="EO109" s="408">
        <v>0</v>
      </c>
      <c r="EP109" s="408">
        <v>0</v>
      </c>
      <c r="EQ109" s="408">
        <v>0</v>
      </c>
      <c r="ER109" s="408">
        <v>0</v>
      </c>
      <c r="ES109" s="408">
        <v>0</v>
      </c>
      <c r="ET109" s="408">
        <v>0</v>
      </c>
      <c r="EU109" s="408">
        <v>0</v>
      </c>
      <c r="EV109" s="408">
        <v>238</v>
      </c>
      <c r="EW109" s="408">
        <v>0</v>
      </c>
      <c r="EX109" s="408">
        <v>0</v>
      </c>
      <c r="EY109" s="408">
        <v>0</v>
      </c>
      <c r="EZ109" s="408"/>
      <c r="FA109" s="408">
        <v>0</v>
      </c>
      <c r="FB109" s="408"/>
      <c r="FC109" s="408"/>
      <c r="FD109" s="408"/>
      <c r="FE109" s="408"/>
      <c r="FF109" s="408">
        <v>0</v>
      </c>
      <c r="FG109" s="408">
        <v>0</v>
      </c>
      <c r="FH109" s="408">
        <v>0</v>
      </c>
      <c r="FI109" s="408">
        <v>0</v>
      </c>
    </row>
    <row r="110" spans="1:165" s="857" customFormat="1">
      <c r="A110" s="408">
        <v>114</v>
      </c>
      <c r="B110" s="408" t="s">
        <v>1036</v>
      </c>
      <c r="C110" s="408" t="s">
        <v>2243</v>
      </c>
      <c r="D110" s="408" t="s">
        <v>597</v>
      </c>
      <c r="E110" s="408" t="s">
        <v>974</v>
      </c>
      <c r="F110" s="408" t="s">
        <v>2252</v>
      </c>
      <c r="G110" s="408" t="s">
        <v>1322</v>
      </c>
      <c r="H110" s="408" t="s">
        <v>1322</v>
      </c>
      <c r="I110" s="408" t="s">
        <v>1322</v>
      </c>
      <c r="J110" s="408" t="s">
        <v>2236</v>
      </c>
      <c r="K110" s="824">
        <v>44409</v>
      </c>
      <c r="L110" s="408">
        <v>21751</v>
      </c>
      <c r="M110" s="408">
        <v>20880.96</v>
      </c>
      <c r="N110" s="408">
        <v>0</v>
      </c>
      <c r="O110" s="408">
        <v>0</v>
      </c>
      <c r="P110" s="408">
        <v>0</v>
      </c>
      <c r="Q110" s="408">
        <v>0</v>
      </c>
      <c r="R110" s="408">
        <v>44.35</v>
      </c>
      <c r="S110" s="408"/>
      <c r="T110" s="408"/>
      <c r="U110" s="408">
        <v>964656.85</v>
      </c>
      <c r="V110" s="408"/>
      <c r="W110" s="408">
        <v>964656.85</v>
      </c>
      <c r="X110" s="408">
        <v>630126.47</v>
      </c>
      <c r="Y110" s="408">
        <v>0</v>
      </c>
      <c r="Z110" s="408">
        <v>0</v>
      </c>
      <c r="AA110" s="408">
        <v>0</v>
      </c>
      <c r="AB110" s="408">
        <v>0</v>
      </c>
      <c r="AC110" s="408">
        <v>0</v>
      </c>
      <c r="AD110" s="408">
        <v>285418.00727954338</v>
      </c>
      <c r="AE110" s="408">
        <v>624641.87456126127</v>
      </c>
      <c r="AF110" s="408"/>
      <c r="AG110" s="408"/>
      <c r="AH110" s="408"/>
      <c r="AI110" s="408">
        <v>0</v>
      </c>
      <c r="AJ110" s="408">
        <v>0</v>
      </c>
      <c r="AK110" s="408">
        <v>0</v>
      </c>
      <c r="AL110" s="408">
        <v>0</v>
      </c>
      <c r="AM110" s="408"/>
      <c r="AN110" s="408">
        <v>0</v>
      </c>
      <c r="AO110" s="408">
        <v>21570.916764317692</v>
      </c>
      <c r="AP110" s="408">
        <v>33002.605098020671</v>
      </c>
      <c r="AQ110" s="408">
        <v>0</v>
      </c>
      <c r="AR110" s="408">
        <v>0</v>
      </c>
      <c r="AS110" s="408"/>
      <c r="AT110" s="408"/>
      <c r="AU110" s="408">
        <v>0</v>
      </c>
      <c r="AV110" s="408">
        <v>0</v>
      </c>
      <c r="AW110" s="408">
        <v>0</v>
      </c>
      <c r="AX110" s="408"/>
      <c r="AY110" s="408"/>
      <c r="AZ110" s="408">
        <v>0</v>
      </c>
      <c r="BA110" s="408"/>
      <c r="BB110" s="408">
        <v>0</v>
      </c>
      <c r="BC110" s="408">
        <v>0</v>
      </c>
      <c r="BD110" s="408">
        <v>0</v>
      </c>
      <c r="BE110" s="408">
        <v>0</v>
      </c>
      <c r="BF110" s="408"/>
      <c r="BG110" s="408">
        <v>0</v>
      </c>
      <c r="BH110" s="408">
        <v>0</v>
      </c>
      <c r="BI110" s="408">
        <v>1066.17</v>
      </c>
      <c r="BJ110" s="408">
        <v>5120.7700000000004</v>
      </c>
      <c r="BK110" s="408">
        <v>660.54</v>
      </c>
      <c r="BL110" s="408">
        <v>121</v>
      </c>
      <c r="BM110" s="408"/>
      <c r="BN110" s="408"/>
      <c r="BO110" s="408"/>
      <c r="BP110" s="408"/>
      <c r="BQ110" s="408"/>
      <c r="BR110" s="408">
        <v>25205.058800000024</v>
      </c>
      <c r="BS110" s="408"/>
      <c r="BT110" s="408"/>
      <c r="BU110" s="408"/>
      <c r="BV110" s="408">
        <v>0</v>
      </c>
      <c r="BW110" s="408"/>
      <c r="BX110" s="408"/>
      <c r="BY110" s="408"/>
      <c r="BZ110" s="408"/>
      <c r="CA110" s="408"/>
      <c r="CB110" s="408"/>
      <c r="CC110" s="408"/>
      <c r="CD110" s="408"/>
      <c r="CE110" s="408"/>
      <c r="CF110" s="408"/>
      <c r="CG110" s="408"/>
      <c r="CH110" s="408"/>
      <c r="CI110" s="408">
        <v>604921.41119999997</v>
      </c>
      <c r="CJ110" s="408">
        <v>-321149.19480000006</v>
      </c>
      <c r="CK110" s="408"/>
      <c r="CL110" s="408"/>
      <c r="CM110" s="408"/>
      <c r="CN110" s="408"/>
      <c r="CO110" s="408">
        <v>-334530.38000000006</v>
      </c>
      <c r="CP110" s="408">
        <v>0</v>
      </c>
      <c r="CQ110" s="408">
        <v>31</v>
      </c>
      <c r="CR110" s="408">
        <v>15945.470151000191</v>
      </c>
      <c r="CS110" s="408">
        <v>2604.3005807225782</v>
      </c>
      <c r="CT110" s="408">
        <v>3984.4715253043469</v>
      </c>
      <c r="CU110" s="408">
        <v>0</v>
      </c>
      <c r="CV110" s="408">
        <v>0</v>
      </c>
      <c r="CW110" s="408"/>
      <c r="CX110" s="408"/>
      <c r="CY110" s="408"/>
      <c r="CZ110" s="408">
        <v>9356.6980449733092</v>
      </c>
      <c r="DA110" s="408">
        <v>0</v>
      </c>
      <c r="DB110" s="408">
        <v>0</v>
      </c>
      <c r="DC110" s="408"/>
      <c r="DD110" s="408"/>
      <c r="DE110" s="408">
        <v>0</v>
      </c>
      <c r="DF110" s="408">
        <v>0</v>
      </c>
      <c r="DG110" s="408">
        <v>0</v>
      </c>
      <c r="DH110" s="408">
        <v>0</v>
      </c>
      <c r="DI110" s="408">
        <v>0</v>
      </c>
      <c r="DJ110" s="408"/>
      <c r="DK110" s="408">
        <v>0</v>
      </c>
      <c r="DL110" s="408">
        <v>0</v>
      </c>
      <c r="DM110" s="408"/>
      <c r="DN110" s="408">
        <v>0</v>
      </c>
      <c r="DO110" s="408">
        <v>0</v>
      </c>
      <c r="DP110" s="408">
        <v>0</v>
      </c>
      <c r="DQ110" s="408">
        <v>0</v>
      </c>
      <c r="DR110" s="408">
        <v>0</v>
      </c>
      <c r="DS110" s="408"/>
      <c r="DT110" s="408"/>
      <c r="DU110" s="408">
        <v>624641.87456126127</v>
      </c>
      <c r="DV110" s="408"/>
      <c r="DW110" s="408">
        <v>0</v>
      </c>
      <c r="DX110" s="408">
        <v>0</v>
      </c>
      <c r="DY110" s="408">
        <v>-334530.38</v>
      </c>
      <c r="DZ110" s="408"/>
      <c r="EA110" s="408">
        <v>0</v>
      </c>
      <c r="EB110" s="408"/>
      <c r="EC110" s="408">
        <v>-350417.65731491655</v>
      </c>
      <c r="ED110" s="408"/>
      <c r="EE110" s="408">
        <v>0</v>
      </c>
      <c r="EF110" s="408">
        <v>0</v>
      </c>
      <c r="EG110" s="408"/>
      <c r="EH110" s="408">
        <v>0</v>
      </c>
      <c r="EI110" s="408">
        <v>0</v>
      </c>
      <c r="EJ110" s="408">
        <v>0</v>
      </c>
      <c r="EK110" s="408">
        <v>0</v>
      </c>
      <c r="EL110" s="408">
        <v>0</v>
      </c>
      <c r="EM110" s="408"/>
      <c r="EN110" s="408"/>
      <c r="EO110" s="408">
        <v>0</v>
      </c>
      <c r="EP110" s="408">
        <v>0</v>
      </c>
      <c r="EQ110" s="408"/>
      <c r="ER110" s="408">
        <v>0</v>
      </c>
      <c r="ES110" s="408"/>
      <c r="ET110" s="408">
        <v>0</v>
      </c>
      <c r="EU110" s="408"/>
      <c r="EV110" s="408">
        <v>238</v>
      </c>
      <c r="EW110" s="408"/>
      <c r="EX110" s="408"/>
      <c r="EY110" s="408"/>
      <c r="EZ110" s="408"/>
      <c r="FA110" s="408">
        <v>0</v>
      </c>
      <c r="FB110" s="408"/>
      <c r="FC110" s="408"/>
      <c r="FD110" s="408"/>
      <c r="FE110" s="408"/>
      <c r="FF110" s="408">
        <v>0</v>
      </c>
      <c r="FG110" s="408">
        <v>0</v>
      </c>
      <c r="FH110" s="408">
        <v>0</v>
      </c>
      <c r="FI110" s="408">
        <v>0</v>
      </c>
    </row>
    <row r="111" spans="1:165" s="857" customFormat="1">
      <c r="A111" s="408">
        <v>115</v>
      </c>
      <c r="B111" s="408" t="s">
        <v>2237</v>
      </c>
      <c r="C111" s="408" t="s">
        <v>2243</v>
      </c>
      <c r="D111" s="408" t="s">
        <v>597</v>
      </c>
      <c r="E111" s="408" t="s">
        <v>974</v>
      </c>
      <c r="F111" s="408" t="s">
        <v>2252</v>
      </c>
      <c r="G111" s="408" t="s">
        <v>2253</v>
      </c>
      <c r="H111" s="408" t="s">
        <v>1322</v>
      </c>
      <c r="I111" s="408" t="s">
        <v>1322</v>
      </c>
      <c r="J111" s="408" t="s">
        <v>2236</v>
      </c>
      <c r="K111" s="824">
        <v>44409</v>
      </c>
      <c r="L111" s="408">
        <v>0</v>
      </c>
      <c r="M111" s="408">
        <v>0</v>
      </c>
      <c r="N111" s="408">
        <v>0</v>
      </c>
      <c r="O111" s="408">
        <v>0</v>
      </c>
      <c r="P111" s="408">
        <v>0</v>
      </c>
      <c r="Q111" s="408">
        <v>0</v>
      </c>
      <c r="R111" s="408"/>
      <c r="S111" s="408"/>
      <c r="T111" s="408"/>
      <c r="U111" s="408"/>
      <c r="V111" s="408"/>
      <c r="W111" s="408"/>
      <c r="X111" s="408"/>
      <c r="Y111" s="408"/>
      <c r="Z111" s="408"/>
      <c r="AA111" s="408">
        <v>0</v>
      </c>
      <c r="AB111" s="408"/>
      <c r="AC111" s="408"/>
      <c r="AD111" s="408"/>
      <c r="AE111" s="408"/>
      <c r="AF111" s="408"/>
      <c r="AG111" s="408"/>
      <c r="AH111" s="408"/>
      <c r="AI111" s="408"/>
      <c r="AJ111" s="408"/>
      <c r="AK111" s="408"/>
      <c r="AL111" s="408"/>
      <c r="AM111" s="408"/>
      <c r="AN111" s="408"/>
      <c r="AO111" s="408"/>
      <c r="AP111" s="408"/>
      <c r="AQ111" s="408"/>
      <c r="AR111" s="408"/>
      <c r="AS111" s="408"/>
      <c r="AT111" s="408"/>
      <c r="AU111" s="408"/>
      <c r="AV111" s="408"/>
      <c r="AW111" s="408"/>
      <c r="AX111" s="408"/>
      <c r="AY111" s="408"/>
      <c r="AZ111" s="408">
        <v>0</v>
      </c>
      <c r="BA111" s="408"/>
      <c r="BB111" s="408"/>
      <c r="BC111" s="408"/>
      <c r="BD111" s="408"/>
      <c r="BE111" s="408"/>
      <c r="BF111" s="408"/>
      <c r="BG111" s="408"/>
      <c r="BH111" s="408"/>
      <c r="BI111" s="408">
        <v>-4.5199999999999996</v>
      </c>
      <c r="BJ111" s="408">
        <v>-20.37</v>
      </c>
      <c r="BK111" s="408">
        <v>0</v>
      </c>
      <c r="BL111" s="408">
        <v>0</v>
      </c>
      <c r="BM111" s="408"/>
      <c r="BN111" s="408"/>
      <c r="BO111" s="408"/>
      <c r="BP111" s="408"/>
      <c r="BQ111" s="408"/>
      <c r="BR111" s="408"/>
      <c r="BS111" s="408"/>
      <c r="BT111" s="408"/>
      <c r="BU111" s="408"/>
      <c r="BV111" s="408"/>
      <c r="BW111" s="408"/>
      <c r="BX111" s="408"/>
      <c r="BY111" s="408"/>
      <c r="BZ111" s="408"/>
      <c r="CA111" s="408"/>
      <c r="CB111" s="408"/>
      <c r="CC111" s="408"/>
      <c r="CD111" s="408"/>
      <c r="CE111" s="408"/>
      <c r="CF111" s="408"/>
      <c r="CG111" s="408"/>
      <c r="CH111" s="408"/>
      <c r="CI111" s="408"/>
      <c r="CJ111" s="408">
        <v>-0.03</v>
      </c>
      <c r="CK111" s="408"/>
      <c r="CL111" s="408"/>
      <c r="CM111" s="408"/>
      <c r="CN111" s="408"/>
      <c r="CO111" s="408">
        <v>0</v>
      </c>
      <c r="CP111" s="408">
        <v>0</v>
      </c>
      <c r="CQ111" s="408">
        <v>31</v>
      </c>
      <c r="CR111" s="408"/>
      <c r="CS111" s="408"/>
      <c r="CT111" s="408"/>
      <c r="CU111" s="408"/>
      <c r="CV111" s="408"/>
      <c r="CW111" s="408"/>
      <c r="CX111" s="408"/>
      <c r="CY111" s="408"/>
      <c r="CZ111" s="408"/>
      <c r="DA111" s="408"/>
      <c r="DB111" s="408"/>
      <c r="DC111" s="408"/>
      <c r="DD111" s="408"/>
      <c r="DE111" s="408"/>
      <c r="DF111" s="408"/>
      <c r="DG111" s="408"/>
      <c r="DH111" s="408"/>
      <c r="DI111" s="408"/>
      <c r="DJ111" s="408"/>
      <c r="DK111" s="408">
        <v>0</v>
      </c>
      <c r="DL111" s="408"/>
      <c r="DM111" s="408"/>
      <c r="DN111" s="408"/>
      <c r="DO111" s="408"/>
      <c r="DP111" s="408"/>
      <c r="DQ111" s="408"/>
      <c r="DR111" s="408"/>
      <c r="DS111" s="408"/>
      <c r="DT111" s="408"/>
      <c r="DU111" s="408"/>
      <c r="DV111" s="408"/>
      <c r="DW111" s="408"/>
      <c r="DX111" s="408"/>
      <c r="DY111" s="408"/>
      <c r="DZ111" s="408"/>
      <c r="EA111" s="408"/>
      <c r="EB111" s="408"/>
      <c r="EC111" s="408"/>
      <c r="ED111" s="408"/>
      <c r="EE111" s="408"/>
      <c r="EF111" s="408"/>
      <c r="EG111" s="408"/>
      <c r="EH111" s="408"/>
      <c r="EI111" s="408"/>
      <c r="EJ111" s="408"/>
      <c r="EK111" s="408"/>
      <c r="EL111" s="408"/>
      <c r="EM111" s="408"/>
      <c r="EN111" s="408"/>
      <c r="EO111" s="408"/>
      <c r="EP111" s="408"/>
      <c r="EQ111" s="408"/>
      <c r="ER111" s="408"/>
      <c r="ES111" s="408"/>
      <c r="ET111" s="408"/>
      <c r="EU111" s="408"/>
      <c r="EV111" s="408">
        <v>238</v>
      </c>
      <c r="EW111" s="408"/>
      <c r="EX111" s="408"/>
      <c r="EY111" s="408"/>
      <c r="EZ111" s="408"/>
      <c r="FA111" s="408">
        <v>0</v>
      </c>
      <c r="FB111" s="408"/>
      <c r="FC111" s="408"/>
      <c r="FD111" s="408"/>
      <c r="FE111" s="408"/>
      <c r="FF111" s="408">
        <v>0</v>
      </c>
      <c r="FG111" s="408">
        <v>0</v>
      </c>
      <c r="FH111" s="408">
        <v>0</v>
      </c>
      <c r="FI111" s="408">
        <v>0</v>
      </c>
    </row>
    <row r="112" spans="1:165" s="857" customFormat="1">
      <c r="A112" s="408">
        <v>116</v>
      </c>
      <c r="B112" s="408" t="s">
        <v>2238</v>
      </c>
      <c r="C112" s="408" t="s">
        <v>2243</v>
      </c>
      <c r="D112" s="408" t="s">
        <v>597</v>
      </c>
      <c r="E112" s="408" t="s">
        <v>974</v>
      </c>
      <c r="F112" s="408" t="s">
        <v>2252</v>
      </c>
      <c r="G112" s="408" t="s">
        <v>1322</v>
      </c>
      <c r="H112" s="408" t="s">
        <v>1322</v>
      </c>
      <c r="I112" s="408" t="s">
        <v>1322</v>
      </c>
      <c r="J112" s="408" t="s">
        <v>2236</v>
      </c>
      <c r="K112" s="824">
        <v>44409</v>
      </c>
      <c r="L112" s="408">
        <v>1317</v>
      </c>
      <c r="M112" s="408">
        <v>1264.32</v>
      </c>
      <c r="N112" s="408">
        <v>0</v>
      </c>
      <c r="O112" s="408">
        <v>0</v>
      </c>
      <c r="P112" s="408">
        <v>0</v>
      </c>
      <c r="Q112" s="408">
        <v>0</v>
      </c>
      <c r="R112" s="408">
        <v>44.35</v>
      </c>
      <c r="S112" s="408"/>
      <c r="T112" s="408"/>
      <c r="U112" s="408">
        <v>58408.950000000004</v>
      </c>
      <c r="V112" s="408"/>
      <c r="W112" s="408">
        <v>58408.950000000004</v>
      </c>
      <c r="X112" s="408">
        <v>38153.49</v>
      </c>
      <c r="Y112" s="408">
        <v>0</v>
      </c>
      <c r="Z112" s="408">
        <v>0</v>
      </c>
      <c r="AA112" s="408">
        <v>0</v>
      </c>
      <c r="AB112" s="408">
        <v>0</v>
      </c>
      <c r="AC112" s="408">
        <v>0</v>
      </c>
      <c r="AD112" s="408">
        <v>17281.75787720834</v>
      </c>
      <c r="AE112" s="408">
        <v>37821.403558327482</v>
      </c>
      <c r="AF112" s="408"/>
      <c r="AG112" s="408"/>
      <c r="AH112" s="408"/>
      <c r="AI112" s="408">
        <v>0</v>
      </c>
      <c r="AJ112" s="408">
        <v>0</v>
      </c>
      <c r="AK112" s="408">
        <v>0</v>
      </c>
      <c r="AL112" s="408">
        <v>0</v>
      </c>
      <c r="AM112" s="408"/>
      <c r="AN112" s="408">
        <v>0</v>
      </c>
      <c r="AO112" s="408">
        <v>1306.0961509174936</v>
      </c>
      <c r="AP112" s="408">
        <v>1998.2727651185335</v>
      </c>
      <c r="AQ112" s="408">
        <v>0</v>
      </c>
      <c r="AR112" s="408">
        <v>0</v>
      </c>
      <c r="AS112" s="408"/>
      <c r="AT112" s="408"/>
      <c r="AU112" s="408">
        <v>0</v>
      </c>
      <c r="AV112" s="408">
        <v>0</v>
      </c>
      <c r="AW112" s="408">
        <v>0</v>
      </c>
      <c r="AX112" s="408"/>
      <c r="AY112" s="408"/>
      <c r="AZ112" s="408">
        <v>0</v>
      </c>
      <c r="BA112" s="408"/>
      <c r="BB112" s="408">
        <v>0</v>
      </c>
      <c r="BC112" s="408">
        <v>0</v>
      </c>
      <c r="BD112" s="408">
        <v>0</v>
      </c>
      <c r="BE112" s="408">
        <v>0</v>
      </c>
      <c r="BF112" s="408"/>
      <c r="BG112" s="408">
        <v>0</v>
      </c>
      <c r="BH112" s="408">
        <v>0</v>
      </c>
      <c r="BI112" s="408">
        <v>49.43</v>
      </c>
      <c r="BJ112" s="408">
        <v>237.55</v>
      </c>
      <c r="BK112" s="408">
        <v>145.51</v>
      </c>
      <c r="BL112" s="408">
        <v>11</v>
      </c>
      <c r="BM112" s="408"/>
      <c r="BN112" s="408"/>
      <c r="BO112" s="408"/>
      <c r="BP112" s="408"/>
      <c r="BQ112" s="408"/>
      <c r="BR112" s="408">
        <v>1526.1396000000018</v>
      </c>
      <c r="BS112" s="408"/>
      <c r="BT112" s="408"/>
      <c r="BU112" s="408"/>
      <c r="BV112" s="408">
        <v>0</v>
      </c>
      <c r="BW112" s="408"/>
      <c r="BX112" s="408"/>
      <c r="BY112" s="408"/>
      <c r="BZ112" s="408"/>
      <c r="CA112" s="408"/>
      <c r="CB112" s="408"/>
      <c r="CC112" s="408"/>
      <c r="CD112" s="408"/>
      <c r="CE112" s="408"/>
      <c r="CF112" s="408"/>
      <c r="CG112" s="408"/>
      <c r="CH112" s="408"/>
      <c r="CI112" s="408">
        <v>36627.350399999996</v>
      </c>
      <c r="CJ112" s="408">
        <v>-19445.271600000007</v>
      </c>
      <c r="CK112" s="408"/>
      <c r="CL112" s="408"/>
      <c r="CM112" s="408"/>
      <c r="CN112" s="408"/>
      <c r="CO112" s="408">
        <v>-20255.460000000003</v>
      </c>
      <c r="CP112" s="408">
        <v>0</v>
      </c>
      <c r="CQ112" s="408">
        <v>31</v>
      </c>
      <c r="CR112" s="408">
        <v>965.48131988724344</v>
      </c>
      <c r="CS112" s="408">
        <v>157.68764032971512</v>
      </c>
      <c r="CT112" s="408">
        <v>241.25552842746697</v>
      </c>
      <c r="CU112" s="408">
        <v>0</v>
      </c>
      <c r="CV112" s="408">
        <v>0</v>
      </c>
      <c r="CW112" s="408"/>
      <c r="CX112" s="408"/>
      <c r="CY112" s="408"/>
      <c r="CZ112" s="408">
        <v>566.5381511300584</v>
      </c>
      <c r="DA112" s="408">
        <v>0</v>
      </c>
      <c r="DB112" s="408">
        <v>0</v>
      </c>
      <c r="DC112" s="408"/>
      <c r="DD112" s="408"/>
      <c r="DE112" s="408">
        <v>0</v>
      </c>
      <c r="DF112" s="408">
        <v>0</v>
      </c>
      <c r="DG112" s="408">
        <v>0</v>
      </c>
      <c r="DH112" s="408">
        <v>0</v>
      </c>
      <c r="DI112" s="408">
        <v>0</v>
      </c>
      <c r="DJ112" s="408"/>
      <c r="DK112" s="408">
        <v>0</v>
      </c>
      <c r="DL112" s="408">
        <v>0</v>
      </c>
      <c r="DM112" s="408"/>
      <c r="DN112" s="408">
        <v>0</v>
      </c>
      <c r="DO112" s="408">
        <v>0</v>
      </c>
      <c r="DP112" s="408">
        <v>0</v>
      </c>
      <c r="DQ112" s="408">
        <v>0</v>
      </c>
      <c r="DR112" s="408">
        <v>0</v>
      </c>
      <c r="DS112" s="408"/>
      <c r="DT112" s="408"/>
      <c r="DU112" s="408">
        <v>37821.403558327482</v>
      </c>
      <c r="DV112" s="408"/>
      <c r="DW112" s="408">
        <v>0</v>
      </c>
      <c r="DX112" s="408">
        <v>0</v>
      </c>
      <c r="DY112" s="408">
        <v>-20255.460000000006</v>
      </c>
      <c r="DZ112" s="408"/>
      <c r="EA112" s="408">
        <v>0</v>
      </c>
      <c r="EB112" s="408"/>
      <c r="EC112" s="408">
        <v>-21217.417805330562</v>
      </c>
      <c r="ED112" s="408"/>
      <c r="EE112" s="408">
        <v>0</v>
      </c>
      <c r="EF112" s="408">
        <v>0</v>
      </c>
      <c r="EG112" s="408"/>
      <c r="EH112" s="408">
        <v>0</v>
      </c>
      <c r="EI112" s="408">
        <v>0</v>
      </c>
      <c r="EJ112" s="408">
        <v>0</v>
      </c>
      <c r="EK112" s="408">
        <v>0</v>
      </c>
      <c r="EL112" s="408">
        <v>0</v>
      </c>
      <c r="EM112" s="408"/>
      <c r="EN112" s="408"/>
      <c r="EO112" s="408">
        <v>0</v>
      </c>
      <c r="EP112" s="408">
        <v>0</v>
      </c>
      <c r="EQ112" s="408"/>
      <c r="ER112" s="408">
        <v>0</v>
      </c>
      <c r="ES112" s="408"/>
      <c r="ET112" s="408">
        <v>0</v>
      </c>
      <c r="EU112" s="408"/>
      <c r="EV112" s="408">
        <v>238</v>
      </c>
      <c r="EW112" s="408"/>
      <c r="EX112" s="408"/>
      <c r="EY112" s="408"/>
      <c r="EZ112" s="408"/>
      <c r="FA112" s="408">
        <v>0</v>
      </c>
      <c r="FB112" s="408"/>
      <c r="FC112" s="408"/>
      <c r="FD112" s="408"/>
      <c r="FE112" s="408"/>
      <c r="FF112" s="408">
        <v>0</v>
      </c>
      <c r="FG112" s="408">
        <v>0</v>
      </c>
      <c r="FH112" s="408">
        <v>0</v>
      </c>
      <c r="FI112" s="408">
        <v>0</v>
      </c>
    </row>
    <row r="113" spans="1:165" s="857" customFormat="1">
      <c r="A113" s="408">
        <v>117</v>
      </c>
      <c r="B113" s="408" t="s">
        <v>1036</v>
      </c>
      <c r="C113" s="408" t="s">
        <v>2243</v>
      </c>
      <c r="D113" s="408" t="s">
        <v>597</v>
      </c>
      <c r="E113" s="408" t="s">
        <v>974</v>
      </c>
      <c r="F113" s="408" t="s">
        <v>2252</v>
      </c>
      <c r="G113" s="408" t="s">
        <v>2254</v>
      </c>
      <c r="H113" s="408" t="s">
        <v>1322</v>
      </c>
      <c r="I113" s="408" t="s">
        <v>2244</v>
      </c>
      <c r="J113" s="408" t="s">
        <v>2236</v>
      </c>
      <c r="K113" s="824">
        <v>44409</v>
      </c>
      <c r="L113" s="408">
        <v>0</v>
      </c>
      <c r="M113" s="408">
        <v>0</v>
      </c>
      <c r="N113" s="408">
        <v>749.34400000000005</v>
      </c>
      <c r="O113" s="408">
        <v>224.8032</v>
      </c>
      <c r="P113" s="408">
        <v>749.34400000000005</v>
      </c>
      <c r="Q113" s="408">
        <v>224.8032</v>
      </c>
      <c r="R113" s="408"/>
      <c r="S113" s="408">
        <v>79.7</v>
      </c>
      <c r="T113" s="408">
        <v>209.4</v>
      </c>
      <c r="U113" s="408"/>
      <c r="V113" s="408">
        <v>216635.3504</v>
      </c>
      <c r="W113" s="408">
        <v>216635.3504</v>
      </c>
      <c r="X113" s="408">
        <v>234184.98688000004</v>
      </c>
      <c r="Y113" s="408">
        <v>0</v>
      </c>
      <c r="Z113" s="408">
        <v>40118.363713976811</v>
      </c>
      <c r="AA113" s="408">
        <v>0</v>
      </c>
      <c r="AB113" s="408">
        <v>0</v>
      </c>
      <c r="AC113" s="408">
        <v>0</v>
      </c>
      <c r="AD113" s="408">
        <v>0</v>
      </c>
      <c r="AE113" s="408">
        <v>0</v>
      </c>
      <c r="AF113" s="408">
        <v>154852.49645402984</v>
      </c>
      <c r="AG113" s="408">
        <v>2062.917778124448</v>
      </c>
      <c r="AH113" s="408">
        <v>0</v>
      </c>
      <c r="AI113" s="408">
        <v>0</v>
      </c>
      <c r="AJ113" s="408">
        <v>0</v>
      </c>
      <c r="AK113" s="408">
        <v>0</v>
      </c>
      <c r="AL113" s="408">
        <v>7125.9629351642643</v>
      </c>
      <c r="AM113" s="408"/>
      <c r="AN113" s="408">
        <v>995.01216551470873</v>
      </c>
      <c r="AO113" s="408">
        <v>0</v>
      </c>
      <c r="AP113" s="408">
        <v>0</v>
      </c>
      <c r="AQ113" s="408">
        <v>0</v>
      </c>
      <c r="AR113" s="408">
        <v>0</v>
      </c>
      <c r="AS113" s="408">
        <v>0</v>
      </c>
      <c r="AT113" s="408">
        <v>0</v>
      </c>
      <c r="AU113" s="408">
        <v>0</v>
      </c>
      <c r="AV113" s="408">
        <v>0</v>
      </c>
      <c r="AW113" s="408">
        <v>0</v>
      </c>
      <c r="AX113" s="408">
        <v>0</v>
      </c>
      <c r="AY113" s="408">
        <v>0</v>
      </c>
      <c r="AZ113" s="408">
        <v>0</v>
      </c>
      <c r="BA113" s="408"/>
      <c r="BB113" s="408">
        <v>0</v>
      </c>
      <c r="BC113" s="408">
        <v>0</v>
      </c>
      <c r="BD113" s="408">
        <v>0</v>
      </c>
      <c r="BE113" s="408">
        <v>0</v>
      </c>
      <c r="BF113" s="408">
        <v>0</v>
      </c>
      <c r="BG113" s="408">
        <v>11483.27444066249</v>
      </c>
      <c r="BH113" s="408">
        <v>0</v>
      </c>
      <c r="BI113" s="408">
        <v>0</v>
      </c>
      <c r="BJ113" s="408">
        <v>0</v>
      </c>
      <c r="BK113" s="408">
        <v>0</v>
      </c>
      <c r="BL113" s="408">
        <v>0</v>
      </c>
      <c r="BM113" s="408"/>
      <c r="BN113" s="408"/>
      <c r="BO113" s="408"/>
      <c r="BP113" s="408"/>
      <c r="BQ113" s="408"/>
      <c r="BR113" s="408"/>
      <c r="BS113" s="408">
        <v>163929.490816</v>
      </c>
      <c r="BT113" s="408"/>
      <c r="BU113" s="408"/>
      <c r="BV113" s="408">
        <v>166335.77089469234</v>
      </c>
      <c r="BW113" s="408"/>
      <c r="BX113" s="408"/>
      <c r="BY113" s="408"/>
      <c r="BZ113" s="408"/>
      <c r="CA113" s="408"/>
      <c r="CB113" s="408"/>
      <c r="CC113" s="408"/>
      <c r="CD113" s="408"/>
      <c r="CE113" s="408"/>
      <c r="CF113" s="408"/>
      <c r="CG113" s="408"/>
      <c r="CH113" s="408"/>
      <c r="CI113" s="408">
        <v>70254.496000000014</v>
      </c>
      <c r="CJ113" s="408">
        <v>5263.8608800000147</v>
      </c>
      <c r="CK113" s="408"/>
      <c r="CL113" s="408"/>
      <c r="CM113" s="408"/>
      <c r="CN113" s="408"/>
      <c r="CO113" s="408">
        <v>442.1129600000026</v>
      </c>
      <c r="CP113" s="408">
        <v>17107.523519999988</v>
      </c>
      <c r="CQ113" s="408">
        <v>31</v>
      </c>
      <c r="CR113" s="408">
        <v>17543.794666453061</v>
      </c>
      <c r="CS113" s="408">
        <v>0</v>
      </c>
      <c r="CT113" s="408">
        <v>0</v>
      </c>
      <c r="CU113" s="408">
        <v>0</v>
      </c>
      <c r="CV113" s="408">
        <v>0</v>
      </c>
      <c r="CW113" s="408">
        <v>0</v>
      </c>
      <c r="CX113" s="408">
        <v>0</v>
      </c>
      <c r="CY113" s="408">
        <v>0</v>
      </c>
      <c r="CZ113" s="408">
        <v>0</v>
      </c>
      <c r="DA113" s="408">
        <v>0</v>
      </c>
      <c r="DB113" s="408">
        <v>0</v>
      </c>
      <c r="DC113" s="408">
        <v>17102.341151583125</v>
      </c>
      <c r="DD113" s="408">
        <v>0</v>
      </c>
      <c r="DE113" s="408">
        <v>0</v>
      </c>
      <c r="DF113" s="408">
        <v>0</v>
      </c>
      <c r="DG113" s="408">
        <v>1268.2448234198346</v>
      </c>
      <c r="DH113" s="408">
        <v>0</v>
      </c>
      <c r="DI113" s="408">
        <v>-699.34824419944925</v>
      </c>
      <c r="DJ113" s="408"/>
      <c r="DK113" s="408">
        <v>0</v>
      </c>
      <c r="DL113" s="408">
        <v>0</v>
      </c>
      <c r="DM113" s="408">
        <v>0</v>
      </c>
      <c r="DN113" s="408">
        <v>0</v>
      </c>
      <c r="DO113" s="408">
        <v>-104.43791368901475</v>
      </c>
      <c r="DP113" s="408">
        <v>-23.005150661440894</v>
      </c>
      <c r="DQ113" s="408">
        <v>0</v>
      </c>
      <c r="DR113" s="408">
        <v>0</v>
      </c>
      <c r="DS113" s="408"/>
      <c r="DT113" s="408"/>
      <c r="DU113" s="408"/>
      <c r="DV113" s="408">
        <v>0</v>
      </c>
      <c r="DW113" s="408">
        <v>0</v>
      </c>
      <c r="DX113" s="408">
        <v>0</v>
      </c>
      <c r="DY113" s="408">
        <v>442.11295999999857</v>
      </c>
      <c r="DZ113" s="408">
        <v>17107.523520000017</v>
      </c>
      <c r="EA113" s="408">
        <v>0</v>
      </c>
      <c r="EB113" s="408">
        <v>0</v>
      </c>
      <c r="EC113" s="408">
        <v>0</v>
      </c>
      <c r="ED113" s="408">
        <v>0</v>
      </c>
      <c r="EE113" s="408">
        <v>0</v>
      </c>
      <c r="EF113" s="408">
        <v>0</v>
      </c>
      <c r="EG113" s="408">
        <v>0</v>
      </c>
      <c r="EH113" s="408">
        <v>0</v>
      </c>
      <c r="EI113" s="408">
        <v>0</v>
      </c>
      <c r="EJ113" s="408">
        <v>0</v>
      </c>
      <c r="EK113" s="408">
        <v>0</v>
      </c>
      <c r="EL113" s="408">
        <v>0</v>
      </c>
      <c r="EM113" s="408">
        <v>0</v>
      </c>
      <c r="EN113" s="408">
        <v>0</v>
      </c>
      <c r="EO113" s="408">
        <v>0</v>
      </c>
      <c r="EP113" s="408">
        <v>0</v>
      </c>
      <c r="EQ113" s="408">
        <v>0</v>
      </c>
      <c r="ER113" s="408">
        <v>0</v>
      </c>
      <c r="ES113" s="408">
        <v>0</v>
      </c>
      <c r="ET113" s="408">
        <v>0</v>
      </c>
      <c r="EU113" s="408">
        <v>0</v>
      </c>
      <c r="EV113" s="408">
        <v>238</v>
      </c>
      <c r="EW113" s="408">
        <v>0</v>
      </c>
      <c r="EX113" s="408">
        <v>0</v>
      </c>
      <c r="EY113" s="408">
        <v>0</v>
      </c>
      <c r="EZ113" s="408"/>
      <c r="FA113" s="408">
        <v>0</v>
      </c>
      <c r="FB113" s="408"/>
      <c r="FC113" s="408"/>
      <c r="FD113" s="408"/>
      <c r="FE113" s="408"/>
      <c r="FF113" s="408">
        <v>0</v>
      </c>
      <c r="FG113" s="408">
        <v>0</v>
      </c>
      <c r="FH113" s="408">
        <v>0</v>
      </c>
      <c r="FI113" s="408">
        <v>0</v>
      </c>
    </row>
    <row r="114" spans="1:165" s="857" customFormat="1">
      <c r="A114" s="408">
        <v>118</v>
      </c>
      <c r="B114" s="408" t="s">
        <v>1036</v>
      </c>
      <c r="C114" s="408" t="s">
        <v>2235</v>
      </c>
      <c r="D114" s="408" t="s">
        <v>1955</v>
      </c>
      <c r="E114" s="408" t="s">
        <v>969</v>
      </c>
      <c r="F114" s="408" t="s">
        <v>969</v>
      </c>
      <c r="G114" s="408" t="s">
        <v>1322</v>
      </c>
      <c r="H114" s="408" t="s">
        <v>1322</v>
      </c>
      <c r="I114" s="408" t="s">
        <v>1322</v>
      </c>
      <c r="J114" s="408" t="s">
        <v>2236</v>
      </c>
      <c r="K114" s="824">
        <v>44440</v>
      </c>
      <c r="L114" s="408">
        <v>0</v>
      </c>
      <c r="M114" s="408">
        <v>0</v>
      </c>
      <c r="N114" s="408">
        <v>1390.3620000000001</v>
      </c>
      <c r="O114" s="408">
        <v>1390.3620000000001</v>
      </c>
      <c r="P114" s="408">
        <v>1390.3620000000001</v>
      </c>
      <c r="Q114" s="408">
        <v>1390.3620000000001</v>
      </c>
      <c r="R114" s="408"/>
      <c r="S114" s="408">
        <v>581.32000000000005</v>
      </c>
      <c r="T114" s="408">
        <v>209.4</v>
      </c>
      <c r="U114" s="408"/>
      <c r="V114" s="408">
        <v>1099387.04064</v>
      </c>
      <c r="W114" s="408">
        <v>1099387.04064</v>
      </c>
      <c r="X114" s="408">
        <v>839875.97334000003</v>
      </c>
      <c r="Y114" s="408">
        <v>0</v>
      </c>
      <c r="Z114" s="408">
        <v>85559.96811508786</v>
      </c>
      <c r="AA114" s="408">
        <v>0</v>
      </c>
      <c r="AB114" s="408">
        <v>0</v>
      </c>
      <c r="AC114" s="408">
        <v>0</v>
      </c>
      <c r="AD114" s="408">
        <v>103152.54846059823</v>
      </c>
      <c r="AE114" s="408">
        <v>535852.90024972754</v>
      </c>
      <c r="AF114" s="408">
        <v>287319.34421950113</v>
      </c>
      <c r="AG114" s="408">
        <v>3827.6178735382732</v>
      </c>
      <c r="AH114" s="408">
        <v>0</v>
      </c>
      <c r="AI114" s="408">
        <v>0</v>
      </c>
      <c r="AJ114" s="408">
        <v>0</v>
      </c>
      <c r="AK114" s="408">
        <v>0</v>
      </c>
      <c r="AL114" s="408">
        <v>13221.788762518758</v>
      </c>
      <c r="AM114" s="408"/>
      <c r="AN114" s="408">
        <v>2534.5803120844594</v>
      </c>
      <c r="AO114" s="408">
        <v>7924.3414893742511</v>
      </c>
      <c r="AP114" s="408">
        <v>11936.521897758148</v>
      </c>
      <c r="AQ114" s="408">
        <v>0</v>
      </c>
      <c r="AR114" s="408">
        <v>0</v>
      </c>
      <c r="AS114" s="408">
        <v>0</v>
      </c>
      <c r="AT114" s="408">
        <v>0</v>
      </c>
      <c r="AU114" s="408">
        <v>0</v>
      </c>
      <c r="AV114" s="408">
        <v>0</v>
      </c>
      <c r="AW114" s="408">
        <v>0</v>
      </c>
      <c r="AX114" s="408">
        <v>0</v>
      </c>
      <c r="AY114" s="408">
        <v>0</v>
      </c>
      <c r="AZ114" s="408">
        <v>0</v>
      </c>
      <c r="BA114" s="408"/>
      <c r="BB114" s="408">
        <v>0</v>
      </c>
      <c r="BC114" s="408">
        <v>0</v>
      </c>
      <c r="BD114" s="408">
        <v>0</v>
      </c>
      <c r="BE114" s="408">
        <v>0</v>
      </c>
      <c r="BF114" s="408">
        <v>0</v>
      </c>
      <c r="BG114" s="408">
        <v>48067.989172451664</v>
      </c>
      <c r="BH114" s="408">
        <v>0</v>
      </c>
      <c r="BI114" s="408">
        <v>2256.73</v>
      </c>
      <c r="BJ114" s="408">
        <v>10820.13</v>
      </c>
      <c r="BK114" s="408">
        <v>423340.15</v>
      </c>
      <c r="BL114" s="408">
        <v>9300</v>
      </c>
      <c r="BM114" s="408"/>
      <c r="BN114" s="408"/>
      <c r="BO114" s="408"/>
      <c r="BP114" s="408"/>
      <c r="BQ114" s="408"/>
      <c r="BR114" s="408"/>
      <c r="BS114" s="408"/>
      <c r="BT114" s="408"/>
      <c r="BU114" s="408"/>
      <c r="BV114" s="408">
        <v>335387.33339195279</v>
      </c>
      <c r="BW114" s="408"/>
      <c r="BX114" s="408"/>
      <c r="BY114" s="408"/>
      <c r="BZ114" s="408"/>
      <c r="CA114" s="408"/>
      <c r="CB114" s="408"/>
      <c r="CC114" s="408"/>
      <c r="CD114" s="408"/>
      <c r="CE114" s="408"/>
      <c r="CF114" s="408"/>
      <c r="CG114" s="408"/>
      <c r="CH114" s="408"/>
      <c r="CI114" s="408">
        <v>839874.76519999979</v>
      </c>
      <c r="CJ114" s="408">
        <v>-259512.30544000026</v>
      </c>
      <c r="CK114" s="408"/>
      <c r="CL114" s="408"/>
      <c r="CM114" s="408"/>
      <c r="CN114" s="408"/>
      <c r="CO114" s="408">
        <v>-291253.0317600001</v>
      </c>
      <c r="CP114" s="408">
        <v>31741.964459999981</v>
      </c>
      <c r="CQ114" s="408">
        <v>30</v>
      </c>
      <c r="CR114" s="408">
        <v>41076.675166844972</v>
      </c>
      <c r="CS114" s="408">
        <v>956.7218383949139</v>
      </c>
      <c r="CT114" s="408">
        <v>1441.1205258351292</v>
      </c>
      <c r="CU114" s="408">
        <v>0</v>
      </c>
      <c r="CV114" s="408">
        <v>0</v>
      </c>
      <c r="CW114" s="408">
        <v>0</v>
      </c>
      <c r="CX114" s="408">
        <v>0</v>
      </c>
      <c r="CY114" s="408">
        <v>0</v>
      </c>
      <c r="CZ114" s="408">
        <v>3381.5919945440255</v>
      </c>
      <c r="DA114" s="408">
        <v>0</v>
      </c>
      <c r="DB114" s="408">
        <v>0</v>
      </c>
      <c r="DC114" s="408">
        <v>31732.348892094102</v>
      </c>
      <c r="DD114" s="408">
        <v>0</v>
      </c>
      <c r="DE114" s="408">
        <v>0</v>
      </c>
      <c r="DF114" s="408">
        <v>0</v>
      </c>
      <c r="DG114" s="408">
        <v>5308.762649118049</v>
      </c>
      <c r="DH114" s="408">
        <v>0</v>
      </c>
      <c r="DI114" s="408">
        <v>-1491.4918739369896</v>
      </c>
      <c r="DJ114" s="408"/>
      <c r="DK114" s="408">
        <v>0</v>
      </c>
      <c r="DL114" s="408">
        <v>0</v>
      </c>
      <c r="DM114" s="408">
        <v>0</v>
      </c>
      <c r="DN114" s="408">
        <v>0</v>
      </c>
      <c r="DO114" s="408">
        <v>-193.77816670645916</v>
      </c>
      <c r="DP114" s="408">
        <v>-58.600692497913315</v>
      </c>
      <c r="DQ114" s="408">
        <v>0</v>
      </c>
      <c r="DR114" s="408">
        <v>0</v>
      </c>
      <c r="DS114" s="408"/>
      <c r="DT114" s="408"/>
      <c r="DU114" s="408"/>
      <c r="DV114" s="408">
        <v>535852.90024972754</v>
      </c>
      <c r="DW114" s="408">
        <v>0</v>
      </c>
      <c r="DX114" s="408">
        <v>0</v>
      </c>
      <c r="DY114" s="408">
        <v>-291253.0317600001</v>
      </c>
      <c r="DZ114" s="408">
        <v>31741.964459999988</v>
      </c>
      <c r="EA114" s="408">
        <v>0</v>
      </c>
      <c r="EB114" s="408">
        <v>0</v>
      </c>
      <c r="EC114" s="408">
        <v>-300607.95732402895</v>
      </c>
      <c r="ED114" s="408">
        <v>0</v>
      </c>
      <c r="EE114" s="408">
        <v>0</v>
      </c>
      <c r="EF114" s="408">
        <v>0</v>
      </c>
      <c r="EG114" s="408">
        <v>0</v>
      </c>
      <c r="EH114" s="408">
        <v>0</v>
      </c>
      <c r="EI114" s="408">
        <v>0</v>
      </c>
      <c r="EJ114" s="408">
        <v>0</v>
      </c>
      <c r="EK114" s="408">
        <v>0</v>
      </c>
      <c r="EL114" s="408">
        <v>0</v>
      </c>
      <c r="EM114" s="408">
        <v>0</v>
      </c>
      <c r="EN114" s="408">
        <v>0</v>
      </c>
      <c r="EO114" s="408">
        <v>0</v>
      </c>
      <c r="EP114" s="408">
        <v>0</v>
      </c>
      <c r="EQ114" s="408">
        <v>0</v>
      </c>
      <c r="ER114" s="408">
        <v>0</v>
      </c>
      <c r="ES114" s="408">
        <v>0</v>
      </c>
      <c r="ET114" s="408">
        <v>0</v>
      </c>
      <c r="EU114" s="408">
        <v>0</v>
      </c>
      <c r="EV114" s="408">
        <v>238</v>
      </c>
      <c r="EW114" s="408">
        <v>0</v>
      </c>
      <c r="EX114" s="408">
        <v>0</v>
      </c>
      <c r="EY114" s="408">
        <v>0</v>
      </c>
      <c r="EZ114" s="408"/>
      <c r="FA114" s="408">
        <v>0</v>
      </c>
      <c r="FB114" s="408"/>
      <c r="FC114" s="408"/>
      <c r="FD114" s="408"/>
      <c r="FE114" s="408"/>
      <c r="FF114" s="408">
        <v>0</v>
      </c>
      <c r="FG114" s="408">
        <v>0</v>
      </c>
      <c r="FH114" s="408">
        <v>0</v>
      </c>
      <c r="FI114" s="408">
        <v>0</v>
      </c>
    </row>
    <row r="115" spans="1:165" s="857" customFormat="1">
      <c r="A115" s="408">
        <v>119</v>
      </c>
      <c r="B115" s="408" t="s">
        <v>2237</v>
      </c>
      <c r="C115" s="408" t="s">
        <v>2235</v>
      </c>
      <c r="D115" s="408" t="s">
        <v>1955</v>
      </c>
      <c r="E115" s="408" t="s">
        <v>969</v>
      </c>
      <c r="F115" s="408" t="s">
        <v>969</v>
      </c>
      <c r="G115" s="408" t="s">
        <v>1322</v>
      </c>
      <c r="H115" s="408" t="s">
        <v>1322</v>
      </c>
      <c r="I115" s="408" t="s">
        <v>1322</v>
      </c>
      <c r="J115" s="408" t="s">
        <v>2236</v>
      </c>
      <c r="K115" s="824">
        <v>44440</v>
      </c>
      <c r="L115" s="408">
        <v>0</v>
      </c>
      <c r="M115" s="408">
        <v>0</v>
      </c>
      <c r="N115" s="408">
        <v>-0.80900000000000005</v>
      </c>
      <c r="O115" s="408">
        <v>-0.80900000000000005</v>
      </c>
      <c r="P115" s="408">
        <v>-0.80900000000000005</v>
      </c>
      <c r="Q115" s="408">
        <v>-0.80900000000000005</v>
      </c>
      <c r="R115" s="408"/>
      <c r="S115" s="408">
        <v>581.32000000000005</v>
      </c>
      <c r="T115" s="408">
        <v>209.4</v>
      </c>
      <c r="U115" s="408"/>
      <c r="V115" s="408">
        <v>-639.69248000000016</v>
      </c>
      <c r="W115" s="408">
        <v>-639.69248000000016</v>
      </c>
      <c r="X115" s="408">
        <v>-488.69263000000001</v>
      </c>
      <c r="Y115" s="408">
        <v>0</v>
      </c>
      <c r="Z115" s="408">
        <v>-49.784167148631859</v>
      </c>
      <c r="AA115" s="408">
        <v>0</v>
      </c>
      <c r="AB115" s="408">
        <v>0</v>
      </c>
      <c r="AC115" s="408">
        <v>0</v>
      </c>
      <c r="AD115" s="408">
        <v>-60.020636139813931</v>
      </c>
      <c r="AE115" s="408">
        <v>-311.79289731884904</v>
      </c>
      <c r="AF115" s="408">
        <v>-167.18045334493922</v>
      </c>
      <c r="AG115" s="408">
        <v>-2.2271486560280436</v>
      </c>
      <c r="AH115" s="408">
        <v>0</v>
      </c>
      <c r="AI115" s="408">
        <v>0</v>
      </c>
      <c r="AJ115" s="408">
        <v>0</v>
      </c>
      <c r="AK115" s="408">
        <v>0</v>
      </c>
      <c r="AL115" s="408">
        <v>-7.6932677309058182</v>
      </c>
      <c r="AM115" s="408"/>
      <c r="AN115" s="408">
        <v>-1.4747781315055559</v>
      </c>
      <c r="AO115" s="408">
        <v>-4.6108799470237027</v>
      </c>
      <c r="AP115" s="408">
        <v>-6.9454186861309077</v>
      </c>
      <c r="AQ115" s="408">
        <v>0</v>
      </c>
      <c r="AR115" s="408">
        <v>0</v>
      </c>
      <c r="AS115" s="408">
        <v>0</v>
      </c>
      <c r="AT115" s="408">
        <v>0</v>
      </c>
      <c r="AU115" s="408">
        <v>0</v>
      </c>
      <c r="AV115" s="408">
        <v>0</v>
      </c>
      <c r="AW115" s="408">
        <v>0</v>
      </c>
      <c r="AX115" s="408">
        <v>0</v>
      </c>
      <c r="AY115" s="408">
        <v>0</v>
      </c>
      <c r="AZ115" s="408">
        <v>0</v>
      </c>
      <c r="BA115" s="408"/>
      <c r="BB115" s="408">
        <v>0</v>
      </c>
      <c r="BC115" s="408">
        <v>0</v>
      </c>
      <c r="BD115" s="408">
        <v>0</v>
      </c>
      <c r="BE115" s="408">
        <v>0</v>
      </c>
      <c r="BF115" s="408">
        <v>0</v>
      </c>
      <c r="BG115" s="408">
        <v>-27.96897731706807</v>
      </c>
      <c r="BH115" s="408">
        <v>0</v>
      </c>
      <c r="BI115" s="408">
        <v>-0.85</v>
      </c>
      <c r="BJ115" s="408">
        <v>-4.04</v>
      </c>
      <c r="BK115" s="408">
        <v>-261.82</v>
      </c>
      <c r="BL115" s="408">
        <v>0</v>
      </c>
      <c r="BM115" s="408"/>
      <c r="BN115" s="408"/>
      <c r="BO115" s="408"/>
      <c r="BP115" s="408"/>
      <c r="BQ115" s="408"/>
      <c r="BR115" s="408"/>
      <c r="BS115" s="408"/>
      <c r="BT115" s="408"/>
      <c r="BU115" s="408"/>
      <c r="BV115" s="408">
        <v>-195.14943066200729</v>
      </c>
      <c r="BW115" s="408"/>
      <c r="BX115" s="408"/>
      <c r="BY115" s="408"/>
      <c r="BZ115" s="408"/>
      <c r="CA115" s="408"/>
      <c r="CB115" s="408"/>
      <c r="CC115" s="408"/>
      <c r="CD115" s="408"/>
      <c r="CE115" s="408"/>
      <c r="CF115" s="408"/>
      <c r="CG115" s="408"/>
      <c r="CH115" s="408"/>
      <c r="CI115" s="408">
        <v>-489.29669999999999</v>
      </c>
      <c r="CJ115" s="408">
        <v>150.3657800000002</v>
      </c>
      <c r="CK115" s="408"/>
      <c r="CL115" s="408"/>
      <c r="CM115" s="408"/>
      <c r="CN115" s="408"/>
      <c r="CO115" s="408">
        <v>169.46932000000007</v>
      </c>
      <c r="CP115" s="408">
        <v>-18.469469999999987</v>
      </c>
      <c r="CQ115" s="408">
        <v>30</v>
      </c>
      <c r="CR115" s="408">
        <v>-23.900991403661408</v>
      </c>
      <c r="CS115" s="408">
        <v>-0.55668089840018986</v>
      </c>
      <c r="CT115" s="408">
        <v>-0.8385345006556717</v>
      </c>
      <c r="CU115" s="408">
        <v>0</v>
      </c>
      <c r="CV115" s="408">
        <v>0</v>
      </c>
      <c r="CW115" s="408">
        <v>0</v>
      </c>
      <c r="CX115" s="408">
        <v>0</v>
      </c>
      <c r="CY115" s="408">
        <v>0</v>
      </c>
      <c r="CZ115" s="408">
        <v>-1.9676227655719245</v>
      </c>
      <c r="DA115" s="408">
        <v>0</v>
      </c>
      <c r="DB115" s="408">
        <v>0</v>
      </c>
      <c r="DC115" s="408">
        <v>-18.463875058225256</v>
      </c>
      <c r="DD115" s="408">
        <v>0</v>
      </c>
      <c r="DE115" s="408">
        <v>0</v>
      </c>
      <c r="DF115" s="408">
        <v>0</v>
      </c>
      <c r="DG115" s="408">
        <v>-3.0889717808286647</v>
      </c>
      <c r="DH115" s="408">
        <v>0</v>
      </c>
      <c r="DI115" s="408">
        <v>0.86784371697085305</v>
      </c>
      <c r="DJ115" s="408"/>
      <c r="DK115" s="408">
        <v>0</v>
      </c>
      <c r="DL115" s="408">
        <v>0</v>
      </c>
      <c r="DM115" s="408">
        <v>0</v>
      </c>
      <c r="DN115" s="408">
        <v>0</v>
      </c>
      <c r="DO115" s="408">
        <v>0.11275231692575449</v>
      </c>
      <c r="DP115" s="408">
        <v>3.4097566123651113E-2</v>
      </c>
      <c r="DQ115" s="408">
        <v>0</v>
      </c>
      <c r="DR115" s="408">
        <v>0</v>
      </c>
      <c r="DS115" s="408"/>
      <c r="DT115" s="408"/>
      <c r="DU115" s="408"/>
      <c r="DV115" s="408">
        <v>-311.79289731884904</v>
      </c>
      <c r="DW115" s="408">
        <v>0</v>
      </c>
      <c r="DX115" s="408">
        <v>0</v>
      </c>
      <c r="DY115" s="408">
        <v>169.4693200000001</v>
      </c>
      <c r="DZ115" s="408">
        <v>-18.469470000000001</v>
      </c>
      <c r="EA115" s="408">
        <v>0</v>
      </c>
      <c r="EB115" s="408">
        <v>0</v>
      </c>
      <c r="EC115" s="408">
        <v>174.91260367813521</v>
      </c>
      <c r="ED115" s="408">
        <v>0</v>
      </c>
      <c r="EE115" s="408">
        <v>0</v>
      </c>
      <c r="EF115" s="408">
        <v>0</v>
      </c>
      <c r="EG115" s="408">
        <v>0</v>
      </c>
      <c r="EH115" s="408">
        <v>0</v>
      </c>
      <c r="EI115" s="408">
        <v>0</v>
      </c>
      <c r="EJ115" s="408">
        <v>0</v>
      </c>
      <c r="EK115" s="408">
        <v>0</v>
      </c>
      <c r="EL115" s="408">
        <v>0</v>
      </c>
      <c r="EM115" s="408">
        <v>0</v>
      </c>
      <c r="EN115" s="408">
        <v>0</v>
      </c>
      <c r="EO115" s="408">
        <v>0</v>
      </c>
      <c r="EP115" s="408">
        <v>0</v>
      </c>
      <c r="EQ115" s="408">
        <v>0</v>
      </c>
      <c r="ER115" s="408">
        <v>0</v>
      </c>
      <c r="ES115" s="408">
        <v>0</v>
      </c>
      <c r="ET115" s="408">
        <v>0</v>
      </c>
      <c r="EU115" s="408">
        <v>0</v>
      </c>
      <c r="EV115" s="408">
        <v>238</v>
      </c>
      <c r="EW115" s="408">
        <v>0</v>
      </c>
      <c r="EX115" s="408">
        <v>0</v>
      </c>
      <c r="EY115" s="408">
        <v>0</v>
      </c>
      <c r="EZ115" s="408"/>
      <c r="FA115" s="408">
        <v>0</v>
      </c>
      <c r="FB115" s="408"/>
      <c r="FC115" s="408"/>
      <c r="FD115" s="408"/>
      <c r="FE115" s="408"/>
      <c r="FF115" s="408">
        <v>0</v>
      </c>
      <c r="FG115" s="408">
        <v>0</v>
      </c>
      <c r="FH115" s="408">
        <v>0</v>
      </c>
      <c r="FI115" s="408">
        <v>0</v>
      </c>
    </row>
    <row r="116" spans="1:165" s="857" customFormat="1">
      <c r="A116" s="408">
        <v>120</v>
      </c>
      <c r="B116" s="408" t="s">
        <v>2238</v>
      </c>
      <c r="C116" s="408" t="s">
        <v>2235</v>
      </c>
      <c r="D116" s="408" t="s">
        <v>1955</v>
      </c>
      <c r="E116" s="408" t="s">
        <v>969</v>
      </c>
      <c r="F116" s="408" t="s">
        <v>969</v>
      </c>
      <c r="G116" s="408" t="s">
        <v>1322</v>
      </c>
      <c r="H116" s="408" t="s">
        <v>1322</v>
      </c>
      <c r="I116" s="408" t="s">
        <v>1322</v>
      </c>
      <c r="J116" s="408" t="s">
        <v>2236</v>
      </c>
      <c r="K116" s="824">
        <v>44440</v>
      </c>
      <c r="L116" s="408">
        <v>0</v>
      </c>
      <c r="M116" s="408">
        <v>0</v>
      </c>
      <c r="N116" s="408">
        <v>43.026000000000003</v>
      </c>
      <c r="O116" s="408">
        <v>43.026000000000003</v>
      </c>
      <c r="P116" s="408">
        <v>43.026000000000003</v>
      </c>
      <c r="Q116" s="408">
        <v>43.026000000000003</v>
      </c>
      <c r="R116" s="408"/>
      <c r="S116" s="408">
        <v>581.32000000000005</v>
      </c>
      <c r="T116" s="408">
        <v>209.4</v>
      </c>
      <c r="U116" s="408"/>
      <c r="V116" s="408">
        <v>34021.518720000007</v>
      </c>
      <c r="W116" s="408">
        <v>34021.518720000007</v>
      </c>
      <c r="X116" s="408">
        <v>25990.715820000001</v>
      </c>
      <c r="Y116" s="408">
        <v>0</v>
      </c>
      <c r="Z116" s="408">
        <v>2647.7300070915135</v>
      </c>
      <c r="AA116" s="408">
        <v>0</v>
      </c>
      <c r="AB116" s="408">
        <v>0</v>
      </c>
      <c r="AC116" s="408">
        <v>0</v>
      </c>
      <c r="AD116" s="408">
        <v>3192.1481959847147</v>
      </c>
      <c r="AE116" s="408">
        <v>16582.448949370581</v>
      </c>
      <c r="AF116" s="408">
        <v>8891.3549884046424</v>
      </c>
      <c r="AG116" s="408">
        <v>118.44907054915032</v>
      </c>
      <c r="AH116" s="408">
        <v>0</v>
      </c>
      <c r="AI116" s="408">
        <v>0</v>
      </c>
      <c r="AJ116" s="408">
        <v>0</v>
      </c>
      <c r="AK116" s="408">
        <v>0</v>
      </c>
      <c r="AL116" s="408">
        <v>409.16012038313193</v>
      </c>
      <c r="AM116" s="408"/>
      <c r="AN116" s="408">
        <v>78.434862652852971</v>
      </c>
      <c r="AO116" s="408">
        <v>245.22585982774021</v>
      </c>
      <c r="AP116" s="408">
        <v>369.38638367054193</v>
      </c>
      <c r="AQ116" s="408">
        <v>0</v>
      </c>
      <c r="AR116" s="408">
        <v>0</v>
      </c>
      <c r="AS116" s="408">
        <v>0</v>
      </c>
      <c r="AT116" s="408">
        <v>0</v>
      </c>
      <c r="AU116" s="408">
        <v>0</v>
      </c>
      <c r="AV116" s="408">
        <v>0</v>
      </c>
      <c r="AW116" s="408">
        <v>0</v>
      </c>
      <c r="AX116" s="408">
        <v>0</v>
      </c>
      <c r="AY116" s="408">
        <v>0</v>
      </c>
      <c r="AZ116" s="408">
        <v>0</v>
      </c>
      <c r="BA116" s="408"/>
      <c r="BB116" s="408">
        <v>0</v>
      </c>
      <c r="BC116" s="408">
        <v>0</v>
      </c>
      <c r="BD116" s="408">
        <v>0</v>
      </c>
      <c r="BE116" s="408">
        <v>0</v>
      </c>
      <c r="BF116" s="408">
        <v>0</v>
      </c>
      <c r="BG116" s="408">
        <v>1487.5070680397662</v>
      </c>
      <c r="BH116" s="408">
        <v>0</v>
      </c>
      <c r="BI116" s="408">
        <v>69.23</v>
      </c>
      <c r="BJ116" s="408">
        <v>337.32</v>
      </c>
      <c r="BK116" s="408">
        <v>37678.42</v>
      </c>
      <c r="BL116" s="408">
        <v>591</v>
      </c>
      <c r="BM116" s="408"/>
      <c r="BN116" s="408"/>
      <c r="BO116" s="408"/>
      <c r="BP116" s="408"/>
      <c r="BQ116" s="408"/>
      <c r="BR116" s="408"/>
      <c r="BS116" s="408"/>
      <c r="BT116" s="408"/>
      <c r="BU116" s="408"/>
      <c r="BV116" s="408">
        <v>10378.862056444408</v>
      </c>
      <c r="BW116" s="408"/>
      <c r="BX116" s="408"/>
      <c r="BY116" s="408"/>
      <c r="BZ116" s="408"/>
      <c r="CA116" s="408"/>
      <c r="CB116" s="408"/>
      <c r="CC116" s="408"/>
      <c r="CD116" s="408"/>
      <c r="CE116" s="408"/>
      <c r="CF116" s="408"/>
      <c r="CG116" s="408"/>
      <c r="CH116" s="408"/>
      <c r="CI116" s="408">
        <v>25993.132100000003</v>
      </c>
      <c r="CJ116" s="408">
        <v>-8028.4166199999963</v>
      </c>
      <c r="CK116" s="408"/>
      <c r="CL116" s="408"/>
      <c r="CM116" s="408"/>
      <c r="CN116" s="408"/>
      <c r="CO116" s="408">
        <v>-9013.0864800000036</v>
      </c>
      <c r="CP116" s="408">
        <v>982.28357999999935</v>
      </c>
      <c r="CQ116" s="408">
        <v>30</v>
      </c>
      <c r="CR116" s="408">
        <v>1271.154581129711</v>
      </c>
      <c r="CS116" s="408">
        <v>29.606615988339428</v>
      </c>
      <c r="CT116" s="408">
        <v>44.596768139939343</v>
      </c>
      <c r="CU116" s="408">
        <v>0</v>
      </c>
      <c r="CV116" s="408">
        <v>0</v>
      </c>
      <c r="CW116" s="408">
        <v>0</v>
      </c>
      <c r="CX116" s="408">
        <v>0</v>
      </c>
      <c r="CY116" s="408">
        <v>0</v>
      </c>
      <c r="CZ116" s="408">
        <v>104.64639939616518</v>
      </c>
      <c r="DA116" s="408">
        <v>0</v>
      </c>
      <c r="DB116" s="408">
        <v>0</v>
      </c>
      <c r="DC116" s="408">
        <v>981.98601762076578</v>
      </c>
      <c r="DD116" s="408">
        <v>0</v>
      </c>
      <c r="DE116" s="408">
        <v>0</v>
      </c>
      <c r="DF116" s="408">
        <v>0</v>
      </c>
      <c r="DG116" s="408">
        <v>164.28442502093208</v>
      </c>
      <c r="DH116" s="408">
        <v>0</v>
      </c>
      <c r="DI116" s="408">
        <v>-46.155554717413906</v>
      </c>
      <c r="DJ116" s="408"/>
      <c r="DK116" s="408">
        <v>0</v>
      </c>
      <c r="DL116" s="408">
        <v>0</v>
      </c>
      <c r="DM116" s="408">
        <v>0</v>
      </c>
      <c r="DN116" s="408">
        <v>0</v>
      </c>
      <c r="DO116" s="408">
        <v>-5.9966392930130041</v>
      </c>
      <c r="DP116" s="408">
        <v>-1.8134510260027383</v>
      </c>
      <c r="DQ116" s="408">
        <v>0</v>
      </c>
      <c r="DR116" s="408">
        <v>0</v>
      </c>
      <c r="DS116" s="408"/>
      <c r="DT116" s="408"/>
      <c r="DU116" s="408"/>
      <c r="DV116" s="408">
        <v>16582.448949370581</v>
      </c>
      <c r="DW116" s="408">
        <v>0</v>
      </c>
      <c r="DX116" s="408">
        <v>0</v>
      </c>
      <c r="DY116" s="408">
        <v>-9013.0864800000018</v>
      </c>
      <c r="DZ116" s="408">
        <v>982.28357999999935</v>
      </c>
      <c r="EA116" s="408">
        <v>0</v>
      </c>
      <c r="EB116" s="408">
        <v>0</v>
      </c>
      <c r="EC116" s="408">
        <v>-9302.5830480289824</v>
      </c>
      <c r="ED116" s="408">
        <v>0</v>
      </c>
      <c r="EE116" s="408">
        <v>0</v>
      </c>
      <c r="EF116" s="408">
        <v>0</v>
      </c>
      <c r="EG116" s="408">
        <v>0</v>
      </c>
      <c r="EH116" s="408">
        <v>0</v>
      </c>
      <c r="EI116" s="408">
        <v>0</v>
      </c>
      <c r="EJ116" s="408">
        <v>0</v>
      </c>
      <c r="EK116" s="408">
        <v>0</v>
      </c>
      <c r="EL116" s="408">
        <v>0</v>
      </c>
      <c r="EM116" s="408">
        <v>0</v>
      </c>
      <c r="EN116" s="408">
        <v>0</v>
      </c>
      <c r="EO116" s="408">
        <v>0</v>
      </c>
      <c r="EP116" s="408">
        <v>0</v>
      </c>
      <c r="EQ116" s="408">
        <v>0</v>
      </c>
      <c r="ER116" s="408">
        <v>0</v>
      </c>
      <c r="ES116" s="408">
        <v>0</v>
      </c>
      <c r="ET116" s="408">
        <v>0</v>
      </c>
      <c r="EU116" s="408">
        <v>0</v>
      </c>
      <c r="EV116" s="408">
        <v>238</v>
      </c>
      <c r="EW116" s="408">
        <v>0</v>
      </c>
      <c r="EX116" s="408">
        <v>0</v>
      </c>
      <c r="EY116" s="408">
        <v>0</v>
      </c>
      <c r="EZ116" s="408"/>
      <c r="FA116" s="408">
        <v>0</v>
      </c>
      <c r="FB116" s="408"/>
      <c r="FC116" s="408"/>
      <c r="FD116" s="408"/>
      <c r="FE116" s="408"/>
      <c r="FF116" s="408">
        <v>0</v>
      </c>
      <c r="FG116" s="408">
        <v>0</v>
      </c>
      <c r="FH116" s="408">
        <v>0</v>
      </c>
      <c r="FI116" s="408">
        <v>0</v>
      </c>
    </row>
    <row r="117" spans="1:165" s="857" customFormat="1">
      <c r="A117" s="408">
        <v>121</v>
      </c>
      <c r="B117" s="408" t="s">
        <v>1036</v>
      </c>
      <c r="C117" s="408" t="s">
        <v>2235</v>
      </c>
      <c r="D117" s="408" t="s">
        <v>1955</v>
      </c>
      <c r="E117" s="408" t="s">
        <v>969</v>
      </c>
      <c r="F117" s="408" t="s">
        <v>2239</v>
      </c>
      <c r="G117" s="408" t="s">
        <v>1322</v>
      </c>
      <c r="H117" s="408" t="s">
        <v>1322</v>
      </c>
      <c r="I117" s="408" t="s">
        <v>1322</v>
      </c>
      <c r="J117" s="408" t="s">
        <v>2236</v>
      </c>
      <c r="K117" s="824">
        <v>44440</v>
      </c>
      <c r="L117" s="408">
        <v>0</v>
      </c>
      <c r="M117" s="408">
        <v>0</v>
      </c>
      <c r="N117" s="408">
        <v>38.340000000000003</v>
      </c>
      <c r="O117" s="408">
        <v>38.340000000000003</v>
      </c>
      <c r="P117" s="408">
        <v>38.340000000000003</v>
      </c>
      <c r="Q117" s="408">
        <v>38.340000000000003</v>
      </c>
      <c r="R117" s="408"/>
      <c r="S117" s="408">
        <v>510.28</v>
      </c>
      <c r="T117" s="408">
        <v>209.4</v>
      </c>
      <c r="U117" s="408"/>
      <c r="V117" s="408">
        <v>27592.531200000001</v>
      </c>
      <c r="W117" s="408">
        <v>27592.531200000001</v>
      </c>
      <c r="X117" s="408">
        <v>20482.378199999999</v>
      </c>
      <c r="Y117" s="408">
        <v>0</v>
      </c>
      <c r="Z117" s="408">
        <v>0</v>
      </c>
      <c r="AA117" s="408">
        <v>0</v>
      </c>
      <c r="AB117" s="408">
        <v>0</v>
      </c>
      <c r="AC117" s="408">
        <v>0</v>
      </c>
      <c r="AD117" s="408">
        <v>2844.4884914715281</v>
      </c>
      <c r="AE117" s="408">
        <v>14776.439657854971</v>
      </c>
      <c r="AF117" s="408">
        <v>7922.989593627899</v>
      </c>
      <c r="AG117" s="408">
        <v>105.54867672696564</v>
      </c>
      <c r="AH117" s="408">
        <v>0</v>
      </c>
      <c r="AI117" s="408">
        <v>0</v>
      </c>
      <c r="AJ117" s="408">
        <v>0</v>
      </c>
      <c r="AK117" s="408">
        <v>0</v>
      </c>
      <c r="AL117" s="408">
        <v>0</v>
      </c>
      <c r="AM117" s="408"/>
      <c r="AN117" s="408">
        <v>69.892451868878879</v>
      </c>
      <c r="AO117" s="408">
        <v>218.5180929158081</v>
      </c>
      <c r="AP117" s="408">
        <v>329.15618346879978</v>
      </c>
      <c r="AQ117" s="408">
        <v>0</v>
      </c>
      <c r="AR117" s="408">
        <v>0</v>
      </c>
      <c r="AS117" s="408">
        <v>0</v>
      </c>
      <c r="AT117" s="408">
        <v>0</v>
      </c>
      <c r="AU117" s="408">
        <v>0</v>
      </c>
      <c r="AV117" s="408">
        <v>0</v>
      </c>
      <c r="AW117" s="408">
        <v>0</v>
      </c>
      <c r="AX117" s="408">
        <v>0</v>
      </c>
      <c r="AY117" s="408">
        <v>0</v>
      </c>
      <c r="AZ117" s="408">
        <v>0</v>
      </c>
      <c r="BA117" s="408"/>
      <c r="BB117" s="408">
        <v>0</v>
      </c>
      <c r="BC117" s="408">
        <v>0</v>
      </c>
      <c r="BD117" s="408">
        <v>0</v>
      </c>
      <c r="BE117" s="408">
        <v>0</v>
      </c>
      <c r="BF117" s="408">
        <v>0</v>
      </c>
      <c r="BG117" s="408">
        <v>1325.5013477582074</v>
      </c>
      <c r="BH117" s="408">
        <v>0</v>
      </c>
      <c r="BI117" s="408">
        <v>12.73</v>
      </c>
      <c r="BJ117" s="408">
        <v>74.95</v>
      </c>
      <c r="BK117" s="408">
        <v>2890.47</v>
      </c>
      <c r="BL117" s="408">
        <v>95</v>
      </c>
      <c r="BM117" s="408"/>
      <c r="BN117" s="408"/>
      <c r="BO117" s="408"/>
      <c r="BP117" s="408"/>
      <c r="BQ117" s="408"/>
      <c r="BR117" s="408"/>
      <c r="BS117" s="408"/>
      <c r="BT117" s="408">
        <v>13313.565000000001</v>
      </c>
      <c r="BU117" s="408"/>
      <c r="BV117" s="408">
        <v>9248.490941386106</v>
      </c>
      <c r="BW117" s="408"/>
      <c r="BX117" s="408"/>
      <c r="BY117" s="408"/>
      <c r="BZ117" s="408"/>
      <c r="CA117" s="408"/>
      <c r="CB117" s="408"/>
      <c r="CC117" s="408"/>
      <c r="CD117" s="408"/>
      <c r="CE117" s="408"/>
      <c r="CF117" s="408"/>
      <c r="CG117" s="408"/>
      <c r="CH117" s="408"/>
      <c r="CI117" s="408">
        <v>7168.8132000000005</v>
      </c>
      <c r="CJ117" s="408">
        <v>-2488.6794000000009</v>
      </c>
      <c r="CK117" s="408"/>
      <c r="CL117" s="408"/>
      <c r="CM117" s="408"/>
      <c r="CN117" s="408"/>
      <c r="CO117" s="408">
        <v>-7985.4551999999994</v>
      </c>
      <c r="CP117" s="408">
        <v>875.30219999999952</v>
      </c>
      <c r="CQ117" s="408">
        <v>30</v>
      </c>
      <c r="CR117" s="408">
        <v>1179.1842550753736</v>
      </c>
      <c r="CS117" s="408">
        <v>26.38213305891631</v>
      </c>
      <c r="CT117" s="408">
        <v>39.739694382124128</v>
      </c>
      <c r="CU117" s="408">
        <v>0</v>
      </c>
      <c r="CV117" s="408">
        <v>0</v>
      </c>
      <c r="CW117" s="408">
        <v>0</v>
      </c>
      <c r="CX117" s="408">
        <v>0</v>
      </c>
      <c r="CY117" s="408">
        <v>0</v>
      </c>
      <c r="CZ117" s="408">
        <v>93.249266788662226</v>
      </c>
      <c r="DA117" s="408">
        <v>0</v>
      </c>
      <c r="DB117" s="408">
        <v>0</v>
      </c>
      <c r="DC117" s="408">
        <v>875.03704540464241</v>
      </c>
      <c r="DD117" s="408">
        <v>0</v>
      </c>
      <c r="DE117" s="408">
        <v>0</v>
      </c>
      <c r="DF117" s="408">
        <v>0</v>
      </c>
      <c r="DG117" s="408">
        <v>146.39206189984066</v>
      </c>
      <c r="DH117" s="408">
        <v>0</v>
      </c>
      <c r="DI117" s="408">
        <v>0</v>
      </c>
      <c r="DJ117" s="408"/>
      <c r="DK117" s="408">
        <v>0</v>
      </c>
      <c r="DL117" s="408">
        <v>0</v>
      </c>
      <c r="DM117" s="408">
        <v>0</v>
      </c>
      <c r="DN117" s="408">
        <v>0</v>
      </c>
      <c r="DO117" s="408">
        <v>0</v>
      </c>
      <c r="DP117" s="408">
        <v>-1.6159464588143209</v>
      </c>
      <c r="DQ117" s="408">
        <v>0</v>
      </c>
      <c r="DR117" s="408">
        <v>0</v>
      </c>
      <c r="DS117" s="408"/>
      <c r="DT117" s="408"/>
      <c r="DU117" s="408"/>
      <c r="DV117" s="408">
        <v>14776.439657854971</v>
      </c>
      <c r="DW117" s="408">
        <v>0</v>
      </c>
      <c r="DX117" s="408">
        <v>0</v>
      </c>
      <c r="DY117" s="408">
        <v>-7985.4552000000003</v>
      </c>
      <c r="DZ117" s="408">
        <v>875.30220000000008</v>
      </c>
      <c r="EA117" s="408">
        <v>0</v>
      </c>
      <c r="EB117" s="408">
        <v>0</v>
      </c>
      <c r="EC117" s="408">
        <v>-8289.4304388377059</v>
      </c>
      <c r="ED117" s="408">
        <v>0</v>
      </c>
      <c r="EE117" s="408">
        <v>0</v>
      </c>
      <c r="EF117" s="408">
        <v>0</v>
      </c>
      <c r="EG117" s="408">
        <v>0</v>
      </c>
      <c r="EH117" s="408">
        <v>0</v>
      </c>
      <c r="EI117" s="408">
        <v>0</v>
      </c>
      <c r="EJ117" s="408">
        <v>0</v>
      </c>
      <c r="EK117" s="408">
        <v>0</v>
      </c>
      <c r="EL117" s="408">
        <v>0</v>
      </c>
      <c r="EM117" s="408">
        <v>0</v>
      </c>
      <c r="EN117" s="408">
        <v>0</v>
      </c>
      <c r="EO117" s="408">
        <v>0</v>
      </c>
      <c r="EP117" s="408">
        <v>0</v>
      </c>
      <c r="EQ117" s="408">
        <v>0</v>
      </c>
      <c r="ER117" s="408">
        <v>0</v>
      </c>
      <c r="ES117" s="408">
        <v>0</v>
      </c>
      <c r="ET117" s="408">
        <v>0</v>
      </c>
      <c r="EU117" s="408">
        <v>0</v>
      </c>
      <c r="EV117" s="408">
        <v>238</v>
      </c>
      <c r="EW117" s="408">
        <v>0</v>
      </c>
      <c r="EX117" s="408">
        <v>0</v>
      </c>
      <c r="EY117" s="408">
        <v>0</v>
      </c>
      <c r="EZ117" s="408"/>
      <c r="FA117" s="408">
        <v>0</v>
      </c>
      <c r="FB117" s="408"/>
      <c r="FC117" s="408"/>
      <c r="FD117" s="408"/>
      <c r="FE117" s="408"/>
      <c r="FF117" s="408">
        <v>0</v>
      </c>
      <c r="FG117" s="408">
        <v>0</v>
      </c>
      <c r="FH117" s="408">
        <v>0</v>
      </c>
      <c r="FI117" s="408">
        <v>0</v>
      </c>
    </row>
    <row r="118" spans="1:165" s="857" customFormat="1">
      <c r="A118" s="408">
        <v>122</v>
      </c>
      <c r="B118" s="408" t="s">
        <v>1036</v>
      </c>
      <c r="C118" s="408" t="s">
        <v>2235</v>
      </c>
      <c r="D118" s="408" t="s">
        <v>1955</v>
      </c>
      <c r="E118" s="408" t="s">
        <v>969</v>
      </c>
      <c r="F118" s="408" t="s">
        <v>2240</v>
      </c>
      <c r="G118" s="408" t="s">
        <v>1322</v>
      </c>
      <c r="H118" s="408" t="s">
        <v>1322</v>
      </c>
      <c r="I118" s="408" t="s">
        <v>1322</v>
      </c>
      <c r="J118" s="408" t="s">
        <v>2236</v>
      </c>
      <c r="K118" s="824">
        <v>44440</v>
      </c>
      <c r="L118" s="408">
        <v>0</v>
      </c>
      <c r="M118" s="408">
        <v>0</v>
      </c>
      <c r="N118" s="408">
        <v>75.094999999999999</v>
      </c>
      <c r="O118" s="408">
        <v>75.094999999999999</v>
      </c>
      <c r="P118" s="408">
        <v>75.094999999999999</v>
      </c>
      <c r="Q118" s="408">
        <v>75.094999999999999</v>
      </c>
      <c r="R118" s="408"/>
      <c r="S118" s="408">
        <v>510.28</v>
      </c>
      <c r="T118" s="408">
        <v>209.4</v>
      </c>
      <c r="U118" s="408"/>
      <c r="V118" s="408">
        <v>54044.369599999991</v>
      </c>
      <c r="W118" s="408">
        <v>54044.369599999991</v>
      </c>
      <c r="X118" s="408">
        <v>40118.001850000001</v>
      </c>
      <c r="Y118" s="408">
        <v>0</v>
      </c>
      <c r="Z118" s="408">
        <v>0</v>
      </c>
      <c r="AA118" s="408">
        <v>0</v>
      </c>
      <c r="AB118" s="408">
        <v>0</v>
      </c>
      <c r="AC118" s="408">
        <v>0</v>
      </c>
      <c r="AD118" s="408">
        <v>5571.3840184416895</v>
      </c>
      <c r="AE118" s="408">
        <v>28942.011896364605</v>
      </c>
      <c r="AF118" s="408">
        <v>15518.437755177023</v>
      </c>
      <c r="AG118" s="408">
        <v>206.73390398569336</v>
      </c>
      <c r="AH118" s="408">
        <v>0</v>
      </c>
      <c r="AI118" s="408">
        <v>0</v>
      </c>
      <c r="AJ118" s="408">
        <v>0</v>
      </c>
      <c r="AK118" s="408">
        <v>0</v>
      </c>
      <c r="AL118" s="408">
        <v>0</v>
      </c>
      <c r="AM118" s="408"/>
      <c r="AN118" s="408">
        <v>136.895505297169</v>
      </c>
      <c r="AO118" s="408">
        <v>428.00250880314576</v>
      </c>
      <c r="AP118" s="408">
        <v>644.70484083436406</v>
      </c>
      <c r="AQ118" s="408">
        <v>0</v>
      </c>
      <c r="AR118" s="408">
        <v>0</v>
      </c>
      <c r="AS118" s="408">
        <v>0</v>
      </c>
      <c r="AT118" s="408">
        <v>0</v>
      </c>
      <c r="AU118" s="408">
        <v>0</v>
      </c>
      <c r="AV118" s="408">
        <v>0</v>
      </c>
      <c r="AW118" s="408">
        <v>0</v>
      </c>
      <c r="AX118" s="408">
        <v>0</v>
      </c>
      <c r="AY118" s="408">
        <v>0</v>
      </c>
      <c r="AZ118" s="408">
        <v>0</v>
      </c>
      <c r="BA118" s="408"/>
      <c r="BB118" s="408">
        <v>0</v>
      </c>
      <c r="BC118" s="408">
        <v>0</v>
      </c>
      <c r="BD118" s="408">
        <v>0</v>
      </c>
      <c r="BE118" s="408">
        <v>0</v>
      </c>
      <c r="BF118" s="408">
        <v>0</v>
      </c>
      <c r="BG118" s="408">
        <v>2596.205626236374</v>
      </c>
      <c r="BH118" s="408">
        <v>0</v>
      </c>
      <c r="BI118" s="408">
        <v>55.52</v>
      </c>
      <c r="BJ118" s="408">
        <v>268.55</v>
      </c>
      <c r="BK118" s="408">
        <v>10798.64</v>
      </c>
      <c r="BL118" s="408">
        <v>285</v>
      </c>
      <c r="BM118" s="408"/>
      <c r="BN118" s="408"/>
      <c r="BO118" s="408"/>
      <c r="BP118" s="408"/>
      <c r="BQ118" s="408"/>
      <c r="BR118" s="408"/>
      <c r="BS118" s="408"/>
      <c r="BT118" s="408">
        <v>16047.05055</v>
      </c>
      <c r="BU118" s="408"/>
      <c r="BV118" s="408">
        <v>18114.643381413396</v>
      </c>
      <c r="BW118" s="408"/>
      <c r="BX118" s="408"/>
      <c r="BY118" s="408"/>
      <c r="BZ118" s="408"/>
      <c r="CA118" s="408"/>
      <c r="CB118" s="408"/>
      <c r="CC118" s="408"/>
      <c r="CD118" s="408"/>
      <c r="CE118" s="408"/>
      <c r="CF118" s="408"/>
      <c r="CG118" s="408"/>
      <c r="CH118" s="408"/>
      <c r="CI118" s="408">
        <v>24072.553999999996</v>
      </c>
      <c r="CJ118" s="408">
        <v>-8354.2479499999972</v>
      </c>
      <c r="CK118" s="408"/>
      <c r="CL118" s="408"/>
      <c r="CM118" s="408"/>
      <c r="CN118" s="408"/>
      <c r="CO118" s="408">
        <v>-15640.786599999998</v>
      </c>
      <c r="CP118" s="408">
        <v>1714.4188499999989</v>
      </c>
      <c r="CQ118" s="408">
        <v>30</v>
      </c>
      <c r="CR118" s="408">
        <v>2309.620282600019</v>
      </c>
      <c r="CS118" s="408">
        <v>51.67361194729574</v>
      </c>
      <c r="CT118" s="408">
        <v>77.836524507710237</v>
      </c>
      <c r="CU118" s="408">
        <v>0</v>
      </c>
      <c r="CV118" s="408">
        <v>0</v>
      </c>
      <c r="CW118" s="408">
        <v>0</v>
      </c>
      <c r="CX118" s="408">
        <v>0</v>
      </c>
      <c r="CY118" s="408">
        <v>0</v>
      </c>
      <c r="CZ118" s="408">
        <v>182.64354954341616</v>
      </c>
      <c r="DA118" s="408">
        <v>0</v>
      </c>
      <c r="DB118" s="408">
        <v>0</v>
      </c>
      <c r="DC118" s="408">
        <v>1713.8995024690012</v>
      </c>
      <c r="DD118" s="408">
        <v>0</v>
      </c>
      <c r="DE118" s="408">
        <v>0</v>
      </c>
      <c r="DF118" s="408">
        <v>0</v>
      </c>
      <c r="DG118" s="408">
        <v>286.73218279521461</v>
      </c>
      <c r="DH118" s="408">
        <v>0</v>
      </c>
      <c r="DI118" s="408">
        <v>0</v>
      </c>
      <c r="DJ118" s="408"/>
      <c r="DK118" s="408">
        <v>0</v>
      </c>
      <c r="DL118" s="408">
        <v>0</v>
      </c>
      <c r="DM118" s="408">
        <v>0</v>
      </c>
      <c r="DN118" s="408">
        <v>0</v>
      </c>
      <c r="DO118" s="408">
        <v>0</v>
      </c>
      <c r="DP118" s="408">
        <v>-3.1650886626150623</v>
      </c>
      <c r="DQ118" s="408">
        <v>0</v>
      </c>
      <c r="DR118" s="408">
        <v>0</v>
      </c>
      <c r="DS118" s="408"/>
      <c r="DT118" s="408"/>
      <c r="DU118" s="408"/>
      <c r="DV118" s="408">
        <v>28942.011896364605</v>
      </c>
      <c r="DW118" s="408">
        <v>0</v>
      </c>
      <c r="DX118" s="408">
        <v>0</v>
      </c>
      <c r="DY118" s="408">
        <v>-15640.786599999996</v>
      </c>
      <c r="DZ118" s="408">
        <v>1714.4188499999982</v>
      </c>
      <c r="EA118" s="408">
        <v>0</v>
      </c>
      <c r="EB118" s="408">
        <v>0</v>
      </c>
      <c r="EC118" s="408">
        <v>-16236.170547848655</v>
      </c>
      <c r="ED118" s="408">
        <v>0</v>
      </c>
      <c r="EE118" s="408">
        <v>0</v>
      </c>
      <c r="EF118" s="408">
        <v>0</v>
      </c>
      <c r="EG118" s="408">
        <v>0</v>
      </c>
      <c r="EH118" s="408">
        <v>0</v>
      </c>
      <c r="EI118" s="408">
        <v>0</v>
      </c>
      <c r="EJ118" s="408">
        <v>0</v>
      </c>
      <c r="EK118" s="408">
        <v>0</v>
      </c>
      <c r="EL118" s="408">
        <v>0</v>
      </c>
      <c r="EM118" s="408">
        <v>0</v>
      </c>
      <c r="EN118" s="408">
        <v>0</v>
      </c>
      <c r="EO118" s="408">
        <v>0</v>
      </c>
      <c r="EP118" s="408">
        <v>0</v>
      </c>
      <c r="EQ118" s="408">
        <v>0</v>
      </c>
      <c r="ER118" s="408">
        <v>0</v>
      </c>
      <c r="ES118" s="408">
        <v>0</v>
      </c>
      <c r="ET118" s="408">
        <v>0</v>
      </c>
      <c r="EU118" s="408">
        <v>0</v>
      </c>
      <c r="EV118" s="408">
        <v>238</v>
      </c>
      <c r="EW118" s="408">
        <v>0</v>
      </c>
      <c r="EX118" s="408">
        <v>0</v>
      </c>
      <c r="EY118" s="408">
        <v>0</v>
      </c>
      <c r="EZ118" s="408"/>
      <c r="FA118" s="408">
        <v>0</v>
      </c>
      <c r="FB118" s="408"/>
      <c r="FC118" s="408"/>
      <c r="FD118" s="408"/>
      <c r="FE118" s="408"/>
      <c r="FF118" s="408">
        <v>0</v>
      </c>
      <c r="FG118" s="408">
        <v>0</v>
      </c>
      <c r="FH118" s="408">
        <v>0</v>
      </c>
      <c r="FI118" s="408">
        <v>0</v>
      </c>
    </row>
    <row r="119" spans="1:165" s="857" customFormat="1">
      <c r="A119" s="408">
        <v>123</v>
      </c>
      <c r="B119" s="408" t="s">
        <v>2237</v>
      </c>
      <c r="C119" s="408" t="s">
        <v>2235</v>
      </c>
      <c r="D119" s="408" t="s">
        <v>1955</v>
      </c>
      <c r="E119" s="408" t="s">
        <v>969</v>
      </c>
      <c r="F119" s="408" t="s">
        <v>2240</v>
      </c>
      <c r="G119" s="408" t="s">
        <v>1322</v>
      </c>
      <c r="H119" s="408" t="s">
        <v>1322</v>
      </c>
      <c r="I119" s="408" t="s">
        <v>1322</v>
      </c>
      <c r="J119" s="408" t="s">
        <v>2236</v>
      </c>
      <c r="K119" s="824">
        <v>44440</v>
      </c>
      <c r="L119" s="408">
        <v>0</v>
      </c>
      <c r="M119" s="408">
        <v>0</v>
      </c>
      <c r="N119" s="408">
        <v>-4.4999999999999998E-2</v>
      </c>
      <c r="O119" s="408">
        <v>-4.4999999999999998E-2</v>
      </c>
      <c r="P119" s="408">
        <v>-4.4999999999999998E-2</v>
      </c>
      <c r="Q119" s="408">
        <v>-4.4999999999999998E-2</v>
      </c>
      <c r="R119" s="408"/>
      <c r="S119" s="408">
        <v>510.28</v>
      </c>
      <c r="T119" s="408">
        <v>209.4</v>
      </c>
      <c r="U119" s="408"/>
      <c r="V119" s="408">
        <v>-32.385599999999997</v>
      </c>
      <c r="W119" s="408">
        <v>-32.385599999999997</v>
      </c>
      <c r="X119" s="408">
        <v>-24.040349999999997</v>
      </c>
      <c r="Y119" s="408">
        <v>0</v>
      </c>
      <c r="Z119" s="408">
        <v>0</v>
      </c>
      <c r="AA119" s="408">
        <v>0</v>
      </c>
      <c r="AB119" s="408">
        <v>0</v>
      </c>
      <c r="AC119" s="408">
        <v>0</v>
      </c>
      <c r="AD119" s="408">
        <v>-3.3386015158116522</v>
      </c>
      <c r="AE119" s="408">
        <v>-17.343239035041044</v>
      </c>
      <c r="AF119" s="408">
        <v>-9.299283560596125</v>
      </c>
      <c r="AG119" s="408">
        <v>-0.1238834233884573</v>
      </c>
      <c r="AH119" s="408">
        <v>0</v>
      </c>
      <c r="AI119" s="408">
        <v>0</v>
      </c>
      <c r="AJ119" s="408">
        <v>0</v>
      </c>
      <c r="AK119" s="408">
        <v>0</v>
      </c>
      <c r="AL119" s="408">
        <v>0</v>
      </c>
      <c r="AM119" s="408"/>
      <c r="AN119" s="408">
        <v>-8.2033394212299146E-2</v>
      </c>
      <c r="AO119" s="408">
        <v>-0.256476634877709</v>
      </c>
      <c r="AP119" s="408">
        <v>-0.38633354867230013</v>
      </c>
      <c r="AQ119" s="408">
        <v>0</v>
      </c>
      <c r="AR119" s="408">
        <v>0</v>
      </c>
      <c r="AS119" s="408">
        <v>0</v>
      </c>
      <c r="AT119" s="408">
        <v>0</v>
      </c>
      <c r="AU119" s="408">
        <v>0</v>
      </c>
      <c r="AV119" s="408">
        <v>0</v>
      </c>
      <c r="AW119" s="408">
        <v>0</v>
      </c>
      <c r="AX119" s="408">
        <v>0</v>
      </c>
      <c r="AY119" s="408">
        <v>0</v>
      </c>
      <c r="AZ119" s="408">
        <v>0</v>
      </c>
      <c r="BA119" s="408"/>
      <c r="BB119" s="408">
        <v>0</v>
      </c>
      <c r="BC119" s="408">
        <v>0</v>
      </c>
      <c r="BD119" s="408">
        <v>0</v>
      </c>
      <c r="BE119" s="408">
        <v>0</v>
      </c>
      <c r="BF119" s="408">
        <v>0</v>
      </c>
      <c r="BG119" s="408">
        <v>-1.5557527555847503</v>
      </c>
      <c r="BH119" s="408">
        <v>0</v>
      </c>
      <c r="BI119" s="408">
        <v>-0.02</v>
      </c>
      <c r="BJ119" s="408">
        <v>-0.08</v>
      </c>
      <c r="BK119" s="408">
        <v>-5.34</v>
      </c>
      <c r="BL119" s="408">
        <v>0</v>
      </c>
      <c r="BM119" s="408"/>
      <c r="BN119" s="408"/>
      <c r="BO119" s="408"/>
      <c r="BP119" s="408"/>
      <c r="BQ119" s="408"/>
      <c r="BR119" s="408"/>
      <c r="BS119" s="408"/>
      <c r="BT119" s="408">
        <v>-9.6160499999999995</v>
      </c>
      <c r="BU119" s="408"/>
      <c r="BV119" s="408">
        <v>-10.855036316180875</v>
      </c>
      <c r="BW119" s="408"/>
      <c r="BX119" s="408"/>
      <c r="BY119" s="408"/>
      <c r="BZ119" s="408"/>
      <c r="CA119" s="408"/>
      <c r="CB119" s="408"/>
      <c r="CC119" s="408"/>
      <c r="CD119" s="408"/>
      <c r="CE119" s="408"/>
      <c r="CF119" s="408"/>
      <c r="CG119" s="408"/>
      <c r="CH119" s="408"/>
      <c r="CI119" s="408">
        <v>-16.027000000000001</v>
      </c>
      <c r="CJ119" s="408">
        <v>3.374449999999996</v>
      </c>
      <c r="CK119" s="408"/>
      <c r="CL119" s="408"/>
      <c r="CM119" s="408"/>
      <c r="CN119" s="408"/>
      <c r="CO119" s="408">
        <v>9.3725999999999985</v>
      </c>
      <c r="CP119" s="408">
        <v>-1.0273499999999993</v>
      </c>
      <c r="CQ119" s="408">
        <v>30</v>
      </c>
      <c r="CR119" s="408">
        <v>-1.3840190787269631</v>
      </c>
      <c r="CS119" s="408">
        <v>-3.0964944904831371E-2</v>
      </c>
      <c r="CT119" s="408">
        <v>-4.6642833781835868E-2</v>
      </c>
      <c r="CU119" s="408">
        <v>0</v>
      </c>
      <c r="CV119" s="408">
        <v>0</v>
      </c>
      <c r="CW119" s="408">
        <v>0</v>
      </c>
      <c r="CX119" s="408">
        <v>0</v>
      </c>
      <c r="CY119" s="408">
        <v>0</v>
      </c>
      <c r="CZ119" s="408">
        <v>-0.10944749623082384</v>
      </c>
      <c r="DA119" s="408">
        <v>0</v>
      </c>
      <c r="DB119" s="408">
        <v>0</v>
      </c>
      <c r="DC119" s="408">
        <v>-1.0270387856861998</v>
      </c>
      <c r="DD119" s="408">
        <v>0</v>
      </c>
      <c r="DE119" s="408">
        <v>0</v>
      </c>
      <c r="DF119" s="408">
        <v>0</v>
      </c>
      <c r="DG119" s="408">
        <v>-0.17182166889652639</v>
      </c>
      <c r="DH119" s="408">
        <v>0</v>
      </c>
      <c r="DI119" s="408">
        <v>0</v>
      </c>
      <c r="DJ119" s="408"/>
      <c r="DK119" s="408">
        <v>0</v>
      </c>
      <c r="DL119" s="408">
        <v>0</v>
      </c>
      <c r="DM119" s="408">
        <v>0</v>
      </c>
      <c r="DN119" s="408">
        <v>0</v>
      </c>
      <c r="DO119" s="408">
        <v>0</v>
      </c>
      <c r="DP119" s="408">
        <v>1.8966507732562504E-3</v>
      </c>
      <c r="DQ119" s="408">
        <v>0</v>
      </c>
      <c r="DR119" s="408">
        <v>0</v>
      </c>
      <c r="DS119" s="408"/>
      <c r="DT119" s="408"/>
      <c r="DU119" s="408"/>
      <c r="DV119" s="408">
        <v>-17.343239035041044</v>
      </c>
      <c r="DW119" s="408">
        <v>0</v>
      </c>
      <c r="DX119" s="408">
        <v>0</v>
      </c>
      <c r="DY119" s="408">
        <v>9.3725999999999985</v>
      </c>
      <c r="DZ119" s="408">
        <v>-1.0273499999999984</v>
      </c>
      <c r="EA119" s="408">
        <v>0</v>
      </c>
      <c r="EB119" s="408">
        <v>0</v>
      </c>
      <c r="EC119" s="408">
        <v>9.7293784493400288</v>
      </c>
      <c r="ED119" s="408">
        <v>0</v>
      </c>
      <c r="EE119" s="408">
        <v>0</v>
      </c>
      <c r="EF119" s="408">
        <v>0</v>
      </c>
      <c r="EG119" s="408">
        <v>0</v>
      </c>
      <c r="EH119" s="408">
        <v>0</v>
      </c>
      <c r="EI119" s="408">
        <v>0</v>
      </c>
      <c r="EJ119" s="408">
        <v>0</v>
      </c>
      <c r="EK119" s="408">
        <v>0</v>
      </c>
      <c r="EL119" s="408">
        <v>0</v>
      </c>
      <c r="EM119" s="408">
        <v>0</v>
      </c>
      <c r="EN119" s="408">
        <v>0</v>
      </c>
      <c r="EO119" s="408">
        <v>0</v>
      </c>
      <c r="EP119" s="408">
        <v>0</v>
      </c>
      <c r="EQ119" s="408">
        <v>0</v>
      </c>
      <c r="ER119" s="408">
        <v>0</v>
      </c>
      <c r="ES119" s="408">
        <v>0</v>
      </c>
      <c r="ET119" s="408">
        <v>0</v>
      </c>
      <c r="EU119" s="408">
        <v>0</v>
      </c>
      <c r="EV119" s="408">
        <v>238</v>
      </c>
      <c r="EW119" s="408">
        <v>0</v>
      </c>
      <c r="EX119" s="408">
        <v>0</v>
      </c>
      <c r="EY119" s="408">
        <v>0</v>
      </c>
      <c r="EZ119" s="408"/>
      <c r="FA119" s="408">
        <v>0</v>
      </c>
      <c r="FB119" s="408"/>
      <c r="FC119" s="408"/>
      <c r="FD119" s="408"/>
      <c r="FE119" s="408"/>
      <c r="FF119" s="408">
        <v>0</v>
      </c>
      <c r="FG119" s="408">
        <v>0</v>
      </c>
      <c r="FH119" s="408">
        <v>0</v>
      </c>
      <c r="FI119" s="408">
        <v>0</v>
      </c>
    </row>
    <row r="120" spans="1:165" s="857" customFormat="1">
      <c r="A120" s="408">
        <v>124</v>
      </c>
      <c r="B120" s="408" t="s">
        <v>1036</v>
      </c>
      <c r="C120" s="408" t="s">
        <v>2235</v>
      </c>
      <c r="D120" s="408" t="s">
        <v>1955</v>
      </c>
      <c r="E120" s="408" t="s">
        <v>969</v>
      </c>
      <c r="F120" s="408" t="s">
        <v>2241</v>
      </c>
      <c r="G120" s="408" t="s">
        <v>1322</v>
      </c>
      <c r="H120" s="408" t="s">
        <v>1322</v>
      </c>
      <c r="I120" s="408" t="s">
        <v>1322</v>
      </c>
      <c r="J120" s="408" t="s">
        <v>2236</v>
      </c>
      <c r="K120" s="824">
        <v>44440</v>
      </c>
      <c r="L120" s="408">
        <v>0</v>
      </c>
      <c r="M120" s="408">
        <v>0</v>
      </c>
      <c r="N120" s="408">
        <v>61.445999999999998</v>
      </c>
      <c r="O120" s="408">
        <v>61.445999999999998</v>
      </c>
      <c r="P120" s="408">
        <v>61.445999999999998</v>
      </c>
      <c r="Q120" s="408">
        <v>61.445999999999998</v>
      </c>
      <c r="R120" s="408"/>
      <c r="S120" s="408">
        <v>510.28</v>
      </c>
      <c r="T120" s="408">
        <v>209.4</v>
      </c>
      <c r="U120" s="408"/>
      <c r="V120" s="408">
        <v>44221.457279999995</v>
      </c>
      <c r="W120" s="408">
        <v>44221.457279999995</v>
      </c>
      <c r="X120" s="408">
        <v>32826.296579999995</v>
      </c>
      <c r="Y120" s="408">
        <v>0</v>
      </c>
      <c r="Z120" s="408">
        <v>0</v>
      </c>
      <c r="AA120" s="408">
        <v>0</v>
      </c>
      <c r="AB120" s="408">
        <v>0</v>
      </c>
      <c r="AC120" s="408">
        <v>0</v>
      </c>
      <c r="AD120" s="408">
        <v>4558.7490831236173</v>
      </c>
      <c r="AE120" s="408">
        <v>23681.614794380712</v>
      </c>
      <c r="AF120" s="408">
        <v>12697.861725875322</v>
      </c>
      <c r="AG120" s="408">
        <v>169.15868518949216</v>
      </c>
      <c r="AH120" s="408">
        <v>0</v>
      </c>
      <c r="AI120" s="408">
        <v>0</v>
      </c>
      <c r="AJ120" s="408">
        <v>0</v>
      </c>
      <c r="AK120" s="408">
        <v>0</v>
      </c>
      <c r="AL120" s="408">
        <v>0</v>
      </c>
      <c r="AM120" s="408"/>
      <c r="AN120" s="408">
        <v>112.01386535042074</v>
      </c>
      <c r="AO120" s="408">
        <v>350.21029570434905</v>
      </c>
      <c r="AP120" s="408">
        <v>527.5255829270701</v>
      </c>
      <c r="AQ120" s="408">
        <v>0</v>
      </c>
      <c r="AR120" s="408">
        <v>0</v>
      </c>
      <c r="AS120" s="408">
        <v>0</v>
      </c>
      <c r="AT120" s="408">
        <v>0</v>
      </c>
      <c r="AU120" s="408">
        <v>0</v>
      </c>
      <c r="AV120" s="408">
        <v>0</v>
      </c>
      <c r="AW120" s="408">
        <v>0</v>
      </c>
      <c r="AX120" s="408">
        <v>0</v>
      </c>
      <c r="AY120" s="408">
        <v>0</v>
      </c>
      <c r="AZ120" s="408">
        <v>0</v>
      </c>
      <c r="BA120" s="408"/>
      <c r="BB120" s="408">
        <v>0</v>
      </c>
      <c r="BC120" s="408">
        <v>0</v>
      </c>
      <c r="BD120" s="408">
        <v>0</v>
      </c>
      <c r="BE120" s="408">
        <v>0</v>
      </c>
      <c r="BF120" s="408">
        <v>0</v>
      </c>
      <c r="BG120" s="408">
        <v>2124.3285293257904</v>
      </c>
      <c r="BH120" s="408">
        <v>0</v>
      </c>
      <c r="BI120" s="408">
        <v>83.32</v>
      </c>
      <c r="BJ120" s="408">
        <v>397.91</v>
      </c>
      <c r="BK120" s="408">
        <v>15769.55</v>
      </c>
      <c r="BL120" s="408">
        <v>706</v>
      </c>
      <c r="BM120" s="408"/>
      <c r="BN120" s="408"/>
      <c r="BO120" s="408"/>
      <c r="BP120" s="408"/>
      <c r="BQ120" s="408"/>
      <c r="BR120" s="408"/>
      <c r="BS120" s="408"/>
      <c r="BT120" s="408">
        <v>3283.0597799999987</v>
      </c>
      <c r="BU120" s="408"/>
      <c r="BV120" s="408">
        <v>14822.190255201112</v>
      </c>
      <c r="BW120" s="408"/>
      <c r="BX120" s="408"/>
      <c r="BY120" s="408"/>
      <c r="BZ120" s="408"/>
      <c r="CA120" s="408"/>
      <c r="CB120" s="408"/>
      <c r="CC120" s="408"/>
      <c r="CD120" s="408"/>
      <c r="CE120" s="408"/>
      <c r="CF120" s="408"/>
      <c r="CG120" s="408"/>
      <c r="CH120" s="408"/>
      <c r="CI120" s="408">
        <v>29545.160000000003</v>
      </c>
      <c r="CJ120" s="408">
        <v>-10254.058659999995</v>
      </c>
      <c r="CK120" s="408"/>
      <c r="CL120" s="408"/>
      <c r="CM120" s="408"/>
      <c r="CN120" s="408"/>
      <c r="CO120" s="408">
        <v>-12797.972879999998</v>
      </c>
      <c r="CP120" s="408">
        <v>1402.812179999999</v>
      </c>
      <c r="CQ120" s="408">
        <v>30</v>
      </c>
      <c r="CR120" s="408">
        <v>1889.831918032367</v>
      </c>
      <c r="CS120" s="408">
        <v>42.28160010271705</v>
      </c>
      <c r="CT120" s="408">
        <v>63.689234767970788</v>
      </c>
      <c r="CU120" s="408">
        <v>0</v>
      </c>
      <c r="CV120" s="408">
        <v>0</v>
      </c>
      <c r="CW120" s="408">
        <v>0</v>
      </c>
      <c r="CX120" s="408">
        <v>0</v>
      </c>
      <c r="CY120" s="408">
        <v>0</v>
      </c>
      <c r="CZ120" s="408">
        <v>149.44690785331568</v>
      </c>
      <c r="DA120" s="408">
        <v>0</v>
      </c>
      <c r="DB120" s="408">
        <v>0</v>
      </c>
      <c r="DC120" s="408">
        <v>1402.3872272283152</v>
      </c>
      <c r="DD120" s="408">
        <v>0</v>
      </c>
      <c r="DE120" s="408">
        <v>0</v>
      </c>
      <c r="DF120" s="408">
        <v>0</v>
      </c>
      <c r="DG120" s="408">
        <v>234.6167614892438</v>
      </c>
      <c r="DH120" s="408">
        <v>0</v>
      </c>
      <c r="DI120" s="408">
        <v>0</v>
      </c>
      <c r="DJ120" s="408"/>
      <c r="DK120" s="408">
        <v>0</v>
      </c>
      <c r="DL120" s="408">
        <v>0</v>
      </c>
      <c r="DM120" s="408">
        <v>0</v>
      </c>
      <c r="DN120" s="408">
        <v>0</v>
      </c>
      <c r="DO120" s="408">
        <v>0</v>
      </c>
      <c r="DP120" s="408">
        <v>-2.5898134091889631</v>
      </c>
      <c r="DQ120" s="408">
        <v>0</v>
      </c>
      <c r="DR120" s="408">
        <v>0</v>
      </c>
      <c r="DS120" s="408"/>
      <c r="DT120" s="408"/>
      <c r="DU120" s="408"/>
      <c r="DV120" s="408">
        <v>23681.614794380712</v>
      </c>
      <c r="DW120" s="408">
        <v>0</v>
      </c>
      <c r="DX120" s="408">
        <v>0</v>
      </c>
      <c r="DY120" s="408">
        <v>-12797.972879999998</v>
      </c>
      <c r="DZ120" s="408">
        <v>1402.812179999999</v>
      </c>
      <c r="EA120" s="408">
        <v>0</v>
      </c>
      <c r="EB120" s="408">
        <v>0</v>
      </c>
      <c r="EC120" s="408">
        <v>-13285.141959958832</v>
      </c>
      <c r="ED120" s="408">
        <v>0</v>
      </c>
      <c r="EE120" s="408">
        <v>0</v>
      </c>
      <c r="EF120" s="408">
        <v>0</v>
      </c>
      <c r="EG120" s="408">
        <v>0</v>
      </c>
      <c r="EH120" s="408">
        <v>0</v>
      </c>
      <c r="EI120" s="408">
        <v>0</v>
      </c>
      <c r="EJ120" s="408">
        <v>0</v>
      </c>
      <c r="EK120" s="408">
        <v>0</v>
      </c>
      <c r="EL120" s="408">
        <v>0</v>
      </c>
      <c r="EM120" s="408">
        <v>0</v>
      </c>
      <c r="EN120" s="408">
        <v>0</v>
      </c>
      <c r="EO120" s="408">
        <v>0</v>
      </c>
      <c r="EP120" s="408">
        <v>0</v>
      </c>
      <c r="EQ120" s="408">
        <v>0</v>
      </c>
      <c r="ER120" s="408">
        <v>0</v>
      </c>
      <c r="ES120" s="408">
        <v>0</v>
      </c>
      <c r="ET120" s="408">
        <v>0</v>
      </c>
      <c r="EU120" s="408">
        <v>0</v>
      </c>
      <c r="EV120" s="408">
        <v>238</v>
      </c>
      <c r="EW120" s="408">
        <v>0</v>
      </c>
      <c r="EX120" s="408">
        <v>0</v>
      </c>
      <c r="EY120" s="408">
        <v>0</v>
      </c>
      <c r="EZ120" s="408"/>
      <c r="FA120" s="408">
        <v>0</v>
      </c>
      <c r="FB120" s="408"/>
      <c r="FC120" s="408"/>
      <c r="FD120" s="408"/>
      <c r="FE120" s="408"/>
      <c r="FF120" s="408">
        <v>0</v>
      </c>
      <c r="FG120" s="408">
        <v>0</v>
      </c>
      <c r="FH120" s="408">
        <v>0</v>
      </c>
      <c r="FI120" s="408">
        <v>0</v>
      </c>
    </row>
    <row r="121" spans="1:165" s="857" customFormat="1">
      <c r="A121" s="408">
        <v>125</v>
      </c>
      <c r="B121" s="408" t="s">
        <v>2237</v>
      </c>
      <c r="C121" s="408" t="s">
        <v>2235</v>
      </c>
      <c r="D121" s="408" t="s">
        <v>1955</v>
      </c>
      <c r="E121" s="408" t="s">
        <v>969</v>
      </c>
      <c r="F121" s="408" t="s">
        <v>2241</v>
      </c>
      <c r="G121" s="408" t="s">
        <v>1322</v>
      </c>
      <c r="H121" s="408" t="s">
        <v>1322</v>
      </c>
      <c r="I121" s="408" t="s">
        <v>1322</v>
      </c>
      <c r="J121" s="408" t="s">
        <v>2236</v>
      </c>
      <c r="K121" s="824">
        <v>44440</v>
      </c>
      <c r="L121" s="408">
        <v>0</v>
      </c>
      <c r="M121" s="408">
        <v>0</v>
      </c>
      <c r="N121" s="408">
        <v>-6.0000000000000001E-3</v>
      </c>
      <c r="O121" s="408">
        <v>-6.0000000000000001E-3</v>
      </c>
      <c r="P121" s="408">
        <v>-6.0000000000000001E-3</v>
      </c>
      <c r="Q121" s="408">
        <v>-6.0000000000000001E-3</v>
      </c>
      <c r="R121" s="408"/>
      <c r="S121" s="408">
        <v>510.28</v>
      </c>
      <c r="T121" s="408">
        <v>209.4</v>
      </c>
      <c r="U121" s="408"/>
      <c r="V121" s="408">
        <v>-4.3180800000000001</v>
      </c>
      <c r="W121" s="408">
        <v>-4.3180800000000001</v>
      </c>
      <c r="X121" s="408">
        <v>-3.2053799999999999</v>
      </c>
      <c r="Y121" s="408">
        <v>0</v>
      </c>
      <c r="Z121" s="408">
        <v>0</v>
      </c>
      <c r="AA121" s="408">
        <v>0</v>
      </c>
      <c r="AB121" s="408">
        <v>0</v>
      </c>
      <c r="AC121" s="408">
        <v>0</v>
      </c>
      <c r="AD121" s="408">
        <v>-0.44514686877488696</v>
      </c>
      <c r="AE121" s="408">
        <v>-2.3124318713388061</v>
      </c>
      <c r="AF121" s="408">
        <v>-1.2399044747461501</v>
      </c>
      <c r="AG121" s="408">
        <v>-1.6517789785127641E-2</v>
      </c>
      <c r="AH121" s="408">
        <v>0</v>
      </c>
      <c r="AI121" s="408">
        <v>0</v>
      </c>
      <c r="AJ121" s="408">
        <v>0</v>
      </c>
      <c r="AK121" s="408">
        <v>0</v>
      </c>
      <c r="AL121" s="408">
        <v>0</v>
      </c>
      <c r="AM121" s="408"/>
      <c r="AN121" s="408">
        <v>-1.0937785894973221E-2</v>
      </c>
      <c r="AO121" s="408">
        <v>-3.4196884650361206E-2</v>
      </c>
      <c r="AP121" s="408">
        <v>-5.1511139822973354E-2</v>
      </c>
      <c r="AQ121" s="408">
        <v>0</v>
      </c>
      <c r="AR121" s="408">
        <v>0</v>
      </c>
      <c r="AS121" s="408">
        <v>0</v>
      </c>
      <c r="AT121" s="408">
        <v>0</v>
      </c>
      <c r="AU121" s="408">
        <v>0</v>
      </c>
      <c r="AV121" s="408">
        <v>0</v>
      </c>
      <c r="AW121" s="408">
        <v>0</v>
      </c>
      <c r="AX121" s="408">
        <v>0</v>
      </c>
      <c r="AY121" s="408">
        <v>0</v>
      </c>
      <c r="AZ121" s="408">
        <v>0</v>
      </c>
      <c r="BA121" s="408"/>
      <c r="BB121" s="408">
        <v>0</v>
      </c>
      <c r="BC121" s="408">
        <v>0</v>
      </c>
      <c r="BD121" s="408">
        <v>0</v>
      </c>
      <c r="BE121" s="408">
        <v>0</v>
      </c>
      <c r="BF121" s="408">
        <v>0</v>
      </c>
      <c r="BG121" s="408">
        <v>-0.20743370074463341</v>
      </c>
      <c r="BH121" s="408">
        <v>0</v>
      </c>
      <c r="BI121" s="408">
        <v>-0.01</v>
      </c>
      <c r="BJ121" s="408">
        <v>-0.06</v>
      </c>
      <c r="BK121" s="408">
        <v>-3.63</v>
      </c>
      <c r="BL121" s="408">
        <v>0</v>
      </c>
      <c r="BM121" s="408"/>
      <c r="BN121" s="408"/>
      <c r="BO121" s="408"/>
      <c r="BP121" s="408"/>
      <c r="BQ121" s="408"/>
      <c r="BR121" s="408"/>
      <c r="BS121" s="408"/>
      <c r="BT121" s="408">
        <v>-0.32057999999999987</v>
      </c>
      <c r="BU121" s="408"/>
      <c r="BV121" s="408">
        <v>-1.4473381754907835</v>
      </c>
      <c r="BW121" s="408"/>
      <c r="BX121" s="408"/>
      <c r="BY121" s="408"/>
      <c r="BZ121" s="408"/>
      <c r="CA121" s="408"/>
      <c r="CB121" s="408"/>
      <c r="CC121" s="408"/>
      <c r="CD121" s="408"/>
      <c r="CE121" s="408"/>
      <c r="CF121" s="408"/>
      <c r="CG121" s="408"/>
      <c r="CH121" s="408"/>
      <c r="CI121" s="408">
        <v>-4.8079999999999998</v>
      </c>
      <c r="CJ121" s="408">
        <v>-0.95173999999999914</v>
      </c>
      <c r="CK121" s="408"/>
      <c r="CL121" s="408"/>
      <c r="CM121" s="408"/>
      <c r="CN121" s="408"/>
      <c r="CO121" s="408">
        <v>1.2496799999999999</v>
      </c>
      <c r="CP121" s="408">
        <v>-0.13697999999999991</v>
      </c>
      <c r="CQ121" s="408">
        <v>30</v>
      </c>
      <c r="CR121" s="408">
        <v>-0.18453587716359499</v>
      </c>
      <c r="CS121" s="408">
        <v>-4.1286593206441777E-3</v>
      </c>
      <c r="CT121" s="408">
        <v>-6.2190445042447848E-3</v>
      </c>
      <c r="CU121" s="408">
        <v>0</v>
      </c>
      <c r="CV121" s="408">
        <v>0</v>
      </c>
      <c r="CW121" s="408">
        <v>0</v>
      </c>
      <c r="CX121" s="408">
        <v>0</v>
      </c>
      <c r="CY121" s="408">
        <v>0</v>
      </c>
      <c r="CZ121" s="408">
        <v>-1.4592999497443193E-2</v>
      </c>
      <c r="DA121" s="408">
        <v>0</v>
      </c>
      <c r="DB121" s="408">
        <v>0</v>
      </c>
      <c r="DC121" s="408">
        <v>-0.13693850475815994</v>
      </c>
      <c r="DD121" s="408">
        <v>0</v>
      </c>
      <c r="DE121" s="408">
        <v>0</v>
      </c>
      <c r="DF121" s="408">
        <v>0</v>
      </c>
      <c r="DG121" s="408">
        <v>-2.2909555852870189E-2</v>
      </c>
      <c r="DH121" s="408">
        <v>0</v>
      </c>
      <c r="DI121" s="408">
        <v>0</v>
      </c>
      <c r="DJ121" s="408"/>
      <c r="DK121" s="408">
        <v>0</v>
      </c>
      <c r="DL121" s="408">
        <v>0</v>
      </c>
      <c r="DM121" s="408">
        <v>0</v>
      </c>
      <c r="DN121" s="408">
        <v>0</v>
      </c>
      <c r="DO121" s="408">
        <v>0</v>
      </c>
      <c r="DP121" s="408">
        <v>2.5288676976750052E-4</v>
      </c>
      <c r="DQ121" s="408">
        <v>0</v>
      </c>
      <c r="DR121" s="408">
        <v>0</v>
      </c>
      <c r="DS121" s="408"/>
      <c r="DT121" s="408"/>
      <c r="DU121" s="408"/>
      <c r="DV121" s="408">
        <v>-2.3124318713388061</v>
      </c>
      <c r="DW121" s="408">
        <v>0</v>
      </c>
      <c r="DX121" s="408">
        <v>0</v>
      </c>
      <c r="DY121" s="408">
        <v>1.2496799999999999</v>
      </c>
      <c r="DZ121" s="408">
        <v>-0.1369800000000001</v>
      </c>
      <c r="EA121" s="408">
        <v>0</v>
      </c>
      <c r="EB121" s="408">
        <v>0</v>
      </c>
      <c r="EC121" s="408">
        <v>1.2972504599120041</v>
      </c>
      <c r="ED121" s="408">
        <v>0</v>
      </c>
      <c r="EE121" s="408">
        <v>0</v>
      </c>
      <c r="EF121" s="408">
        <v>0</v>
      </c>
      <c r="EG121" s="408">
        <v>0</v>
      </c>
      <c r="EH121" s="408">
        <v>0</v>
      </c>
      <c r="EI121" s="408">
        <v>0</v>
      </c>
      <c r="EJ121" s="408">
        <v>0</v>
      </c>
      <c r="EK121" s="408">
        <v>0</v>
      </c>
      <c r="EL121" s="408">
        <v>0</v>
      </c>
      <c r="EM121" s="408">
        <v>0</v>
      </c>
      <c r="EN121" s="408">
        <v>0</v>
      </c>
      <c r="EO121" s="408">
        <v>0</v>
      </c>
      <c r="EP121" s="408">
        <v>0</v>
      </c>
      <c r="EQ121" s="408">
        <v>0</v>
      </c>
      <c r="ER121" s="408">
        <v>0</v>
      </c>
      <c r="ES121" s="408">
        <v>0</v>
      </c>
      <c r="ET121" s="408">
        <v>0</v>
      </c>
      <c r="EU121" s="408">
        <v>0</v>
      </c>
      <c r="EV121" s="408">
        <v>238</v>
      </c>
      <c r="EW121" s="408">
        <v>0</v>
      </c>
      <c r="EX121" s="408">
        <v>0</v>
      </c>
      <c r="EY121" s="408">
        <v>0</v>
      </c>
      <c r="EZ121" s="408"/>
      <c r="FA121" s="408">
        <v>0</v>
      </c>
      <c r="FB121" s="408"/>
      <c r="FC121" s="408"/>
      <c r="FD121" s="408"/>
      <c r="FE121" s="408"/>
      <c r="FF121" s="408">
        <v>0</v>
      </c>
      <c r="FG121" s="408">
        <v>0</v>
      </c>
      <c r="FH121" s="408">
        <v>0</v>
      </c>
      <c r="FI121" s="408">
        <v>0</v>
      </c>
    </row>
    <row r="122" spans="1:165" s="857" customFormat="1">
      <c r="A122" s="408">
        <v>126</v>
      </c>
      <c r="B122" s="408" t="s">
        <v>1036</v>
      </c>
      <c r="C122" s="408" t="s">
        <v>2235</v>
      </c>
      <c r="D122" s="408" t="s">
        <v>1955</v>
      </c>
      <c r="E122" s="408" t="s">
        <v>969</v>
      </c>
      <c r="F122" s="408" t="s">
        <v>2242</v>
      </c>
      <c r="G122" s="408" t="s">
        <v>1322</v>
      </c>
      <c r="H122" s="408" t="s">
        <v>1322</v>
      </c>
      <c r="I122" s="408" t="s">
        <v>1322</v>
      </c>
      <c r="J122" s="408" t="s">
        <v>2236</v>
      </c>
      <c r="K122" s="824">
        <v>44440</v>
      </c>
      <c r="L122" s="408">
        <v>0</v>
      </c>
      <c r="M122" s="408">
        <v>0</v>
      </c>
      <c r="N122" s="408">
        <v>11.084</v>
      </c>
      <c r="O122" s="408">
        <v>11.084</v>
      </c>
      <c r="P122" s="408">
        <v>11.084</v>
      </c>
      <c r="Q122" s="408">
        <v>11.084</v>
      </c>
      <c r="R122" s="408"/>
      <c r="S122" s="408">
        <v>510.28</v>
      </c>
      <c r="T122" s="408">
        <v>209.4</v>
      </c>
      <c r="U122" s="408"/>
      <c r="V122" s="408">
        <v>7976.9331199999997</v>
      </c>
      <c r="W122" s="408">
        <v>7976.9331199999997</v>
      </c>
      <c r="X122" s="408">
        <v>5921.4053199999998</v>
      </c>
      <c r="Y122" s="408">
        <v>0</v>
      </c>
      <c r="Z122" s="408">
        <v>0</v>
      </c>
      <c r="AA122" s="408">
        <v>0</v>
      </c>
      <c r="AB122" s="408">
        <v>0</v>
      </c>
      <c r="AC122" s="408">
        <v>0</v>
      </c>
      <c r="AD122" s="408">
        <v>822.33464891680785</v>
      </c>
      <c r="AE122" s="408">
        <v>4271.832476986554</v>
      </c>
      <c r="AF122" s="408">
        <v>2290.5168663477211</v>
      </c>
      <c r="AG122" s="408">
        <v>30.513863663059126</v>
      </c>
      <c r="AH122" s="408">
        <v>0</v>
      </c>
      <c r="AI122" s="408">
        <v>0</v>
      </c>
      <c r="AJ122" s="408">
        <v>0</v>
      </c>
      <c r="AK122" s="408">
        <v>0</v>
      </c>
      <c r="AL122" s="408">
        <v>0</v>
      </c>
      <c r="AM122" s="408"/>
      <c r="AN122" s="408">
        <v>20.205736476647193</v>
      </c>
      <c r="AO122" s="408">
        <v>63.17304491076726</v>
      </c>
      <c r="AP122" s="408">
        <v>95.158245632972779</v>
      </c>
      <c r="AQ122" s="408">
        <v>0</v>
      </c>
      <c r="AR122" s="408">
        <v>0</v>
      </c>
      <c r="AS122" s="408">
        <v>0</v>
      </c>
      <c r="AT122" s="408">
        <v>0</v>
      </c>
      <c r="AU122" s="408">
        <v>0</v>
      </c>
      <c r="AV122" s="408">
        <v>0</v>
      </c>
      <c r="AW122" s="408">
        <v>0</v>
      </c>
      <c r="AX122" s="408">
        <v>0</v>
      </c>
      <c r="AY122" s="408">
        <v>0</v>
      </c>
      <c r="AZ122" s="408">
        <v>0</v>
      </c>
      <c r="BA122" s="408"/>
      <c r="BB122" s="408">
        <v>0</v>
      </c>
      <c r="BC122" s="408">
        <v>0</v>
      </c>
      <c r="BD122" s="408">
        <v>0</v>
      </c>
      <c r="BE122" s="408">
        <v>0</v>
      </c>
      <c r="BF122" s="408">
        <v>0</v>
      </c>
      <c r="BG122" s="408">
        <v>383.19918984225274</v>
      </c>
      <c r="BH122" s="408">
        <v>0</v>
      </c>
      <c r="BI122" s="408">
        <v>23.52</v>
      </c>
      <c r="BJ122" s="408">
        <v>107.46</v>
      </c>
      <c r="BK122" s="408">
        <v>4293.66</v>
      </c>
      <c r="BL122" s="408">
        <v>192</v>
      </c>
      <c r="BM122" s="408"/>
      <c r="BN122" s="408"/>
      <c r="BO122" s="408"/>
      <c r="BP122" s="408"/>
      <c r="BQ122" s="408"/>
      <c r="BR122" s="408"/>
      <c r="BS122" s="408"/>
      <c r="BT122" s="408"/>
      <c r="BU122" s="408"/>
      <c r="BV122" s="408">
        <v>2673.7160561899736</v>
      </c>
      <c r="BW122" s="408"/>
      <c r="BX122" s="408"/>
      <c r="BY122" s="408"/>
      <c r="BZ122" s="408"/>
      <c r="CA122" s="408"/>
      <c r="CB122" s="408"/>
      <c r="CC122" s="408"/>
      <c r="CD122" s="408"/>
      <c r="CE122" s="408"/>
      <c r="CF122" s="408"/>
      <c r="CG122" s="408"/>
      <c r="CH122" s="408"/>
      <c r="CI122" s="408">
        <v>5919.2683999999999</v>
      </c>
      <c r="CJ122" s="408">
        <v>-2057.6947200000004</v>
      </c>
      <c r="CK122" s="408"/>
      <c r="CL122" s="408"/>
      <c r="CM122" s="408"/>
      <c r="CN122" s="408"/>
      <c r="CO122" s="408">
        <v>-2308.5755199999994</v>
      </c>
      <c r="CP122" s="408">
        <v>253.04771999999983</v>
      </c>
      <c r="CQ122" s="408">
        <v>30</v>
      </c>
      <c r="CR122" s="408">
        <v>340.89927708021378</v>
      </c>
      <c r="CS122" s="408">
        <v>7.6270099850033546</v>
      </c>
      <c r="CT122" s="408">
        <v>11.488648214174859</v>
      </c>
      <c r="CU122" s="408">
        <v>0</v>
      </c>
      <c r="CV122" s="408">
        <v>0</v>
      </c>
      <c r="CW122" s="408">
        <v>0</v>
      </c>
      <c r="CX122" s="408">
        <v>0</v>
      </c>
      <c r="CY122" s="408">
        <v>0</v>
      </c>
      <c r="CZ122" s="408">
        <v>26.958134404943394</v>
      </c>
      <c r="DA122" s="408">
        <v>0</v>
      </c>
      <c r="DB122" s="408">
        <v>0</v>
      </c>
      <c r="DC122" s="408">
        <v>252.97106445657391</v>
      </c>
      <c r="DD122" s="408">
        <v>0</v>
      </c>
      <c r="DE122" s="408">
        <v>0</v>
      </c>
      <c r="DF122" s="408">
        <v>0</v>
      </c>
      <c r="DG122" s="408">
        <v>42.32158617886887</v>
      </c>
      <c r="DH122" s="408">
        <v>0</v>
      </c>
      <c r="DI122" s="408">
        <v>0</v>
      </c>
      <c r="DJ122" s="408"/>
      <c r="DK122" s="408">
        <v>0</v>
      </c>
      <c r="DL122" s="408">
        <v>0</v>
      </c>
      <c r="DM122" s="408">
        <v>0</v>
      </c>
      <c r="DN122" s="408">
        <v>0</v>
      </c>
      <c r="DO122" s="408">
        <v>0</v>
      </c>
      <c r="DP122" s="408">
        <v>-0.46716615935049077</v>
      </c>
      <c r="DQ122" s="408">
        <v>0</v>
      </c>
      <c r="DR122" s="408">
        <v>0</v>
      </c>
      <c r="DS122" s="408"/>
      <c r="DT122" s="408"/>
      <c r="DU122" s="408"/>
      <c r="DV122" s="408">
        <v>4271.832476986554</v>
      </c>
      <c r="DW122" s="408">
        <v>0</v>
      </c>
      <c r="DX122" s="408">
        <v>0</v>
      </c>
      <c r="DY122" s="408">
        <v>-2308.5755199999999</v>
      </c>
      <c r="DZ122" s="408">
        <v>253.04772000000003</v>
      </c>
      <c r="EA122" s="408">
        <v>0</v>
      </c>
      <c r="EB122" s="408">
        <v>0</v>
      </c>
      <c r="EC122" s="408">
        <v>-2396.454016277442</v>
      </c>
      <c r="ED122" s="408">
        <v>0</v>
      </c>
      <c r="EE122" s="408">
        <v>0</v>
      </c>
      <c r="EF122" s="408">
        <v>0</v>
      </c>
      <c r="EG122" s="408">
        <v>0</v>
      </c>
      <c r="EH122" s="408">
        <v>0</v>
      </c>
      <c r="EI122" s="408">
        <v>0</v>
      </c>
      <c r="EJ122" s="408">
        <v>0</v>
      </c>
      <c r="EK122" s="408">
        <v>0</v>
      </c>
      <c r="EL122" s="408">
        <v>0</v>
      </c>
      <c r="EM122" s="408">
        <v>0</v>
      </c>
      <c r="EN122" s="408">
        <v>0</v>
      </c>
      <c r="EO122" s="408">
        <v>0</v>
      </c>
      <c r="EP122" s="408">
        <v>0</v>
      </c>
      <c r="EQ122" s="408">
        <v>0</v>
      </c>
      <c r="ER122" s="408">
        <v>0</v>
      </c>
      <c r="ES122" s="408">
        <v>0</v>
      </c>
      <c r="ET122" s="408">
        <v>0</v>
      </c>
      <c r="EU122" s="408">
        <v>0</v>
      </c>
      <c r="EV122" s="408">
        <v>238</v>
      </c>
      <c r="EW122" s="408">
        <v>0</v>
      </c>
      <c r="EX122" s="408">
        <v>0</v>
      </c>
      <c r="EY122" s="408">
        <v>0</v>
      </c>
      <c r="EZ122" s="408"/>
      <c r="FA122" s="408">
        <v>0</v>
      </c>
      <c r="FB122" s="408"/>
      <c r="FC122" s="408"/>
      <c r="FD122" s="408"/>
      <c r="FE122" s="408"/>
      <c r="FF122" s="408">
        <v>0</v>
      </c>
      <c r="FG122" s="408">
        <v>0</v>
      </c>
      <c r="FH122" s="408">
        <v>0</v>
      </c>
      <c r="FI122" s="408">
        <v>0</v>
      </c>
    </row>
    <row r="123" spans="1:165" s="857" customFormat="1">
      <c r="A123" s="408">
        <v>127</v>
      </c>
      <c r="B123" s="408" t="s">
        <v>1036</v>
      </c>
      <c r="C123" s="408" t="s">
        <v>2321</v>
      </c>
      <c r="D123" s="408" t="s">
        <v>1955</v>
      </c>
      <c r="E123" s="408" t="s">
        <v>969</v>
      </c>
      <c r="F123" s="408" t="s">
        <v>969</v>
      </c>
      <c r="G123" s="408" t="s">
        <v>1322</v>
      </c>
      <c r="H123" s="408" t="s">
        <v>1322</v>
      </c>
      <c r="I123" s="408" t="s">
        <v>973</v>
      </c>
      <c r="J123" s="408" t="s">
        <v>2236</v>
      </c>
      <c r="K123" s="824">
        <v>44440</v>
      </c>
      <c r="L123" s="408">
        <v>0</v>
      </c>
      <c r="M123" s="408">
        <v>0</v>
      </c>
      <c r="N123" s="408">
        <v>5.3999999999999999E-2</v>
      </c>
      <c r="O123" s="408">
        <v>5.3999999999999999E-2</v>
      </c>
      <c r="P123" s="408">
        <v>5.3999999999999999E-2</v>
      </c>
      <c r="Q123" s="408">
        <v>5.3999999999999999E-2</v>
      </c>
      <c r="R123" s="408"/>
      <c r="S123" s="408">
        <v>1292.1099999999999</v>
      </c>
      <c r="T123" s="408">
        <v>209.4</v>
      </c>
      <c r="U123" s="408"/>
      <c r="V123" s="408">
        <v>81.08153999999999</v>
      </c>
      <c r="W123" s="408">
        <v>81.08153999999999</v>
      </c>
      <c r="X123" s="408">
        <v>53.826119999999996</v>
      </c>
      <c r="Y123" s="408">
        <v>0</v>
      </c>
      <c r="Z123" s="408">
        <v>3.3230470037405686</v>
      </c>
      <c r="AA123" s="408">
        <v>0</v>
      </c>
      <c r="AB123" s="408">
        <v>0</v>
      </c>
      <c r="AC123" s="408">
        <v>0</v>
      </c>
      <c r="AD123" s="408">
        <v>10.014022375807285</v>
      </c>
      <c r="AE123" s="408">
        <v>52.029735501769508</v>
      </c>
      <c r="AF123" s="408">
        <v>11.15914027271535</v>
      </c>
      <c r="AG123" s="408">
        <v>0.14866010806614877</v>
      </c>
      <c r="AH123" s="408">
        <v>0</v>
      </c>
      <c r="AI123" s="408">
        <v>0</v>
      </c>
      <c r="AJ123" s="408">
        <v>0</v>
      </c>
      <c r="AK123" s="408">
        <v>0</v>
      </c>
      <c r="AL123" s="408">
        <v>0.51351848883672946</v>
      </c>
      <c r="AM123" s="408"/>
      <c r="AN123" s="408">
        <v>9.8440073054758978E-2</v>
      </c>
      <c r="AO123" s="408">
        <v>0.76943683471715463</v>
      </c>
      <c r="AP123" s="408">
        <v>1.1590006460169007</v>
      </c>
      <c r="AQ123" s="408">
        <v>0</v>
      </c>
      <c r="AR123" s="408">
        <v>0</v>
      </c>
      <c r="AS123" s="408">
        <v>0</v>
      </c>
      <c r="AT123" s="408">
        <v>0</v>
      </c>
      <c r="AU123" s="408">
        <v>0</v>
      </c>
      <c r="AV123" s="408">
        <v>0</v>
      </c>
      <c r="AW123" s="408">
        <v>0</v>
      </c>
      <c r="AX123" s="408">
        <v>0</v>
      </c>
      <c r="AY123" s="408">
        <v>0</v>
      </c>
      <c r="AZ123" s="408">
        <v>0</v>
      </c>
      <c r="BA123" s="408"/>
      <c r="BB123" s="408">
        <v>0</v>
      </c>
      <c r="BC123" s="408">
        <v>0</v>
      </c>
      <c r="BD123" s="408">
        <v>0</v>
      </c>
      <c r="BE123" s="408">
        <v>0</v>
      </c>
      <c r="BF123" s="408">
        <v>0</v>
      </c>
      <c r="BG123" s="408">
        <v>1.8669033067017005</v>
      </c>
      <c r="BH123" s="408">
        <v>0</v>
      </c>
      <c r="BI123" s="408">
        <v>0</v>
      </c>
      <c r="BJ123" s="408">
        <v>0</v>
      </c>
      <c r="BK123" s="408">
        <v>0</v>
      </c>
      <c r="BL123" s="408">
        <v>0</v>
      </c>
      <c r="BM123" s="408"/>
      <c r="BN123" s="408"/>
      <c r="BO123" s="408"/>
      <c r="BP123" s="408"/>
      <c r="BQ123" s="408"/>
      <c r="BR123" s="408"/>
      <c r="BS123" s="408"/>
      <c r="BT123" s="408"/>
      <c r="BU123" s="408"/>
      <c r="BV123" s="408">
        <v>13.026043579417051</v>
      </c>
      <c r="BW123" s="408"/>
      <c r="BX123" s="408"/>
      <c r="BY123" s="408"/>
      <c r="BZ123" s="408"/>
      <c r="CA123" s="408"/>
      <c r="CB123" s="408"/>
      <c r="CC123" s="408"/>
      <c r="CD123" s="408"/>
      <c r="CE123" s="408"/>
      <c r="CF123" s="408"/>
      <c r="CG123" s="408"/>
      <c r="CH123" s="408"/>
      <c r="CI123" s="408">
        <v>49.838999999999999</v>
      </c>
      <c r="CJ123" s="408">
        <v>-31.272540000000006</v>
      </c>
      <c r="CK123" s="408"/>
      <c r="CL123" s="408"/>
      <c r="CM123" s="408"/>
      <c r="CN123" s="408"/>
      <c r="CO123" s="408">
        <v>-28.488239999999998</v>
      </c>
      <c r="CP123" s="408">
        <v>1.2328199999999991</v>
      </c>
      <c r="CQ123" s="408">
        <v>30</v>
      </c>
      <c r="CR123" s="408">
        <v>1.9320109258956251</v>
      </c>
      <c r="CS123" s="408">
        <v>9.2895671397612567E-2</v>
      </c>
      <c r="CT123" s="408">
        <v>0.13992850134550627</v>
      </c>
      <c r="CU123" s="408">
        <v>0</v>
      </c>
      <c r="CV123" s="408">
        <v>0</v>
      </c>
      <c r="CW123" s="408">
        <v>0</v>
      </c>
      <c r="CX123" s="408">
        <v>0</v>
      </c>
      <c r="CY123" s="408">
        <v>0</v>
      </c>
      <c r="CZ123" s="408">
        <v>0.32828406476212812</v>
      </c>
      <c r="DA123" s="408">
        <v>0</v>
      </c>
      <c r="DB123" s="408">
        <v>0</v>
      </c>
      <c r="DC123" s="408">
        <v>1.232446542823439</v>
      </c>
      <c r="DD123" s="408">
        <v>0</v>
      </c>
      <c r="DE123" s="408">
        <v>0</v>
      </c>
      <c r="DF123" s="408">
        <v>0</v>
      </c>
      <c r="DG123" s="408">
        <v>0.20618600267583198</v>
      </c>
      <c r="DH123" s="408">
        <v>0</v>
      </c>
      <c r="DI123" s="408">
        <v>-5.7927763555532863E-2</v>
      </c>
      <c r="DJ123" s="408"/>
      <c r="DK123" s="408">
        <v>0</v>
      </c>
      <c r="DL123" s="408">
        <v>0</v>
      </c>
      <c r="DM123" s="408">
        <v>0</v>
      </c>
      <c r="DN123" s="408">
        <v>0</v>
      </c>
      <c r="DO123" s="408">
        <v>-7.5261126254521082E-3</v>
      </c>
      <c r="DP123" s="408">
        <v>-2.2759809279074977E-3</v>
      </c>
      <c r="DQ123" s="408">
        <v>0</v>
      </c>
      <c r="DR123" s="408">
        <v>0</v>
      </c>
      <c r="DS123" s="408"/>
      <c r="DT123" s="408"/>
      <c r="DU123" s="408"/>
      <c r="DV123" s="408">
        <v>52.029735501769508</v>
      </c>
      <c r="DW123" s="408">
        <v>0</v>
      </c>
      <c r="DX123" s="408">
        <v>0</v>
      </c>
      <c r="DY123" s="408">
        <v>-28.488239999999998</v>
      </c>
      <c r="DZ123" s="408">
        <v>1.2328199999999985</v>
      </c>
      <c r="EA123" s="408">
        <v>0</v>
      </c>
      <c r="EB123" s="408">
        <v>0</v>
      </c>
      <c r="EC123" s="408">
        <v>-29.188145668349215</v>
      </c>
      <c r="ED123" s="408">
        <v>0</v>
      </c>
      <c r="EE123" s="408">
        <v>0</v>
      </c>
      <c r="EF123" s="408">
        <v>0</v>
      </c>
      <c r="EG123" s="408">
        <v>0</v>
      </c>
      <c r="EH123" s="408">
        <v>0</v>
      </c>
      <c r="EI123" s="408">
        <v>0</v>
      </c>
      <c r="EJ123" s="408">
        <v>0</v>
      </c>
      <c r="EK123" s="408">
        <v>0</v>
      </c>
      <c r="EL123" s="408">
        <v>0</v>
      </c>
      <c r="EM123" s="408">
        <v>0</v>
      </c>
      <c r="EN123" s="408">
        <v>0</v>
      </c>
      <c r="EO123" s="408">
        <v>0</v>
      </c>
      <c r="EP123" s="408">
        <v>0</v>
      </c>
      <c r="EQ123" s="408">
        <v>0</v>
      </c>
      <c r="ER123" s="408">
        <v>0</v>
      </c>
      <c r="ES123" s="408">
        <v>0</v>
      </c>
      <c r="ET123" s="408">
        <v>0</v>
      </c>
      <c r="EU123" s="408">
        <v>0</v>
      </c>
      <c r="EV123" s="408">
        <v>238</v>
      </c>
      <c r="EW123" s="408">
        <v>0</v>
      </c>
      <c r="EX123" s="408">
        <v>0</v>
      </c>
      <c r="EY123" s="408">
        <v>0</v>
      </c>
      <c r="EZ123" s="408"/>
      <c r="FA123" s="408">
        <v>0</v>
      </c>
      <c r="FB123" s="408"/>
      <c r="FC123" s="408"/>
      <c r="FD123" s="408"/>
      <c r="FE123" s="408"/>
      <c r="FF123" s="408">
        <v>0</v>
      </c>
      <c r="FG123" s="408">
        <v>0</v>
      </c>
      <c r="FH123" s="408">
        <v>0</v>
      </c>
      <c r="FI123" s="408">
        <v>0</v>
      </c>
    </row>
    <row r="124" spans="1:165" s="857" customFormat="1">
      <c r="A124" s="408">
        <v>128</v>
      </c>
      <c r="B124" s="408" t="s">
        <v>1036</v>
      </c>
      <c r="C124" s="408" t="s">
        <v>2321</v>
      </c>
      <c r="D124" s="408" t="s">
        <v>1955</v>
      </c>
      <c r="E124" s="408" t="s">
        <v>969</v>
      </c>
      <c r="F124" s="408" t="s">
        <v>969</v>
      </c>
      <c r="G124" s="408" t="s">
        <v>1322</v>
      </c>
      <c r="H124" s="408" t="s">
        <v>1322</v>
      </c>
      <c r="I124" s="408" t="s">
        <v>2244</v>
      </c>
      <c r="J124" s="408" t="s">
        <v>2236</v>
      </c>
      <c r="K124" s="824">
        <v>44440</v>
      </c>
      <c r="L124" s="408">
        <v>0</v>
      </c>
      <c r="M124" s="408">
        <v>0</v>
      </c>
      <c r="N124" s="408">
        <v>0.50700000000000001</v>
      </c>
      <c r="O124" s="408">
        <v>0.50700000000000001</v>
      </c>
      <c r="P124" s="408">
        <v>0.50700000000000001</v>
      </c>
      <c r="Q124" s="408">
        <v>0.50700000000000001</v>
      </c>
      <c r="R124" s="408"/>
      <c r="S124" s="408">
        <v>344.38</v>
      </c>
      <c r="T124" s="408">
        <v>209.4</v>
      </c>
      <c r="U124" s="408"/>
      <c r="V124" s="408">
        <v>280.76646</v>
      </c>
      <c r="W124" s="408">
        <v>280.76646</v>
      </c>
      <c r="X124" s="408">
        <v>239.88704999999999</v>
      </c>
      <c r="Y124" s="408">
        <v>0</v>
      </c>
      <c r="Z124" s="408">
        <v>31.199719090675341</v>
      </c>
      <c r="AA124" s="408">
        <v>0</v>
      </c>
      <c r="AB124" s="408">
        <v>0</v>
      </c>
      <c r="AC124" s="408">
        <v>0</v>
      </c>
      <c r="AD124" s="408">
        <v>18.807455205739</v>
      </c>
      <c r="AE124" s="408">
        <v>97.700246564064813</v>
      </c>
      <c r="AF124" s="408">
        <v>104.77192811604968</v>
      </c>
      <c r="AG124" s="408">
        <v>1.3957532368432857</v>
      </c>
      <c r="AH124" s="408">
        <v>0</v>
      </c>
      <c r="AI124" s="408">
        <v>0</v>
      </c>
      <c r="AJ124" s="408">
        <v>0</v>
      </c>
      <c r="AK124" s="408">
        <v>0</v>
      </c>
      <c r="AL124" s="408">
        <v>4.8213680340781826</v>
      </c>
      <c r="AM124" s="408"/>
      <c r="AN124" s="408">
        <v>0.92424290812523713</v>
      </c>
      <c r="AO124" s="408">
        <v>1.4448183764777609</v>
      </c>
      <c r="AP124" s="408">
        <v>2.1763456575206241</v>
      </c>
      <c r="AQ124" s="408">
        <v>0</v>
      </c>
      <c r="AR124" s="408">
        <v>0</v>
      </c>
      <c r="AS124" s="408">
        <v>0</v>
      </c>
      <c r="AT124" s="408">
        <v>0</v>
      </c>
      <c r="AU124" s="408">
        <v>0</v>
      </c>
      <c r="AV124" s="408">
        <v>0</v>
      </c>
      <c r="AW124" s="408">
        <v>0</v>
      </c>
      <c r="AX124" s="408">
        <v>0</v>
      </c>
      <c r="AY124" s="408">
        <v>0</v>
      </c>
      <c r="AZ124" s="408">
        <v>0</v>
      </c>
      <c r="BA124" s="408"/>
      <c r="BB124" s="408">
        <v>0</v>
      </c>
      <c r="BC124" s="408">
        <v>0</v>
      </c>
      <c r="BD124" s="408">
        <v>0</v>
      </c>
      <c r="BE124" s="408">
        <v>0</v>
      </c>
      <c r="BF124" s="408">
        <v>0</v>
      </c>
      <c r="BG124" s="408">
        <v>17.528147712921523</v>
      </c>
      <c r="BH124" s="408">
        <v>0</v>
      </c>
      <c r="BI124" s="408">
        <v>0</v>
      </c>
      <c r="BJ124" s="408">
        <v>0</v>
      </c>
      <c r="BK124" s="408">
        <v>0</v>
      </c>
      <c r="BL124" s="408">
        <v>0</v>
      </c>
      <c r="BM124" s="408"/>
      <c r="BN124" s="408"/>
      <c r="BO124" s="408"/>
      <c r="BP124" s="408"/>
      <c r="BQ124" s="408"/>
      <c r="BR124" s="408"/>
      <c r="BS124" s="408"/>
      <c r="BT124" s="408"/>
      <c r="BU124" s="408"/>
      <c r="BV124" s="408">
        <v>122.3000758289712</v>
      </c>
      <c r="BW124" s="408"/>
      <c r="BX124" s="408"/>
      <c r="BY124" s="408"/>
      <c r="BZ124" s="408"/>
      <c r="CA124" s="408"/>
      <c r="CB124" s="408"/>
      <c r="CC124" s="408"/>
      <c r="CD124" s="408"/>
      <c r="CE124" s="408"/>
      <c r="CF124" s="408"/>
      <c r="CG124" s="408"/>
      <c r="CH124" s="408"/>
      <c r="CI124" s="408">
        <v>241.30649999999997</v>
      </c>
      <c r="CJ124" s="408">
        <v>-39.489959999999996</v>
      </c>
      <c r="CK124" s="408"/>
      <c r="CL124" s="408"/>
      <c r="CM124" s="408"/>
      <c r="CN124" s="408"/>
      <c r="CO124" s="408">
        <v>-52.454220000000007</v>
      </c>
      <c r="CP124" s="408">
        <v>11.574809999999992</v>
      </c>
      <c r="CQ124" s="408">
        <v>30</v>
      </c>
      <c r="CR124" s="408">
        <v>13.924997734144881</v>
      </c>
      <c r="CS124" s="408">
        <v>0.17443585629721392</v>
      </c>
      <c r="CT124" s="408">
        <v>0.26275463030434487</v>
      </c>
      <c r="CU124" s="408">
        <v>0</v>
      </c>
      <c r="CV124" s="408">
        <v>0</v>
      </c>
      <c r="CW124" s="408">
        <v>0</v>
      </c>
      <c r="CX124" s="408">
        <v>0</v>
      </c>
      <c r="CY124" s="408">
        <v>0</v>
      </c>
      <c r="CZ124" s="408">
        <v>0.61655422876697585</v>
      </c>
      <c r="DA124" s="408">
        <v>0</v>
      </c>
      <c r="DB124" s="408">
        <v>0</v>
      </c>
      <c r="DC124" s="408">
        <v>11.571303652064515</v>
      </c>
      <c r="DD124" s="408">
        <v>0</v>
      </c>
      <c r="DE124" s="408">
        <v>0</v>
      </c>
      <c r="DF124" s="408">
        <v>0</v>
      </c>
      <c r="DG124" s="408">
        <v>1.9358574695675301</v>
      </c>
      <c r="DH124" s="408">
        <v>0</v>
      </c>
      <c r="DI124" s="408">
        <v>-0.5438773356047264</v>
      </c>
      <c r="DJ124" s="408"/>
      <c r="DK124" s="408">
        <v>0</v>
      </c>
      <c r="DL124" s="408">
        <v>0</v>
      </c>
      <c r="DM124" s="408">
        <v>0</v>
      </c>
      <c r="DN124" s="408">
        <v>0</v>
      </c>
      <c r="DO124" s="408">
        <v>-7.0661835205633849E-2</v>
      </c>
      <c r="DP124" s="408">
        <v>-2.1368932045353728E-2</v>
      </c>
      <c r="DQ124" s="408">
        <v>0</v>
      </c>
      <c r="DR124" s="408">
        <v>0</v>
      </c>
      <c r="DS124" s="408"/>
      <c r="DT124" s="408"/>
      <c r="DU124" s="408"/>
      <c r="DV124" s="408">
        <v>97.700246564064813</v>
      </c>
      <c r="DW124" s="408">
        <v>0</v>
      </c>
      <c r="DX124" s="408">
        <v>0</v>
      </c>
      <c r="DY124" s="408">
        <v>-52.454220000000007</v>
      </c>
      <c r="DZ124" s="408">
        <v>11.574809999999985</v>
      </c>
      <c r="EA124" s="408">
        <v>0</v>
      </c>
      <c r="EB124" s="408">
        <v>0</v>
      </c>
      <c r="EC124" s="408">
        <v>-54.808831931282427</v>
      </c>
      <c r="ED124" s="408">
        <v>0</v>
      </c>
      <c r="EE124" s="408">
        <v>0</v>
      </c>
      <c r="EF124" s="408">
        <v>0</v>
      </c>
      <c r="EG124" s="408">
        <v>0</v>
      </c>
      <c r="EH124" s="408">
        <v>0</v>
      </c>
      <c r="EI124" s="408">
        <v>0</v>
      </c>
      <c r="EJ124" s="408">
        <v>0</v>
      </c>
      <c r="EK124" s="408">
        <v>0</v>
      </c>
      <c r="EL124" s="408">
        <v>0</v>
      </c>
      <c r="EM124" s="408">
        <v>0</v>
      </c>
      <c r="EN124" s="408">
        <v>0</v>
      </c>
      <c r="EO124" s="408">
        <v>0</v>
      </c>
      <c r="EP124" s="408">
        <v>0</v>
      </c>
      <c r="EQ124" s="408">
        <v>0</v>
      </c>
      <c r="ER124" s="408">
        <v>0</v>
      </c>
      <c r="ES124" s="408">
        <v>0</v>
      </c>
      <c r="ET124" s="408">
        <v>0</v>
      </c>
      <c r="EU124" s="408">
        <v>0</v>
      </c>
      <c r="EV124" s="408">
        <v>238</v>
      </c>
      <c r="EW124" s="408">
        <v>0</v>
      </c>
      <c r="EX124" s="408">
        <v>0</v>
      </c>
      <c r="EY124" s="408">
        <v>0</v>
      </c>
      <c r="EZ124" s="408"/>
      <c r="FA124" s="408">
        <v>0</v>
      </c>
      <c r="FB124" s="408"/>
      <c r="FC124" s="408"/>
      <c r="FD124" s="408"/>
      <c r="FE124" s="408"/>
      <c r="FF124" s="408">
        <v>0</v>
      </c>
      <c r="FG124" s="408">
        <v>0</v>
      </c>
      <c r="FH124" s="408">
        <v>0</v>
      </c>
      <c r="FI124" s="408">
        <v>0</v>
      </c>
    </row>
    <row r="125" spans="1:165" s="857" customFormat="1">
      <c r="A125" s="408">
        <v>129</v>
      </c>
      <c r="B125" s="408" t="s">
        <v>1036</v>
      </c>
      <c r="C125" s="408" t="s">
        <v>2321</v>
      </c>
      <c r="D125" s="408" t="s">
        <v>1955</v>
      </c>
      <c r="E125" s="408" t="s">
        <v>969</v>
      </c>
      <c r="F125" s="408" t="s">
        <v>969</v>
      </c>
      <c r="G125" s="408" t="s">
        <v>1322</v>
      </c>
      <c r="H125" s="408" t="s">
        <v>1322</v>
      </c>
      <c r="I125" s="408" t="s">
        <v>1322</v>
      </c>
      <c r="J125" s="408" t="s">
        <v>2236</v>
      </c>
      <c r="K125" s="824">
        <v>44440</v>
      </c>
      <c r="L125" s="408">
        <v>0</v>
      </c>
      <c r="M125" s="408">
        <v>0</v>
      </c>
      <c r="N125" s="408">
        <v>0</v>
      </c>
      <c r="O125" s="408">
        <v>0</v>
      </c>
      <c r="P125" s="408">
        <v>0</v>
      </c>
      <c r="Q125" s="408">
        <v>0</v>
      </c>
      <c r="R125" s="408"/>
      <c r="S125" s="408"/>
      <c r="T125" s="408"/>
      <c r="U125" s="408"/>
      <c r="V125" s="408"/>
      <c r="W125" s="408"/>
      <c r="X125" s="408"/>
      <c r="Y125" s="408"/>
      <c r="Z125" s="408"/>
      <c r="AA125" s="408">
        <v>0</v>
      </c>
      <c r="AB125" s="408"/>
      <c r="AC125" s="408"/>
      <c r="AD125" s="408"/>
      <c r="AE125" s="408"/>
      <c r="AF125" s="408"/>
      <c r="AG125" s="408"/>
      <c r="AH125" s="408"/>
      <c r="AI125" s="408"/>
      <c r="AJ125" s="408"/>
      <c r="AK125" s="408"/>
      <c r="AL125" s="408"/>
      <c r="AM125" s="408"/>
      <c r="AN125" s="408"/>
      <c r="AO125" s="408"/>
      <c r="AP125" s="408"/>
      <c r="AQ125" s="408"/>
      <c r="AR125" s="408"/>
      <c r="AS125" s="408"/>
      <c r="AT125" s="408"/>
      <c r="AU125" s="408"/>
      <c r="AV125" s="408"/>
      <c r="AW125" s="408"/>
      <c r="AX125" s="408"/>
      <c r="AY125" s="408"/>
      <c r="AZ125" s="408">
        <v>0</v>
      </c>
      <c r="BA125" s="408"/>
      <c r="BB125" s="408"/>
      <c r="BC125" s="408"/>
      <c r="BD125" s="408"/>
      <c r="BE125" s="408"/>
      <c r="BF125" s="408"/>
      <c r="BG125" s="408"/>
      <c r="BH125" s="408"/>
      <c r="BI125" s="408">
        <v>0.92</v>
      </c>
      <c r="BJ125" s="408">
        <v>4.38</v>
      </c>
      <c r="BK125" s="408">
        <v>175.11</v>
      </c>
      <c r="BL125" s="408">
        <v>2</v>
      </c>
      <c r="BM125" s="408"/>
      <c r="BN125" s="408"/>
      <c r="BO125" s="408"/>
      <c r="BP125" s="408"/>
      <c r="BQ125" s="408"/>
      <c r="BR125" s="408"/>
      <c r="BS125" s="408"/>
      <c r="BT125" s="408"/>
      <c r="BU125" s="408"/>
      <c r="BV125" s="408"/>
      <c r="BW125" s="408"/>
      <c r="BX125" s="408"/>
      <c r="BY125" s="408"/>
      <c r="BZ125" s="408"/>
      <c r="CA125" s="408"/>
      <c r="CB125" s="408"/>
      <c r="CC125" s="408"/>
      <c r="CD125" s="408"/>
      <c r="CE125" s="408"/>
      <c r="CF125" s="408"/>
      <c r="CG125" s="408"/>
      <c r="CH125" s="408"/>
      <c r="CI125" s="408"/>
      <c r="CJ125" s="408">
        <v>-0.03</v>
      </c>
      <c r="CK125" s="408"/>
      <c r="CL125" s="408"/>
      <c r="CM125" s="408"/>
      <c r="CN125" s="408"/>
      <c r="CO125" s="408">
        <v>0</v>
      </c>
      <c r="CP125" s="408">
        <v>0</v>
      </c>
      <c r="CQ125" s="408">
        <v>30</v>
      </c>
      <c r="CR125" s="408"/>
      <c r="CS125" s="408"/>
      <c r="CT125" s="408"/>
      <c r="CU125" s="408"/>
      <c r="CV125" s="408"/>
      <c r="CW125" s="408"/>
      <c r="CX125" s="408"/>
      <c r="CY125" s="408"/>
      <c r="CZ125" s="408"/>
      <c r="DA125" s="408"/>
      <c r="DB125" s="408"/>
      <c r="DC125" s="408"/>
      <c r="DD125" s="408"/>
      <c r="DE125" s="408"/>
      <c r="DF125" s="408"/>
      <c r="DG125" s="408"/>
      <c r="DH125" s="408"/>
      <c r="DI125" s="408"/>
      <c r="DJ125" s="408"/>
      <c r="DK125" s="408">
        <v>0</v>
      </c>
      <c r="DL125" s="408"/>
      <c r="DM125" s="408"/>
      <c r="DN125" s="408"/>
      <c r="DO125" s="408"/>
      <c r="DP125" s="408"/>
      <c r="DQ125" s="408"/>
      <c r="DR125" s="408"/>
      <c r="DS125" s="408"/>
      <c r="DT125" s="408"/>
      <c r="DU125" s="408"/>
      <c r="DV125" s="408"/>
      <c r="DW125" s="408"/>
      <c r="DX125" s="408"/>
      <c r="DY125" s="408"/>
      <c r="DZ125" s="408"/>
      <c r="EA125" s="408"/>
      <c r="EB125" s="408"/>
      <c r="EC125" s="408"/>
      <c r="ED125" s="408"/>
      <c r="EE125" s="408"/>
      <c r="EF125" s="408"/>
      <c r="EG125" s="408"/>
      <c r="EH125" s="408"/>
      <c r="EI125" s="408"/>
      <c r="EJ125" s="408"/>
      <c r="EK125" s="408"/>
      <c r="EL125" s="408"/>
      <c r="EM125" s="408"/>
      <c r="EN125" s="408"/>
      <c r="EO125" s="408"/>
      <c r="EP125" s="408"/>
      <c r="EQ125" s="408"/>
      <c r="ER125" s="408"/>
      <c r="ES125" s="408"/>
      <c r="ET125" s="408"/>
      <c r="EU125" s="408"/>
      <c r="EV125" s="408">
        <v>238</v>
      </c>
      <c r="EW125" s="408"/>
      <c r="EX125" s="408"/>
      <c r="EY125" s="408"/>
      <c r="EZ125" s="408"/>
      <c r="FA125" s="408">
        <v>0</v>
      </c>
      <c r="FB125" s="408"/>
      <c r="FC125" s="408"/>
      <c r="FD125" s="408"/>
      <c r="FE125" s="408"/>
      <c r="FF125" s="408">
        <v>0</v>
      </c>
      <c r="FG125" s="408">
        <v>0</v>
      </c>
      <c r="FH125" s="408">
        <v>0</v>
      </c>
      <c r="FI125" s="408">
        <v>0</v>
      </c>
    </row>
    <row r="126" spans="1:165" s="857" customFormat="1">
      <c r="A126" s="408">
        <v>130</v>
      </c>
      <c r="B126" s="408" t="s">
        <v>1036</v>
      </c>
      <c r="C126" s="408" t="s">
        <v>2321</v>
      </c>
      <c r="D126" s="408" t="s">
        <v>1955</v>
      </c>
      <c r="E126" s="408" t="s">
        <v>969</v>
      </c>
      <c r="F126" s="408" t="s">
        <v>969</v>
      </c>
      <c r="G126" s="408" t="s">
        <v>1322</v>
      </c>
      <c r="H126" s="408" t="s">
        <v>1322</v>
      </c>
      <c r="I126" s="408" t="s">
        <v>2322</v>
      </c>
      <c r="J126" s="408" t="s">
        <v>2236</v>
      </c>
      <c r="K126" s="824">
        <v>44440</v>
      </c>
      <c r="L126" s="408">
        <v>0</v>
      </c>
      <c r="M126" s="408">
        <v>0</v>
      </c>
      <c r="N126" s="408">
        <v>4.2999999999999997E-2</v>
      </c>
      <c r="O126" s="408">
        <v>4.2999999999999997E-2</v>
      </c>
      <c r="P126" s="408">
        <v>4.2999999999999997E-2</v>
      </c>
      <c r="Q126" s="408">
        <v>4.2999999999999997E-2</v>
      </c>
      <c r="R126" s="408"/>
      <c r="S126" s="408">
        <v>818.26</v>
      </c>
      <c r="T126" s="408">
        <v>209.4</v>
      </c>
      <c r="U126" s="408"/>
      <c r="V126" s="408">
        <v>44.189379999999993</v>
      </c>
      <c r="W126" s="408">
        <v>44.189379999999993</v>
      </c>
      <c r="X126" s="408">
        <v>31.604140000000001</v>
      </c>
      <c r="Y126" s="408">
        <v>0</v>
      </c>
      <c r="Z126" s="408">
        <v>2.6461300214971195</v>
      </c>
      <c r="AA126" s="408">
        <v>0</v>
      </c>
      <c r="AB126" s="408">
        <v>0</v>
      </c>
      <c r="AC126" s="408">
        <v>0</v>
      </c>
      <c r="AD126" s="408">
        <v>4.7853288393300453</v>
      </c>
      <c r="AE126" s="408">
        <v>24.858657266073532</v>
      </c>
      <c r="AF126" s="408">
        <v>8.8859820690140747</v>
      </c>
      <c r="AG126" s="408">
        <v>0.11837749346008142</v>
      </c>
      <c r="AH126" s="408">
        <v>0</v>
      </c>
      <c r="AI126" s="408">
        <v>0</v>
      </c>
      <c r="AJ126" s="408">
        <v>0</v>
      </c>
      <c r="AK126" s="408">
        <v>0</v>
      </c>
      <c r="AL126" s="408">
        <v>0.40891287074035865</v>
      </c>
      <c r="AM126" s="408"/>
      <c r="AN126" s="408">
        <v>7.8387465580641399E-2</v>
      </c>
      <c r="AO126" s="408">
        <v>0.36762202839162916</v>
      </c>
      <c r="AP126" s="408">
        <v>0.55374475309696181</v>
      </c>
      <c r="AQ126" s="408">
        <v>0</v>
      </c>
      <c r="AR126" s="408">
        <v>0</v>
      </c>
      <c r="AS126" s="408">
        <v>0</v>
      </c>
      <c r="AT126" s="408">
        <v>0</v>
      </c>
      <c r="AU126" s="408">
        <v>0</v>
      </c>
      <c r="AV126" s="408">
        <v>0</v>
      </c>
      <c r="AW126" s="408">
        <v>0</v>
      </c>
      <c r="AX126" s="408">
        <v>0</v>
      </c>
      <c r="AY126" s="408">
        <v>0</v>
      </c>
      <c r="AZ126" s="408">
        <v>0</v>
      </c>
      <c r="BA126" s="408"/>
      <c r="BB126" s="408">
        <v>0</v>
      </c>
      <c r="BC126" s="408">
        <v>0</v>
      </c>
      <c r="BD126" s="408">
        <v>0</v>
      </c>
      <c r="BE126" s="408">
        <v>0</v>
      </c>
      <c r="BF126" s="408">
        <v>0</v>
      </c>
      <c r="BG126" s="408">
        <v>1.4866081886698725</v>
      </c>
      <c r="BH126" s="408">
        <v>0</v>
      </c>
      <c r="BI126" s="408">
        <v>0</v>
      </c>
      <c r="BJ126" s="408">
        <v>0</v>
      </c>
      <c r="BK126" s="408">
        <v>0</v>
      </c>
      <c r="BL126" s="408">
        <v>0</v>
      </c>
      <c r="BM126" s="408"/>
      <c r="BN126" s="408"/>
      <c r="BO126" s="408"/>
      <c r="BP126" s="408"/>
      <c r="BQ126" s="408"/>
      <c r="BR126" s="408"/>
      <c r="BS126" s="408"/>
      <c r="BT126" s="408"/>
      <c r="BU126" s="408"/>
      <c r="BV126" s="408">
        <v>10.372590257683948</v>
      </c>
      <c r="BW126" s="408"/>
      <c r="BX126" s="408"/>
      <c r="BY126" s="408"/>
      <c r="BZ126" s="408"/>
      <c r="CA126" s="408"/>
      <c r="CB126" s="408"/>
      <c r="CC126" s="408"/>
      <c r="CD126" s="408"/>
      <c r="CE126" s="408"/>
      <c r="CF126" s="408"/>
      <c r="CG126" s="408"/>
      <c r="CH126" s="408"/>
      <c r="CI126" s="408">
        <v>29.3992</v>
      </c>
      <c r="CJ126" s="408">
        <v>-14.820179999999986</v>
      </c>
      <c r="CK126" s="408"/>
      <c r="CL126" s="408"/>
      <c r="CM126" s="408"/>
      <c r="CN126" s="408"/>
      <c r="CO126" s="408">
        <v>-13.566929999999999</v>
      </c>
      <c r="CP126" s="408">
        <v>0.98168999999999929</v>
      </c>
      <c r="CQ126" s="408">
        <v>30</v>
      </c>
      <c r="CR126" s="408">
        <v>1.3597579603106382</v>
      </c>
      <c r="CS126" s="408">
        <v>4.438375394459132E-2</v>
      </c>
      <c r="CT126" s="408">
        <v>6.6854728420631671E-2</v>
      </c>
      <c r="CU126" s="408">
        <v>0</v>
      </c>
      <c r="CV126" s="408">
        <v>0</v>
      </c>
      <c r="CW126" s="408">
        <v>0</v>
      </c>
      <c r="CX126" s="408">
        <v>0</v>
      </c>
      <c r="CY126" s="408">
        <v>0</v>
      </c>
      <c r="CZ126" s="408">
        <v>0.15687474459752337</v>
      </c>
      <c r="DA126" s="408">
        <v>0</v>
      </c>
      <c r="DB126" s="408">
        <v>0</v>
      </c>
      <c r="DC126" s="408">
        <v>0.98139261743347816</v>
      </c>
      <c r="DD126" s="408">
        <v>0</v>
      </c>
      <c r="DE126" s="408">
        <v>0</v>
      </c>
      <c r="DF126" s="408">
        <v>0</v>
      </c>
      <c r="DG126" s="408">
        <v>0.1641851502789029</v>
      </c>
      <c r="DH126" s="408">
        <v>0</v>
      </c>
      <c r="DI126" s="408">
        <v>-4.612766357199849E-2</v>
      </c>
      <c r="DJ126" s="408"/>
      <c r="DK126" s="408">
        <v>0</v>
      </c>
      <c r="DL126" s="408">
        <v>0</v>
      </c>
      <c r="DM126" s="408">
        <v>0</v>
      </c>
      <c r="DN126" s="408">
        <v>0</v>
      </c>
      <c r="DO126" s="408">
        <v>-5.9930156091563269E-3</v>
      </c>
      <c r="DP126" s="408">
        <v>-1.8123551833337387E-3</v>
      </c>
      <c r="DQ126" s="408">
        <v>0</v>
      </c>
      <c r="DR126" s="408">
        <v>0</v>
      </c>
      <c r="DS126" s="408"/>
      <c r="DT126" s="408"/>
      <c r="DU126" s="408"/>
      <c r="DV126" s="408">
        <v>24.858657266073532</v>
      </c>
      <c r="DW126" s="408">
        <v>0</v>
      </c>
      <c r="DX126" s="408">
        <v>0</v>
      </c>
      <c r="DY126" s="408">
        <v>-13.566929999999996</v>
      </c>
      <c r="DZ126" s="408">
        <v>0.9816900000000004</v>
      </c>
      <c r="EA126" s="408">
        <v>0</v>
      </c>
      <c r="EB126" s="408">
        <v>0</v>
      </c>
      <c r="EC126" s="408">
        <v>-13.945450662093899</v>
      </c>
      <c r="ED126" s="408">
        <v>0</v>
      </c>
      <c r="EE126" s="408">
        <v>0</v>
      </c>
      <c r="EF126" s="408">
        <v>0</v>
      </c>
      <c r="EG126" s="408">
        <v>0</v>
      </c>
      <c r="EH126" s="408">
        <v>0</v>
      </c>
      <c r="EI126" s="408">
        <v>0</v>
      </c>
      <c r="EJ126" s="408">
        <v>0</v>
      </c>
      <c r="EK126" s="408">
        <v>0</v>
      </c>
      <c r="EL126" s="408">
        <v>0</v>
      </c>
      <c r="EM126" s="408">
        <v>0</v>
      </c>
      <c r="EN126" s="408">
        <v>0</v>
      </c>
      <c r="EO126" s="408">
        <v>0</v>
      </c>
      <c r="EP126" s="408">
        <v>0</v>
      </c>
      <c r="EQ126" s="408">
        <v>0</v>
      </c>
      <c r="ER126" s="408">
        <v>0</v>
      </c>
      <c r="ES126" s="408">
        <v>0</v>
      </c>
      <c r="ET126" s="408">
        <v>0</v>
      </c>
      <c r="EU126" s="408">
        <v>0</v>
      </c>
      <c r="EV126" s="408">
        <v>238</v>
      </c>
      <c r="EW126" s="408">
        <v>0</v>
      </c>
      <c r="EX126" s="408">
        <v>0</v>
      </c>
      <c r="EY126" s="408">
        <v>0</v>
      </c>
      <c r="EZ126" s="408"/>
      <c r="FA126" s="408">
        <v>0</v>
      </c>
      <c r="FB126" s="408"/>
      <c r="FC126" s="408"/>
      <c r="FD126" s="408"/>
      <c r="FE126" s="408"/>
      <c r="FF126" s="408">
        <v>0</v>
      </c>
      <c r="FG126" s="408">
        <v>0</v>
      </c>
      <c r="FH126" s="408">
        <v>0</v>
      </c>
      <c r="FI126" s="408">
        <v>0</v>
      </c>
    </row>
    <row r="127" spans="1:165" s="857" customFormat="1">
      <c r="A127" s="408">
        <v>131</v>
      </c>
      <c r="B127" s="408" t="s">
        <v>1036</v>
      </c>
      <c r="C127" s="408" t="s">
        <v>2235</v>
      </c>
      <c r="D127" s="408" t="s">
        <v>1958</v>
      </c>
      <c r="E127" s="408" t="s">
        <v>970</v>
      </c>
      <c r="F127" s="408" t="s">
        <v>1322</v>
      </c>
      <c r="G127" s="408" t="s">
        <v>1322</v>
      </c>
      <c r="H127" s="408" t="s">
        <v>1322</v>
      </c>
      <c r="I127" s="408" t="s">
        <v>1322</v>
      </c>
      <c r="J127" s="408" t="s">
        <v>2236</v>
      </c>
      <c r="K127" s="824">
        <v>44440</v>
      </c>
      <c r="L127" s="408">
        <v>0</v>
      </c>
      <c r="M127" s="408">
        <v>0</v>
      </c>
      <c r="N127" s="408">
        <v>8.1039999999999992</v>
      </c>
      <c r="O127" s="408">
        <v>8.1039999999999992</v>
      </c>
      <c r="P127" s="408">
        <v>8.1039999999999992</v>
      </c>
      <c r="Q127" s="408">
        <v>8.1039999999999992</v>
      </c>
      <c r="R127" s="408"/>
      <c r="S127" s="408">
        <v>581.32000000000005</v>
      </c>
      <c r="T127" s="408">
        <v>209.4</v>
      </c>
      <c r="U127" s="408"/>
      <c r="V127" s="408">
        <v>6407.9948800000002</v>
      </c>
      <c r="W127" s="408">
        <v>6407.9948800000002</v>
      </c>
      <c r="X127" s="408">
        <v>4895.3832799999991</v>
      </c>
      <c r="Y127" s="408">
        <v>0</v>
      </c>
      <c r="Z127" s="408">
        <v>498.70320219099199</v>
      </c>
      <c r="AA127" s="408">
        <v>0</v>
      </c>
      <c r="AB127" s="408">
        <v>0</v>
      </c>
      <c r="AC127" s="408">
        <v>0</v>
      </c>
      <c r="AD127" s="408">
        <v>601.24503742528066</v>
      </c>
      <c r="AE127" s="408">
        <v>3123.3246475549472</v>
      </c>
      <c r="AF127" s="408">
        <v>1674.6976438904665</v>
      </c>
      <c r="AG127" s="408">
        <v>22.310028069779065</v>
      </c>
      <c r="AH127" s="408">
        <v>0</v>
      </c>
      <c r="AI127" s="408">
        <v>0</v>
      </c>
      <c r="AJ127" s="408">
        <v>0</v>
      </c>
      <c r="AK127" s="408">
        <v>0</v>
      </c>
      <c r="AL127" s="408">
        <v>77.065811732089912</v>
      </c>
      <c r="AM127" s="408"/>
      <c r="AN127" s="408">
        <v>14.773302815477161</v>
      </c>
      <c r="AO127" s="408">
        <v>46.188592201087857</v>
      </c>
      <c r="AP127" s="408">
        <v>69.574379520896002</v>
      </c>
      <c r="AQ127" s="408">
        <v>0</v>
      </c>
      <c r="AR127" s="408">
        <v>0</v>
      </c>
      <c r="AS127" s="408">
        <v>0</v>
      </c>
      <c r="AT127" s="408">
        <v>0</v>
      </c>
      <c r="AU127" s="408">
        <v>0</v>
      </c>
      <c r="AV127" s="408">
        <v>0</v>
      </c>
      <c r="AW127" s="408">
        <v>0</v>
      </c>
      <c r="AX127" s="408">
        <v>0</v>
      </c>
      <c r="AY127" s="408">
        <v>0</v>
      </c>
      <c r="AZ127" s="408">
        <v>0</v>
      </c>
      <c r="BA127" s="408"/>
      <c r="BB127" s="408">
        <v>0</v>
      </c>
      <c r="BC127" s="408">
        <v>0</v>
      </c>
      <c r="BD127" s="408">
        <v>0</v>
      </c>
      <c r="BE127" s="408">
        <v>0</v>
      </c>
      <c r="BF127" s="408">
        <v>0</v>
      </c>
      <c r="BG127" s="408">
        <v>280.17378513908483</v>
      </c>
      <c r="BH127" s="408">
        <v>0</v>
      </c>
      <c r="BI127" s="408">
        <v>11.57</v>
      </c>
      <c r="BJ127" s="408">
        <v>54.4</v>
      </c>
      <c r="BK127" s="408">
        <v>1269.26</v>
      </c>
      <c r="BL127" s="408">
        <v>7</v>
      </c>
      <c r="BM127" s="408"/>
      <c r="BN127" s="408"/>
      <c r="BO127" s="408"/>
      <c r="BP127" s="408"/>
      <c r="BQ127" s="408"/>
      <c r="BR127" s="408"/>
      <c r="BS127" s="408"/>
      <c r="BT127" s="408"/>
      <c r="BU127" s="408"/>
      <c r="BV127" s="408">
        <v>1954.8714290295513</v>
      </c>
      <c r="BW127" s="408"/>
      <c r="BX127" s="408"/>
      <c r="BY127" s="408"/>
      <c r="BZ127" s="408"/>
      <c r="CA127" s="408"/>
      <c r="CB127" s="408"/>
      <c r="CC127" s="408"/>
      <c r="CD127" s="408"/>
      <c r="CE127" s="408"/>
      <c r="CF127" s="408"/>
      <c r="CG127" s="408"/>
      <c r="CH127" s="408"/>
      <c r="CI127" s="408">
        <v>4892.9669999999996</v>
      </c>
      <c r="CJ127" s="408">
        <v>-1515.0578800000012</v>
      </c>
      <c r="CK127" s="408"/>
      <c r="CL127" s="408"/>
      <c r="CM127" s="408"/>
      <c r="CN127" s="408"/>
      <c r="CO127" s="408">
        <v>-1697.6259200000004</v>
      </c>
      <c r="CP127" s="408">
        <v>185.01431999999986</v>
      </c>
      <c r="CQ127" s="408">
        <v>30</v>
      </c>
      <c r="CR127" s="408">
        <v>239.42352822654084</v>
      </c>
      <c r="CS127" s="408">
        <v>5.5764425224167411</v>
      </c>
      <c r="CT127" s="408">
        <v>8.3998561103999521</v>
      </c>
      <c r="CU127" s="408">
        <v>0</v>
      </c>
      <c r="CV127" s="408">
        <v>0</v>
      </c>
      <c r="CW127" s="408">
        <v>0</v>
      </c>
      <c r="CX127" s="408">
        <v>0</v>
      </c>
      <c r="CY127" s="408">
        <v>0</v>
      </c>
      <c r="CZ127" s="408">
        <v>19.710277987879863</v>
      </c>
      <c r="DA127" s="408">
        <v>0</v>
      </c>
      <c r="DB127" s="408">
        <v>0</v>
      </c>
      <c r="DC127" s="408">
        <v>184.95827376002126</v>
      </c>
      <c r="DD127" s="408">
        <v>0</v>
      </c>
      <c r="DE127" s="408">
        <v>0</v>
      </c>
      <c r="DF127" s="408">
        <v>0</v>
      </c>
      <c r="DG127" s="408">
        <v>30.943173438609961</v>
      </c>
      <c r="DH127" s="408">
        <v>0</v>
      </c>
      <c r="DI127" s="408">
        <v>-8.6934554787785032</v>
      </c>
      <c r="DJ127" s="408"/>
      <c r="DK127" s="408">
        <v>0</v>
      </c>
      <c r="DL127" s="408">
        <v>0</v>
      </c>
      <c r="DM127" s="408">
        <v>0</v>
      </c>
      <c r="DN127" s="408">
        <v>0</v>
      </c>
      <c r="DO127" s="408">
        <v>-1.1294743836419201</v>
      </c>
      <c r="DP127" s="408">
        <v>-0.3415657303659696</v>
      </c>
      <c r="DQ127" s="408">
        <v>0</v>
      </c>
      <c r="DR127" s="408">
        <v>0</v>
      </c>
      <c r="DS127" s="408"/>
      <c r="DT127" s="408"/>
      <c r="DU127" s="408"/>
      <c r="DV127" s="408">
        <v>3123.3246475549472</v>
      </c>
      <c r="DW127" s="408">
        <v>0</v>
      </c>
      <c r="DX127" s="408">
        <v>0</v>
      </c>
      <c r="DY127" s="408">
        <v>-1697.6259200000004</v>
      </c>
      <c r="DZ127" s="408">
        <v>185.01431999999977</v>
      </c>
      <c r="EA127" s="408">
        <v>0</v>
      </c>
      <c r="EB127" s="408">
        <v>0</v>
      </c>
      <c r="EC127" s="408">
        <v>-1752.1529545211467</v>
      </c>
      <c r="ED127" s="408">
        <v>0</v>
      </c>
      <c r="EE127" s="408">
        <v>0</v>
      </c>
      <c r="EF127" s="408">
        <v>0</v>
      </c>
      <c r="EG127" s="408">
        <v>0</v>
      </c>
      <c r="EH127" s="408">
        <v>0</v>
      </c>
      <c r="EI127" s="408">
        <v>0</v>
      </c>
      <c r="EJ127" s="408">
        <v>0</v>
      </c>
      <c r="EK127" s="408">
        <v>0</v>
      </c>
      <c r="EL127" s="408">
        <v>0</v>
      </c>
      <c r="EM127" s="408">
        <v>0</v>
      </c>
      <c r="EN127" s="408">
        <v>0</v>
      </c>
      <c r="EO127" s="408">
        <v>0</v>
      </c>
      <c r="EP127" s="408">
        <v>0</v>
      </c>
      <c r="EQ127" s="408">
        <v>0</v>
      </c>
      <c r="ER127" s="408">
        <v>0</v>
      </c>
      <c r="ES127" s="408">
        <v>0</v>
      </c>
      <c r="ET127" s="408">
        <v>0</v>
      </c>
      <c r="EU127" s="408">
        <v>0</v>
      </c>
      <c r="EV127" s="408">
        <v>238</v>
      </c>
      <c r="EW127" s="408">
        <v>0</v>
      </c>
      <c r="EX127" s="408">
        <v>0</v>
      </c>
      <c r="EY127" s="408">
        <v>0</v>
      </c>
      <c r="EZ127" s="408"/>
      <c r="FA127" s="408">
        <v>0</v>
      </c>
      <c r="FB127" s="408"/>
      <c r="FC127" s="408"/>
      <c r="FD127" s="408"/>
      <c r="FE127" s="408"/>
      <c r="FF127" s="408">
        <v>0</v>
      </c>
      <c r="FG127" s="408">
        <v>0</v>
      </c>
      <c r="FH127" s="408">
        <v>0</v>
      </c>
      <c r="FI127" s="408">
        <v>0</v>
      </c>
    </row>
    <row r="128" spans="1:165" s="857" customFormat="1">
      <c r="A128" s="408">
        <v>132</v>
      </c>
      <c r="B128" s="408" t="s">
        <v>2238</v>
      </c>
      <c r="C128" s="408" t="s">
        <v>2235</v>
      </c>
      <c r="D128" s="408" t="s">
        <v>1958</v>
      </c>
      <c r="E128" s="408" t="s">
        <v>970</v>
      </c>
      <c r="F128" s="408" t="s">
        <v>1322</v>
      </c>
      <c r="G128" s="408" t="s">
        <v>1322</v>
      </c>
      <c r="H128" s="408" t="s">
        <v>1322</v>
      </c>
      <c r="I128" s="408" t="s">
        <v>1322</v>
      </c>
      <c r="J128" s="408" t="s">
        <v>2236</v>
      </c>
      <c r="K128" s="824">
        <v>44440</v>
      </c>
      <c r="L128" s="408">
        <v>0</v>
      </c>
      <c r="M128" s="408">
        <v>0</v>
      </c>
      <c r="N128" s="408">
        <v>2.0299999999999998</v>
      </c>
      <c r="O128" s="408">
        <v>2.0299999999999998</v>
      </c>
      <c r="P128" s="408">
        <v>2.0299999999999998</v>
      </c>
      <c r="Q128" s="408">
        <v>2.0299999999999998</v>
      </c>
      <c r="R128" s="408"/>
      <c r="S128" s="408">
        <v>581.32000000000005</v>
      </c>
      <c r="T128" s="408">
        <v>209.4</v>
      </c>
      <c r="U128" s="408"/>
      <c r="V128" s="408">
        <v>1605.1615999999999</v>
      </c>
      <c r="W128" s="408">
        <v>1605.1615999999999</v>
      </c>
      <c r="X128" s="408">
        <v>1226.2620999999999</v>
      </c>
      <c r="Y128" s="408">
        <v>0</v>
      </c>
      <c r="Z128" s="408">
        <v>124.9219521776547</v>
      </c>
      <c r="AA128" s="408">
        <v>0</v>
      </c>
      <c r="AB128" s="408">
        <v>0</v>
      </c>
      <c r="AC128" s="408">
        <v>0</v>
      </c>
      <c r="AD128" s="408">
        <v>150.60802393550341</v>
      </c>
      <c r="AE128" s="408">
        <v>782.37278313629599</v>
      </c>
      <c r="AF128" s="408">
        <v>419.50101395578071</v>
      </c>
      <c r="AG128" s="408">
        <v>5.5885188773015182</v>
      </c>
      <c r="AH128" s="408">
        <v>0</v>
      </c>
      <c r="AI128" s="408">
        <v>0</v>
      </c>
      <c r="AJ128" s="408">
        <v>0</v>
      </c>
      <c r="AK128" s="408">
        <v>0</v>
      </c>
      <c r="AL128" s="408">
        <v>19.304491339602979</v>
      </c>
      <c r="AM128" s="408"/>
      <c r="AN128" s="408">
        <v>3.7006175611326055</v>
      </c>
      <c r="AO128" s="408">
        <v>11.569945973372205</v>
      </c>
      <c r="AP128" s="408">
        <v>17.427935640105982</v>
      </c>
      <c r="AQ128" s="408">
        <v>0</v>
      </c>
      <c r="AR128" s="408">
        <v>0</v>
      </c>
      <c r="AS128" s="408">
        <v>0</v>
      </c>
      <c r="AT128" s="408">
        <v>0</v>
      </c>
      <c r="AU128" s="408">
        <v>0</v>
      </c>
      <c r="AV128" s="408">
        <v>0</v>
      </c>
      <c r="AW128" s="408">
        <v>0</v>
      </c>
      <c r="AX128" s="408">
        <v>0</v>
      </c>
      <c r="AY128" s="408">
        <v>0</v>
      </c>
      <c r="AZ128" s="408">
        <v>0</v>
      </c>
      <c r="BA128" s="408"/>
      <c r="BB128" s="408">
        <v>0</v>
      </c>
      <c r="BC128" s="408">
        <v>0</v>
      </c>
      <c r="BD128" s="408">
        <v>0</v>
      </c>
      <c r="BE128" s="408">
        <v>0</v>
      </c>
      <c r="BF128" s="408">
        <v>0</v>
      </c>
      <c r="BG128" s="408">
        <v>70.181735418600965</v>
      </c>
      <c r="BH128" s="408">
        <v>0</v>
      </c>
      <c r="BI128" s="408">
        <v>2.91</v>
      </c>
      <c r="BJ128" s="408">
        <v>13.68</v>
      </c>
      <c r="BK128" s="408">
        <v>375.04</v>
      </c>
      <c r="BL128" s="408">
        <v>2</v>
      </c>
      <c r="BM128" s="408"/>
      <c r="BN128" s="408"/>
      <c r="BO128" s="408"/>
      <c r="BP128" s="408"/>
      <c r="BQ128" s="408"/>
      <c r="BR128" s="408"/>
      <c r="BS128" s="408"/>
      <c r="BT128" s="408"/>
      <c r="BU128" s="408"/>
      <c r="BV128" s="408">
        <v>489.68274937438167</v>
      </c>
      <c r="BW128" s="408"/>
      <c r="BX128" s="408"/>
      <c r="BY128" s="408"/>
      <c r="BZ128" s="408"/>
      <c r="CA128" s="408"/>
      <c r="CB128" s="408"/>
      <c r="CC128" s="408"/>
      <c r="CD128" s="408"/>
      <c r="CE128" s="408"/>
      <c r="CF128" s="408"/>
      <c r="CG128" s="408"/>
      <c r="CH128" s="408"/>
      <c r="CI128" s="408">
        <v>1226.2620999999999</v>
      </c>
      <c r="CJ128" s="408">
        <v>-378.92949999999996</v>
      </c>
      <c r="CK128" s="408"/>
      <c r="CL128" s="408"/>
      <c r="CM128" s="408"/>
      <c r="CN128" s="408"/>
      <c r="CO128" s="408">
        <v>-425.2444000000001</v>
      </c>
      <c r="CP128" s="408">
        <v>46.34489999999996</v>
      </c>
      <c r="CQ128" s="408">
        <v>30</v>
      </c>
      <c r="CR128" s="408">
        <v>59.974057539471801</v>
      </c>
      <c r="CS128" s="408">
        <v>1.3968630701512819</v>
      </c>
      <c r="CT128" s="408">
        <v>2.1041100572694837</v>
      </c>
      <c r="CU128" s="408">
        <v>0</v>
      </c>
      <c r="CV128" s="408">
        <v>0</v>
      </c>
      <c r="CW128" s="408">
        <v>0</v>
      </c>
      <c r="CX128" s="408">
        <v>0</v>
      </c>
      <c r="CY128" s="408">
        <v>0</v>
      </c>
      <c r="CZ128" s="408">
        <v>4.9372981633016195</v>
      </c>
      <c r="DA128" s="408">
        <v>0</v>
      </c>
      <c r="DB128" s="408">
        <v>0</v>
      </c>
      <c r="DC128" s="408">
        <v>46.330860776510804</v>
      </c>
      <c r="DD128" s="408">
        <v>0</v>
      </c>
      <c r="DE128" s="408">
        <v>0</v>
      </c>
      <c r="DF128" s="408">
        <v>0</v>
      </c>
      <c r="DG128" s="408">
        <v>7.7510663968877367</v>
      </c>
      <c r="DH128" s="408">
        <v>0</v>
      </c>
      <c r="DI128" s="408">
        <v>-2.1776548151431712</v>
      </c>
      <c r="DJ128" s="408"/>
      <c r="DK128" s="408">
        <v>0</v>
      </c>
      <c r="DL128" s="408">
        <v>0</v>
      </c>
      <c r="DM128" s="408">
        <v>0</v>
      </c>
      <c r="DN128" s="408">
        <v>0</v>
      </c>
      <c r="DO128" s="408">
        <v>-0.28292608573459077</v>
      </c>
      <c r="DP128" s="408">
        <v>-8.5560023771336979E-2</v>
      </c>
      <c r="DQ128" s="408">
        <v>0</v>
      </c>
      <c r="DR128" s="408">
        <v>0</v>
      </c>
      <c r="DS128" s="408"/>
      <c r="DT128" s="408"/>
      <c r="DU128" s="408"/>
      <c r="DV128" s="408">
        <v>782.37278313629599</v>
      </c>
      <c r="DW128" s="408">
        <v>0</v>
      </c>
      <c r="DX128" s="408">
        <v>0</v>
      </c>
      <c r="DY128" s="408">
        <v>-425.24440000000016</v>
      </c>
      <c r="DZ128" s="408">
        <v>46.344899999999939</v>
      </c>
      <c r="EA128" s="408">
        <v>0</v>
      </c>
      <c r="EB128" s="408">
        <v>0</v>
      </c>
      <c r="EC128" s="408">
        <v>-438.90307227022799</v>
      </c>
      <c r="ED128" s="408">
        <v>0</v>
      </c>
      <c r="EE128" s="408">
        <v>0</v>
      </c>
      <c r="EF128" s="408">
        <v>0</v>
      </c>
      <c r="EG128" s="408">
        <v>0</v>
      </c>
      <c r="EH128" s="408">
        <v>0</v>
      </c>
      <c r="EI128" s="408">
        <v>0</v>
      </c>
      <c r="EJ128" s="408">
        <v>0</v>
      </c>
      <c r="EK128" s="408">
        <v>0</v>
      </c>
      <c r="EL128" s="408">
        <v>0</v>
      </c>
      <c r="EM128" s="408">
        <v>0</v>
      </c>
      <c r="EN128" s="408">
        <v>0</v>
      </c>
      <c r="EO128" s="408">
        <v>0</v>
      </c>
      <c r="EP128" s="408">
        <v>0</v>
      </c>
      <c r="EQ128" s="408">
        <v>0</v>
      </c>
      <c r="ER128" s="408">
        <v>0</v>
      </c>
      <c r="ES128" s="408">
        <v>0</v>
      </c>
      <c r="ET128" s="408">
        <v>0</v>
      </c>
      <c r="EU128" s="408">
        <v>0</v>
      </c>
      <c r="EV128" s="408">
        <v>238</v>
      </c>
      <c r="EW128" s="408">
        <v>0</v>
      </c>
      <c r="EX128" s="408">
        <v>0</v>
      </c>
      <c r="EY128" s="408">
        <v>0</v>
      </c>
      <c r="EZ128" s="408"/>
      <c r="FA128" s="408">
        <v>0</v>
      </c>
      <c r="FB128" s="408"/>
      <c r="FC128" s="408"/>
      <c r="FD128" s="408"/>
      <c r="FE128" s="408"/>
      <c r="FF128" s="408">
        <v>0</v>
      </c>
      <c r="FG128" s="408">
        <v>0</v>
      </c>
      <c r="FH128" s="408">
        <v>0</v>
      </c>
      <c r="FI128" s="408">
        <v>0</v>
      </c>
    </row>
    <row r="129" spans="1:165" s="857" customFormat="1">
      <c r="A129" s="408">
        <v>133</v>
      </c>
      <c r="B129" s="408" t="s">
        <v>1036</v>
      </c>
      <c r="C129" s="408" t="s">
        <v>2243</v>
      </c>
      <c r="D129" s="408" t="s">
        <v>597</v>
      </c>
      <c r="E129" s="408" t="s">
        <v>970</v>
      </c>
      <c r="F129" s="408" t="s">
        <v>1322</v>
      </c>
      <c r="G129" s="408" t="s">
        <v>1322</v>
      </c>
      <c r="H129" s="408" t="s">
        <v>1322</v>
      </c>
      <c r="I129" s="408" t="s">
        <v>973</v>
      </c>
      <c r="J129" s="408" t="s">
        <v>2236</v>
      </c>
      <c r="K129" s="824">
        <v>44440</v>
      </c>
      <c r="L129" s="408">
        <v>0</v>
      </c>
      <c r="M129" s="408">
        <v>0</v>
      </c>
      <c r="N129" s="408">
        <v>5.0819999999999999</v>
      </c>
      <c r="O129" s="408">
        <v>5.0819999999999999</v>
      </c>
      <c r="P129" s="408">
        <v>5.0819999999999999</v>
      </c>
      <c r="Q129" s="408">
        <v>5.0819999999999999</v>
      </c>
      <c r="R129" s="408"/>
      <c r="S129" s="408">
        <v>1614.19</v>
      </c>
      <c r="T129" s="408">
        <v>209.4</v>
      </c>
      <c r="U129" s="408"/>
      <c r="V129" s="408">
        <v>9267.4843799999999</v>
      </c>
      <c r="W129" s="408">
        <v>9267.4843799999999</v>
      </c>
      <c r="X129" s="408">
        <v>6160.1462999999994</v>
      </c>
      <c r="Y129" s="408">
        <v>0</v>
      </c>
      <c r="Z129" s="408">
        <v>272.08001184293215</v>
      </c>
      <c r="AA129" s="408">
        <v>0</v>
      </c>
      <c r="AB129" s="408">
        <v>0</v>
      </c>
      <c r="AC129" s="408">
        <v>0</v>
      </c>
      <c r="AD129" s="408">
        <v>1582.6262269281929</v>
      </c>
      <c r="AE129" s="408">
        <v>5909.5356832354737</v>
      </c>
      <c r="AF129" s="408">
        <v>1050.1990901099891</v>
      </c>
      <c r="AG129" s="408">
        <v>13.990567948003111</v>
      </c>
      <c r="AH129" s="408">
        <v>0</v>
      </c>
      <c r="AI129" s="408">
        <v>0</v>
      </c>
      <c r="AJ129" s="408">
        <v>0</v>
      </c>
      <c r="AK129" s="408">
        <v>0</v>
      </c>
      <c r="AL129" s="408">
        <v>48.32779556052332</v>
      </c>
      <c r="AM129" s="408"/>
      <c r="AN129" s="408">
        <v>6.7481047758382653</v>
      </c>
      <c r="AO129" s="408">
        <v>122.95861074438309</v>
      </c>
      <c r="AP129" s="408">
        <v>183.14869288609452</v>
      </c>
      <c r="AQ129" s="408">
        <v>0</v>
      </c>
      <c r="AR129" s="408">
        <v>0</v>
      </c>
      <c r="AS129" s="408">
        <v>0</v>
      </c>
      <c r="AT129" s="408">
        <v>0</v>
      </c>
      <c r="AU129" s="408">
        <v>0</v>
      </c>
      <c r="AV129" s="408">
        <v>0</v>
      </c>
      <c r="AW129" s="408">
        <v>0</v>
      </c>
      <c r="AX129" s="408">
        <v>0</v>
      </c>
      <c r="AY129" s="408">
        <v>0</v>
      </c>
      <c r="AZ129" s="408">
        <v>0</v>
      </c>
      <c r="BA129" s="408"/>
      <c r="BB129" s="408">
        <v>0</v>
      </c>
      <c r="BC129" s="408">
        <v>0</v>
      </c>
      <c r="BD129" s="408">
        <v>0</v>
      </c>
      <c r="BE129" s="408">
        <v>0</v>
      </c>
      <c r="BF129" s="408">
        <v>0</v>
      </c>
      <c r="BG129" s="408">
        <v>77.878785587723087</v>
      </c>
      <c r="BH129" s="408">
        <v>0</v>
      </c>
      <c r="BI129" s="408">
        <v>0</v>
      </c>
      <c r="BJ129" s="408">
        <v>0</v>
      </c>
      <c r="BK129" s="408">
        <v>0</v>
      </c>
      <c r="BL129" s="408">
        <v>0</v>
      </c>
      <c r="BM129" s="408"/>
      <c r="BN129" s="408"/>
      <c r="BO129" s="408"/>
      <c r="BP129" s="408"/>
      <c r="BQ129" s="408"/>
      <c r="BR129" s="408"/>
      <c r="BS129" s="408"/>
      <c r="BT129" s="408"/>
      <c r="BU129" s="408"/>
      <c r="BV129" s="408">
        <v>1128.0778756977122</v>
      </c>
      <c r="BW129" s="408"/>
      <c r="BX129" s="408"/>
      <c r="BY129" s="408"/>
      <c r="BZ129" s="408"/>
      <c r="CA129" s="408"/>
      <c r="CB129" s="408"/>
      <c r="CC129" s="408"/>
      <c r="CD129" s="408"/>
      <c r="CE129" s="408"/>
      <c r="CF129" s="408"/>
      <c r="CG129" s="408"/>
      <c r="CH129" s="408"/>
      <c r="CI129" s="408">
        <v>6157.7219999999998</v>
      </c>
      <c r="CJ129" s="408">
        <v>-3109.7923800000008</v>
      </c>
      <c r="CK129" s="408"/>
      <c r="CL129" s="408"/>
      <c r="CM129" s="408"/>
      <c r="CN129" s="408"/>
      <c r="CO129" s="408">
        <v>-3223.3601400000002</v>
      </c>
      <c r="CP129" s="408">
        <v>116.02205999999991</v>
      </c>
      <c r="CQ129" s="408">
        <v>30</v>
      </c>
      <c r="CR129" s="408">
        <v>207.82012323923936</v>
      </c>
      <c r="CS129" s="408">
        <v>14.845042742742407</v>
      </c>
      <c r="CT129" s="408">
        <v>22.111913575729375</v>
      </c>
      <c r="CU129" s="408">
        <v>0</v>
      </c>
      <c r="CV129" s="408">
        <v>0</v>
      </c>
      <c r="CW129" s="408">
        <v>0</v>
      </c>
      <c r="CX129" s="408">
        <v>0</v>
      </c>
      <c r="CY129" s="408">
        <v>0</v>
      </c>
      <c r="CZ129" s="408">
        <v>51.882345702590101</v>
      </c>
      <c r="DA129" s="408">
        <v>0</v>
      </c>
      <c r="DB129" s="408">
        <v>0</v>
      </c>
      <c r="DC129" s="408">
        <v>115.98691353016125</v>
      </c>
      <c r="DD129" s="408">
        <v>0</v>
      </c>
      <c r="DE129" s="408">
        <v>0</v>
      </c>
      <c r="DF129" s="408">
        <v>0</v>
      </c>
      <c r="DG129" s="408">
        <v>8.6011500627476778</v>
      </c>
      <c r="DH129" s="408">
        <v>0</v>
      </c>
      <c r="DI129" s="408">
        <v>-4.7429321873820527</v>
      </c>
      <c r="DJ129" s="408"/>
      <c r="DK129" s="408">
        <v>0</v>
      </c>
      <c r="DL129" s="408">
        <v>0</v>
      </c>
      <c r="DM129" s="408">
        <v>0</v>
      </c>
      <c r="DN129" s="408">
        <v>0</v>
      </c>
      <c r="DO129" s="408">
        <v>-0.70829082152865652</v>
      </c>
      <c r="DP129" s="408">
        <v>-0.15601936582056108</v>
      </c>
      <c r="DQ129" s="408">
        <v>0</v>
      </c>
      <c r="DR129" s="408">
        <v>0</v>
      </c>
      <c r="DS129" s="408"/>
      <c r="DT129" s="408"/>
      <c r="DU129" s="408"/>
      <c r="DV129" s="408">
        <v>5909.5356832354737</v>
      </c>
      <c r="DW129" s="408">
        <v>0</v>
      </c>
      <c r="DX129" s="408">
        <v>0</v>
      </c>
      <c r="DY129" s="408">
        <v>-3223.3601400000007</v>
      </c>
      <c r="DZ129" s="408">
        <v>116.02205999999978</v>
      </c>
      <c r="EA129" s="408">
        <v>0</v>
      </c>
      <c r="EB129" s="408">
        <v>0</v>
      </c>
      <c r="EC129" s="408">
        <v>-3315.188645322231</v>
      </c>
      <c r="ED129" s="408">
        <v>0</v>
      </c>
      <c r="EE129" s="408">
        <v>0</v>
      </c>
      <c r="EF129" s="408">
        <v>0</v>
      </c>
      <c r="EG129" s="408">
        <v>0</v>
      </c>
      <c r="EH129" s="408">
        <v>0</v>
      </c>
      <c r="EI129" s="408">
        <v>0</v>
      </c>
      <c r="EJ129" s="408">
        <v>0</v>
      </c>
      <c r="EK129" s="408">
        <v>0</v>
      </c>
      <c r="EL129" s="408">
        <v>0</v>
      </c>
      <c r="EM129" s="408">
        <v>0</v>
      </c>
      <c r="EN129" s="408">
        <v>0</v>
      </c>
      <c r="EO129" s="408">
        <v>0</v>
      </c>
      <c r="EP129" s="408">
        <v>0</v>
      </c>
      <c r="EQ129" s="408">
        <v>0</v>
      </c>
      <c r="ER129" s="408">
        <v>0</v>
      </c>
      <c r="ES129" s="408">
        <v>0</v>
      </c>
      <c r="ET129" s="408">
        <v>0</v>
      </c>
      <c r="EU129" s="408">
        <v>0</v>
      </c>
      <c r="EV129" s="408">
        <v>238</v>
      </c>
      <c r="EW129" s="408">
        <v>0</v>
      </c>
      <c r="EX129" s="408">
        <v>0</v>
      </c>
      <c r="EY129" s="408">
        <v>0</v>
      </c>
      <c r="EZ129" s="408"/>
      <c r="FA129" s="408">
        <v>0</v>
      </c>
      <c r="FB129" s="408"/>
      <c r="FC129" s="408"/>
      <c r="FD129" s="408"/>
      <c r="FE129" s="408"/>
      <c r="FF129" s="408">
        <v>0</v>
      </c>
      <c r="FG129" s="408">
        <v>0</v>
      </c>
      <c r="FH129" s="408">
        <v>0</v>
      </c>
      <c r="FI129" s="408">
        <v>0</v>
      </c>
    </row>
    <row r="130" spans="1:165" s="857" customFormat="1">
      <c r="A130" s="408">
        <v>134</v>
      </c>
      <c r="B130" s="408" t="s">
        <v>1036</v>
      </c>
      <c r="C130" s="408" t="s">
        <v>2243</v>
      </c>
      <c r="D130" s="408" t="s">
        <v>597</v>
      </c>
      <c r="E130" s="408" t="s">
        <v>970</v>
      </c>
      <c r="F130" s="408" t="s">
        <v>1322</v>
      </c>
      <c r="G130" s="408" t="s">
        <v>1322</v>
      </c>
      <c r="H130" s="408" t="s">
        <v>1322</v>
      </c>
      <c r="I130" s="408" t="s">
        <v>2244</v>
      </c>
      <c r="J130" s="408" t="s">
        <v>2236</v>
      </c>
      <c r="K130" s="824">
        <v>44440</v>
      </c>
      <c r="L130" s="408">
        <v>0</v>
      </c>
      <c r="M130" s="408">
        <v>0</v>
      </c>
      <c r="N130" s="408">
        <v>210.005</v>
      </c>
      <c r="O130" s="408">
        <v>210.005</v>
      </c>
      <c r="P130" s="408">
        <v>210.005</v>
      </c>
      <c r="Q130" s="408">
        <v>210.005</v>
      </c>
      <c r="R130" s="408"/>
      <c r="S130" s="408">
        <v>79.7</v>
      </c>
      <c r="T130" s="408">
        <v>209.4</v>
      </c>
      <c r="U130" s="408"/>
      <c r="V130" s="408">
        <v>60712.445500000002</v>
      </c>
      <c r="W130" s="408">
        <v>60712.445500000002</v>
      </c>
      <c r="X130" s="408">
        <v>65630.762600000002</v>
      </c>
      <c r="Y130" s="408">
        <v>0</v>
      </c>
      <c r="Z130" s="408">
        <v>11243.243385886455</v>
      </c>
      <c r="AA130" s="408">
        <v>0</v>
      </c>
      <c r="AB130" s="408">
        <v>0</v>
      </c>
      <c r="AC130" s="408">
        <v>0</v>
      </c>
      <c r="AD130" s="408">
        <v>0</v>
      </c>
      <c r="AE130" s="408">
        <v>0</v>
      </c>
      <c r="AF130" s="408">
        <v>43397.689869844202</v>
      </c>
      <c r="AG130" s="408">
        <v>578.13640730428835</v>
      </c>
      <c r="AH130" s="408">
        <v>0</v>
      </c>
      <c r="AI130" s="408">
        <v>0</v>
      </c>
      <c r="AJ130" s="408">
        <v>0</v>
      </c>
      <c r="AK130" s="408">
        <v>0</v>
      </c>
      <c r="AL130" s="408">
        <v>1997.0638934843957</v>
      </c>
      <c r="AM130" s="408"/>
      <c r="AN130" s="408">
        <v>278.85394400824771</v>
      </c>
      <c r="AO130" s="408">
        <v>0</v>
      </c>
      <c r="AP130" s="408">
        <v>0</v>
      </c>
      <c r="AQ130" s="408">
        <v>0</v>
      </c>
      <c r="AR130" s="408">
        <v>0</v>
      </c>
      <c r="AS130" s="408">
        <v>0</v>
      </c>
      <c r="AT130" s="408">
        <v>0</v>
      </c>
      <c r="AU130" s="408">
        <v>0</v>
      </c>
      <c r="AV130" s="408">
        <v>0</v>
      </c>
      <c r="AW130" s="408">
        <v>0</v>
      </c>
      <c r="AX130" s="408">
        <v>0</v>
      </c>
      <c r="AY130" s="408">
        <v>0</v>
      </c>
      <c r="AZ130" s="408">
        <v>0</v>
      </c>
      <c r="BA130" s="408"/>
      <c r="BB130" s="408">
        <v>0</v>
      </c>
      <c r="BC130" s="408">
        <v>0</v>
      </c>
      <c r="BD130" s="408">
        <v>0</v>
      </c>
      <c r="BE130" s="408">
        <v>0</v>
      </c>
      <c r="BF130" s="408">
        <v>0</v>
      </c>
      <c r="BG130" s="408">
        <v>3218.208258038132</v>
      </c>
      <c r="BH130" s="408">
        <v>0</v>
      </c>
      <c r="BI130" s="408">
        <v>0</v>
      </c>
      <c r="BJ130" s="408">
        <v>0</v>
      </c>
      <c r="BK130" s="408">
        <v>0</v>
      </c>
      <c r="BL130" s="408">
        <v>0</v>
      </c>
      <c r="BM130" s="408"/>
      <c r="BN130" s="408"/>
      <c r="BO130" s="408"/>
      <c r="BP130" s="408"/>
      <c r="BQ130" s="408"/>
      <c r="BR130" s="408"/>
      <c r="BS130" s="408"/>
      <c r="BT130" s="408"/>
      <c r="BU130" s="408"/>
      <c r="BV130" s="408">
        <v>46615.898127882334</v>
      </c>
      <c r="BW130" s="408"/>
      <c r="BX130" s="408"/>
      <c r="BY130" s="408"/>
      <c r="BZ130" s="408"/>
      <c r="CA130" s="408"/>
      <c r="CB130" s="408"/>
      <c r="CC130" s="408"/>
      <c r="CD130" s="408"/>
      <c r="CE130" s="408"/>
      <c r="CF130" s="408"/>
      <c r="CG130" s="408"/>
      <c r="CH130" s="408"/>
      <c r="CI130" s="408">
        <v>65632.325199999992</v>
      </c>
      <c r="CJ130" s="408">
        <v>4919.8496999999988</v>
      </c>
      <c r="CK130" s="408"/>
      <c r="CL130" s="408"/>
      <c r="CM130" s="408"/>
      <c r="CN130" s="408"/>
      <c r="CO130" s="408">
        <v>123.90295000000071</v>
      </c>
      <c r="CP130" s="408">
        <v>4794.4141499999969</v>
      </c>
      <c r="CQ130" s="408">
        <v>30</v>
      </c>
      <c r="CR130" s="408">
        <v>4916.6799212757833</v>
      </c>
      <c r="CS130" s="408">
        <v>0</v>
      </c>
      <c r="CT130" s="408">
        <v>0</v>
      </c>
      <c r="CU130" s="408">
        <v>0</v>
      </c>
      <c r="CV130" s="408">
        <v>0</v>
      </c>
      <c r="CW130" s="408">
        <v>0</v>
      </c>
      <c r="CX130" s="408">
        <v>0</v>
      </c>
      <c r="CY130" s="408">
        <v>0</v>
      </c>
      <c r="CZ130" s="408">
        <v>0</v>
      </c>
      <c r="DA130" s="408">
        <v>0</v>
      </c>
      <c r="DB130" s="408">
        <v>0</v>
      </c>
      <c r="DC130" s="408">
        <v>4792.9617819562336</v>
      </c>
      <c r="DD130" s="408">
        <v>0</v>
      </c>
      <c r="DE130" s="408">
        <v>0</v>
      </c>
      <c r="DF130" s="408">
        <v>0</v>
      </c>
      <c r="DG130" s="408">
        <v>355.42788644772281</v>
      </c>
      <c r="DH130" s="408">
        <v>0</v>
      </c>
      <c r="DI130" s="408">
        <v>-195.99359976606866</v>
      </c>
      <c r="DJ130" s="408"/>
      <c r="DK130" s="408">
        <v>0</v>
      </c>
      <c r="DL130" s="408">
        <v>0</v>
      </c>
      <c r="DM130" s="408">
        <v>0</v>
      </c>
      <c r="DN130" s="408">
        <v>0</v>
      </c>
      <c r="DO130" s="408">
        <v>-29.268912627927193</v>
      </c>
      <c r="DP130" s="408">
        <v>-6.4472347341886689</v>
      </c>
      <c r="DQ130" s="408">
        <v>0</v>
      </c>
      <c r="DR130" s="408">
        <v>0</v>
      </c>
      <c r="DS130" s="408"/>
      <c r="DT130" s="408"/>
      <c r="DU130" s="408"/>
      <c r="DV130" s="408">
        <v>0</v>
      </c>
      <c r="DW130" s="408">
        <v>0</v>
      </c>
      <c r="DX130" s="408">
        <v>0</v>
      </c>
      <c r="DY130" s="408">
        <v>123.90295000000333</v>
      </c>
      <c r="DZ130" s="408">
        <v>4794.4141499999969</v>
      </c>
      <c r="EA130" s="408">
        <v>0</v>
      </c>
      <c r="EB130" s="408">
        <v>0</v>
      </c>
      <c r="EC130" s="408">
        <v>0</v>
      </c>
      <c r="ED130" s="408">
        <v>0</v>
      </c>
      <c r="EE130" s="408">
        <v>0</v>
      </c>
      <c r="EF130" s="408">
        <v>0</v>
      </c>
      <c r="EG130" s="408">
        <v>0</v>
      </c>
      <c r="EH130" s="408">
        <v>0</v>
      </c>
      <c r="EI130" s="408">
        <v>0</v>
      </c>
      <c r="EJ130" s="408">
        <v>0</v>
      </c>
      <c r="EK130" s="408">
        <v>0</v>
      </c>
      <c r="EL130" s="408">
        <v>0</v>
      </c>
      <c r="EM130" s="408">
        <v>0</v>
      </c>
      <c r="EN130" s="408">
        <v>0</v>
      </c>
      <c r="EO130" s="408">
        <v>0</v>
      </c>
      <c r="EP130" s="408">
        <v>0</v>
      </c>
      <c r="EQ130" s="408">
        <v>0</v>
      </c>
      <c r="ER130" s="408">
        <v>0</v>
      </c>
      <c r="ES130" s="408">
        <v>0</v>
      </c>
      <c r="ET130" s="408">
        <v>0</v>
      </c>
      <c r="EU130" s="408">
        <v>0</v>
      </c>
      <c r="EV130" s="408">
        <v>238</v>
      </c>
      <c r="EW130" s="408">
        <v>0</v>
      </c>
      <c r="EX130" s="408">
        <v>0</v>
      </c>
      <c r="EY130" s="408">
        <v>0</v>
      </c>
      <c r="EZ130" s="408"/>
      <c r="FA130" s="408">
        <v>0</v>
      </c>
      <c r="FB130" s="408"/>
      <c r="FC130" s="408"/>
      <c r="FD130" s="408"/>
      <c r="FE130" s="408"/>
      <c r="FF130" s="408">
        <v>0</v>
      </c>
      <c r="FG130" s="408">
        <v>0</v>
      </c>
      <c r="FH130" s="408">
        <v>0</v>
      </c>
      <c r="FI130" s="408">
        <v>0</v>
      </c>
    </row>
    <row r="131" spans="1:165" s="857" customFormat="1">
      <c r="A131" s="408">
        <v>135</v>
      </c>
      <c r="B131" s="408" t="s">
        <v>1036</v>
      </c>
      <c r="C131" s="408" t="s">
        <v>2243</v>
      </c>
      <c r="D131" s="408" t="s">
        <v>597</v>
      </c>
      <c r="E131" s="408" t="s">
        <v>970</v>
      </c>
      <c r="F131" s="408" t="s">
        <v>1322</v>
      </c>
      <c r="G131" s="408" t="s">
        <v>1322</v>
      </c>
      <c r="H131" s="408" t="s">
        <v>1322</v>
      </c>
      <c r="I131" s="408" t="s">
        <v>1322</v>
      </c>
      <c r="J131" s="408" t="s">
        <v>2236</v>
      </c>
      <c r="K131" s="824">
        <v>44440</v>
      </c>
      <c r="L131" s="408">
        <v>1388</v>
      </c>
      <c r="M131" s="408">
        <v>1388</v>
      </c>
      <c r="N131" s="408">
        <v>0</v>
      </c>
      <c r="O131" s="408">
        <v>0</v>
      </c>
      <c r="P131" s="408">
        <v>0</v>
      </c>
      <c r="Q131" s="408">
        <v>0</v>
      </c>
      <c r="R131" s="408">
        <v>44.35</v>
      </c>
      <c r="S131" s="408"/>
      <c r="T131" s="408"/>
      <c r="U131" s="408">
        <v>61557.8</v>
      </c>
      <c r="V131" s="408"/>
      <c r="W131" s="408">
        <v>61557.8</v>
      </c>
      <c r="X131" s="408">
        <v>40210.36</v>
      </c>
      <c r="Y131" s="408">
        <v>0</v>
      </c>
      <c r="Z131" s="408">
        <v>0</v>
      </c>
      <c r="AA131" s="408">
        <v>0</v>
      </c>
      <c r="AB131" s="408">
        <v>0</v>
      </c>
      <c r="AC131" s="408">
        <v>0</v>
      </c>
      <c r="AD131" s="408">
        <v>18213.424399062395</v>
      </c>
      <c r="AE131" s="408">
        <v>39860.370644615447</v>
      </c>
      <c r="AF131" s="408"/>
      <c r="AG131" s="408"/>
      <c r="AH131" s="408"/>
      <c r="AI131" s="408">
        <v>0</v>
      </c>
      <c r="AJ131" s="408">
        <v>0</v>
      </c>
      <c r="AK131" s="408">
        <v>0</v>
      </c>
      <c r="AL131" s="408">
        <v>0</v>
      </c>
      <c r="AM131" s="408"/>
      <c r="AN131" s="408">
        <v>0</v>
      </c>
      <c r="AO131" s="408">
        <v>1376.5083200254221</v>
      </c>
      <c r="AP131" s="408">
        <v>2106.0004540505124</v>
      </c>
      <c r="AQ131" s="408">
        <v>0</v>
      </c>
      <c r="AR131" s="408">
        <v>0</v>
      </c>
      <c r="AS131" s="408"/>
      <c r="AT131" s="408"/>
      <c r="AU131" s="408">
        <v>0</v>
      </c>
      <c r="AV131" s="408">
        <v>0</v>
      </c>
      <c r="AW131" s="408">
        <v>0</v>
      </c>
      <c r="AX131" s="408"/>
      <c r="AY131" s="408"/>
      <c r="AZ131" s="408">
        <v>0</v>
      </c>
      <c r="BA131" s="408"/>
      <c r="BB131" s="408">
        <v>0</v>
      </c>
      <c r="BC131" s="408">
        <v>0</v>
      </c>
      <c r="BD131" s="408">
        <v>0</v>
      </c>
      <c r="BE131" s="408">
        <v>0</v>
      </c>
      <c r="BF131" s="408"/>
      <c r="BG131" s="408">
        <v>0</v>
      </c>
      <c r="BH131" s="408">
        <v>0</v>
      </c>
      <c r="BI131" s="408">
        <v>278.29000000000002</v>
      </c>
      <c r="BJ131" s="408">
        <v>1304.5899999999999</v>
      </c>
      <c r="BK131" s="408">
        <v>28659.86</v>
      </c>
      <c r="BL131" s="408">
        <v>7</v>
      </c>
      <c r="BM131" s="408"/>
      <c r="BN131" s="408"/>
      <c r="BO131" s="408"/>
      <c r="BP131" s="408"/>
      <c r="BQ131" s="408"/>
      <c r="BR131" s="408"/>
      <c r="BS131" s="408"/>
      <c r="BT131" s="408"/>
      <c r="BU131" s="408"/>
      <c r="BV131" s="408">
        <v>0</v>
      </c>
      <c r="BW131" s="408"/>
      <c r="BX131" s="408"/>
      <c r="BY131" s="408"/>
      <c r="BZ131" s="408"/>
      <c r="CA131" s="408"/>
      <c r="CB131" s="408"/>
      <c r="CC131" s="408"/>
      <c r="CD131" s="408"/>
      <c r="CE131" s="408"/>
      <c r="CF131" s="408"/>
      <c r="CG131" s="408"/>
      <c r="CH131" s="408"/>
      <c r="CI131" s="408">
        <v>40210.36</v>
      </c>
      <c r="CJ131" s="408">
        <v>-21347.470000000008</v>
      </c>
      <c r="CK131" s="408"/>
      <c r="CL131" s="408"/>
      <c r="CM131" s="408"/>
      <c r="CN131" s="408"/>
      <c r="CO131" s="408">
        <v>-21347.440000000002</v>
      </c>
      <c r="CP131" s="408">
        <v>0</v>
      </c>
      <c r="CQ131" s="408">
        <v>30</v>
      </c>
      <c r="CR131" s="408">
        <v>1017.5308063807825</v>
      </c>
      <c r="CS131" s="408">
        <v>166.18864447809005</v>
      </c>
      <c r="CT131" s="408">
        <v>254.26171105339654</v>
      </c>
      <c r="CU131" s="408">
        <v>0</v>
      </c>
      <c r="CV131" s="408">
        <v>0</v>
      </c>
      <c r="CW131" s="408"/>
      <c r="CX131" s="408"/>
      <c r="CY131" s="408"/>
      <c r="CZ131" s="408">
        <v>597.08045084929472</v>
      </c>
      <c r="DA131" s="408">
        <v>0</v>
      </c>
      <c r="DB131" s="408">
        <v>0</v>
      </c>
      <c r="DC131" s="408"/>
      <c r="DD131" s="408"/>
      <c r="DE131" s="408">
        <v>0</v>
      </c>
      <c r="DF131" s="408">
        <v>0</v>
      </c>
      <c r="DG131" s="408">
        <v>0</v>
      </c>
      <c r="DH131" s="408">
        <v>0</v>
      </c>
      <c r="DI131" s="408">
        <v>0</v>
      </c>
      <c r="DJ131" s="408"/>
      <c r="DK131" s="408">
        <v>0</v>
      </c>
      <c r="DL131" s="408">
        <v>0</v>
      </c>
      <c r="DM131" s="408"/>
      <c r="DN131" s="408">
        <v>0</v>
      </c>
      <c r="DO131" s="408">
        <v>0</v>
      </c>
      <c r="DP131" s="408">
        <v>0</v>
      </c>
      <c r="DQ131" s="408">
        <v>0</v>
      </c>
      <c r="DR131" s="408">
        <v>0</v>
      </c>
      <c r="DS131" s="408"/>
      <c r="DT131" s="408"/>
      <c r="DU131" s="408">
        <v>39860.370644615447</v>
      </c>
      <c r="DV131" s="408"/>
      <c r="DW131" s="408">
        <v>0</v>
      </c>
      <c r="DX131" s="408">
        <v>0</v>
      </c>
      <c r="DY131" s="408">
        <v>-21347.440000000002</v>
      </c>
      <c r="DZ131" s="408"/>
      <c r="EA131" s="408">
        <v>0</v>
      </c>
      <c r="EB131" s="408"/>
      <c r="EC131" s="408">
        <v>-22361.257337736384</v>
      </c>
      <c r="ED131" s="408"/>
      <c r="EE131" s="408">
        <v>0</v>
      </c>
      <c r="EF131" s="408">
        <v>0</v>
      </c>
      <c r="EG131" s="408"/>
      <c r="EH131" s="408">
        <v>0</v>
      </c>
      <c r="EI131" s="408">
        <v>0</v>
      </c>
      <c r="EJ131" s="408">
        <v>0</v>
      </c>
      <c r="EK131" s="408">
        <v>0</v>
      </c>
      <c r="EL131" s="408">
        <v>0</v>
      </c>
      <c r="EM131" s="408"/>
      <c r="EN131" s="408"/>
      <c r="EO131" s="408">
        <v>0</v>
      </c>
      <c r="EP131" s="408">
        <v>0</v>
      </c>
      <c r="EQ131" s="408"/>
      <c r="ER131" s="408">
        <v>0</v>
      </c>
      <c r="ES131" s="408"/>
      <c r="ET131" s="408">
        <v>0</v>
      </c>
      <c r="EU131" s="408"/>
      <c r="EV131" s="408">
        <v>238</v>
      </c>
      <c r="EW131" s="408"/>
      <c r="EX131" s="408"/>
      <c r="EY131" s="408"/>
      <c r="EZ131" s="408"/>
      <c r="FA131" s="408">
        <v>0</v>
      </c>
      <c r="FB131" s="408"/>
      <c r="FC131" s="408"/>
      <c r="FD131" s="408"/>
      <c r="FE131" s="408"/>
      <c r="FF131" s="408">
        <v>0</v>
      </c>
      <c r="FG131" s="408">
        <v>0</v>
      </c>
      <c r="FH131" s="408">
        <v>0</v>
      </c>
      <c r="FI131" s="408">
        <v>0</v>
      </c>
    </row>
    <row r="132" spans="1:165" s="857" customFormat="1">
      <c r="A132" s="408">
        <v>136</v>
      </c>
      <c r="B132" s="408" t="s">
        <v>1036</v>
      </c>
      <c r="C132" s="408" t="s">
        <v>2235</v>
      </c>
      <c r="D132" s="408" t="s">
        <v>1958</v>
      </c>
      <c r="E132" s="408" t="s">
        <v>998</v>
      </c>
      <c r="F132" s="408" t="s">
        <v>1322</v>
      </c>
      <c r="G132" s="408" t="s">
        <v>1322</v>
      </c>
      <c r="H132" s="408" t="s">
        <v>1322</v>
      </c>
      <c r="I132" s="408" t="s">
        <v>1322</v>
      </c>
      <c r="J132" s="408" t="s">
        <v>2236</v>
      </c>
      <c r="K132" s="824">
        <v>44440</v>
      </c>
      <c r="L132" s="408">
        <v>0</v>
      </c>
      <c r="M132" s="408">
        <v>0</v>
      </c>
      <c r="N132" s="408">
        <v>306.41300000000001</v>
      </c>
      <c r="O132" s="408">
        <v>306.41300000000001</v>
      </c>
      <c r="P132" s="408">
        <v>306.41300000000001</v>
      </c>
      <c r="Q132" s="408">
        <v>306.41300000000001</v>
      </c>
      <c r="R132" s="408"/>
      <c r="S132" s="408">
        <v>581.32000000000005</v>
      </c>
      <c r="T132" s="408">
        <v>209.4</v>
      </c>
      <c r="U132" s="408"/>
      <c r="V132" s="408">
        <v>242286.88736000005</v>
      </c>
      <c r="W132" s="408">
        <v>242286.88736000005</v>
      </c>
      <c r="X132" s="408">
        <v>185094.90091</v>
      </c>
      <c r="Y132" s="408">
        <v>0</v>
      </c>
      <c r="Z132" s="408">
        <v>18856.01484365109</v>
      </c>
      <c r="AA132" s="408">
        <v>0</v>
      </c>
      <c r="AB132" s="408">
        <v>0</v>
      </c>
      <c r="AC132" s="408">
        <v>0</v>
      </c>
      <c r="AD132" s="408">
        <v>22733.131250319908</v>
      </c>
      <c r="AE132" s="408">
        <v>118093.1978320896</v>
      </c>
      <c r="AF132" s="408">
        <v>63320.474970065348</v>
      </c>
      <c r="AG132" s="408">
        <v>843.54425357171931</v>
      </c>
      <c r="AH132" s="408">
        <v>0</v>
      </c>
      <c r="AI132" s="408">
        <v>0</v>
      </c>
      <c r="AJ132" s="408">
        <v>0</v>
      </c>
      <c r="AK132" s="408">
        <v>0</v>
      </c>
      <c r="AL132" s="408">
        <v>2913.8655688875706</v>
      </c>
      <c r="AM132" s="408"/>
      <c r="AN132" s="408">
        <v>558.57996490607161</v>
      </c>
      <c r="AO132" s="408">
        <v>1746.3950027285211</v>
      </c>
      <c r="AP132" s="408">
        <v>2630.6138144294559</v>
      </c>
      <c r="AQ132" s="408">
        <v>0</v>
      </c>
      <c r="AR132" s="408">
        <v>0</v>
      </c>
      <c r="AS132" s="408">
        <v>0</v>
      </c>
      <c r="AT132" s="408">
        <v>0</v>
      </c>
      <c r="AU132" s="408">
        <v>0</v>
      </c>
      <c r="AV132" s="408">
        <v>0</v>
      </c>
      <c r="AW132" s="408">
        <v>0</v>
      </c>
      <c r="AX132" s="408">
        <v>0</v>
      </c>
      <c r="AY132" s="408">
        <v>0</v>
      </c>
      <c r="AZ132" s="408">
        <v>0</v>
      </c>
      <c r="BA132" s="408"/>
      <c r="BB132" s="408">
        <v>0</v>
      </c>
      <c r="BC132" s="408">
        <v>0</v>
      </c>
      <c r="BD132" s="408">
        <v>0</v>
      </c>
      <c r="BE132" s="408">
        <v>0</v>
      </c>
      <c r="BF132" s="408">
        <v>0</v>
      </c>
      <c r="BG132" s="408">
        <v>10593.397091044226</v>
      </c>
      <c r="BH132" s="408">
        <v>0</v>
      </c>
      <c r="BI132" s="408">
        <v>508</v>
      </c>
      <c r="BJ132" s="408">
        <v>2402.17</v>
      </c>
      <c r="BK132" s="408">
        <v>95691.29</v>
      </c>
      <c r="BL132" s="408">
        <v>814</v>
      </c>
      <c r="BM132" s="408"/>
      <c r="BN132" s="408"/>
      <c r="BO132" s="408"/>
      <c r="BP132" s="408"/>
      <c r="BQ132" s="408"/>
      <c r="BR132" s="408"/>
      <c r="BS132" s="408"/>
      <c r="BT132" s="408"/>
      <c r="BU132" s="408"/>
      <c r="BV132" s="408">
        <v>73913.872061109578</v>
      </c>
      <c r="BW132" s="408"/>
      <c r="BX132" s="408"/>
      <c r="BY132" s="408"/>
      <c r="BZ132" s="408"/>
      <c r="CA132" s="408"/>
      <c r="CB132" s="408"/>
      <c r="CC132" s="408"/>
      <c r="CD132" s="408"/>
      <c r="CE132" s="408"/>
      <c r="CF132" s="408"/>
      <c r="CG132" s="408"/>
      <c r="CH132" s="408"/>
      <c r="CI132" s="408">
        <v>185093.08869999999</v>
      </c>
      <c r="CJ132" s="408">
        <v>-57193.828660000087</v>
      </c>
      <c r="CK132" s="408"/>
      <c r="CL132" s="408"/>
      <c r="CM132" s="408"/>
      <c r="CN132" s="408"/>
      <c r="CO132" s="408">
        <v>-64187.395240000027</v>
      </c>
      <c r="CP132" s="408">
        <v>6995.408789999995</v>
      </c>
      <c r="CQ132" s="408">
        <v>30</v>
      </c>
      <c r="CR132" s="408">
        <v>9052.6260555873014</v>
      </c>
      <c r="CS132" s="408">
        <v>210.84581473609092</v>
      </c>
      <c r="CT132" s="408">
        <v>317.5993472798591</v>
      </c>
      <c r="CU132" s="408">
        <v>0</v>
      </c>
      <c r="CV132" s="408">
        <v>0</v>
      </c>
      <c r="CW132" s="408">
        <v>0</v>
      </c>
      <c r="CX132" s="408">
        <v>0</v>
      </c>
      <c r="CY132" s="408">
        <v>0</v>
      </c>
      <c r="CZ132" s="408">
        <v>745.24745916834217</v>
      </c>
      <c r="DA132" s="408">
        <v>0</v>
      </c>
      <c r="DB132" s="408">
        <v>0</v>
      </c>
      <c r="DC132" s="408">
        <v>6993.2896764103352</v>
      </c>
      <c r="DD132" s="408">
        <v>0</v>
      </c>
      <c r="DE132" s="408">
        <v>0</v>
      </c>
      <c r="DF132" s="408">
        <v>0</v>
      </c>
      <c r="DG132" s="408">
        <v>1169.9642895909183</v>
      </c>
      <c r="DH132" s="408">
        <v>0</v>
      </c>
      <c r="DI132" s="408">
        <v>-328.70036693224756</v>
      </c>
      <c r="DJ132" s="408"/>
      <c r="DK132" s="408">
        <v>0</v>
      </c>
      <c r="DL132" s="408">
        <v>0</v>
      </c>
      <c r="DM132" s="408">
        <v>0</v>
      </c>
      <c r="DN132" s="408">
        <v>0</v>
      </c>
      <c r="DO132" s="408">
        <v>-42.705532368567674</v>
      </c>
      <c r="DP132" s="408">
        <v>-12.91463229746148</v>
      </c>
      <c r="DQ132" s="408">
        <v>0</v>
      </c>
      <c r="DR132" s="408">
        <v>0</v>
      </c>
      <c r="DS132" s="408"/>
      <c r="DT132" s="408"/>
      <c r="DU132" s="408"/>
      <c r="DV132" s="408">
        <v>118093.1978320896</v>
      </c>
      <c r="DW132" s="408">
        <v>0</v>
      </c>
      <c r="DX132" s="408">
        <v>0</v>
      </c>
      <c r="DY132" s="408">
        <v>-64187.395240000027</v>
      </c>
      <c r="DZ132" s="408">
        <v>6995.4087899999868</v>
      </c>
      <c r="EA132" s="408">
        <v>0</v>
      </c>
      <c r="EB132" s="408">
        <v>0</v>
      </c>
      <c r="EC132" s="408">
        <v>-66249.067528836153</v>
      </c>
      <c r="ED132" s="408">
        <v>0</v>
      </c>
      <c r="EE132" s="408">
        <v>0</v>
      </c>
      <c r="EF132" s="408">
        <v>0</v>
      </c>
      <c r="EG132" s="408">
        <v>0</v>
      </c>
      <c r="EH132" s="408">
        <v>0</v>
      </c>
      <c r="EI132" s="408">
        <v>0</v>
      </c>
      <c r="EJ132" s="408">
        <v>0</v>
      </c>
      <c r="EK132" s="408">
        <v>0</v>
      </c>
      <c r="EL132" s="408">
        <v>0</v>
      </c>
      <c r="EM132" s="408">
        <v>0</v>
      </c>
      <c r="EN132" s="408">
        <v>0</v>
      </c>
      <c r="EO132" s="408">
        <v>0</v>
      </c>
      <c r="EP132" s="408">
        <v>0</v>
      </c>
      <c r="EQ132" s="408">
        <v>0</v>
      </c>
      <c r="ER132" s="408">
        <v>0</v>
      </c>
      <c r="ES132" s="408">
        <v>0</v>
      </c>
      <c r="ET132" s="408">
        <v>0</v>
      </c>
      <c r="EU132" s="408">
        <v>0</v>
      </c>
      <c r="EV132" s="408">
        <v>238</v>
      </c>
      <c r="EW132" s="408">
        <v>0</v>
      </c>
      <c r="EX132" s="408">
        <v>0</v>
      </c>
      <c r="EY132" s="408">
        <v>0</v>
      </c>
      <c r="EZ132" s="408"/>
      <c r="FA132" s="408">
        <v>0</v>
      </c>
      <c r="FB132" s="408"/>
      <c r="FC132" s="408"/>
      <c r="FD132" s="408"/>
      <c r="FE132" s="408"/>
      <c r="FF132" s="408">
        <v>0</v>
      </c>
      <c r="FG132" s="408">
        <v>0</v>
      </c>
      <c r="FH132" s="408">
        <v>0</v>
      </c>
      <c r="FI132" s="408">
        <v>0</v>
      </c>
    </row>
    <row r="133" spans="1:165">
      <c r="A133" s="408">
        <v>137</v>
      </c>
      <c r="B133" s="408" t="s">
        <v>2238</v>
      </c>
      <c r="C133" s="408" t="s">
        <v>2235</v>
      </c>
      <c r="D133" s="408" t="s">
        <v>1958</v>
      </c>
      <c r="E133" s="408" t="s">
        <v>998</v>
      </c>
      <c r="F133" s="408" t="s">
        <v>1322</v>
      </c>
      <c r="G133" s="408" t="s">
        <v>1322</v>
      </c>
      <c r="H133" s="408" t="s">
        <v>1322</v>
      </c>
      <c r="I133" s="408" t="s">
        <v>1322</v>
      </c>
      <c r="J133" s="408" t="s">
        <v>2236</v>
      </c>
      <c r="K133" s="824">
        <v>44440</v>
      </c>
      <c r="L133" s="408">
        <v>0</v>
      </c>
      <c r="M133" s="408">
        <v>0</v>
      </c>
      <c r="N133" s="408">
        <v>24.893999999999998</v>
      </c>
      <c r="O133" s="408">
        <v>24.893999999999998</v>
      </c>
      <c r="P133" s="408">
        <v>24.893999999999998</v>
      </c>
      <c r="Q133" s="408">
        <v>24.893999999999998</v>
      </c>
      <c r="R133" s="408"/>
      <c r="S133" s="408">
        <v>581.32000000000005</v>
      </c>
      <c r="T133" s="408">
        <v>209.4</v>
      </c>
      <c r="U133" s="408"/>
      <c r="V133" s="408">
        <v>19684.183680000002</v>
      </c>
      <c r="W133" s="408">
        <v>19684.183680000002</v>
      </c>
      <c r="X133" s="408">
        <v>15037.718579999997</v>
      </c>
      <c r="Y133" s="408">
        <v>0</v>
      </c>
      <c r="Z133" s="408">
        <v>1531.924668724402</v>
      </c>
      <c r="AA133" s="408">
        <v>0</v>
      </c>
      <c r="AB133" s="408">
        <v>0</v>
      </c>
      <c r="AC133" s="408">
        <v>0</v>
      </c>
      <c r="AD133" s="408">
        <v>1846.9143585470058</v>
      </c>
      <c r="AE133" s="408">
        <v>9594.2798341847047</v>
      </c>
      <c r="AF133" s="408">
        <v>5144.3636657217758</v>
      </c>
      <c r="AG133" s="408">
        <v>68.532309818494582</v>
      </c>
      <c r="AH133" s="408">
        <v>0</v>
      </c>
      <c r="AI133" s="408">
        <v>0</v>
      </c>
      <c r="AJ133" s="408">
        <v>0</v>
      </c>
      <c r="AK133" s="408">
        <v>0</v>
      </c>
      <c r="AL133" s="408">
        <v>236.73202335373227</v>
      </c>
      <c r="AM133" s="408"/>
      <c r="AN133" s="408">
        <v>45.380873678243887</v>
      </c>
      <c r="AO133" s="408">
        <v>141.88287441434861</v>
      </c>
      <c r="AP133" s="408">
        <v>213.71971912551643</v>
      </c>
      <c r="AQ133" s="408">
        <v>0</v>
      </c>
      <c r="AR133" s="408">
        <v>0</v>
      </c>
      <c r="AS133" s="408">
        <v>0</v>
      </c>
      <c r="AT133" s="408">
        <v>0</v>
      </c>
      <c r="AU133" s="408">
        <v>0</v>
      </c>
      <c r="AV133" s="408">
        <v>0</v>
      </c>
      <c r="AW133" s="408">
        <v>0</v>
      </c>
      <c r="AX133" s="408">
        <v>0</v>
      </c>
      <c r="AY133" s="408">
        <v>0</v>
      </c>
      <c r="AZ133" s="408">
        <v>0</v>
      </c>
      <c r="BA133" s="408"/>
      <c r="BB133" s="408">
        <v>0</v>
      </c>
      <c r="BC133" s="408">
        <v>0</v>
      </c>
      <c r="BD133" s="408">
        <v>0</v>
      </c>
      <c r="BE133" s="408">
        <v>0</v>
      </c>
      <c r="BF133" s="408">
        <v>0</v>
      </c>
      <c r="BG133" s="408">
        <v>860.64242438948395</v>
      </c>
      <c r="BH133" s="408">
        <v>0</v>
      </c>
      <c r="BI133" s="408">
        <v>41.43</v>
      </c>
      <c r="BJ133" s="408">
        <v>195.96</v>
      </c>
      <c r="BK133" s="408">
        <v>18469.41</v>
      </c>
      <c r="BL133" s="408">
        <v>67</v>
      </c>
      <c r="BM133" s="408"/>
      <c r="BN133" s="408"/>
      <c r="BO133" s="408"/>
      <c r="BP133" s="408"/>
      <c r="BQ133" s="408"/>
      <c r="BR133" s="408"/>
      <c r="BS133" s="408"/>
      <c r="BT133" s="408"/>
      <c r="BU133" s="408"/>
      <c r="BV133" s="408">
        <v>6005.0060901112593</v>
      </c>
      <c r="BW133" s="408"/>
      <c r="BX133" s="408"/>
      <c r="BY133" s="408"/>
      <c r="BZ133" s="408"/>
      <c r="CA133" s="408"/>
      <c r="CB133" s="408"/>
      <c r="CC133" s="408"/>
      <c r="CD133" s="408"/>
      <c r="CE133" s="408"/>
      <c r="CF133" s="408"/>
      <c r="CG133" s="408"/>
      <c r="CH133" s="408"/>
      <c r="CI133" s="408">
        <v>15035.302299999999</v>
      </c>
      <c r="CJ133" s="408">
        <v>-4648.9113800000014</v>
      </c>
      <c r="CK133" s="408"/>
      <c r="CL133" s="408"/>
      <c r="CM133" s="408"/>
      <c r="CN133" s="408"/>
      <c r="CO133" s="408">
        <v>-5214.7951200000016</v>
      </c>
      <c r="CP133" s="408">
        <v>568.33001999999954</v>
      </c>
      <c r="CQ133" s="408">
        <v>30</v>
      </c>
      <c r="CR133" s="408">
        <v>735.46511743232259</v>
      </c>
      <c r="CS133" s="408">
        <v>17.129807521352717</v>
      </c>
      <c r="CT133" s="408">
        <v>25.80281564811159</v>
      </c>
      <c r="CU133" s="408">
        <v>0</v>
      </c>
      <c r="CV133" s="408">
        <v>0</v>
      </c>
      <c r="CW133" s="408">
        <v>0</v>
      </c>
      <c r="CX133" s="408">
        <v>0</v>
      </c>
      <c r="CY133" s="408">
        <v>0</v>
      </c>
      <c r="CZ133" s="408">
        <v>60.546354914891936</v>
      </c>
      <c r="DA133" s="408">
        <v>0</v>
      </c>
      <c r="DB133" s="408">
        <v>0</v>
      </c>
      <c r="DC133" s="408">
        <v>568.15785624160617</v>
      </c>
      <c r="DD133" s="408">
        <v>0</v>
      </c>
      <c r="DE133" s="408">
        <v>0</v>
      </c>
      <c r="DF133" s="408">
        <v>0</v>
      </c>
      <c r="DG133" s="408">
        <v>95.051747233558331</v>
      </c>
      <c r="DH133" s="408">
        <v>0</v>
      </c>
      <c r="DI133" s="408">
        <v>-26.704698999100401</v>
      </c>
      <c r="DJ133" s="408"/>
      <c r="DK133" s="408">
        <v>0</v>
      </c>
      <c r="DL133" s="408">
        <v>0</v>
      </c>
      <c r="DM133" s="408">
        <v>0</v>
      </c>
      <c r="DN133" s="408">
        <v>0</v>
      </c>
      <c r="DO133" s="408">
        <v>-3.4695379203334085</v>
      </c>
      <c r="DP133" s="408">
        <v>-1.0492272077653553</v>
      </c>
      <c r="DQ133" s="408">
        <v>0</v>
      </c>
      <c r="DR133" s="408">
        <v>0</v>
      </c>
      <c r="DS133" s="408"/>
      <c r="DT133" s="408"/>
      <c r="DU133" s="408"/>
      <c r="DV133" s="408">
        <v>9594.2798341847047</v>
      </c>
      <c r="DW133" s="408">
        <v>0</v>
      </c>
      <c r="DX133" s="408">
        <v>0</v>
      </c>
      <c r="DY133" s="408">
        <v>-5214.7951200000025</v>
      </c>
      <c r="DZ133" s="408">
        <v>568.33001999999942</v>
      </c>
      <c r="EA133" s="408">
        <v>0</v>
      </c>
      <c r="EB133" s="408">
        <v>0</v>
      </c>
      <c r="EC133" s="408">
        <v>-5382.2921581749033</v>
      </c>
      <c r="ED133" s="408">
        <v>0</v>
      </c>
      <c r="EE133" s="408">
        <v>0</v>
      </c>
      <c r="EF133" s="408">
        <v>0</v>
      </c>
      <c r="EG133" s="408">
        <v>0</v>
      </c>
      <c r="EH133" s="408">
        <v>0</v>
      </c>
      <c r="EI133" s="408">
        <v>0</v>
      </c>
      <c r="EJ133" s="408">
        <v>0</v>
      </c>
      <c r="EK133" s="408">
        <v>0</v>
      </c>
      <c r="EL133" s="408">
        <v>0</v>
      </c>
      <c r="EM133" s="408">
        <v>0</v>
      </c>
      <c r="EN133" s="408">
        <v>0</v>
      </c>
      <c r="EO133" s="408">
        <v>0</v>
      </c>
      <c r="EP133" s="408">
        <v>0</v>
      </c>
      <c r="EQ133" s="408">
        <v>0</v>
      </c>
      <c r="ER133" s="408">
        <v>0</v>
      </c>
      <c r="ES133" s="408">
        <v>0</v>
      </c>
      <c r="ET133" s="408">
        <v>0</v>
      </c>
      <c r="EU133" s="408">
        <v>0</v>
      </c>
      <c r="EV133" s="408">
        <v>238</v>
      </c>
      <c r="EW133" s="408">
        <v>0</v>
      </c>
      <c r="EX133" s="408">
        <v>0</v>
      </c>
      <c r="EY133" s="408">
        <v>0</v>
      </c>
      <c r="EZ133" s="408"/>
      <c r="FA133" s="408">
        <v>0</v>
      </c>
      <c r="FB133" s="408"/>
      <c r="FC133" s="408"/>
      <c r="FD133" s="408"/>
      <c r="FE133" s="408"/>
      <c r="FF133" s="408">
        <v>0</v>
      </c>
      <c r="FG133" s="408">
        <v>0</v>
      </c>
      <c r="FH133" s="408">
        <v>0</v>
      </c>
      <c r="FI133" s="408">
        <v>0</v>
      </c>
    </row>
    <row r="134" spans="1:165">
      <c r="A134" s="408">
        <v>138</v>
      </c>
      <c r="B134" s="408" t="s">
        <v>1036</v>
      </c>
      <c r="C134" s="408" t="s">
        <v>2243</v>
      </c>
      <c r="D134" s="408" t="s">
        <v>597</v>
      </c>
      <c r="E134" s="408" t="s">
        <v>998</v>
      </c>
      <c r="F134" s="408" t="s">
        <v>1322</v>
      </c>
      <c r="G134" s="408" t="s">
        <v>1322</v>
      </c>
      <c r="H134" s="408" t="s">
        <v>1322</v>
      </c>
      <c r="I134" s="408" t="s">
        <v>973</v>
      </c>
      <c r="J134" s="408" t="s">
        <v>2236</v>
      </c>
      <c r="K134" s="824">
        <v>44440</v>
      </c>
      <c r="L134" s="408">
        <v>0</v>
      </c>
      <c r="M134" s="408">
        <v>0</v>
      </c>
      <c r="N134" s="408">
        <v>15.167</v>
      </c>
      <c r="O134" s="408">
        <v>15.167</v>
      </c>
      <c r="P134" s="408">
        <v>15.167</v>
      </c>
      <c r="Q134" s="408">
        <v>15.167</v>
      </c>
      <c r="R134" s="408"/>
      <c r="S134" s="408">
        <v>1614.19</v>
      </c>
      <c r="T134" s="408">
        <v>209.4</v>
      </c>
      <c r="U134" s="408"/>
      <c r="V134" s="408">
        <v>27658.38953</v>
      </c>
      <c r="W134" s="408">
        <v>27658.38953</v>
      </c>
      <c r="X134" s="408">
        <v>18384.679049999999</v>
      </c>
      <c r="Y134" s="408">
        <v>0</v>
      </c>
      <c r="Z134" s="408">
        <v>812.01053514792443</v>
      </c>
      <c r="AA134" s="408">
        <v>0</v>
      </c>
      <c r="AB134" s="408">
        <v>0</v>
      </c>
      <c r="AC134" s="408">
        <v>0</v>
      </c>
      <c r="AD134" s="408">
        <v>4723.2766595474031</v>
      </c>
      <c r="AE134" s="408">
        <v>17636.742957031176</v>
      </c>
      <c r="AF134" s="408">
        <v>3134.271861412476</v>
      </c>
      <c r="AG134" s="408">
        <v>41.754219611838487</v>
      </c>
      <c r="AH134" s="408">
        <v>0</v>
      </c>
      <c r="AI134" s="408">
        <v>0</v>
      </c>
      <c r="AJ134" s="408">
        <v>0</v>
      </c>
      <c r="AK134" s="408">
        <v>0</v>
      </c>
      <c r="AL134" s="408">
        <v>144.23212815160511</v>
      </c>
      <c r="AM134" s="408"/>
      <c r="AN134" s="408">
        <v>20.139414627142656</v>
      </c>
      <c r="AO134" s="408">
        <v>366.96443312870099</v>
      </c>
      <c r="AP134" s="408">
        <v>546.59902105537105</v>
      </c>
      <c r="AQ134" s="408">
        <v>0</v>
      </c>
      <c r="AR134" s="408">
        <v>0</v>
      </c>
      <c r="AS134" s="408">
        <v>0</v>
      </c>
      <c r="AT134" s="408">
        <v>0</v>
      </c>
      <c r="AU134" s="408">
        <v>0</v>
      </c>
      <c r="AV134" s="408">
        <v>0</v>
      </c>
      <c r="AW134" s="408">
        <v>0</v>
      </c>
      <c r="AX134" s="408">
        <v>0</v>
      </c>
      <c r="AY134" s="408">
        <v>0</v>
      </c>
      <c r="AZ134" s="408">
        <v>0</v>
      </c>
      <c r="BA134" s="408"/>
      <c r="BB134" s="408">
        <v>0</v>
      </c>
      <c r="BC134" s="408">
        <v>0</v>
      </c>
      <c r="BD134" s="408">
        <v>0</v>
      </c>
      <c r="BE134" s="408">
        <v>0</v>
      </c>
      <c r="BF134" s="408">
        <v>0</v>
      </c>
      <c r="BG134" s="408">
        <v>232.42572629063284</v>
      </c>
      <c r="BH134" s="408">
        <v>0</v>
      </c>
      <c r="BI134" s="408">
        <v>0</v>
      </c>
      <c r="BJ134" s="408">
        <v>0</v>
      </c>
      <c r="BK134" s="408">
        <v>0</v>
      </c>
      <c r="BL134" s="408">
        <v>0</v>
      </c>
      <c r="BM134" s="408"/>
      <c r="BN134" s="408"/>
      <c r="BO134" s="408"/>
      <c r="BP134" s="408"/>
      <c r="BQ134" s="408"/>
      <c r="BR134" s="408"/>
      <c r="BS134" s="408"/>
      <c r="BT134" s="408"/>
      <c r="BU134" s="408"/>
      <c r="BV134" s="408">
        <v>3366.6975877031091</v>
      </c>
      <c r="BW134" s="408"/>
      <c r="BX134" s="408"/>
      <c r="BY134" s="408"/>
      <c r="BZ134" s="408"/>
      <c r="CA134" s="408"/>
      <c r="CB134" s="408"/>
      <c r="CC134" s="408"/>
      <c r="CD134" s="408"/>
      <c r="CE134" s="408"/>
      <c r="CF134" s="408"/>
      <c r="CG134" s="408"/>
      <c r="CH134" s="408"/>
      <c r="CI134" s="408">
        <v>18388.315500000001</v>
      </c>
      <c r="CJ134" s="408">
        <v>-9270.104029999995</v>
      </c>
      <c r="CK134" s="408"/>
      <c r="CL134" s="408"/>
      <c r="CM134" s="408"/>
      <c r="CN134" s="408"/>
      <c r="CO134" s="408">
        <v>-9619.9730900000013</v>
      </c>
      <c r="CP134" s="408">
        <v>346.26260999999977</v>
      </c>
      <c r="CQ134" s="408">
        <v>30</v>
      </c>
      <c r="CR134" s="408">
        <v>620.22979322501669</v>
      </c>
      <c r="CS134" s="408">
        <v>44.304361133249529</v>
      </c>
      <c r="CT134" s="408">
        <v>65.992009681835384</v>
      </c>
      <c r="CU134" s="408">
        <v>0</v>
      </c>
      <c r="CV134" s="408">
        <v>0</v>
      </c>
      <c r="CW134" s="408">
        <v>0</v>
      </c>
      <c r="CX134" s="408">
        <v>0</v>
      </c>
      <c r="CY134" s="408">
        <v>0</v>
      </c>
      <c r="CZ134" s="408">
        <v>154.84052287902068</v>
      </c>
      <c r="DA134" s="408">
        <v>0</v>
      </c>
      <c r="DB134" s="408">
        <v>0</v>
      </c>
      <c r="DC134" s="408">
        <v>346.15771694450223</v>
      </c>
      <c r="DD134" s="408">
        <v>0</v>
      </c>
      <c r="DE134" s="408">
        <v>0</v>
      </c>
      <c r="DF134" s="408">
        <v>0</v>
      </c>
      <c r="DG134" s="408">
        <v>25.669744785850867</v>
      </c>
      <c r="DH134" s="408">
        <v>0</v>
      </c>
      <c r="DI134" s="408">
        <v>-14.155067391976331</v>
      </c>
      <c r="DJ134" s="408"/>
      <c r="DK134" s="408">
        <v>0</v>
      </c>
      <c r="DL134" s="408">
        <v>0</v>
      </c>
      <c r="DM134" s="408">
        <v>0</v>
      </c>
      <c r="DN134" s="408">
        <v>0</v>
      </c>
      <c r="DO134" s="408">
        <v>-2.1138620405598374</v>
      </c>
      <c r="DP134" s="408">
        <v>-0.46563276690288546</v>
      </c>
      <c r="DQ134" s="408">
        <v>0</v>
      </c>
      <c r="DR134" s="408">
        <v>0</v>
      </c>
      <c r="DS134" s="408"/>
      <c r="DT134" s="408"/>
      <c r="DU134" s="408"/>
      <c r="DV134" s="408">
        <v>17636.742957031176</v>
      </c>
      <c r="DW134" s="408">
        <v>0</v>
      </c>
      <c r="DX134" s="408">
        <v>0</v>
      </c>
      <c r="DY134" s="408">
        <v>-9619.9730900000031</v>
      </c>
      <c r="DZ134" s="408">
        <v>346.26260999999977</v>
      </c>
      <c r="EA134" s="408">
        <v>0</v>
      </c>
      <c r="EB134" s="408">
        <v>0</v>
      </c>
      <c r="EC134" s="408">
        <v>-9894.0311262499563</v>
      </c>
      <c r="ED134" s="408">
        <v>0</v>
      </c>
      <c r="EE134" s="408">
        <v>0</v>
      </c>
      <c r="EF134" s="408">
        <v>0</v>
      </c>
      <c r="EG134" s="408">
        <v>0</v>
      </c>
      <c r="EH134" s="408">
        <v>0</v>
      </c>
      <c r="EI134" s="408">
        <v>0</v>
      </c>
      <c r="EJ134" s="408">
        <v>0</v>
      </c>
      <c r="EK134" s="408">
        <v>0</v>
      </c>
      <c r="EL134" s="408">
        <v>0</v>
      </c>
      <c r="EM134" s="408">
        <v>0</v>
      </c>
      <c r="EN134" s="408">
        <v>0</v>
      </c>
      <c r="EO134" s="408">
        <v>0</v>
      </c>
      <c r="EP134" s="408">
        <v>0</v>
      </c>
      <c r="EQ134" s="408">
        <v>0</v>
      </c>
      <c r="ER134" s="408">
        <v>0</v>
      </c>
      <c r="ES134" s="408">
        <v>0</v>
      </c>
      <c r="ET134" s="408">
        <v>0</v>
      </c>
      <c r="EU134" s="408">
        <v>0</v>
      </c>
      <c r="EV134" s="408">
        <v>238</v>
      </c>
      <c r="EW134" s="408">
        <v>0</v>
      </c>
      <c r="EX134" s="408">
        <v>0</v>
      </c>
      <c r="EY134" s="408">
        <v>0</v>
      </c>
      <c r="EZ134" s="408"/>
      <c r="FA134" s="408">
        <v>0</v>
      </c>
      <c r="FB134" s="408"/>
      <c r="FC134" s="408"/>
      <c r="FD134" s="408"/>
      <c r="FE134" s="408"/>
      <c r="FF134" s="408">
        <v>0</v>
      </c>
      <c r="FG134" s="408">
        <v>0</v>
      </c>
      <c r="FH134" s="408">
        <v>0</v>
      </c>
      <c r="FI134" s="408">
        <v>0</v>
      </c>
    </row>
    <row r="135" spans="1:165">
      <c r="A135" s="408">
        <v>139</v>
      </c>
      <c r="B135" s="408" t="s">
        <v>1036</v>
      </c>
      <c r="C135" s="408" t="s">
        <v>2243</v>
      </c>
      <c r="D135" s="408" t="s">
        <v>597</v>
      </c>
      <c r="E135" s="408" t="s">
        <v>998</v>
      </c>
      <c r="F135" s="408" t="s">
        <v>1322</v>
      </c>
      <c r="G135" s="408" t="s">
        <v>1322</v>
      </c>
      <c r="H135" s="408" t="s">
        <v>1322</v>
      </c>
      <c r="I135" s="408" t="s">
        <v>2244</v>
      </c>
      <c r="J135" s="408" t="s">
        <v>2236</v>
      </c>
      <c r="K135" s="824">
        <v>44440</v>
      </c>
      <c r="L135" s="408">
        <v>0</v>
      </c>
      <c r="M135" s="408">
        <v>0</v>
      </c>
      <c r="N135" s="408">
        <v>233.68600000000001</v>
      </c>
      <c r="O135" s="408">
        <v>233.68600000000001</v>
      </c>
      <c r="P135" s="408">
        <v>233.68600000000001</v>
      </c>
      <c r="Q135" s="408">
        <v>233.68600000000001</v>
      </c>
      <c r="R135" s="408"/>
      <c r="S135" s="408">
        <v>79.7</v>
      </c>
      <c r="T135" s="408">
        <v>209.4</v>
      </c>
      <c r="U135" s="408"/>
      <c r="V135" s="408">
        <v>67558.622600000002</v>
      </c>
      <c r="W135" s="408">
        <v>67558.622600000002</v>
      </c>
      <c r="X135" s="408">
        <v>73031.548720000006</v>
      </c>
      <c r="Y135" s="408">
        <v>0</v>
      </c>
      <c r="Z135" s="408">
        <v>12511.076278537474</v>
      </c>
      <c r="AA135" s="408">
        <v>0</v>
      </c>
      <c r="AB135" s="408">
        <v>0</v>
      </c>
      <c r="AC135" s="408">
        <v>0</v>
      </c>
      <c r="AD135" s="408">
        <v>0</v>
      </c>
      <c r="AE135" s="408">
        <v>0</v>
      </c>
      <c r="AF135" s="408">
        <v>48291.386180921472</v>
      </c>
      <c r="AG135" s="408">
        <v>643.32937062122301</v>
      </c>
      <c r="AH135" s="408">
        <v>0</v>
      </c>
      <c r="AI135" s="408">
        <v>0</v>
      </c>
      <c r="AJ135" s="408">
        <v>0</v>
      </c>
      <c r="AK135" s="408">
        <v>0</v>
      </c>
      <c r="AL135" s="408">
        <v>2222.260770042592</v>
      </c>
      <c r="AM135" s="408"/>
      <c r="AN135" s="408">
        <v>310.29862507802852</v>
      </c>
      <c r="AO135" s="408">
        <v>0</v>
      </c>
      <c r="AP135" s="408">
        <v>0</v>
      </c>
      <c r="AQ135" s="408">
        <v>0</v>
      </c>
      <c r="AR135" s="408">
        <v>0</v>
      </c>
      <c r="AS135" s="408">
        <v>0</v>
      </c>
      <c r="AT135" s="408">
        <v>0</v>
      </c>
      <c r="AU135" s="408">
        <v>0</v>
      </c>
      <c r="AV135" s="408">
        <v>0</v>
      </c>
      <c r="AW135" s="408">
        <v>0</v>
      </c>
      <c r="AX135" s="408">
        <v>0</v>
      </c>
      <c r="AY135" s="408">
        <v>0</v>
      </c>
      <c r="AZ135" s="408">
        <v>0</v>
      </c>
      <c r="BA135" s="408"/>
      <c r="BB135" s="408">
        <v>0</v>
      </c>
      <c r="BC135" s="408">
        <v>0</v>
      </c>
      <c r="BD135" s="408">
        <v>0</v>
      </c>
      <c r="BE135" s="408">
        <v>0</v>
      </c>
      <c r="BF135" s="408">
        <v>0</v>
      </c>
      <c r="BG135" s="408">
        <v>3581.1062355081972</v>
      </c>
      <c r="BH135" s="408">
        <v>0</v>
      </c>
      <c r="BI135" s="408">
        <v>0</v>
      </c>
      <c r="BJ135" s="408">
        <v>0</v>
      </c>
      <c r="BK135" s="408">
        <v>0</v>
      </c>
      <c r="BL135" s="408">
        <v>0</v>
      </c>
      <c r="BM135" s="408"/>
      <c r="BN135" s="408"/>
      <c r="BO135" s="408"/>
      <c r="BP135" s="408"/>
      <c r="BQ135" s="408"/>
      <c r="BR135" s="408"/>
      <c r="BS135" s="408"/>
      <c r="BT135" s="408"/>
      <c r="BU135" s="408"/>
      <c r="BV135" s="408">
        <v>51872.492416429668</v>
      </c>
      <c r="BW135" s="408"/>
      <c r="BX135" s="408"/>
      <c r="BY135" s="408"/>
      <c r="BZ135" s="408"/>
      <c r="CA135" s="408"/>
      <c r="CB135" s="408"/>
      <c r="CC135" s="408"/>
      <c r="CD135" s="408"/>
      <c r="CE135" s="408"/>
      <c r="CF135" s="408"/>
      <c r="CG135" s="408"/>
      <c r="CH135" s="408"/>
      <c r="CI135" s="408">
        <v>73032.798800000004</v>
      </c>
      <c r="CJ135" s="408">
        <v>5474.1462000000174</v>
      </c>
      <c r="CK135" s="408"/>
      <c r="CL135" s="408"/>
      <c r="CM135" s="408"/>
      <c r="CN135" s="408"/>
      <c r="CO135" s="408">
        <v>137.8747400000008</v>
      </c>
      <c r="CP135" s="408">
        <v>5335.0513799999962</v>
      </c>
      <c r="CQ135" s="408">
        <v>30</v>
      </c>
      <c r="CR135" s="408">
        <v>5471.1043264838954</v>
      </c>
      <c r="CS135" s="408">
        <v>0</v>
      </c>
      <c r="CT135" s="408">
        <v>0</v>
      </c>
      <c r="CU135" s="408">
        <v>0</v>
      </c>
      <c r="CV135" s="408">
        <v>0</v>
      </c>
      <c r="CW135" s="408">
        <v>0</v>
      </c>
      <c r="CX135" s="408">
        <v>0</v>
      </c>
      <c r="CY135" s="408">
        <v>0</v>
      </c>
      <c r="CZ135" s="408">
        <v>0</v>
      </c>
      <c r="DA135" s="408">
        <v>0</v>
      </c>
      <c r="DB135" s="408">
        <v>0</v>
      </c>
      <c r="DC135" s="408">
        <v>5333.4352371525601</v>
      </c>
      <c r="DD135" s="408">
        <v>0</v>
      </c>
      <c r="DE135" s="408">
        <v>0</v>
      </c>
      <c r="DF135" s="408">
        <v>0</v>
      </c>
      <c r="DG135" s="408">
        <v>395.50735016986528</v>
      </c>
      <c r="DH135" s="408">
        <v>0</v>
      </c>
      <c r="DI135" s="408">
        <v>-218.09461848495812</v>
      </c>
      <c r="DJ135" s="408"/>
      <c r="DK135" s="408">
        <v>0</v>
      </c>
      <c r="DL135" s="408">
        <v>0</v>
      </c>
      <c r="DM135" s="408">
        <v>0</v>
      </c>
      <c r="DN135" s="408">
        <v>0</v>
      </c>
      <c r="DO135" s="408">
        <v>-32.569391759099744</v>
      </c>
      <c r="DP135" s="408">
        <v>-7.174250594479247</v>
      </c>
      <c r="DQ135" s="408">
        <v>0</v>
      </c>
      <c r="DR135" s="408">
        <v>0</v>
      </c>
      <c r="DS135" s="408"/>
      <c r="DT135" s="408"/>
      <c r="DU135" s="408"/>
      <c r="DV135" s="408">
        <v>0</v>
      </c>
      <c r="DW135" s="408">
        <v>0</v>
      </c>
      <c r="DX135" s="408">
        <v>0</v>
      </c>
      <c r="DY135" s="408">
        <v>137.87474000000293</v>
      </c>
      <c r="DZ135" s="408">
        <v>5335.0513799999972</v>
      </c>
      <c r="EA135" s="408">
        <v>0</v>
      </c>
      <c r="EB135" s="408">
        <v>0</v>
      </c>
      <c r="EC135" s="408">
        <v>0</v>
      </c>
      <c r="ED135" s="408">
        <v>0</v>
      </c>
      <c r="EE135" s="408">
        <v>0</v>
      </c>
      <c r="EF135" s="408">
        <v>0</v>
      </c>
      <c r="EG135" s="408">
        <v>0</v>
      </c>
      <c r="EH135" s="408">
        <v>0</v>
      </c>
      <c r="EI135" s="408">
        <v>0</v>
      </c>
      <c r="EJ135" s="408">
        <v>0</v>
      </c>
      <c r="EK135" s="408">
        <v>0</v>
      </c>
      <c r="EL135" s="408">
        <v>0</v>
      </c>
      <c r="EM135" s="408">
        <v>0</v>
      </c>
      <c r="EN135" s="408">
        <v>0</v>
      </c>
      <c r="EO135" s="408">
        <v>0</v>
      </c>
      <c r="EP135" s="408">
        <v>0</v>
      </c>
      <c r="EQ135" s="408">
        <v>0</v>
      </c>
      <c r="ER135" s="408">
        <v>0</v>
      </c>
      <c r="ES135" s="408">
        <v>0</v>
      </c>
      <c r="ET135" s="408">
        <v>0</v>
      </c>
      <c r="EU135" s="408">
        <v>0</v>
      </c>
      <c r="EV135" s="408">
        <v>238</v>
      </c>
      <c r="EW135" s="408">
        <v>0</v>
      </c>
      <c r="EX135" s="408">
        <v>0</v>
      </c>
      <c r="EY135" s="408">
        <v>0</v>
      </c>
      <c r="EZ135" s="408"/>
      <c r="FA135" s="408">
        <v>0</v>
      </c>
      <c r="FB135" s="408"/>
      <c r="FC135" s="408"/>
      <c r="FD135" s="408"/>
      <c r="FE135" s="408"/>
      <c r="FF135" s="408">
        <v>0</v>
      </c>
      <c r="FG135" s="408">
        <v>0</v>
      </c>
      <c r="FH135" s="408">
        <v>0</v>
      </c>
      <c r="FI135" s="408">
        <v>0</v>
      </c>
    </row>
    <row r="136" spans="1:165">
      <c r="A136" s="408">
        <v>140</v>
      </c>
      <c r="B136" s="408" t="s">
        <v>1036</v>
      </c>
      <c r="C136" s="408" t="s">
        <v>2243</v>
      </c>
      <c r="D136" s="408" t="s">
        <v>597</v>
      </c>
      <c r="E136" s="408" t="s">
        <v>998</v>
      </c>
      <c r="F136" s="408" t="s">
        <v>1322</v>
      </c>
      <c r="G136" s="408" t="s">
        <v>1322</v>
      </c>
      <c r="H136" s="408" t="s">
        <v>1322</v>
      </c>
      <c r="I136" s="408" t="s">
        <v>1322</v>
      </c>
      <c r="J136" s="408" t="s">
        <v>2236</v>
      </c>
      <c r="K136" s="824">
        <v>44440</v>
      </c>
      <c r="L136" s="408">
        <v>3167</v>
      </c>
      <c r="M136" s="408">
        <v>3167</v>
      </c>
      <c r="N136" s="408">
        <v>0</v>
      </c>
      <c r="O136" s="408">
        <v>0</v>
      </c>
      <c r="P136" s="408">
        <v>0</v>
      </c>
      <c r="Q136" s="408">
        <v>0</v>
      </c>
      <c r="R136" s="408">
        <v>44.35</v>
      </c>
      <c r="S136" s="408"/>
      <c r="T136" s="408"/>
      <c r="U136" s="408">
        <v>140456.45000000001</v>
      </c>
      <c r="V136" s="408"/>
      <c r="W136" s="408">
        <v>140456.45000000001</v>
      </c>
      <c r="X136" s="408">
        <v>91747.989999999991</v>
      </c>
      <c r="Y136" s="408">
        <v>0</v>
      </c>
      <c r="Z136" s="408">
        <v>0</v>
      </c>
      <c r="AA136" s="408">
        <v>0</v>
      </c>
      <c r="AB136" s="408">
        <v>0</v>
      </c>
      <c r="AC136" s="408">
        <v>0</v>
      </c>
      <c r="AD136" s="408">
        <v>41557.57570016614</v>
      </c>
      <c r="AE136" s="408">
        <v>90949.419186957573</v>
      </c>
      <c r="AF136" s="408"/>
      <c r="AG136" s="408"/>
      <c r="AH136" s="408"/>
      <c r="AI136" s="408">
        <v>0</v>
      </c>
      <c r="AJ136" s="408">
        <v>0</v>
      </c>
      <c r="AK136" s="408">
        <v>0</v>
      </c>
      <c r="AL136" s="408">
        <v>0</v>
      </c>
      <c r="AM136" s="408"/>
      <c r="AN136" s="408">
        <v>0</v>
      </c>
      <c r="AO136" s="408">
        <v>3140.7794304902823</v>
      </c>
      <c r="AP136" s="408">
        <v>4805.2618429236109</v>
      </c>
      <c r="AQ136" s="408">
        <v>0</v>
      </c>
      <c r="AR136" s="408">
        <v>0</v>
      </c>
      <c r="AS136" s="408"/>
      <c r="AT136" s="408"/>
      <c r="AU136" s="408">
        <v>0</v>
      </c>
      <c r="AV136" s="408">
        <v>0</v>
      </c>
      <c r="AW136" s="408">
        <v>0</v>
      </c>
      <c r="AX136" s="408"/>
      <c r="AY136" s="408"/>
      <c r="AZ136" s="408">
        <v>0</v>
      </c>
      <c r="BA136" s="408"/>
      <c r="BB136" s="408">
        <v>0</v>
      </c>
      <c r="BC136" s="408">
        <v>0</v>
      </c>
      <c r="BD136" s="408">
        <v>0</v>
      </c>
      <c r="BE136" s="408">
        <v>0</v>
      </c>
      <c r="BF136" s="408"/>
      <c r="BG136" s="408">
        <v>0</v>
      </c>
      <c r="BH136" s="408">
        <v>0</v>
      </c>
      <c r="BI136" s="408">
        <v>511.69</v>
      </c>
      <c r="BJ136" s="408">
        <v>2399.2600000000002</v>
      </c>
      <c r="BK136" s="408">
        <v>91718.77</v>
      </c>
      <c r="BL136" s="408">
        <v>36</v>
      </c>
      <c r="BM136" s="408"/>
      <c r="BN136" s="408"/>
      <c r="BO136" s="408"/>
      <c r="BP136" s="408"/>
      <c r="BQ136" s="408"/>
      <c r="BR136" s="408"/>
      <c r="BS136" s="408"/>
      <c r="BT136" s="408"/>
      <c r="BU136" s="408"/>
      <c r="BV136" s="408">
        <v>0</v>
      </c>
      <c r="BW136" s="408"/>
      <c r="BX136" s="408"/>
      <c r="BY136" s="408"/>
      <c r="BZ136" s="408"/>
      <c r="CA136" s="408"/>
      <c r="CB136" s="408"/>
      <c r="CC136" s="408"/>
      <c r="CD136" s="408"/>
      <c r="CE136" s="408"/>
      <c r="CF136" s="408"/>
      <c r="CG136" s="408"/>
      <c r="CH136" s="408"/>
      <c r="CI136" s="408">
        <v>91747.989999999991</v>
      </c>
      <c r="CJ136" s="408">
        <v>-48708.490000000049</v>
      </c>
      <c r="CK136" s="408"/>
      <c r="CL136" s="408"/>
      <c r="CM136" s="408"/>
      <c r="CN136" s="408"/>
      <c r="CO136" s="408">
        <v>-48708.460000000006</v>
      </c>
      <c r="CP136" s="408">
        <v>0</v>
      </c>
      <c r="CQ136" s="408">
        <v>30</v>
      </c>
      <c r="CR136" s="408">
        <v>2321.7003341555828</v>
      </c>
      <c r="CS136" s="408">
        <v>379.19267799863928</v>
      </c>
      <c r="CT136" s="408">
        <v>580.14901938480398</v>
      </c>
      <c r="CU136" s="408">
        <v>0</v>
      </c>
      <c r="CV136" s="408">
        <v>0</v>
      </c>
      <c r="CW136" s="408"/>
      <c r="CX136" s="408"/>
      <c r="CY136" s="408"/>
      <c r="CZ136" s="408">
        <v>1362.3586367721364</v>
      </c>
      <c r="DA136" s="408">
        <v>0</v>
      </c>
      <c r="DB136" s="408">
        <v>0</v>
      </c>
      <c r="DC136" s="408"/>
      <c r="DD136" s="408"/>
      <c r="DE136" s="408">
        <v>0</v>
      </c>
      <c r="DF136" s="408">
        <v>0</v>
      </c>
      <c r="DG136" s="408">
        <v>0</v>
      </c>
      <c r="DH136" s="408">
        <v>0</v>
      </c>
      <c r="DI136" s="408">
        <v>0</v>
      </c>
      <c r="DJ136" s="408"/>
      <c r="DK136" s="408">
        <v>0</v>
      </c>
      <c r="DL136" s="408">
        <v>0</v>
      </c>
      <c r="DM136" s="408"/>
      <c r="DN136" s="408">
        <v>0</v>
      </c>
      <c r="DO136" s="408">
        <v>0</v>
      </c>
      <c r="DP136" s="408">
        <v>0</v>
      </c>
      <c r="DQ136" s="408">
        <v>0</v>
      </c>
      <c r="DR136" s="408">
        <v>0</v>
      </c>
      <c r="DS136" s="408"/>
      <c r="DT136" s="408"/>
      <c r="DU136" s="408">
        <v>90949.419186957573</v>
      </c>
      <c r="DV136" s="408"/>
      <c r="DW136" s="408">
        <v>0</v>
      </c>
      <c r="DX136" s="408">
        <v>0</v>
      </c>
      <c r="DY136" s="408">
        <v>-48708.460000000021</v>
      </c>
      <c r="DZ136" s="408"/>
      <c r="EA136" s="408">
        <v>0</v>
      </c>
      <c r="EB136" s="408"/>
      <c r="EC136" s="408">
        <v>-51021.687311679481</v>
      </c>
      <c r="ED136" s="408"/>
      <c r="EE136" s="408">
        <v>0</v>
      </c>
      <c r="EF136" s="408">
        <v>0</v>
      </c>
      <c r="EG136" s="408"/>
      <c r="EH136" s="408">
        <v>0</v>
      </c>
      <c r="EI136" s="408">
        <v>0</v>
      </c>
      <c r="EJ136" s="408">
        <v>0</v>
      </c>
      <c r="EK136" s="408">
        <v>0</v>
      </c>
      <c r="EL136" s="408">
        <v>0</v>
      </c>
      <c r="EM136" s="408"/>
      <c r="EN136" s="408"/>
      <c r="EO136" s="408">
        <v>0</v>
      </c>
      <c r="EP136" s="408">
        <v>0</v>
      </c>
      <c r="EQ136" s="408"/>
      <c r="ER136" s="408">
        <v>0</v>
      </c>
      <c r="ES136" s="408"/>
      <c r="ET136" s="408">
        <v>0</v>
      </c>
      <c r="EU136" s="408"/>
      <c r="EV136" s="408">
        <v>238</v>
      </c>
      <c r="EW136" s="408"/>
      <c r="EX136" s="408"/>
      <c r="EY136" s="408"/>
      <c r="EZ136" s="408"/>
      <c r="FA136" s="408">
        <v>0</v>
      </c>
      <c r="FB136" s="408"/>
      <c r="FC136" s="408"/>
      <c r="FD136" s="408"/>
      <c r="FE136" s="408"/>
      <c r="FF136" s="408">
        <v>0</v>
      </c>
      <c r="FG136" s="408">
        <v>0</v>
      </c>
      <c r="FH136" s="408">
        <v>0</v>
      </c>
      <c r="FI136" s="408">
        <v>0</v>
      </c>
    </row>
    <row r="137" spans="1:165">
      <c r="A137" s="408">
        <v>141</v>
      </c>
      <c r="B137" s="408" t="s">
        <v>2238</v>
      </c>
      <c r="C137" s="408" t="s">
        <v>2243</v>
      </c>
      <c r="D137" s="408" t="s">
        <v>597</v>
      </c>
      <c r="E137" s="408" t="s">
        <v>998</v>
      </c>
      <c r="F137" s="408" t="s">
        <v>1322</v>
      </c>
      <c r="G137" s="408" t="s">
        <v>1322</v>
      </c>
      <c r="H137" s="408" t="s">
        <v>1322</v>
      </c>
      <c r="I137" s="408" t="s">
        <v>1322</v>
      </c>
      <c r="J137" s="408" t="s">
        <v>2236</v>
      </c>
      <c r="K137" s="824">
        <v>44440</v>
      </c>
      <c r="L137" s="408">
        <v>162</v>
      </c>
      <c r="M137" s="408">
        <v>162</v>
      </c>
      <c r="N137" s="408">
        <v>0</v>
      </c>
      <c r="O137" s="408">
        <v>0</v>
      </c>
      <c r="P137" s="408">
        <v>0</v>
      </c>
      <c r="Q137" s="408">
        <v>0</v>
      </c>
      <c r="R137" s="408">
        <v>44.35</v>
      </c>
      <c r="S137" s="408"/>
      <c r="T137" s="408"/>
      <c r="U137" s="408">
        <v>7184.7</v>
      </c>
      <c r="V137" s="408"/>
      <c r="W137" s="408">
        <v>7184.7</v>
      </c>
      <c r="X137" s="408">
        <v>4693.1399999999994</v>
      </c>
      <c r="Y137" s="408">
        <v>0</v>
      </c>
      <c r="Z137" s="408">
        <v>0</v>
      </c>
      <c r="AA137" s="408">
        <v>0</v>
      </c>
      <c r="AB137" s="408">
        <v>0</v>
      </c>
      <c r="AC137" s="408">
        <v>0</v>
      </c>
      <c r="AD137" s="408">
        <v>2125.7743174698185</v>
      </c>
      <c r="AE137" s="408">
        <v>4652.2910982908516</v>
      </c>
      <c r="AF137" s="408"/>
      <c r="AG137" s="408"/>
      <c r="AH137" s="408"/>
      <c r="AI137" s="408">
        <v>0</v>
      </c>
      <c r="AJ137" s="408">
        <v>0</v>
      </c>
      <c r="AK137" s="408">
        <v>0</v>
      </c>
      <c r="AL137" s="408">
        <v>0</v>
      </c>
      <c r="AM137" s="408"/>
      <c r="AN137" s="408">
        <v>0</v>
      </c>
      <c r="AO137" s="408">
        <v>160.65875204907664</v>
      </c>
      <c r="AP137" s="408">
        <v>245.80120573212031</v>
      </c>
      <c r="AQ137" s="408">
        <v>0</v>
      </c>
      <c r="AR137" s="408">
        <v>0</v>
      </c>
      <c r="AS137" s="408"/>
      <c r="AT137" s="408"/>
      <c r="AU137" s="408">
        <v>0</v>
      </c>
      <c r="AV137" s="408">
        <v>0</v>
      </c>
      <c r="AW137" s="408">
        <v>0</v>
      </c>
      <c r="AX137" s="408"/>
      <c r="AY137" s="408"/>
      <c r="AZ137" s="408">
        <v>0</v>
      </c>
      <c r="BA137" s="408"/>
      <c r="BB137" s="408">
        <v>0</v>
      </c>
      <c r="BC137" s="408">
        <v>0</v>
      </c>
      <c r="BD137" s="408">
        <v>0</v>
      </c>
      <c r="BE137" s="408">
        <v>0</v>
      </c>
      <c r="BF137" s="408"/>
      <c r="BG137" s="408">
        <v>0</v>
      </c>
      <c r="BH137" s="408">
        <v>0</v>
      </c>
      <c r="BI137" s="408">
        <v>12.5</v>
      </c>
      <c r="BJ137" s="408">
        <v>58.62</v>
      </c>
      <c r="BK137" s="408">
        <v>2485.6799999999998</v>
      </c>
      <c r="BL137" s="408">
        <v>1</v>
      </c>
      <c r="BM137" s="408"/>
      <c r="BN137" s="408"/>
      <c r="BO137" s="408"/>
      <c r="BP137" s="408"/>
      <c r="BQ137" s="408"/>
      <c r="BR137" s="408"/>
      <c r="BS137" s="408"/>
      <c r="BT137" s="408"/>
      <c r="BU137" s="408"/>
      <c r="BV137" s="408">
        <v>0</v>
      </c>
      <c r="BW137" s="408"/>
      <c r="BX137" s="408"/>
      <c r="BY137" s="408"/>
      <c r="BZ137" s="408"/>
      <c r="CA137" s="408"/>
      <c r="CB137" s="408"/>
      <c r="CC137" s="408"/>
      <c r="CD137" s="408"/>
      <c r="CE137" s="408"/>
      <c r="CF137" s="408"/>
      <c r="CG137" s="408"/>
      <c r="CH137" s="408"/>
      <c r="CI137" s="408">
        <v>4693.1399999999994</v>
      </c>
      <c r="CJ137" s="408">
        <v>-2491.5900000000011</v>
      </c>
      <c r="CK137" s="408"/>
      <c r="CL137" s="408"/>
      <c r="CM137" s="408"/>
      <c r="CN137" s="408"/>
      <c r="CO137" s="408">
        <v>-2491.5600000000004</v>
      </c>
      <c r="CP137" s="408">
        <v>0</v>
      </c>
      <c r="CQ137" s="408">
        <v>30</v>
      </c>
      <c r="CR137" s="408">
        <v>118.76080016836204</v>
      </c>
      <c r="CS137" s="408">
        <v>19.396657352630115</v>
      </c>
      <c r="CT137" s="408">
        <v>29.676078667615457</v>
      </c>
      <c r="CU137" s="408">
        <v>0</v>
      </c>
      <c r="CV137" s="408">
        <v>0</v>
      </c>
      <c r="CW137" s="408"/>
      <c r="CX137" s="408"/>
      <c r="CY137" s="408"/>
      <c r="CZ137" s="408">
        <v>69.688064148116609</v>
      </c>
      <c r="DA137" s="408">
        <v>0</v>
      </c>
      <c r="DB137" s="408">
        <v>0</v>
      </c>
      <c r="DC137" s="408"/>
      <c r="DD137" s="408"/>
      <c r="DE137" s="408">
        <v>0</v>
      </c>
      <c r="DF137" s="408">
        <v>0</v>
      </c>
      <c r="DG137" s="408">
        <v>0</v>
      </c>
      <c r="DH137" s="408">
        <v>0</v>
      </c>
      <c r="DI137" s="408">
        <v>0</v>
      </c>
      <c r="DJ137" s="408"/>
      <c r="DK137" s="408">
        <v>0</v>
      </c>
      <c r="DL137" s="408">
        <v>0</v>
      </c>
      <c r="DM137" s="408"/>
      <c r="DN137" s="408">
        <v>0</v>
      </c>
      <c r="DO137" s="408">
        <v>0</v>
      </c>
      <c r="DP137" s="408">
        <v>0</v>
      </c>
      <c r="DQ137" s="408">
        <v>0</v>
      </c>
      <c r="DR137" s="408">
        <v>0</v>
      </c>
      <c r="DS137" s="408"/>
      <c r="DT137" s="408"/>
      <c r="DU137" s="408">
        <v>4652.2910982908516</v>
      </c>
      <c r="DV137" s="408"/>
      <c r="DW137" s="408">
        <v>0</v>
      </c>
      <c r="DX137" s="408">
        <v>0</v>
      </c>
      <c r="DY137" s="408">
        <v>-2491.5600000000004</v>
      </c>
      <c r="DZ137" s="408"/>
      <c r="EA137" s="408">
        <v>0</v>
      </c>
      <c r="EB137" s="408"/>
      <c r="EC137" s="408">
        <v>-2609.8873837992032</v>
      </c>
      <c r="ED137" s="408"/>
      <c r="EE137" s="408">
        <v>0</v>
      </c>
      <c r="EF137" s="408">
        <v>0</v>
      </c>
      <c r="EG137" s="408"/>
      <c r="EH137" s="408">
        <v>0</v>
      </c>
      <c r="EI137" s="408">
        <v>0</v>
      </c>
      <c r="EJ137" s="408">
        <v>0</v>
      </c>
      <c r="EK137" s="408">
        <v>0</v>
      </c>
      <c r="EL137" s="408">
        <v>0</v>
      </c>
      <c r="EM137" s="408"/>
      <c r="EN137" s="408"/>
      <c r="EO137" s="408">
        <v>0</v>
      </c>
      <c r="EP137" s="408">
        <v>0</v>
      </c>
      <c r="EQ137" s="408"/>
      <c r="ER137" s="408">
        <v>0</v>
      </c>
      <c r="ES137" s="408"/>
      <c r="ET137" s="408">
        <v>0</v>
      </c>
      <c r="EU137" s="408"/>
      <c r="EV137" s="408">
        <v>238</v>
      </c>
      <c r="EW137" s="408"/>
      <c r="EX137" s="408"/>
      <c r="EY137" s="408"/>
      <c r="EZ137" s="408"/>
      <c r="FA137" s="408">
        <v>0</v>
      </c>
      <c r="FB137" s="408"/>
      <c r="FC137" s="408"/>
      <c r="FD137" s="408"/>
      <c r="FE137" s="408"/>
      <c r="FF137" s="408">
        <v>0</v>
      </c>
      <c r="FG137" s="408">
        <v>0</v>
      </c>
      <c r="FH137" s="408">
        <v>0</v>
      </c>
      <c r="FI137" s="408">
        <v>0</v>
      </c>
    </row>
    <row r="138" spans="1:165">
      <c r="A138" s="408">
        <v>142</v>
      </c>
      <c r="B138" s="408" t="s">
        <v>1036</v>
      </c>
      <c r="C138" s="408" t="s">
        <v>2235</v>
      </c>
      <c r="D138" s="408" t="s">
        <v>2245</v>
      </c>
      <c r="E138" s="408" t="s">
        <v>974</v>
      </c>
      <c r="F138" s="408" t="s">
        <v>1322</v>
      </c>
      <c r="G138" s="408" t="s">
        <v>1322</v>
      </c>
      <c r="H138" s="408" t="s">
        <v>1322</v>
      </c>
      <c r="I138" s="408" t="s">
        <v>1322</v>
      </c>
      <c r="J138" s="408" t="s">
        <v>2236</v>
      </c>
      <c r="K138" s="824">
        <v>44440</v>
      </c>
      <c r="L138" s="408">
        <v>0</v>
      </c>
      <c r="M138" s="408">
        <v>0</v>
      </c>
      <c r="N138" s="408">
        <v>3814.7640000000001</v>
      </c>
      <c r="O138" s="408">
        <v>3814.7640000000001</v>
      </c>
      <c r="P138" s="408">
        <v>3814.7640000000001</v>
      </c>
      <c r="Q138" s="408">
        <v>3814.7640000000001</v>
      </c>
      <c r="R138" s="408"/>
      <c r="S138" s="408">
        <v>581.32000000000005</v>
      </c>
      <c r="T138" s="408">
        <v>209.4</v>
      </c>
      <c r="U138" s="408"/>
      <c r="V138" s="408">
        <v>3016410.1900800006</v>
      </c>
      <c r="W138" s="408">
        <v>3016410.1900800006</v>
      </c>
      <c r="X138" s="408">
        <v>2304384.48948</v>
      </c>
      <c r="Y138" s="408">
        <v>0</v>
      </c>
      <c r="Z138" s="408">
        <v>234752.59407735901</v>
      </c>
      <c r="AA138" s="408">
        <v>0</v>
      </c>
      <c r="AB138" s="408">
        <v>0</v>
      </c>
      <c r="AC138" s="408">
        <v>0</v>
      </c>
      <c r="AD138" s="408">
        <v>283021.70828586048</v>
      </c>
      <c r="AE138" s="408">
        <v>1470230.3092059849</v>
      </c>
      <c r="AF138" s="408">
        <v>788323.82561675378</v>
      </c>
      <c r="AG138" s="408">
        <v>10501.911638645444</v>
      </c>
      <c r="AH138" s="408">
        <v>0</v>
      </c>
      <c r="AI138" s="408">
        <v>0</v>
      </c>
      <c r="AJ138" s="408">
        <v>0</v>
      </c>
      <c r="AK138" s="408">
        <v>0</v>
      </c>
      <c r="AL138" s="408">
        <v>36276.886010162176</v>
      </c>
      <c r="AM138" s="408"/>
      <c r="AN138" s="408">
        <v>6954.1786453086033</v>
      </c>
      <c r="AO138" s="408">
        <v>21742.174079391752</v>
      </c>
      <c r="AP138" s="408">
        <v>32750.473632607522</v>
      </c>
      <c r="AQ138" s="408">
        <v>0</v>
      </c>
      <c r="AR138" s="408">
        <v>0</v>
      </c>
      <c r="AS138" s="408">
        <v>0</v>
      </c>
      <c r="AT138" s="408">
        <v>0</v>
      </c>
      <c r="AU138" s="408">
        <v>0</v>
      </c>
      <c r="AV138" s="408">
        <v>0</v>
      </c>
      <c r="AW138" s="408">
        <v>0</v>
      </c>
      <c r="AX138" s="408">
        <v>0</v>
      </c>
      <c r="AY138" s="408">
        <v>0</v>
      </c>
      <c r="AZ138" s="408">
        <v>0</v>
      </c>
      <c r="BA138" s="408"/>
      <c r="BB138" s="408">
        <v>0</v>
      </c>
      <c r="BC138" s="408">
        <v>0</v>
      </c>
      <c r="BD138" s="408">
        <v>0</v>
      </c>
      <c r="BE138" s="408">
        <v>0</v>
      </c>
      <c r="BF138" s="408">
        <v>0</v>
      </c>
      <c r="BG138" s="408">
        <v>131885.10233123344</v>
      </c>
      <c r="BH138" s="408">
        <v>0</v>
      </c>
      <c r="BI138" s="408">
        <v>4344.13</v>
      </c>
      <c r="BJ138" s="408">
        <v>20702.8</v>
      </c>
      <c r="BK138" s="408">
        <v>271362.81</v>
      </c>
      <c r="BL138" s="408">
        <v>14063</v>
      </c>
      <c r="BM138" s="408"/>
      <c r="BN138" s="408"/>
      <c r="BO138" s="408"/>
      <c r="BP138" s="408"/>
      <c r="BQ138" s="408"/>
      <c r="BR138" s="408">
        <v>276532.24235999968</v>
      </c>
      <c r="BS138" s="408"/>
      <c r="BT138" s="408"/>
      <c r="BU138" s="408"/>
      <c r="BV138" s="408">
        <v>920208.92794798722</v>
      </c>
      <c r="BW138" s="408"/>
      <c r="BX138" s="408"/>
      <c r="BY138" s="408"/>
      <c r="BZ138" s="408"/>
      <c r="CA138" s="408"/>
      <c r="CB138" s="408"/>
      <c r="CC138" s="408"/>
      <c r="CD138" s="408"/>
      <c r="CE138" s="408"/>
      <c r="CF138" s="408"/>
      <c r="CG138" s="408"/>
      <c r="CH138" s="408"/>
      <c r="CI138" s="408">
        <v>2027850.1208000001</v>
      </c>
      <c r="CJ138" s="408">
        <v>-626653.43859999953</v>
      </c>
      <c r="CK138" s="408"/>
      <c r="CL138" s="408"/>
      <c r="CM138" s="408"/>
      <c r="CN138" s="408"/>
      <c r="CO138" s="408">
        <v>-799116.76272000035</v>
      </c>
      <c r="CP138" s="408">
        <v>87091.062119999944</v>
      </c>
      <c r="CQ138" s="408">
        <v>30</v>
      </c>
      <c r="CR138" s="408">
        <v>112702.89440172701</v>
      </c>
      <c r="CS138" s="408">
        <v>2624.9768241096463</v>
      </c>
      <c r="CT138" s="408">
        <v>3954.0311815318055</v>
      </c>
      <c r="CU138" s="408">
        <v>0</v>
      </c>
      <c r="CV138" s="408">
        <v>0</v>
      </c>
      <c r="CW138" s="408">
        <v>0</v>
      </c>
      <c r="CX138" s="408">
        <v>0</v>
      </c>
      <c r="CY138" s="408">
        <v>0</v>
      </c>
      <c r="CZ138" s="408">
        <v>9278.1415224774391</v>
      </c>
      <c r="DA138" s="408">
        <v>0</v>
      </c>
      <c r="DB138" s="408">
        <v>0</v>
      </c>
      <c r="DC138" s="408">
        <v>87064.679694209481</v>
      </c>
      <c r="DD138" s="408">
        <v>0</v>
      </c>
      <c r="DE138" s="408">
        <v>0</v>
      </c>
      <c r="DF138" s="408">
        <v>0</v>
      </c>
      <c r="DG138" s="408">
        <v>14565.758153919742</v>
      </c>
      <c r="DH138" s="408">
        <v>0</v>
      </c>
      <c r="DI138" s="408">
        <v>-4092.2360557806969</v>
      </c>
      <c r="DJ138" s="408"/>
      <c r="DK138" s="408">
        <v>0</v>
      </c>
      <c r="DL138" s="408">
        <v>0</v>
      </c>
      <c r="DM138" s="408">
        <v>0</v>
      </c>
      <c r="DN138" s="408">
        <v>0</v>
      </c>
      <c r="DO138" s="408">
        <v>-531.67302784296044</v>
      </c>
      <c r="DP138" s="408">
        <v>-160.78389089755728</v>
      </c>
      <c r="DQ138" s="408">
        <v>0</v>
      </c>
      <c r="DR138" s="408">
        <v>0</v>
      </c>
      <c r="DS138" s="408"/>
      <c r="DT138" s="408"/>
      <c r="DU138" s="408"/>
      <c r="DV138" s="408">
        <v>1470230.3092059849</v>
      </c>
      <c r="DW138" s="408">
        <v>0</v>
      </c>
      <c r="DX138" s="408">
        <v>0</v>
      </c>
      <c r="DY138" s="408">
        <v>-799116.76272000046</v>
      </c>
      <c r="DZ138" s="408">
        <v>87091.0621199999</v>
      </c>
      <c r="EA138" s="408">
        <v>0</v>
      </c>
      <c r="EB138" s="408">
        <v>0</v>
      </c>
      <c r="EC138" s="408">
        <v>-824784.05890929268</v>
      </c>
      <c r="ED138" s="408">
        <v>0</v>
      </c>
      <c r="EE138" s="408">
        <v>0</v>
      </c>
      <c r="EF138" s="408">
        <v>0</v>
      </c>
      <c r="EG138" s="408">
        <v>0</v>
      </c>
      <c r="EH138" s="408">
        <v>0</v>
      </c>
      <c r="EI138" s="408">
        <v>0</v>
      </c>
      <c r="EJ138" s="408">
        <v>0</v>
      </c>
      <c r="EK138" s="408">
        <v>0</v>
      </c>
      <c r="EL138" s="408">
        <v>0</v>
      </c>
      <c r="EM138" s="408">
        <v>0</v>
      </c>
      <c r="EN138" s="408">
        <v>0</v>
      </c>
      <c r="EO138" s="408">
        <v>0</v>
      </c>
      <c r="EP138" s="408">
        <v>0</v>
      </c>
      <c r="EQ138" s="408">
        <v>0</v>
      </c>
      <c r="ER138" s="408">
        <v>0</v>
      </c>
      <c r="ES138" s="408">
        <v>0</v>
      </c>
      <c r="ET138" s="408">
        <v>0</v>
      </c>
      <c r="EU138" s="408">
        <v>0</v>
      </c>
      <c r="EV138" s="408">
        <v>238</v>
      </c>
      <c r="EW138" s="408">
        <v>0</v>
      </c>
      <c r="EX138" s="408">
        <v>0</v>
      </c>
      <c r="EY138" s="408">
        <v>0</v>
      </c>
      <c r="EZ138" s="408"/>
      <c r="FA138" s="408">
        <v>0</v>
      </c>
      <c r="FB138" s="408"/>
      <c r="FC138" s="408"/>
      <c r="FD138" s="408"/>
      <c r="FE138" s="408"/>
      <c r="FF138" s="408">
        <v>0</v>
      </c>
      <c r="FG138" s="408">
        <v>0</v>
      </c>
      <c r="FH138" s="408">
        <v>0</v>
      </c>
      <c r="FI138" s="408">
        <v>0</v>
      </c>
    </row>
    <row r="139" spans="1:165">
      <c r="A139" s="408">
        <v>143</v>
      </c>
      <c r="B139" s="408" t="s">
        <v>2237</v>
      </c>
      <c r="C139" s="408" t="s">
        <v>2235</v>
      </c>
      <c r="D139" s="408" t="s">
        <v>2245</v>
      </c>
      <c r="E139" s="408" t="s">
        <v>974</v>
      </c>
      <c r="F139" s="408" t="s">
        <v>1322</v>
      </c>
      <c r="G139" s="408" t="s">
        <v>1322</v>
      </c>
      <c r="H139" s="408" t="s">
        <v>1322</v>
      </c>
      <c r="I139" s="408" t="s">
        <v>1322</v>
      </c>
      <c r="J139" s="408" t="s">
        <v>2236</v>
      </c>
      <c r="K139" s="824">
        <v>44440</v>
      </c>
      <c r="L139" s="408">
        <v>0</v>
      </c>
      <c r="M139" s="408">
        <v>0</v>
      </c>
      <c r="N139" s="408">
        <v>-4.6349999999999998</v>
      </c>
      <c r="O139" s="408">
        <v>-4.6349999999999998</v>
      </c>
      <c r="P139" s="408">
        <v>-4.6349999999999998</v>
      </c>
      <c r="Q139" s="408">
        <v>-4.6349999999999998</v>
      </c>
      <c r="R139" s="408"/>
      <c r="S139" s="408">
        <v>581.32000000000005</v>
      </c>
      <c r="T139" s="408">
        <v>209.4</v>
      </c>
      <c r="U139" s="408"/>
      <c r="V139" s="408">
        <v>-3664.9872</v>
      </c>
      <c r="W139" s="408">
        <v>-3664.9872</v>
      </c>
      <c r="X139" s="408">
        <v>-2799.8644499999996</v>
      </c>
      <c r="Y139" s="408">
        <v>0</v>
      </c>
      <c r="Z139" s="408">
        <v>-285.22820115439879</v>
      </c>
      <c r="AA139" s="408">
        <v>0</v>
      </c>
      <c r="AB139" s="408">
        <v>0</v>
      </c>
      <c r="AC139" s="408">
        <v>0</v>
      </c>
      <c r="AD139" s="408">
        <v>-343.87595612860019</v>
      </c>
      <c r="AE139" s="408">
        <v>-1786.3536206092276</v>
      </c>
      <c r="AF139" s="408">
        <v>-957.82620674140082</v>
      </c>
      <c r="AG139" s="408">
        <v>-12.759992609011102</v>
      </c>
      <c r="AH139" s="408">
        <v>0</v>
      </c>
      <c r="AI139" s="408">
        <v>0</v>
      </c>
      <c r="AJ139" s="408">
        <v>0</v>
      </c>
      <c r="AK139" s="408">
        <v>0</v>
      </c>
      <c r="AL139" s="408">
        <v>-44.077003625152614</v>
      </c>
      <c r="AM139" s="408"/>
      <c r="AN139" s="408">
        <v>-8.4494396038668125</v>
      </c>
      <c r="AO139" s="408">
        <v>-26.417093392404027</v>
      </c>
      <c r="AP139" s="408">
        <v>-39.792355513246918</v>
      </c>
      <c r="AQ139" s="408">
        <v>0</v>
      </c>
      <c r="AR139" s="408">
        <v>0</v>
      </c>
      <c r="AS139" s="408">
        <v>0</v>
      </c>
      <c r="AT139" s="408">
        <v>0</v>
      </c>
      <c r="AU139" s="408">
        <v>0</v>
      </c>
      <c r="AV139" s="408">
        <v>0</v>
      </c>
      <c r="AW139" s="408">
        <v>0</v>
      </c>
      <c r="AX139" s="408">
        <v>0</v>
      </c>
      <c r="AY139" s="408">
        <v>0</v>
      </c>
      <c r="AZ139" s="408">
        <v>0</v>
      </c>
      <c r="BA139" s="408"/>
      <c r="BB139" s="408">
        <v>0</v>
      </c>
      <c r="BC139" s="408">
        <v>0</v>
      </c>
      <c r="BD139" s="408">
        <v>0</v>
      </c>
      <c r="BE139" s="408">
        <v>0</v>
      </c>
      <c r="BF139" s="408">
        <v>0</v>
      </c>
      <c r="BG139" s="408">
        <v>-160.24253382522929</v>
      </c>
      <c r="BH139" s="408">
        <v>0</v>
      </c>
      <c r="BI139" s="408">
        <v>-3.02</v>
      </c>
      <c r="BJ139" s="408">
        <v>-14.52</v>
      </c>
      <c r="BK139" s="408">
        <v>-152.72999999999999</v>
      </c>
      <c r="BL139" s="408">
        <v>0</v>
      </c>
      <c r="BM139" s="408"/>
      <c r="BN139" s="408"/>
      <c r="BO139" s="408"/>
      <c r="BP139" s="408"/>
      <c r="BQ139" s="408"/>
      <c r="BR139" s="408">
        <v>-335.99114999999961</v>
      </c>
      <c r="BS139" s="408"/>
      <c r="BT139" s="408"/>
      <c r="BU139" s="408"/>
      <c r="BV139" s="408">
        <v>-1118.0687405666301</v>
      </c>
      <c r="BW139" s="408"/>
      <c r="BX139" s="408"/>
      <c r="BY139" s="408"/>
      <c r="BZ139" s="408"/>
      <c r="CA139" s="408"/>
      <c r="CB139" s="408"/>
      <c r="CC139" s="408"/>
      <c r="CD139" s="408"/>
      <c r="CE139" s="408"/>
      <c r="CF139" s="408"/>
      <c r="CG139" s="408"/>
      <c r="CH139" s="408"/>
      <c r="CI139" s="408">
        <v>-2466.5311999999999</v>
      </c>
      <c r="CJ139" s="408">
        <v>758.70354999999927</v>
      </c>
      <c r="CK139" s="408"/>
      <c r="CL139" s="408"/>
      <c r="CM139" s="408"/>
      <c r="CN139" s="408"/>
      <c r="CO139" s="408">
        <v>970.93980000000033</v>
      </c>
      <c r="CP139" s="408">
        <v>-105.81704999999992</v>
      </c>
      <c r="CQ139" s="408">
        <v>30</v>
      </c>
      <c r="CR139" s="408">
        <v>-136.93584073667603</v>
      </c>
      <c r="CS139" s="408">
        <v>-3.1893893251976309</v>
      </c>
      <c r="CT139" s="408">
        <v>-4.8042118795290918</v>
      </c>
      <c r="CU139" s="408">
        <v>0</v>
      </c>
      <c r="CV139" s="408">
        <v>0</v>
      </c>
      <c r="CW139" s="408">
        <v>0</v>
      </c>
      <c r="CX139" s="408">
        <v>0</v>
      </c>
      <c r="CY139" s="408">
        <v>0</v>
      </c>
      <c r="CZ139" s="408">
        <v>-11.273092111774872</v>
      </c>
      <c r="DA139" s="408">
        <v>0</v>
      </c>
      <c r="DB139" s="408">
        <v>0</v>
      </c>
      <c r="DC139" s="408">
        <v>-105.78499492567846</v>
      </c>
      <c r="DD139" s="408">
        <v>0</v>
      </c>
      <c r="DE139" s="408">
        <v>0</v>
      </c>
      <c r="DF139" s="408">
        <v>0</v>
      </c>
      <c r="DG139" s="408">
        <v>-17.697631896342216</v>
      </c>
      <c r="DH139" s="408">
        <v>0</v>
      </c>
      <c r="DI139" s="408">
        <v>4.9721330385165743</v>
      </c>
      <c r="DJ139" s="408"/>
      <c r="DK139" s="408">
        <v>0</v>
      </c>
      <c r="DL139" s="408">
        <v>0</v>
      </c>
      <c r="DM139" s="408">
        <v>0</v>
      </c>
      <c r="DN139" s="408">
        <v>0</v>
      </c>
      <c r="DO139" s="408">
        <v>0.64599133368464123</v>
      </c>
      <c r="DP139" s="408">
        <v>0.19535502964539297</v>
      </c>
      <c r="DQ139" s="408">
        <v>0</v>
      </c>
      <c r="DR139" s="408">
        <v>0</v>
      </c>
      <c r="DS139" s="408"/>
      <c r="DT139" s="408"/>
      <c r="DU139" s="408"/>
      <c r="DV139" s="408">
        <v>-1786.3536206092276</v>
      </c>
      <c r="DW139" s="408">
        <v>0</v>
      </c>
      <c r="DX139" s="408">
        <v>0</v>
      </c>
      <c r="DY139" s="408">
        <v>970.93980000000033</v>
      </c>
      <c r="DZ139" s="408">
        <v>-105.81704999999988</v>
      </c>
      <c r="EA139" s="408">
        <v>0</v>
      </c>
      <c r="EB139" s="408">
        <v>0</v>
      </c>
      <c r="EC139" s="408">
        <v>1002.1259802820231</v>
      </c>
      <c r="ED139" s="408">
        <v>0</v>
      </c>
      <c r="EE139" s="408">
        <v>0</v>
      </c>
      <c r="EF139" s="408">
        <v>0</v>
      </c>
      <c r="EG139" s="408">
        <v>0</v>
      </c>
      <c r="EH139" s="408">
        <v>0</v>
      </c>
      <c r="EI139" s="408">
        <v>0</v>
      </c>
      <c r="EJ139" s="408">
        <v>0</v>
      </c>
      <c r="EK139" s="408">
        <v>0</v>
      </c>
      <c r="EL139" s="408">
        <v>0</v>
      </c>
      <c r="EM139" s="408">
        <v>0</v>
      </c>
      <c r="EN139" s="408">
        <v>0</v>
      </c>
      <c r="EO139" s="408">
        <v>0</v>
      </c>
      <c r="EP139" s="408">
        <v>0</v>
      </c>
      <c r="EQ139" s="408">
        <v>0</v>
      </c>
      <c r="ER139" s="408">
        <v>0</v>
      </c>
      <c r="ES139" s="408">
        <v>0</v>
      </c>
      <c r="ET139" s="408">
        <v>0</v>
      </c>
      <c r="EU139" s="408">
        <v>0</v>
      </c>
      <c r="EV139" s="408">
        <v>238</v>
      </c>
      <c r="EW139" s="408">
        <v>0</v>
      </c>
      <c r="EX139" s="408">
        <v>0</v>
      </c>
      <c r="EY139" s="408">
        <v>0</v>
      </c>
      <c r="EZ139" s="408"/>
      <c r="FA139" s="408">
        <v>0</v>
      </c>
      <c r="FB139" s="408"/>
      <c r="FC139" s="408"/>
      <c r="FD139" s="408"/>
      <c r="FE139" s="408"/>
      <c r="FF139" s="408">
        <v>0</v>
      </c>
      <c r="FG139" s="408">
        <v>0</v>
      </c>
      <c r="FH139" s="408">
        <v>0</v>
      </c>
      <c r="FI139" s="408">
        <v>0</v>
      </c>
    </row>
    <row r="140" spans="1:165">
      <c r="A140" s="408">
        <v>144</v>
      </c>
      <c r="B140" s="408" t="s">
        <v>2238</v>
      </c>
      <c r="C140" s="408" t="s">
        <v>2235</v>
      </c>
      <c r="D140" s="408" t="s">
        <v>2245</v>
      </c>
      <c r="E140" s="408" t="s">
        <v>974</v>
      </c>
      <c r="F140" s="408" t="s">
        <v>1322</v>
      </c>
      <c r="G140" s="408" t="s">
        <v>1322</v>
      </c>
      <c r="H140" s="408" t="s">
        <v>1322</v>
      </c>
      <c r="I140" s="408" t="s">
        <v>1322</v>
      </c>
      <c r="J140" s="408" t="s">
        <v>2236</v>
      </c>
      <c r="K140" s="824">
        <v>44440</v>
      </c>
      <c r="L140" s="408">
        <v>0</v>
      </c>
      <c r="M140" s="408">
        <v>0</v>
      </c>
      <c r="N140" s="408">
        <v>115.532</v>
      </c>
      <c r="O140" s="408">
        <v>115.532</v>
      </c>
      <c r="P140" s="408">
        <v>115.532</v>
      </c>
      <c r="Q140" s="408">
        <v>115.532</v>
      </c>
      <c r="R140" s="408"/>
      <c r="S140" s="408">
        <v>581.32000000000005</v>
      </c>
      <c r="T140" s="408">
        <v>209.4</v>
      </c>
      <c r="U140" s="408"/>
      <c r="V140" s="408">
        <v>91353.463040000002</v>
      </c>
      <c r="W140" s="408">
        <v>91353.463040000002</v>
      </c>
      <c r="X140" s="408">
        <v>69789.415240000002</v>
      </c>
      <c r="Y140" s="408">
        <v>0</v>
      </c>
      <c r="Z140" s="408">
        <v>7109.5975265954694</v>
      </c>
      <c r="AA140" s="408">
        <v>0</v>
      </c>
      <c r="AB140" s="408">
        <v>0</v>
      </c>
      <c r="AC140" s="408">
        <v>0</v>
      </c>
      <c r="AD140" s="408">
        <v>8571.4513405500402</v>
      </c>
      <c r="AE140" s="408">
        <v>44526.64649325249</v>
      </c>
      <c r="AF140" s="408">
        <v>23874.773962728701</v>
      </c>
      <c r="AG140" s="408">
        <v>318.05554824256109</v>
      </c>
      <c r="AH140" s="408">
        <v>0</v>
      </c>
      <c r="AI140" s="408">
        <v>0</v>
      </c>
      <c r="AJ140" s="408">
        <v>0</v>
      </c>
      <c r="AK140" s="408">
        <v>0</v>
      </c>
      <c r="AL140" s="408">
        <v>1098.6632972645375</v>
      </c>
      <c r="AM140" s="408"/>
      <c r="AN140" s="408">
        <v>210.61071333634101</v>
      </c>
      <c r="AO140" s="408">
        <v>658.47241290425507</v>
      </c>
      <c r="AP140" s="408">
        <v>991.86416767129288</v>
      </c>
      <c r="AQ140" s="408">
        <v>0</v>
      </c>
      <c r="AR140" s="408">
        <v>0</v>
      </c>
      <c r="AS140" s="408">
        <v>0</v>
      </c>
      <c r="AT140" s="408">
        <v>0</v>
      </c>
      <c r="AU140" s="408">
        <v>0</v>
      </c>
      <c r="AV140" s="408">
        <v>0</v>
      </c>
      <c r="AW140" s="408">
        <v>0</v>
      </c>
      <c r="AX140" s="408">
        <v>0</v>
      </c>
      <c r="AY140" s="408">
        <v>0</v>
      </c>
      <c r="AZ140" s="408">
        <v>0</v>
      </c>
      <c r="BA140" s="408"/>
      <c r="BB140" s="408">
        <v>0</v>
      </c>
      <c r="BC140" s="408">
        <v>0</v>
      </c>
      <c r="BD140" s="408">
        <v>0</v>
      </c>
      <c r="BE140" s="408">
        <v>0</v>
      </c>
      <c r="BF140" s="408">
        <v>0</v>
      </c>
      <c r="BG140" s="408">
        <v>3994.2050524048309</v>
      </c>
      <c r="BH140" s="408">
        <v>0</v>
      </c>
      <c r="BI140" s="408">
        <v>125.31</v>
      </c>
      <c r="BJ140" s="408">
        <v>600.17999999999995</v>
      </c>
      <c r="BK140" s="408">
        <v>6392.1</v>
      </c>
      <c r="BL140" s="408">
        <v>522</v>
      </c>
      <c r="BM140" s="408"/>
      <c r="BN140" s="408"/>
      <c r="BO140" s="408"/>
      <c r="BP140" s="408"/>
      <c r="BQ140" s="408"/>
      <c r="BR140" s="408">
        <v>8374.9146799999908</v>
      </c>
      <c r="BS140" s="408"/>
      <c r="BT140" s="408"/>
      <c r="BU140" s="408"/>
      <c r="BV140" s="408">
        <v>27868.979015133533</v>
      </c>
      <c r="BW140" s="408"/>
      <c r="BX140" s="408"/>
      <c r="BY140" s="408"/>
      <c r="BZ140" s="408"/>
      <c r="CA140" s="408"/>
      <c r="CB140" s="408"/>
      <c r="CC140" s="408"/>
      <c r="CD140" s="408"/>
      <c r="CE140" s="408"/>
      <c r="CF140" s="408"/>
      <c r="CG140" s="408"/>
      <c r="CH140" s="408"/>
      <c r="CI140" s="408">
        <v>61413.437400000003</v>
      </c>
      <c r="CJ140" s="408">
        <v>-18979.534799999987</v>
      </c>
      <c r="CK140" s="408"/>
      <c r="CL140" s="408"/>
      <c r="CM140" s="408"/>
      <c r="CN140" s="408"/>
      <c r="CO140" s="408">
        <v>-24201.643360000009</v>
      </c>
      <c r="CP140" s="408">
        <v>2637.5955599999979</v>
      </c>
      <c r="CQ140" s="408">
        <v>30</v>
      </c>
      <c r="CR140" s="408">
        <v>3413.2624707636787</v>
      </c>
      <c r="CS140" s="408">
        <v>79.498711438777264</v>
      </c>
      <c r="CT140" s="408">
        <v>119.74977494406801</v>
      </c>
      <c r="CU140" s="408">
        <v>0</v>
      </c>
      <c r="CV140" s="408">
        <v>0</v>
      </c>
      <c r="CW140" s="408">
        <v>0</v>
      </c>
      <c r="CX140" s="408">
        <v>0</v>
      </c>
      <c r="CY140" s="408">
        <v>0</v>
      </c>
      <c r="CZ140" s="408">
        <v>280.99306965643518</v>
      </c>
      <c r="DA140" s="408">
        <v>0</v>
      </c>
      <c r="DB140" s="408">
        <v>0</v>
      </c>
      <c r="DC140" s="408">
        <v>2636.7965552866226</v>
      </c>
      <c r="DD140" s="408">
        <v>0</v>
      </c>
      <c r="DE140" s="408">
        <v>0</v>
      </c>
      <c r="DF140" s="408">
        <v>0</v>
      </c>
      <c r="DG140" s="408">
        <v>441.13113446563329</v>
      </c>
      <c r="DH140" s="408">
        <v>0</v>
      </c>
      <c r="DI140" s="408">
        <v>-123.93537739069961</v>
      </c>
      <c r="DJ140" s="408"/>
      <c r="DK140" s="408">
        <v>0</v>
      </c>
      <c r="DL140" s="408">
        <v>0</v>
      </c>
      <c r="DM140" s="408">
        <v>0</v>
      </c>
      <c r="DN140" s="408">
        <v>0</v>
      </c>
      <c r="DO140" s="408">
        <v>-16.101978589698547</v>
      </c>
      <c r="DP140" s="408">
        <v>-4.8694190474631398</v>
      </c>
      <c r="DQ140" s="408">
        <v>0</v>
      </c>
      <c r="DR140" s="408">
        <v>0</v>
      </c>
      <c r="DS140" s="408"/>
      <c r="DT140" s="408"/>
      <c r="DU140" s="408"/>
      <c r="DV140" s="408">
        <v>44526.64649325249</v>
      </c>
      <c r="DW140" s="408">
        <v>0</v>
      </c>
      <c r="DX140" s="408">
        <v>0</v>
      </c>
      <c r="DY140" s="408">
        <v>-24201.643360000002</v>
      </c>
      <c r="DZ140" s="408">
        <v>2637.5955599999979</v>
      </c>
      <c r="EA140" s="408">
        <v>0</v>
      </c>
      <c r="EB140" s="408">
        <v>0</v>
      </c>
      <c r="EC140" s="408">
        <v>-24978.990022425609</v>
      </c>
      <c r="ED140" s="408">
        <v>0</v>
      </c>
      <c r="EE140" s="408">
        <v>0</v>
      </c>
      <c r="EF140" s="408">
        <v>0</v>
      </c>
      <c r="EG140" s="408">
        <v>0</v>
      </c>
      <c r="EH140" s="408">
        <v>0</v>
      </c>
      <c r="EI140" s="408">
        <v>0</v>
      </c>
      <c r="EJ140" s="408">
        <v>0</v>
      </c>
      <c r="EK140" s="408">
        <v>0</v>
      </c>
      <c r="EL140" s="408">
        <v>0</v>
      </c>
      <c r="EM140" s="408">
        <v>0</v>
      </c>
      <c r="EN140" s="408">
        <v>0</v>
      </c>
      <c r="EO140" s="408">
        <v>0</v>
      </c>
      <c r="EP140" s="408">
        <v>0</v>
      </c>
      <c r="EQ140" s="408">
        <v>0</v>
      </c>
      <c r="ER140" s="408">
        <v>0</v>
      </c>
      <c r="ES140" s="408">
        <v>0</v>
      </c>
      <c r="ET140" s="408">
        <v>0</v>
      </c>
      <c r="EU140" s="408">
        <v>0</v>
      </c>
      <c r="EV140" s="408">
        <v>238</v>
      </c>
      <c r="EW140" s="408">
        <v>0</v>
      </c>
      <c r="EX140" s="408">
        <v>0</v>
      </c>
      <c r="EY140" s="408">
        <v>0</v>
      </c>
      <c r="EZ140" s="408"/>
      <c r="FA140" s="408">
        <v>0</v>
      </c>
      <c r="FB140" s="408"/>
      <c r="FC140" s="408"/>
      <c r="FD140" s="408"/>
      <c r="FE140" s="408"/>
      <c r="FF140" s="408">
        <v>0</v>
      </c>
      <c r="FG140" s="408">
        <v>0</v>
      </c>
      <c r="FH140" s="408">
        <v>0</v>
      </c>
      <c r="FI140" s="408">
        <v>0</v>
      </c>
    </row>
    <row r="141" spans="1:165">
      <c r="A141" s="408">
        <v>145</v>
      </c>
      <c r="B141" s="408" t="s">
        <v>1036</v>
      </c>
      <c r="C141" s="408" t="s">
        <v>2243</v>
      </c>
      <c r="D141" s="408" t="s">
        <v>597</v>
      </c>
      <c r="E141" s="408" t="s">
        <v>974</v>
      </c>
      <c r="F141" s="408" t="s">
        <v>1322</v>
      </c>
      <c r="G141" s="408" t="s">
        <v>1322</v>
      </c>
      <c r="H141" s="408" t="s">
        <v>1322</v>
      </c>
      <c r="I141" s="408" t="s">
        <v>973</v>
      </c>
      <c r="J141" s="408" t="s">
        <v>2236</v>
      </c>
      <c r="K141" s="824">
        <v>44440</v>
      </c>
      <c r="L141" s="408">
        <v>0</v>
      </c>
      <c r="M141" s="408">
        <v>0</v>
      </c>
      <c r="N141" s="408">
        <v>14.518000000000001</v>
      </c>
      <c r="O141" s="408">
        <v>13.937279999999999</v>
      </c>
      <c r="P141" s="408">
        <v>14.518000000000001</v>
      </c>
      <c r="Q141" s="408">
        <v>13.937279999999999</v>
      </c>
      <c r="R141" s="408"/>
      <c r="S141" s="408">
        <v>1614.19</v>
      </c>
      <c r="T141" s="408">
        <v>209.4</v>
      </c>
      <c r="U141" s="408"/>
      <c r="V141" s="408">
        <v>26474.879620000003</v>
      </c>
      <c r="W141" s="408">
        <v>26474.879620000003</v>
      </c>
      <c r="X141" s="408">
        <v>17597.993699999999</v>
      </c>
      <c r="Y141" s="408">
        <v>0</v>
      </c>
      <c r="Z141" s="408">
        <v>777.2643864493682</v>
      </c>
      <c r="AA141" s="408">
        <v>0</v>
      </c>
      <c r="AB141" s="408">
        <v>0</v>
      </c>
      <c r="AC141" s="408">
        <v>0</v>
      </c>
      <c r="AD141" s="408">
        <v>4521.1663838141485</v>
      </c>
      <c r="AE141" s="408">
        <v>16882.061993154784</v>
      </c>
      <c r="AF141" s="408">
        <v>3000.1555273941012</v>
      </c>
      <c r="AG141" s="408">
        <v>39.967545350080513</v>
      </c>
      <c r="AH141" s="408">
        <v>0</v>
      </c>
      <c r="AI141" s="408">
        <v>0</v>
      </c>
      <c r="AJ141" s="408">
        <v>0</v>
      </c>
      <c r="AK141" s="408">
        <v>0</v>
      </c>
      <c r="AL141" s="408">
        <v>138.06039668391924</v>
      </c>
      <c r="AM141" s="408"/>
      <c r="AN141" s="408">
        <v>19.277643670920888</v>
      </c>
      <c r="AO141" s="408">
        <v>351.26192656177761</v>
      </c>
      <c r="AP141" s="408">
        <v>523.20990226688718</v>
      </c>
      <c r="AQ141" s="408">
        <v>0</v>
      </c>
      <c r="AR141" s="408">
        <v>0</v>
      </c>
      <c r="AS141" s="408">
        <v>0</v>
      </c>
      <c r="AT141" s="408">
        <v>0</v>
      </c>
      <c r="AU141" s="408">
        <v>0</v>
      </c>
      <c r="AV141" s="408">
        <v>0</v>
      </c>
      <c r="AW141" s="408">
        <v>0</v>
      </c>
      <c r="AX141" s="408">
        <v>0</v>
      </c>
      <c r="AY141" s="408">
        <v>0</v>
      </c>
      <c r="AZ141" s="408">
        <v>0</v>
      </c>
      <c r="BA141" s="408"/>
      <c r="BB141" s="408">
        <v>0</v>
      </c>
      <c r="BC141" s="408">
        <v>0</v>
      </c>
      <c r="BD141" s="408">
        <v>0</v>
      </c>
      <c r="BE141" s="408">
        <v>0</v>
      </c>
      <c r="BF141" s="408">
        <v>0</v>
      </c>
      <c r="BG141" s="408">
        <v>222.4801670922007</v>
      </c>
      <c r="BH141" s="408">
        <v>0</v>
      </c>
      <c r="BI141" s="408">
        <v>0</v>
      </c>
      <c r="BJ141" s="408">
        <v>0</v>
      </c>
      <c r="BK141" s="408">
        <v>0</v>
      </c>
      <c r="BL141" s="408">
        <v>0</v>
      </c>
      <c r="BM141" s="408"/>
      <c r="BN141" s="408"/>
      <c r="BO141" s="408"/>
      <c r="BP141" s="408"/>
      <c r="BQ141" s="408"/>
      <c r="BR141" s="408">
        <v>703.91974800000139</v>
      </c>
      <c r="BS141" s="408"/>
      <c r="BT141" s="408"/>
      <c r="BU141" s="408"/>
      <c r="BV141" s="408">
        <v>3222.6356944863019</v>
      </c>
      <c r="BW141" s="408"/>
      <c r="BX141" s="408"/>
      <c r="BY141" s="408"/>
      <c r="BZ141" s="408"/>
      <c r="CA141" s="408"/>
      <c r="CB141" s="408"/>
      <c r="CC141" s="408"/>
      <c r="CD141" s="408"/>
      <c r="CE141" s="408"/>
      <c r="CF141" s="408"/>
      <c r="CG141" s="408"/>
      <c r="CH141" s="408"/>
      <c r="CI141" s="408">
        <v>16897.370999999999</v>
      </c>
      <c r="CJ141" s="408">
        <v>-8518.5434351999975</v>
      </c>
      <c r="CK141" s="408"/>
      <c r="CL141" s="408"/>
      <c r="CM141" s="408"/>
      <c r="CN141" s="408"/>
      <c r="CO141" s="408">
        <v>-9208.3318600000021</v>
      </c>
      <c r="CP141" s="408">
        <v>331.44593999999978</v>
      </c>
      <c r="CQ141" s="408">
        <v>30</v>
      </c>
      <c r="CR141" s="408">
        <v>593.68999393689046</v>
      </c>
      <c r="CS141" s="408">
        <v>42.408565631470765</v>
      </c>
      <c r="CT141" s="408">
        <v>63.168193878874263</v>
      </c>
      <c r="CU141" s="408">
        <v>0</v>
      </c>
      <c r="CV141" s="408">
        <v>0</v>
      </c>
      <c r="CW141" s="408">
        <v>0</v>
      </c>
      <c r="CX141" s="408">
        <v>0</v>
      </c>
      <c r="CY141" s="408">
        <v>0</v>
      </c>
      <c r="CZ141" s="408">
        <v>148.21485535423199</v>
      </c>
      <c r="DA141" s="408">
        <v>0</v>
      </c>
      <c r="DB141" s="408">
        <v>0</v>
      </c>
      <c r="DC141" s="408">
        <v>331.34553534649422</v>
      </c>
      <c r="DD141" s="408">
        <v>0</v>
      </c>
      <c r="DE141" s="408">
        <v>0</v>
      </c>
      <c r="DF141" s="408">
        <v>0</v>
      </c>
      <c r="DG141" s="408">
        <v>24.571329518097343</v>
      </c>
      <c r="DH141" s="408">
        <v>0</v>
      </c>
      <c r="DI141" s="408">
        <v>-13.549368259821449</v>
      </c>
      <c r="DJ141" s="408"/>
      <c r="DK141" s="408">
        <v>0</v>
      </c>
      <c r="DL141" s="408">
        <v>0</v>
      </c>
      <c r="DM141" s="408">
        <v>0</v>
      </c>
      <c r="DN141" s="408">
        <v>0</v>
      </c>
      <c r="DO141" s="408">
        <v>-2.0234093165983893</v>
      </c>
      <c r="DP141" s="408">
        <v>-0.44570821585653775</v>
      </c>
      <c r="DQ141" s="408">
        <v>0</v>
      </c>
      <c r="DR141" s="408">
        <v>0</v>
      </c>
      <c r="DS141" s="408"/>
      <c r="DT141" s="408"/>
      <c r="DU141" s="408"/>
      <c r="DV141" s="408">
        <v>16882.061993154784</v>
      </c>
      <c r="DW141" s="408">
        <v>0</v>
      </c>
      <c r="DX141" s="408">
        <v>0</v>
      </c>
      <c r="DY141" s="408">
        <v>-9208.3318600000021</v>
      </c>
      <c r="DZ141" s="408">
        <v>331.44593999999961</v>
      </c>
      <c r="EA141" s="408">
        <v>0</v>
      </c>
      <c r="EB141" s="408">
        <v>0</v>
      </c>
      <c r="EC141" s="408">
        <v>-9470.6628793365126</v>
      </c>
      <c r="ED141" s="408">
        <v>0</v>
      </c>
      <c r="EE141" s="408">
        <v>0</v>
      </c>
      <c r="EF141" s="408">
        <v>0</v>
      </c>
      <c r="EG141" s="408">
        <v>0</v>
      </c>
      <c r="EH141" s="408">
        <v>0</v>
      </c>
      <c r="EI141" s="408">
        <v>0</v>
      </c>
      <c r="EJ141" s="408">
        <v>0</v>
      </c>
      <c r="EK141" s="408">
        <v>0</v>
      </c>
      <c r="EL141" s="408">
        <v>0</v>
      </c>
      <c r="EM141" s="408">
        <v>0</v>
      </c>
      <c r="EN141" s="408">
        <v>0</v>
      </c>
      <c r="EO141" s="408">
        <v>0</v>
      </c>
      <c r="EP141" s="408">
        <v>0</v>
      </c>
      <c r="EQ141" s="408">
        <v>0</v>
      </c>
      <c r="ER141" s="408">
        <v>0</v>
      </c>
      <c r="ES141" s="408">
        <v>0</v>
      </c>
      <c r="ET141" s="408">
        <v>0</v>
      </c>
      <c r="EU141" s="408">
        <v>0</v>
      </c>
      <c r="EV141" s="408">
        <v>238</v>
      </c>
      <c r="EW141" s="408">
        <v>0</v>
      </c>
      <c r="EX141" s="408">
        <v>0</v>
      </c>
      <c r="EY141" s="408">
        <v>0</v>
      </c>
      <c r="EZ141" s="408"/>
      <c r="FA141" s="408">
        <v>0</v>
      </c>
      <c r="FB141" s="408"/>
      <c r="FC141" s="408"/>
      <c r="FD141" s="408"/>
      <c r="FE141" s="408"/>
      <c r="FF141" s="408">
        <v>0</v>
      </c>
      <c r="FG141" s="408">
        <v>0</v>
      </c>
      <c r="FH141" s="408">
        <v>0</v>
      </c>
      <c r="FI141" s="408">
        <v>0</v>
      </c>
    </row>
    <row r="142" spans="1:165">
      <c r="A142" s="408">
        <v>146</v>
      </c>
      <c r="B142" s="408" t="s">
        <v>1036</v>
      </c>
      <c r="C142" s="408" t="s">
        <v>2243</v>
      </c>
      <c r="D142" s="408" t="s">
        <v>597</v>
      </c>
      <c r="E142" s="408" t="s">
        <v>974</v>
      </c>
      <c r="F142" s="408" t="s">
        <v>1322</v>
      </c>
      <c r="G142" s="408" t="s">
        <v>1322</v>
      </c>
      <c r="H142" s="408" t="s">
        <v>1322</v>
      </c>
      <c r="I142" s="408" t="s">
        <v>2244</v>
      </c>
      <c r="J142" s="408" t="s">
        <v>2236</v>
      </c>
      <c r="K142" s="824">
        <v>44440</v>
      </c>
      <c r="L142" s="408">
        <v>0</v>
      </c>
      <c r="M142" s="408">
        <v>0</v>
      </c>
      <c r="N142" s="408">
        <v>139.83799999999999</v>
      </c>
      <c r="O142" s="408">
        <v>134.24448000000001</v>
      </c>
      <c r="P142" s="408">
        <v>139.83799999999999</v>
      </c>
      <c r="Q142" s="408">
        <v>134.24448000000001</v>
      </c>
      <c r="R142" s="408"/>
      <c r="S142" s="408">
        <v>79.7</v>
      </c>
      <c r="T142" s="408">
        <v>209.4</v>
      </c>
      <c r="U142" s="408"/>
      <c r="V142" s="408">
        <v>40427.165800000002</v>
      </c>
      <c r="W142" s="408">
        <v>40427.165800000002</v>
      </c>
      <c r="X142" s="408">
        <v>43702.171759999997</v>
      </c>
      <c r="Y142" s="408">
        <v>0</v>
      </c>
      <c r="Z142" s="408">
        <v>7486.6439779795246</v>
      </c>
      <c r="AA142" s="408">
        <v>0</v>
      </c>
      <c r="AB142" s="408">
        <v>0</v>
      </c>
      <c r="AC142" s="408">
        <v>0</v>
      </c>
      <c r="AD142" s="408">
        <v>0</v>
      </c>
      <c r="AE142" s="408">
        <v>0</v>
      </c>
      <c r="AF142" s="408">
        <v>28897.626989925353</v>
      </c>
      <c r="AG142" s="408">
        <v>384.96911466211316</v>
      </c>
      <c r="AH142" s="408">
        <v>0</v>
      </c>
      <c r="AI142" s="408">
        <v>0</v>
      </c>
      <c r="AJ142" s="408">
        <v>0</v>
      </c>
      <c r="AK142" s="408">
        <v>0</v>
      </c>
      <c r="AL142" s="408">
        <v>1329.8036748509367</v>
      </c>
      <c r="AM142" s="408"/>
      <c r="AN142" s="408">
        <v>185.68309241315848</v>
      </c>
      <c r="AO142" s="408">
        <v>0</v>
      </c>
      <c r="AP142" s="408">
        <v>0</v>
      </c>
      <c r="AQ142" s="408">
        <v>0</v>
      </c>
      <c r="AR142" s="408">
        <v>0</v>
      </c>
      <c r="AS142" s="408">
        <v>0</v>
      </c>
      <c r="AT142" s="408">
        <v>0</v>
      </c>
      <c r="AU142" s="408">
        <v>0</v>
      </c>
      <c r="AV142" s="408">
        <v>0</v>
      </c>
      <c r="AW142" s="408">
        <v>0</v>
      </c>
      <c r="AX142" s="408">
        <v>0</v>
      </c>
      <c r="AY142" s="408">
        <v>0</v>
      </c>
      <c r="AZ142" s="408">
        <v>0</v>
      </c>
      <c r="BA142" s="408"/>
      <c r="BB142" s="408">
        <v>0</v>
      </c>
      <c r="BC142" s="408">
        <v>0</v>
      </c>
      <c r="BD142" s="408">
        <v>0</v>
      </c>
      <c r="BE142" s="408">
        <v>0</v>
      </c>
      <c r="BF142" s="408">
        <v>0</v>
      </c>
      <c r="BG142" s="408">
        <v>2142.9385318803661</v>
      </c>
      <c r="BH142" s="408">
        <v>0</v>
      </c>
      <c r="BI142" s="408">
        <v>0</v>
      </c>
      <c r="BJ142" s="408">
        <v>0</v>
      </c>
      <c r="BK142" s="408">
        <v>0</v>
      </c>
      <c r="BL142" s="408">
        <v>0</v>
      </c>
      <c r="BM142" s="408"/>
      <c r="BN142" s="408"/>
      <c r="BO142" s="408"/>
      <c r="BP142" s="408"/>
      <c r="BQ142" s="408"/>
      <c r="BR142" s="408">
        <v>1748.086870399995</v>
      </c>
      <c r="BS142" s="408"/>
      <c r="BT142" s="408"/>
      <c r="BU142" s="408"/>
      <c r="BV142" s="408">
        <v>31040.565521805718</v>
      </c>
      <c r="BW142" s="408"/>
      <c r="BX142" s="408"/>
      <c r="BY142" s="408"/>
      <c r="BZ142" s="408"/>
      <c r="CA142" s="408"/>
      <c r="CB142" s="408"/>
      <c r="CC142" s="408"/>
      <c r="CD142" s="408"/>
      <c r="CE142" s="408"/>
      <c r="CF142" s="408"/>
      <c r="CG142" s="408"/>
      <c r="CH142" s="408"/>
      <c r="CI142" s="408">
        <v>41952.684800000003</v>
      </c>
      <c r="CJ142" s="408">
        <v>3142.575632</v>
      </c>
      <c r="CK142" s="408"/>
      <c r="CL142" s="408"/>
      <c r="CM142" s="408"/>
      <c r="CN142" s="408"/>
      <c r="CO142" s="408">
        <v>82.504420000000479</v>
      </c>
      <c r="CP142" s="408">
        <v>3192.5015399999975</v>
      </c>
      <c r="CQ142" s="408">
        <v>30</v>
      </c>
      <c r="CR142" s="408">
        <v>3273.9157964398983</v>
      </c>
      <c r="CS142" s="408">
        <v>0</v>
      </c>
      <c r="CT142" s="408">
        <v>0</v>
      </c>
      <c r="CU142" s="408">
        <v>0</v>
      </c>
      <c r="CV142" s="408">
        <v>0</v>
      </c>
      <c r="CW142" s="408">
        <v>0</v>
      </c>
      <c r="CX142" s="408">
        <v>0</v>
      </c>
      <c r="CY142" s="408">
        <v>0</v>
      </c>
      <c r="CZ142" s="408">
        <v>0</v>
      </c>
      <c r="DA142" s="408">
        <v>0</v>
      </c>
      <c r="DB142" s="408">
        <v>0</v>
      </c>
      <c r="DC142" s="408">
        <v>3191.5344380619281</v>
      </c>
      <c r="DD142" s="408">
        <v>0</v>
      </c>
      <c r="DE142" s="408">
        <v>0</v>
      </c>
      <c r="DF142" s="408">
        <v>0</v>
      </c>
      <c r="DG142" s="408">
        <v>236.67210202174556</v>
      </c>
      <c r="DH142" s="408">
        <v>0</v>
      </c>
      <c r="DI142" s="408">
        <v>-130.50809744571598</v>
      </c>
      <c r="DJ142" s="408"/>
      <c r="DK142" s="408">
        <v>0</v>
      </c>
      <c r="DL142" s="408">
        <v>0</v>
      </c>
      <c r="DM142" s="408">
        <v>0</v>
      </c>
      <c r="DN142" s="408">
        <v>0</v>
      </c>
      <c r="DO142" s="408">
        <v>-19.489565505888322</v>
      </c>
      <c r="DP142" s="408">
        <v>-4.2930806921715146</v>
      </c>
      <c r="DQ142" s="408">
        <v>0</v>
      </c>
      <c r="DR142" s="408">
        <v>0</v>
      </c>
      <c r="DS142" s="408"/>
      <c r="DT142" s="408"/>
      <c r="DU142" s="408"/>
      <c r="DV142" s="408">
        <v>0</v>
      </c>
      <c r="DW142" s="408">
        <v>0</v>
      </c>
      <c r="DX142" s="408">
        <v>0</v>
      </c>
      <c r="DY142" s="408">
        <v>82.504420000001119</v>
      </c>
      <c r="DZ142" s="408">
        <v>3192.5015399999975</v>
      </c>
      <c r="EA142" s="408">
        <v>0</v>
      </c>
      <c r="EB142" s="408">
        <v>0</v>
      </c>
      <c r="EC142" s="408">
        <v>0</v>
      </c>
      <c r="ED142" s="408">
        <v>0</v>
      </c>
      <c r="EE142" s="408">
        <v>0</v>
      </c>
      <c r="EF142" s="408">
        <v>0</v>
      </c>
      <c r="EG142" s="408">
        <v>0</v>
      </c>
      <c r="EH142" s="408">
        <v>0</v>
      </c>
      <c r="EI142" s="408">
        <v>0</v>
      </c>
      <c r="EJ142" s="408">
        <v>0</v>
      </c>
      <c r="EK142" s="408">
        <v>0</v>
      </c>
      <c r="EL142" s="408">
        <v>0</v>
      </c>
      <c r="EM142" s="408">
        <v>0</v>
      </c>
      <c r="EN142" s="408">
        <v>0</v>
      </c>
      <c r="EO142" s="408">
        <v>0</v>
      </c>
      <c r="EP142" s="408">
        <v>0</v>
      </c>
      <c r="EQ142" s="408">
        <v>0</v>
      </c>
      <c r="ER142" s="408">
        <v>0</v>
      </c>
      <c r="ES142" s="408">
        <v>0</v>
      </c>
      <c r="ET142" s="408">
        <v>0</v>
      </c>
      <c r="EU142" s="408">
        <v>0</v>
      </c>
      <c r="EV142" s="408">
        <v>238</v>
      </c>
      <c r="EW142" s="408">
        <v>0</v>
      </c>
      <c r="EX142" s="408">
        <v>0</v>
      </c>
      <c r="EY142" s="408">
        <v>0</v>
      </c>
      <c r="EZ142" s="408"/>
      <c r="FA142" s="408">
        <v>0</v>
      </c>
      <c r="FB142" s="408"/>
      <c r="FC142" s="408"/>
      <c r="FD142" s="408"/>
      <c r="FE142" s="408"/>
      <c r="FF142" s="408">
        <v>0</v>
      </c>
      <c r="FG142" s="408">
        <v>0</v>
      </c>
      <c r="FH142" s="408">
        <v>0</v>
      </c>
      <c r="FI142" s="408">
        <v>0</v>
      </c>
    </row>
    <row r="143" spans="1:165">
      <c r="A143" s="408">
        <v>147</v>
      </c>
      <c r="B143" s="408" t="s">
        <v>1036</v>
      </c>
      <c r="C143" s="408" t="s">
        <v>2243</v>
      </c>
      <c r="D143" s="408" t="s">
        <v>597</v>
      </c>
      <c r="E143" s="408" t="s">
        <v>974</v>
      </c>
      <c r="F143" s="408" t="s">
        <v>1322</v>
      </c>
      <c r="G143" s="408" t="s">
        <v>1322</v>
      </c>
      <c r="H143" s="408" t="s">
        <v>1322</v>
      </c>
      <c r="I143" s="408" t="s">
        <v>1322</v>
      </c>
      <c r="J143" s="408" t="s">
        <v>2236</v>
      </c>
      <c r="K143" s="824">
        <v>44440</v>
      </c>
      <c r="L143" s="408">
        <v>1086</v>
      </c>
      <c r="M143" s="408">
        <v>1042.56</v>
      </c>
      <c r="N143" s="408">
        <v>0</v>
      </c>
      <c r="O143" s="408">
        <v>0</v>
      </c>
      <c r="P143" s="408">
        <v>0</v>
      </c>
      <c r="Q143" s="408">
        <v>0</v>
      </c>
      <c r="R143" s="408">
        <v>44.35</v>
      </c>
      <c r="S143" s="408"/>
      <c r="T143" s="408"/>
      <c r="U143" s="408">
        <v>48164.1</v>
      </c>
      <c r="V143" s="408"/>
      <c r="W143" s="408">
        <v>48164.1</v>
      </c>
      <c r="X143" s="408">
        <v>31461.42</v>
      </c>
      <c r="Y143" s="408">
        <v>0</v>
      </c>
      <c r="Z143" s="408">
        <v>0</v>
      </c>
      <c r="AA143" s="408">
        <v>0</v>
      </c>
      <c r="AB143" s="408">
        <v>0</v>
      </c>
      <c r="AC143" s="408">
        <v>0</v>
      </c>
      <c r="AD143" s="408">
        <v>14250.561165260635</v>
      </c>
      <c r="AE143" s="408">
        <v>31187.581066320156</v>
      </c>
      <c r="AF143" s="408"/>
      <c r="AG143" s="408"/>
      <c r="AH143" s="408"/>
      <c r="AI143" s="408">
        <v>0</v>
      </c>
      <c r="AJ143" s="408">
        <v>0</v>
      </c>
      <c r="AK143" s="408">
        <v>0</v>
      </c>
      <c r="AL143" s="408">
        <v>0</v>
      </c>
      <c r="AM143" s="408"/>
      <c r="AN143" s="408">
        <v>0</v>
      </c>
      <c r="AO143" s="408">
        <v>1077.0086711438103</v>
      </c>
      <c r="AP143" s="408">
        <v>1647.7784532412509</v>
      </c>
      <c r="AQ143" s="408">
        <v>0</v>
      </c>
      <c r="AR143" s="408">
        <v>0</v>
      </c>
      <c r="AS143" s="408"/>
      <c r="AT143" s="408"/>
      <c r="AU143" s="408">
        <v>0</v>
      </c>
      <c r="AV143" s="408">
        <v>0</v>
      </c>
      <c r="AW143" s="408">
        <v>0</v>
      </c>
      <c r="AX143" s="408"/>
      <c r="AY143" s="408"/>
      <c r="AZ143" s="408">
        <v>0</v>
      </c>
      <c r="BA143" s="408"/>
      <c r="BB143" s="408">
        <v>0</v>
      </c>
      <c r="BC143" s="408">
        <v>0</v>
      </c>
      <c r="BD143" s="408">
        <v>0</v>
      </c>
      <c r="BE143" s="408">
        <v>0</v>
      </c>
      <c r="BF143" s="408"/>
      <c r="BG143" s="408">
        <v>0</v>
      </c>
      <c r="BH143" s="408">
        <v>0</v>
      </c>
      <c r="BI143" s="408">
        <v>181.16</v>
      </c>
      <c r="BJ143" s="408">
        <v>849.6</v>
      </c>
      <c r="BK143" s="408">
        <v>109.55</v>
      </c>
      <c r="BL143" s="408">
        <v>15</v>
      </c>
      <c r="BM143" s="408"/>
      <c r="BN143" s="408"/>
      <c r="BO143" s="408"/>
      <c r="BP143" s="408"/>
      <c r="BQ143" s="408"/>
      <c r="BR143" s="408">
        <v>1258.4568000000015</v>
      </c>
      <c r="BS143" s="408"/>
      <c r="BT143" s="408"/>
      <c r="BU143" s="408"/>
      <c r="BV143" s="408">
        <v>0</v>
      </c>
      <c r="BW143" s="408"/>
      <c r="BX143" s="408"/>
      <c r="BY143" s="408"/>
      <c r="BZ143" s="408"/>
      <c r="CA143" s="408"/>
      <c r="CB143" s="408"/>
      <c r="CC143" s="408"/>
      <c r="CD143" s="408"/>
      <c r="CE143" s="408"/>
      <c r="CF143" s="408"/>
      <c r="CG143" s="408"/>
      <c r="CH143" s="408"/>
      <c r="CI143" s="408">
        <v>30202.963199999998</v>
      </c>
      <c r="CJ143" s="408">
        <v>-16034.602800000008</v>
      </c>
      <c r="CK143" s="408"/>
      <c r="CL143" s="408"/>
      <c r="CM143" s="408"/>
      <c r="CN143" s="408"/>
      <c r="CO143" s="408">
        <v>-16702.680000000004</v>
      </c>
      <c r="CP143" s="408">
        <v>0</v>
      </c>
      <c r="CQ143" s="408">
        <v>30</v>
      </c>
      <c r="CR143" s="408">
        <v>796.13721594346498</v>
      </c>
      <c r="CS143" s="408">
        <v>130.02944373429796</v>
      </c>
      <c r="CT143" s="408">
        <v>198.93963847549639</v>
      </c>
      <c r="CU143" s="408">
        <v>0</v>
      </c>
      <c r="CV143" s="408">
        <v>0</v>
      </c>
      <c r="CW143" s="408"/>
      <c r="CX143" s="408"/>
      <c r="CY143" s="408"/>
      <c r="CZ143" s="408">
        <v>467.1681337336704</v>
      </c>
      <c r="DA143" s="408">
        <v>0</v>
      </c>
      <c r="DB143" s="408">
        <v>0</v>
      </c>
      <c r="DC143" s="408"/>
      <c r="DD143" s="408"/>
      <c r="DE143" s="408">
        <v>0</v>
      </c>
      <c r="DF143" s="408">
        <v>0</v>
      </c>
      <c r="DG143" s="408">
        <v>0</v>
      </c>
      <c r="DH143" s="408">
        <v>0</v>
      </c>
      <c r="DI143" s="408">
        <v>0</v>
      </c>
      <c r="DJ143" s="408"/>
      <c r="DK143" s="408">
        <v>0</v>
      </c>
      <c r="DL143" s="408">
        <v>0</v>
      </c>
      <c r="DM143" s="408"/>
      <c r="DN143" s="408">
        <v>0</v>
      </c>
      <c r="DO143" s="408">
        <v>0</v>
      </c>
      <c r="DP143" s="408">
        <v>0</v>
      </c>
      <c r="DQ143" s="408">
        <v>0</v>
      </c>
      <c r="DR143" s="408">
        <v>0</v>
      </c>
      <c r="DS143" s="408"/>
      <c r="DT143" s="408"/>
      <c r="DU143" s="408">
        <v>31187.581066320156</v>
      </c>
      <c r="DV143" s="408"/>
      <c r="DW143" s="408">
        <v>0</v>
      </c>
      <c r="DX143" s="408">
        <v>0</v>
      </c>
      <c r="DY143" s="408">
        <v>-16702.68</v>
      </c>
      <c r="DZ143" s="408"/>
      <c r="EA143" s="408">
        <v>0</v>
      </c>
      <c r="EB143" s="408"/>
      <c r="EC143" s="408">
        <v>-17495.911721024291</v>
      </c>
      <c r="ED143" s="408"/>
      <c r="EE143" s="408">
        <v>0</v>
      </c>
      <c r="EF143" s="408">
        <v>0</v>
      </c>
      <c r="EG143" s="408"/>
      <c r="EH143" s="408">
        <v>0</v>
      </c>
      <c r="EI143" s="408">
        <v>0</v>
      </c>
      <c r="EJ143" s="408">
        <v>0</v>
      </c>
      <c r="EK143" s="408">
        <v>0</v>
      </c>
      <c r="EL143" s="408">
        <v>0</v>
      </c>
      <c r="EM143" s="408"/>
      <c r="EN143" s="408"/>
      <c r="EO143" s="408">
        <v>0</v>
      </c>
      <c r="EP143" s="408">
        <v>0</v>
      </c>
      <c r="EQ143" s="408"/>
      <c r="ER143" s="408">
        <v>0</v>
      </c>
      <c r="ES143" s="408"/>
      <c r="ET143" s="408">
        <v>0</v>
      </c>
      <c r="EU143" s="408"/>
      <c r="EV143" s="408">
        <v>238</v>
      </c>
      <c r="EW143" s="408"/>
      <c r="EX143" s="408"/>
      <c r="EY143" s="408"/>
      <c r="EZ143" s="408"/>
      <c r="FA143" s="408">
        <v>0</v>
      </c>
      <c r="FB143" s="408"/>
      <c r="FC143" s="408"/>
      <c r="FD143" s="408"/>
      <c r="FE143" s="408"/>
      <c r="FF143" s="408">
        <v>0</v>
      </c>
      <c r="FG143" s="408">
        <v>0</v>
      </c>
      <c r="FH143" s="408">
        <v>0</v>
      </c>
      <c r="FI143" s="408">
        <v>0</v>
      </c>
    </row>
    <row r="144" spans="1:165">
      <c r="A144" s="408">
        <v>148</v>
      </c>
      <c r="B144" s="408" t="s">
        <v>2238</v>
      </c>
      <c r="C144" s="408" t="s">
        <v>2243</v>
      </c>
      <c r="D144" s="408" t="s">
        <v>597</v>
      </c>
      <c r="E144" s="408" t="s">
        <v>974</v>
      </c>
      <c r="F144" s="408" t="s">
        <v>1322</v>
      </c>
      <c r="G144" s="408" t="s">
        <v>1322</v>
      </c>
      <c r="H144" s="408" t="s">
        <v>1322</v>
      </c>
      <c r="I144" s="408" t="s">
        <v>1322</v>
      </c>
      <c r="J144" s="408" t="s">
        <v>2236</v>
      </c>
      <c r="K144" s="824">
        <v>44440</v>
      </c>
      <c r="L144" s="408">
        <v>520</v>
      </c>
      <c r="M144" s="408">
        <v>499.2</v>
      </c>
      <c r="N144" s="408">
        <v>0</v>
      </c>
      <c r="O144" s="408">
        <v>0</v>
      </c>
      <c r="P144" s="408">
        <v>0</v>
      </c>
      <c r="Q144" s="408">
        <v>0</v>
      </c>
      <c r="R144" s="408">
        <v>44.35</v>
      </c>
      <c r="S144" s="408"/>
      <c r="T144" s="408"/>
      <c r="U144" s="408">
        <v>23062</v>
      </c>
      <c r="V144" s="408"/>
      <c r="W144" s="408">
        <v>23062</v>
      </c>
      <c r="X144" s="408">
        <v>15064.4</v>
      </c>
      <c r="Y144" s="408">
        <v>0</v>
      </c>
      <c r="Z144" s="408">
        <v>0</v>
      </c>
      <c r="AA144" s="408">
        <v>0</v>
      </c>
      <c r="AB144" s="408">
        <v>0</v>
      </c>
      <c r="AC144" s="408">
        <v>0</v>
      </c>
      <c r="AD144" s="408">
        <v>6823.4731178043558</v>
      </c>
      <c r="AE144" s="408">
        <v>14933.280068587919</v>
      </c>
      <c r="AF144" s="408"/>
      <c r="AG144" s="408"/>
      <c r="AH144" s="408"/>
      <c r="AI144" s="408">
        <v>0</v>
      </c>
      <c r="AJ144" s="408">
        <v>0</v>
      </c>
      <c r="AK144" s="408">
        <v>0</v>
      </c>
      <c r="AL144" s="408">
        <v>0</v>
      </c>
      <c r="AM144" s="408"/>
      <c r="AN144" s="408">
        <v>0</v>
      </c>
      <c r="AO144" s="408">
        <v>515.69475966370283</v>
      </c>
      <c r="AP144" s="408">
        <v>788.99152457223795</v>
      </c>
      <c r="AQ144" s="408">
        <v>0</v>
      </c>
      <c r="AR144" s="408">
        <v>0</v>
      </c>
      <c r="AS144" s="408"/>
      <c r="AT144" s="408"/>
      <c r="AU144" s="408">
        <v>0</v>
      </c>
      <c r="AV144" s="408">
        <v>0</v>
      </c>
      <c r="AW144" s="408">
        <v>0</v>
      </c>
      <c r="AX144" s="408"/>
      <c r="AY144" s="408"/>
      <c r="AZ144" s="408">
        <v>0</v>
      </c>
      <c r="BA144" s="408"/>
      <c r="BB144" s="408">
        <v>0</v>
      </c>
      <c r="BC144" s="408">
        <v>0</v>
      </c>
      <c r="BD144" s="408">
        <v>0</v>
      </c>
      <c r="BE144" s="408">
        <v>0</v>
      </c>
      <c r="BF144" s="408"/>
      <c r="BG144" s="408">
        <v>0</v>
      </c>
      <c r="BH144" s="408">
        <v>0</v>
      </c>
      <c r="BI144" s="408">
        <v>26.98</v>
      </c>
      <c r="BJ144" s="408">
        <v>126.65</v>
      </c>
      <c r="BK144" s="408">
        <v>22.07</v>
      </c>
      <c r="BL144" s="408">
        <v>8</v>
      </c>
      <c r="BM144" s="408"/>
      <c r="BN144" s="408"/>
      <c r="BO144" s="408"/>
      <c r="BP144" s="408"/>
      <c r="BQ144" s="408"/>
      <c r="BR144" s="408">
        <v>602.57600000000025</v>
      </c>
      <c r="BS144" s="408"/>
      <c r="BT144" s="408"/>
      <c r="BU144" s="408"/>
      <c r="BV144" s="408">
        <v>0</v>
      </c>
      <c r="BW144" s="408"/>
      <c r="BX144" s="408"/>
      <c r="BY144" s="408"/>
      <c r="BZ144" s="408"/>
      <c r="CA144" s="408"/>
      <c r="CB144" s="408"/>
      <c r="CC144" s="408"/>
      <c r="CD144" s="408"/>
      <c r="CE144" s="408"/>
      <c r="CF144" s="408"/>
      <c r="CG144" s="408"/>
      <c r="CH144" s="408"/>
      <c r="CI144" s="408">
        <v>14461.823999999999</v>
      </c>
      <c r="CJ144" s="408">
        <v>-7677.7259999999969</v>
      </c>
      <c r="CK144" s="408"/>
      <c r="CL144" s="408"/>
      <c r="CM144" s="408"/>
      <c r="CN144" s="408"/>
      <c r="CO144" s="408">
        <v>-7997.6000000000013</v>
      </c>
      <c r="CP144" s="408">
        <v>0</v>
      </c>
      <c r="CQ144" s="408">
        <v>30</v>
      </c>
      <c r="CR144" s="408">
        <v>381.20750671326186</v>
      </c>
      <c r="CS144" s="408">
        <v>62.260875452886808</v>
      </c>
      <c r="CT144" s="408">
        <v>95.256548809629976</v>
      </c>
      <c r="CU144" s="408">
        <v>0</v>
      </c>
      <c r="CV144" s="408">
        <v>0</v>
      </c>
      <c r="CW144" s="408"/>
      <c r="CX144" s="408"/>
      <c r="CY144" s="408"/>
      <c r="CZ144" s="408">
        <v>223.69008245074474</v>
      </c>
      <c r="DA144" s="408">
        <v>0</v>
      </c>
      <c r="DB144" s="408">
        <v>0</v>
      </c>
      <c r="DC144" s="408"/>
      <c r="DD144" s="408"/>
      <c r="DE144" s="408">
        <v>0</v>
      </c>
      <c r="DF144" s="408">
        <v>0</v>
      </c>
      <c r="DG144" s="408">
        <v>0</v>
      </c>
      <c r="DH144" s="408">
        <v>0</v>
      </c>
      <c r="DI144" s="408">
        <v>0</v>
      </c>
      <c r="DJ144" s="408"/>
      <c r="DK144" s="408">
        <v>0</v>
      </c>
      <c r="DL144" s="408">
        <v>0</v>
      </c>
      <c r="DM144" s="408"/>
      <c r="DN144" s="408">
        <v>0</v>
      </c>
      <c r="DO144" s="408">
        <v>0</v>
      </c>
      <c r="DP144" s="408">
        <v>0</v>
      </c>
      <c r="DQ144" s="408">
        <v>0</v>
      </c>
      <c r="DR144" s="408">
        <v>0</v>
      </c>
      <c r="DS144" s="408"/>
      <c r="DT144" s="408"/>
      <c r="DU144" s="408">
        <v>14933.280068587919</v>
      </c>
      <c r="DV144" s="408"/>
      <c r="DW144" s="408">
        <v>0</v>
      </c>
      <c r="DX144" s="408">
        <v>0</v>
      </c>
      <c r="DY144" s="408">
        <v>-7997.6</v>
      </c>
      <c r="DZ144" s="408"/>
      <c r="EA144" s="408">
        <v>0</v>
      </c>
      <c r="EB144" s="408"/>
      <c r="EC144" s="408">
        <v>-8377.4162936764551</v>
      </c>
      <c r="ED144" s="408"/>
      <c r="EE144" s="408">
        <v>0</v>
      </c>
      <c r="EF144" s="408">
        <v>0</v>
      </c>
      <c r="EG144" s="408"/>
      <c r="EH144" s="408">
        <v>0</v>
      </c>
      <c r="EI144" s="408">
        <v>0</v>
      </c>
      <c r="EJ144" s="408">
        <v>0</v>
      </c>
      <c r="EK144" s="408">
        <v>0</v>
      </c>
      <c r="EL144" s="408">
        <v>0</v>
      </c>
      <c r="EM144" s="408"/>
      <c r="EN144" s="408"/>
      <c r="EO144" s="408">
        <v>0</v>
      </c>
      <c r="EP144" s="408">
        <v>0</v>
      </c>
      <c r="EQ144" s="408"/>
      <c r="ER144" s="408">
        <v>0</v>
      </c>
      <c r="ES144" s="408"/>
      <c r="ET144" s="408">
        <v>0</v>
      </c>
      <c r="EU144" s="408"/>
      <c r="EV144" s="408">
        <v>238</v>
      </c>
      <c r="EW144" s="408"/>
      <c r="EX144" s="408"/>
      <c r="EY144" s="408"/>
      <c r="EZ144" s="408"/>
      <c r="FA144" s="408">
        <v>0</v>
      </c>
      <c r="FB144" s="408"/>
      <c r="FC144" s="408"/>
      <c r="FD144" s="408"/>
      <c r="FE144" s="408"/>
      <c r="FF144" s="408">
        <v>0</v>
      </c>
      <c r="FG144" s="408">
        <v>0</v>
      </c>
      <c r="FH144" s="408">
        <v>0</v>
      </c>
      <c r="FI144" s="408">
        <v>0</v>
      </c>
    </row>
    <row r="145" spans="1:165">
      <c r="A145" s="408">
        <v>149</v>
      </c>
      <c r="B145" s="408" t="s">
        <v>1036</v>
      </c>
      <c r="C145" s="408" t="s">
        <v>2235</v>
      </c>
      <c r="D145" s="408" t="s">
        <v>1958</v>
      </c>
      <c r="E145" s="408" t="s">
        <v>2246</v>
      </c>
      <c r="F145" s="408" t="s">
        <v>1322</v>
      </c>
      <c r="G145" s="408" t="s">
        <v>1322</v>
      </c>
      <c r="H145" s="408" t="s">
        <v>1322</v>
      </c>
      <c r="I145" s="408" t="s">
        <v>1322</v>
      </c>
      <c r="J145" s="408" t="s">
        <v>2236</v>
      </c>
      <c r="K145" s="824">
        <v>44440</v>
      </c>
      <c r="L145" s="408">
        <v>0</v>
      </c>
      <c r="M145" s="408">
        <v>0</v>
      </c>
      <c r="N145" s="408">
        <v>239.74600000000001</v>
      </c>
      <c r="O145" s="408">
        <v>239.74600000000001</v>
      </c>
      <c r="P145" s="408">
        <v>239.74600000000001</v>
      </c>
      <c r="Q145" s="408">
        <v>239.74600000000001</v>
      </c>
      <c r="R145" s="408"/>
      <c r="S145" s="408">
        <v>581.32000000000005</v>
      </c>
      <c r="T145" s="408">
        <v>209.4</v>
      </c>
      <c r="U145" s="408"/>
      <c r="V145" s="408">
        <v>189571.95712000001</v>
      </c>
      <c r="W145" s="408">
        <v>189571.95712000001</v>
      </c>
      <c r="X145" s="408">
        <v>144823.36622</v>
      </c>
      <c r="Y145" s="408">
        <v>0</v>
      </c>
      <c r="Z145" s="408">
        <v>14753.467165903452</v>
      </c>
      <c r="AA145" s="408">
        <v>0</v>
      </c>
      <c r="AB145" s="408">
        <v>0</v>
      </c>
      <c r="AC145" s="408">
        <v>0</v>
      </c>
      <c r="AD145" s="408">
        <v>17787.030200217341</v>
      </c>
      <c r="AE145" s="408">
        <v>92399.381904332229</v>
      </c>
      <c r="AF145" s="408">
        <v>49543.689700415081</v>
      </c>
      <c r="AG145" s="408">
        <v>660.01233830420188</v>
      </c>
      <c r="AH145" s="408">
        <v>0</v>
      </c>
      <c r="AI145" s="408">
        <v>0</v>
      </c>
      <c r="AJ145" s="408">
        <v>0</v>
      </c>
      <c r="AK145" s="408">
        <v>0</v>
      </c>
      <c r="AL145" s="408">
        <v>2279.8889560120474</v>
      </c>
      <c r="AM145" s="408"/>
      <c r="AN145" s="408">
        <v>437.04840286270826</v>
      </c>
      <c r="AO145" s="408">
        <v>1366.4277178975829</v>
      </c>
      <c r="AP145" s="408">
        <v>2058.2649546664284</v>
      </c>
      <c r="AQ145" s="408">
        <v>0</v>
      </c>
      <c r="AR145" s="408">
        <v>0</v>
      </c>
      <c r="AS145" s="408">
        <v>0</v>
      </c>
      <c r="AT145" s="408">
        <v>0</v>
      </c>
      <c r="AU145" s="408">
        <v>0</v>
      </c>
      <c r="AV145" s="408">
        <v>0</v>
      </c>
      <c r="AW145" s="408">
        <v>0</v>
      </c>
      <c r="AX145" s="408">
        <v>0</v>
      </c>
      <c r="AY145" s="408">
        <v>0</v>
      </c>
      <c r="AZ145" s="408">
        <v>0</v>
      </c>
      <c r="BA145" s="408"/>
      <c r="BB145" s="408">
        <v>0</v>
      </c>
      <c r="BC145" s="408">
        <v>0</v>
      </c>
      <c r="BD145" s="408">
        <v>0</v>
      </c>
      <c r="BE145" s="408">
        <v>0</v>
      </c>
      <c r="BF145" s="408">
        <v>0</v>
      </c>
      <c r="BG145" s="408">
        <v>8288.5666697871475</v>
      </c>
      <c r="BH145" s="408">
        <v>0</v>
      </c>
      <c r="BI145" s="408">
        <v>384.19</v>
      </c>
      <c r="BJ145" s="408">
        <v>1812.91</v>
      </c>
      <c r="BK145" s="408">
        <v>66271.460000000006</v>
      </c>
      <c r="BL145" s="408">
        <v>477</v>
      </c>
      <c r="BM145" s="408"/>
      <c r="BN145" s="408"/>
      <c r="BO145" s="408"/>
      <c r="BP145" s="408"/>
      <c r="BQ145" s="408"/>
      <c r="BR145" s="408"/>
      <c r="BS145" s="408"/>
      <c r="BT145" s="408"/>
      <c r="BU145" s="408"/>
      <c r="BV145" s="408">
        <v>57832.256370202231</v>
      </c>
      <c r="BW145" s="408"/>
      <c r="BX145" s="408"/>
      <c r="BY145" s="408"/>
      <c r="BZ145" s="408"/>
      <c r="CA145" s="408"/>
      <c r="CB145" s="408"/>
      <c r="CC145" s="408"/>
      <c r="CD145" s="408"/>
      <c r="CE145" s="408"/>
      <c r="CF145" s="408"/>
      <c r="CG145" s="408"/>
      <c r="CH145" s="408"/>
      <c r="CI145" s="408">
        <v>144825.7825</v>
      </c>
      <c r="CJ145" s="408">
        <v>-44746.204620000033</v>
      </c>
      <c r="CK145" s="408"/>
      <c r="CL145" s="408"/>
      <c r="CM145" s="408"/>
      <c r="CN145" s="408"/>
      <c r="CO145" s="408">
        <v>-50221.992080000018</v>
      </c>
      <c r="CP145" s="408">
        <v>5473.4011799999962</v>
      </c>
      <c r="CQ145" s="408">
        <v>30</v>
      </c>
      <c r="CR145" s="408">
        <v>7083.0248270237353</v>
      </c>
      <c r="CS145" s="408">
        <v>164.97159291452658</v>
      </c>
      <c r="CT145" s="408">
        <v>248.49850728577849</v>
      </c>
      <c r="CU145" s="408">
        <v>0</v>
      </c>
      <c r="CV145" s="408">
        <v>0</v>
      </c>
      <c r="CW145" s="408">
        <v>0</v>
      </c>
      <c r="CX145" s="408">
        <v>0</v>
      </c>
      <c r="CY145" s="408">
        <v>0</v>
      </c>
      <c r="CZ145" s="408">
        <v>583.10220958567152</v>
      </c>
      <c r="DA145" s="408">
        <v>0</v>
      </c>
      <c r="DB145" s="408">
        <v>0</v>
      </c>
      <c r="DC145" s="408">
        <v>5471.743126958303</v>
      </c>
      <c r="DD145" s="408">
        <v>0</v>
      </c>
      <c r="DE145" s="408">
        <v>0</v>
      </c>
      <c r="DF145" s="408">
        <v>0</v>
      </c>
      <c r="DG145" s="408">
        <v>915.41239625036906</v>
      </c>
      <c r="DH145" s="408">
        <v>0</v>
      </c>
      <c r="DI145" s="408">
        <v>-257.18425187749563</v>
      </c>
      <c r="DJ145" s="408"/>
      <c r="DK145" s="408">
        <v>0</v>
      </c>
      <c r="DL145" s="408">
        <v>0</v>
      </c>
      <c r="DM145" s="408">
        <v>0</v>
      </c>
      <c r="DN145" s="408">
        <v>0</v>
      </c>
      <c r="DO145" s="408">
        <v>-33.413988842622985</v>
      </c>
      <c r="DP145" s="408">
        <v>-10.104765250779792</v>
      </c>
      <c r="DQ145" s="408">
        <v>0</v>
      </c>
      <c r="DR145" s="408">
        <v>0</v>
      </c>
      <c r="DS145" s="408"/>
      <c r="DT145" s="408"/>
      <c r="DU145" s="408"/>
      <c r="DV145" s="408">
        <v>92399.381904332229</v>
      </c>
      <c r="DW145" s="408">
        <v>0</v>
      </c>
      <c r="DX145" s="408">
        <v>0</v>
      </c>
      <c r="DY145" s="408">
        <v>-50221.992080000011</v>
      </c>
      <c r="DZ145" s="408">
        <v>5473.4011800000007</v>
      </c>
      <c r="EA145" s="408">
        <v>0</v>
      </c>
      <c r="EB145" s="408">
        <v>0</v>
      </c>
      <c r="EC145" s="408">
        <v>-51835.101460343882</v>
      </c>
      <c r="ED145" s="408">
        <v>0</v>
      </c>
      <c r="EE145" s="408">
        <v>0</v>
      </c>
      <c r="EF145" s="408">
        <v>0</v>
      </c>
      <c r="EG145" s="408">
        <v>0</v>
      </c>
      <c r="EH145" s="408">
        <v>0</v>
      </c>
      <c r="EI145" s="408">
        <v>0</v>
      </c>
      <c r="EJ145" s="408">
        <v>0</v>
      </c>
      <c r="EK145" s="408">
        <v>0</v>
      </c>
      <c r="EL145" s="408">
        <v>0</v>
      </c>
      <c r="EM145" s="408">
        <v>0</v>
      </c>
      <c r="EN145" s="408">
        <v>0</v>
      </c>
      <c r="EO145" s="408">
        <v>0</v>
      </c>
      <c r="EP145" s="408">
        <v>0</v>
      </c>
      <c r="EQ145" s="408">
        <v>0</v>
      </c>
      <c r="ER145" s="408">
        <v>0</v>
      </c>
      <c r="ES145" s="408">
        <v>0</v>
      </c>
      <c r="ET145" s="408">
        <v>0</v>
      </c>
      <c r="EU145" s="408">
        <v>0</v>
      </c>
      <c r="EV145" s="408">
        <v>238</v>
      </c>
      <c r="EW145" s="408">
        <v>0</v>
      </c>
      <c r="EX145" s="408">
        <v>0</v>
      </c>
      <c r="EY145" s="408">
        <v>0</v>
      </c>
      <c r="EZ145" s="408"/>
      <c r="FA145" s="408">
        <v>0</v>
      </c>
      <c r="FB145" s="408"/>
      <c r="FC145" s="408"/>
      <c r="FD145" s="408"/>
      <c r="FE145" s="408"/>
      <c r="FF145" s="408">
        <v>0</v>
      </c>
      <c r="FG145" s="408">
        <v>0</v>
      </c>
      <c r="FH145" s="408">
        <v>0</v>
      </c>
      <c r="FI145" s="408">
        <v>0</v>
      </c>
    </row>
    <row r="146" spans="1:165">
      <c r="A146" s="408">
        <v>150</v>
      </c>
      <c r="B146" s="408" t="s">
        <v>2238</v>
      </c>
      <c r="C146" s="408" t="s">
        <v>2235</v>
      </c>
      <c r="D146" s="408" t="s">
        <v>1958</v>
      </c>
      <c r="E146" s="408" t="s">
        <v>2246</v>
      </c>
      <c r="F146" s="408" t="s">
        <v>1322</v>
      </c>
      <c r="G146" s="408" t="s">
        <v>1322</v>
      </c>
      <c r="H146" s="408" t="s">
        <v>1322</v>
      </c>
      <c r="I146" s="408" t="s">
        <v>1322</v>
      </c>
      <c r="J146" s="408" t="s">
        <v>2236</v>
      </c>
      <c r="K146" s="824">
        <v>44440</v>
      </c>
      <c r="L146" s="408">
        <v>0</v>
      </c>
      <c r="M146" s="408">
        <v>0</v>
      </c>
      <c r="N146" s="408">
        <v>4.0659999999999998</v>
      </c>
      <c r="O146" s="408">
        <v>4.0659999999999998</v>
      </c>
      <c r="P146" s="408">
        <v>4.0659999999999998</v>
      </c>
      <c r="Q146" s="408">
        <v>4.0659999999999998</v>
      </c>
      <c r="R146" s="408"/>
      <c r="S146" s="408">
        <v>581.32000000000005</v>
      </c>
      <c r="T146" s="408">
        <v>209.4</v>
      </c>
      <c r="U146" s="408"/>
      <c r="V146" s="408">
        <v>3215.0675200000001</v>
      </c>
      <c r="W146" s="408">
        <v>3215.0675200000001</v>
      </c>
      <c r="X146" s="408">
        <v>2456.1486199999999</v>
      </c>
      <c r="Y146" s="408">
        <v>0</v>
      </c>
      <c r="Z146" s="408">
        <v>250.21313180016946</v>
      </c>
      <c r="AA146" s="408">
        <v>0</v>
      </c>
      <c r="AB146" s="408">
        <v>0</v>
      </c>
      <c r="AC146" s="408">
        <v>0</v>
      </c>
      <c r="AD146" s="408">
        <v>301.66119473978171</v>
      </c>
      <c r="AE146" s="408">
        <v>1567.0579981439307</v>
      </c>
      <c r="AF146" s="408">
        <v>840.24193238630767</v>
      </c>
      <c r="AG146" s="408">
        <v>11.193555544388165</v>
      </c>
      <c r="AH146" s="408">
        <v>0</v>
      </c>
      <c r="AI146" s="408">
        <v>0</v>
      </c>
      <c r="AJ146" s="408">
        <v>0</v>
      </c>
      <c r="AK146" s="408">
        <v>0</v>
      </c>
      <c r="AL146" s="408">
        <v>38.666040289076705</v>
      </c>
      <c r="AM146" s="408"/>
      <c r="AN146" s="408">
        <v>7.4121729081601853</v>
      </c>
      <c r="AO146" s="408">
        <v>23.174088831394773</v>
      </c>
      <c r="AP146" s="408">
        <v>34.907382420034942</v>
      </c>
      <c r="AQ146" s="408">
        <v>0</v>
      </c>
      <c r="AR146" s="408">
        <v>0</v>
      </c>
      <c r="AS146" s="408">
        <v>0</v>
      </c>
      <c r="AT146" s="408">
        <v>0</v>
      </c>
      <c r="AU146" s="408">
        <v>0</v>
      </c>
      <c r="AV146" s="408">
        <v>0</v>
      </c>
      <c r="AW146" s="408">
        <v>0</v>
      </c>
      <c r="AX146" s="408">
        <v>0</v>
      </c>
      <c r="AY146" s="408">
        <v>0</v>
      </c>
      <c r="AZ146" s="408">
        <v>0</v>
      </c>
      <c r="BA146" s="408"/>
      <c r="BB146" s="408">
        <v>0</v>
      </c>
      <c r="BC146" s="408">
        <v>0</v>
      </c>
      <c r="BD146" s="408">
        <v>0</v>
      </c>
      <c r="BE146" s="408">
        <v>0</v>
      </c>
      <c r="BF146" s="408">
        <v>0</v>
      </c>
      <c r="BG146" s="408">
        <v>140.57090453794657</v>
      </c>
      <c r="BH146" s="408">
        <v>0</v>
      </c>
      <c r="BI146" s="408">
        <v>5.89</v>
      </c>
      <c r="BJ146" s="408">
        <v>27.67</v>
      </c>
      <c r="BK146" s="408">
        <v>909.95</v>
      </c>
      <c r="BL146" s="408">
        <v>2</v>
      </c>
      <c r="BM146" s="408"/>
      <c r="BN146" s="408"/>
      <c r="BO146" s="408"/>
      <c r="BP146" s="408"/>
      <c r="BQ146" s="408"/>
      <c r="BR146" s="408"/>
      <c r="BS146" s="408"/>
      <c r="BT146" s="408"/>
      <c r="BU146" s="408"/>
      <c r="BV146" s="408">
        <v>980.81283692425427</v>
      </c>
      <c r="BW146" s="408"/>
      <c r="BX146" s="408"/>
      <c r="BY146" s="408"/>
      <c r="BZ146" s="408"/>
      <c r="CA146" s="408"/>
      <c r="CB146" s="408"/>
      <c r="CC146" s="408"/>
      <c r="CD146" s="408"/>
      <c r="CE146" s="408"/>
      <c r="CF146" s="408"/>
      <c r="CG146" s="408"/>
      <c r="CH146" s="408"/>
      <c r="CI146" s="408">
        <v>2458.5648999999999</v>
      </c>
      <c r="CJ146" s="408">
        <v>-756.53262000000086</v>
      </c>
      <c r="CK146" s="408"/>
      <c r="CL146" s="408"/>
      <c r="CM146" s="408"/>
      <c r="CN146" s="408"/>
      <c r="CO146" s="408">
        <v>-851.74568000000022</v>
      </c>
      <c r="CP146" s="408">
        <v>92.826779999999928</v>
      </c>
      <c r="CQ146" s="408">
        <v>30</v>
      </c>
      <c r="CR146" s="408">
        <v>120.1253783031982</v>
      </c>
      <c r="CS146" s="408">
        <v>2.7978547996232059</v>
      </c>
      <c r="CT146" s="408">
        <v>4.2144391590432164</v>
      </c>
      <c r="CU146" s="408">
        <v>0</v>
      </c>
      <c r="CV146" s="408">
        <v>0</v>
      </c>
      <c r="CW146" s="408">
        <v>0</v>
      </c>
      <c r="CX146" s="408">
        <v>0</v>
      </c>
      <c r="CY146" s="408">
        <v>0</v>
      </c>
      <c r="CZ146" s="408">
        <v>9.8891893261006771</v>
      </c>
      <c r="DA146" s="408">
        <v>0</v>
      </c>
      <c r="DB146" s="408">
        <v>0</v>
      </c>
      <c r="DC146" s="408">
        <v>92.798660057779671</v>
      </c>
      <c r="DD146" s="408">
        <v>0</v>
      </c>
      <c r="DE146" s="408">
        <v>0</v>
      </c>
      <c r="DF146" s="408">
        <v>0</v>
      </c>
      <c r="DG146" s="408">
        <v>15.525042349628336</v>
      </c>
      <c r="DH146" s="408">
        <v>0</v>
      </c>
      <c r="DI146" s="408">
        <v>-4.3617460484591675</v>
      </c>
      <c r="DJ146" s="408"/>
      <c r="DK146" s="408">
        <v>0</v>
      </c>
      <c r="DL146" s="408">
        <v>0</v>
      </c>
      <c r="DM146" s="408">
        <v>0</v>
      </c>
      <c r="DN146" s="408">
        <v>0</v>
      </c>
      <c r="DO146" s="408">
        <v>-0.566688406205337</v>
      </c>
      <c r="DP146" s="408">
        <v>-0.17137293431244238</v>
      </c>
      <c r="DQ146" s="408">
        <v>0</v>
      </c>
      <c r="DR146" s="408">
        <v>0</v>
      </c>
      <c r="DS146" s="408"/>
      <c r="DT146" s="408"/>
      <c r="DU146" s="408"/>
      <c r="DV146" s="408">
        <v>1567.0579981439307</v>
      </c>
      <c r="DW146" s="408">
        <v>0</v>
      </c>
      <c r="DX146" s="408">
        <v>0</v>
      </c>
      <c r="DY146" s="408">
        <v>-851.74568000000022</v>
      </c>
      <c r="DZ146" s="408">
        <v>92.826779999999985</v>
      </c>
      <c r="EA146" s="408">
        <v>0</v>
      </c>
      <c r="EB146" s="408">
        <v>0</v>
      </c>
      <c r="EC146" s="408">
        <v>-879.10339500036787</v>
      </c>
      <c r="ED146" s="408">
        <v>0</v>
      </c>
      <c r="EE146" s="408">
        <v>0</v>
      </c>
      <c r="EF146" s="408">
        <v>0</v>
      </c>
      <c r="EG146" s="408">
        <v>0</v>
      </c>
      <c r="EH146" s="408">
        <v>0</v>
      </c>
      <c r="EI146" s="408">
        <v>0</v>
      </c>
      <c r="EJ146" s="408">
        <v>0</v>
      </c>
      <c r="EK146" s="408">
        <v>0</v>
      </c>
      <c r="EL146" s="408">
        <v>0</v>
      </c>
      <c r="EM146" s="408">
        <v>0</v>
      </c>
      <c r="EN146" s="408">
        <v>0</v>
      </c>
      <c r="EO146" s="408">
        <v>0</v>
      </c>
      <c r="EP146" s="408">
        <v>0</v>
      </c>
      <c r="EQ146" s="408">
        <v>0</v>
      </c>
      <c r="ER146" s="408">
        <v>0</v>
      </c>
      <c r="ES146" s="408">
        <v>0</v>
      </c>
      <c r="ET146" s="408">
        <v>0</v>
      </c>
      <c r="EU146" s="408">
        <v>0</v>
      </c>
      <c r="EV146" s="408">
        <v>238</v>
      </c>
      <c r="EW146" s="408">
        <v>0</v>
      </c>
      <c r="EX146" s="408">
        <v>0</v>
      </c>
      <c r="EY146" s="408">
        <v>0</v>
      </c>
      <c r="EZ146" s="408"/>
      <c r="FA146" s="408">
        <v>0</v>
      </c>
      <c r="FB146" s="408"/>
      <c r="FC146" s="408"/>
      <c r="FD146" s="408"/>
      <c r="FE146" s="408"/>
      <c r="FF146" s="408">
        <v>0</v>
      </c>
      <c r="FG146" s="408">
        <v>0</v>
      </c>
      <c r="FH146" s="408">
        <v>0</v>
      </c>
      <c r="FI146" s="408">
        <v>0</v>
      </c>
    </row>
    <row r="147" spans="1:165">
      <c r="A147" s="408">
        <v>151</v>
      </c>
      <c r="B147" s="408" t="s">
        <v>1036</v>
      </c>
      <c r="C147" s="408" t="s">
        <v>2243</v>
      </c>
      <c r="D147" s="408" t="s">
        <v>597</v>
      </c>
      <c r="E147" s="408" t="s">
        <v>2246</v>
      </c>
      <c r="F147" s="408" t="s">
        <v>1322</v>
      </c>
      <c r="G147" s="408" t="s">
        <v>1322</v>
      </c>
      <c r="H147" s="408" t="s">
        <v>1322</v>
      </c>
      <c r="I147" s="408" t="s">
        <v>973</v>
      </c>
      <c r="J147" s="408" t="s">
        <v>2236</v>
      </c>
      <c r="K147" s="824">
        <v>44440</v>
      </c>
      <c r="L147" s="408">
        <v>0</v>
      </c>
      <c r="M147" s="408">
        <v>0</v>
      </c>
      <c r="N147" s="408">
        <v>0.24</v>
      </c>
      <c r="O147" s="408">
        <v>0.24</v>
      </c>
      <c r="P147" s="408">
        <v>0.24</v>
      </c>
      <c r="Q147" s="408">
        <v>0.24</v>
      </c>
      <c r="R147" s="408"/>
      <c r="S147" s="408">
        <v>1614.19</v>
      </c>
      <c r="T147" s="408">
        <v>209.4</v>
      </c>
      <c r="U147" s="408"/>
      <c r="V147" s="408">
        <v>437.66160000000002</v>
      </c>
      <c r="W147" s="408">
        <v>437.66160000000002</v>
      </c>
      <c r="X147" s="408">
        <v>290.916</v>
      </c>
      <c r="Y147" s="408">
        <v>0</v>
      </c>
      <c r="Z147" s="408">
        <v>12.849115081130208</v>
      </c>
      <c r="AA147" s="408">
        <v>0</v>
      </c>
      <c r="AB147" s="408">
        <v>0</v>
      </c>
      <c r="AC147" s="408">
        <v>0</v>
      </c>
      <c r="AD147" s="408">
        <v>74.740317682559279</v>
      </c>
      <c r="AE147" s="408">
        <v>279.08078787416639</v>
      </c>
      <c r="AF147" s="408">
        <v>49.596178989845995</v>
      </c>
      <c r="AG147" s="408">
        <v>0.6607115914051056</v>
      </c>
      <c r="AH147" s="408">
        <v>0</v>
      </c>
      <c r="AI147" s="408">
        <v>0</v>
      </c>
      <c r="AJ147" s="408">
        <v>0</v>
      </c>
      <c r="AK147" s="408">
        <v>0</v>
      </c>
      <c r="AL147" s="408">
        <v>2.2823043948299087</v>
      </c>
      <c r="AM147" s="408"/>
      <c r="AN147" s="408">
        <v>0.3186826340419488</v>
      </c>
      <c r="AO147" s="408">
        <v>5.8067820894631916</v>
      </c>
      <c r="AP147" s="408">
        <v>8.6492889202405916</v>
      </c>
      <c r="AQ147" s="408">
        <v>0</v>
      </c>
      <c r="AR147" s="408">
        <v>0</v>
      </c>
      <c r="AS147" s="408">
        <v>0</v>
      </c>
      <c r="AT147" s="408">
        <v>0</v>
      </c>
      <c r="AU147" s="408">
        <v>0</v>
      </c>
      <c r="AV147" s="408">
        <v>0</v>
      </c>
      <c r="AW147" s="408">
        <v>0</v>
      </c>
      <c r="AX147" s="408">
        <v>0</v>
      </c>
      <c r="AY147" s="408">
        <v>0</v>
      </c>
      <c r="AZ147" s="408">
        <v>0</v>
      </c>
      <c r="BA147" s="408"/>
      <c r="BB147" s="408">
        <v>0</v>
      </c>
      <c r="BC147" s="408">
        <v>0</v>
      </c>
      <c r="BD147" s="408">
        <v>0</v>
      </c>
      <c r="BE147" s="408">
        <v>0</v>
      </c>
      <c r="BF147" s="408">
        <v>0</v>
      </c>
      <c r="BG147" s="408">
        <v>3.6778647266929441</v>
      </c>
      <c r="BH147" s="408">
        <v>0</v>
      </c>
      <c r="BI147" s="408">
        <v>0</v>
      </c>
      <c r="BJ147" s="408">
        <v>0</v>
      </c>
      <c r="BK147" s="408">
        <v>0</v>
      </c>
      <c r="BL147" s="408">
        <v>0</v>
      </c>
      <c r="BM147" s="408"/>
      <c r="BN147" s="408"/>
      <c r="BO147" s="408"/>
      <c r="BP147" s="408"/>
      <c r="BQ147" s="408"/>
      <c r="BR147" s="408"/>
      <c r="BS147" s="408"/>
      <c r="BT147" s="408"/>
      <c r="BU147" s="408"/>
      <c r="BV147" s="408">
        <v>53.274043716538941</v>
      </c>
      <c r="BW147" s="408"/>
      <c r="BX147" s="408"/>
      <c r="BY147" s="408"/>
      <c r="BZ147" s="408"/>
      <c r="CA147" s="408"/>
      <c r="CB147" s="408"/>
      <c r="CC147" s="408"/>
      <c r="CD147" s="408"/>
      <c r="CE147" s="408"/>
      <c r="CF147" s="408"/>
      <c r="CG147" s="408"/>
      <c r="CH147" s="408"/>
      <c r="CI147" s="408">
        <v>290.916</v>
      </c>
      <c r="CJ147" s="408">
        <v>-146.7756</v>
      </c>
      <c r="CK147" s="408"/>
      <c r="CL147" s="408"/>
      <c r="CM147" s="408"/>
      <c r="CN147" s="408"/>
      <c r="CO147" s="408">
        <v>-152.22480000000002</v>
      </c>
      <c r="CP147" s="408">
        <v>5.4791999999999961</v>
      </c>
      <c r="CQ147" s="408">
        <v>30</v>
      </c>
      <c r="CR147" s="408">
        <v>9.814409598075116</v>
      </c>
      <c r="CS147" s="408">
        <v>0.70106459233730423</v>
      </c>
      <c r="CT147" s="408">
        <v>1.0442462137298403</v>
      </c>
      <c r="CU147" s="408">
        <v>0</v>
      </c>
      <c r="CV147" s="408">
        <v>0</v>
      </c>
      <c r="CW147" s="408">
        <v>0</v>
      </c>
      <c r="CX147" s="408">
        <v>0</v>
      </c>
      <c r="CY147" s="408">
        <v>0</v>
      </c>
      <c r="CZ147" s="408">
        <v>2.4501698088590445</v>
      </c>
      <c r="DA147" s="408">
        <v>0</v>
      </c>
      <c r="DB147" s="408">
        <v>0</v>
      </c>
      <c r="DC147" s="408">
        <v>5.4775401903264012</v>
      </c>
      <c r="DD147" s="408">
        <v>0</v>
      </c>
      <c r="DE147" s="408">
        <v>0</v>
      </c>
      <c r="DF147" s="408">
        <v>0</v>
      </c>
      <c r="DG147" s="408">
        <v>0.40619362752055155</v>
      </c>
      <c r="DH147" s="408">
        <v>0</v>
      </c>
      <c r="DI147" s="408">
        <v>-0.22398735241473666</v>
      </c>
      <c r="DJ147" s="408"/>
      <c r="DK147" s="408">
        <v>0</v>
      </c>
      <c r="DL147" s="408">
        <v>0</v>
      </c>
      <c r="DM147" s="408">
        <v>0</v>
      </c>
      <c r="DN147" s="408">
        <v>0</v>
      </c>
      <c r="DO147" s="408">
        <v>-3.3449389446453814E-2</v>
      </c>
      <c r="DP147" s="408">
        <v>-7.3680928368624055E-3</v>
      </c>
      <c r="DQ147" s="408">
        <v>0</v>
      </c>
      <c r="DR147" s="408">
        <v>0</v>
      </c>
      <c r="DS147" s="408"/>
      <c r="DT147" s="408"/>
      <c r="DU147" s="408"/>
      <c r="DV147" s="408">
        <v>279.08078787416639</v>
      </c>
      <c r="DW147" s="408">
        <v>0</v>
      </c>
      <c r="DX147" s="408">
        <v>0</v>
      </c>
      <c r="DY147" s="408">
        <v>-152.22480000000002</v>
      </c>
      <c r="DZ147" s="408">
        <v>5.4791999999999987</v>
      </c>
      <c r="EA147" s="408">
        <v>0</v>
      </c>
      <c r="EB147" s="408">
        <v>0</v>
      </c>
      <c r="EC147" s="408">
        <v>-156.56144724071927</v>
      </c>
      <c r="ED147" s="408">
        <v>0</v>
      </c>
      <c r="EE147" s="408">
        <v>0</v>
      </c>
      <c r="EF147" s="408">
        <v>0</v>
      </c>
      <c r="EG147" s="408">
        <v>0</v>
      </c>
      <c r="EH147" s="408">
        <v>0</v>
      </c>
      <c r="EI147" s="408">
        <v>0</v>
      </c>
      <c r="EJ147" s="408">
        <v>0</v>
      </c>
      <c r="EK147" s="408">
        <v>0</v>
      </c>
      <c r="EL147" s="408">
        <v>0</v>
      </c>
      <c r="EM147" s="408">
        <v>0</v>
      </c>
      <c r="EN147" s="408">
        <v>0</v>
      </c>
      <c r="EO147" s="408">
        <v>0</v>
      </c>
      <c r="EP147" s="408">
        <v>0</v>
      </c>
      <c r="EQ147" s="408">
        <v>0</v>
      </c>
      <c r="ER147" s="408">
        <v>0</v>
      </c>
      <c r="ES147" s="408">
        <v>0</v>
      </c>
      <c r="ET147" s="408">
        <v>0</v>
      </c>
      <c r="EU147" s="408">
        <v>0</v>
      </c>
      <c r="EV147" s="408">
        <v>238</v>
      </c>
      <c r="EW147" s="408">
        <v>0</v>
      </c>
      <c r="EX147" s="408">
        <v>0</v>
      </c>
      <c r="EY147" s="408">
        <v>0</v>
      </c>
      <c r="EZ147" s="408"/>
      <c r="FA147" s="408">
        <v>0</v>
      </c>
      <c r="FB147" s="408"/>
      <c r="FC147" s="408"/>
      <c r="FD147" s="408"/>
      <c r="FE147" s="408"/>
      <c r="FF147" s="408">
        <v>0</v>
      </c>
      <c r="FG147" s="408">
        <v>0</v>
      </c>
      <c r="FH147" s="408">
        <v>0</v>
      </c>
      <c r="FI147" s="408">
        <v>0</v>
      </c>
    </row>
    <row r="148" spans="1:165">
      <c r="A148" s="408">
        <v>152</v>
      </c>
      <c r="B148" s="408" t="s">
        <v>1036</v>
      </c>
      <c r="C148" s="408" t="s">
        <v>2243</v>
      </c>
      <c r="D148" s="408" t="s">
        <v>597</v>
      </c>
      <c r="E148" s="408" t="s">
        <v>2246</v>
      </c>
      <c r="F148" s="408" t="s">
        <v>1322</v>
      </c>
      <c r="G148" s="408" t="s">
        <v>1322</v>
      </c>
      <c r="H148" s="408" t="s">
        <v>1322</v>
      </c>
      <c r="I148" s="408" t="s">
        <v>2244</v>
      </c>
      <c r="J148" s="408" t="s">
        <v>2236</v>
      </c>
      <c r="K148" s="824">
        <v>44440</v>
      </c>
      <c r="L148" s="408">
        <v>0</v>
      </c>
      <c r="M148" s="408">
        <v>0</v>
      </c>
      <c r="N148" s="408">
        <v>4.7460000000000004</v>
      </c>
      <c r="O148" s="408">
        <v>4.7460000000000004</v>
      </c>
      <c r="P148" s="408">
        <v>4.7460000000000004</v>
      </c>
      <c r="Q148" s="408">
        <v>4.7460000000000004</v>
      </c>
      <c r="R148" s="408"/>
      <c r="S148" s="408">
        <v>79.7</v>
      </c>
      <c r="T148" s="408">
        <v>209.4</v>
      </c>
      <c r="U148" s="408"/>
      <c r="V148" s="408">
        <v>1372.0686000000001</v>
      </c>
      <c r="W148" s="408">
        <v>1372.0686000000001</v>
      </c>
      <c r="X148" s="408">
        <v>1483.2199200000002</v>
      </c>
      <c r="Y148" s="408">
        <v>0</v>
      </c>
      <c r="Z148" s="408">
        <v>254.09125072934989</v>
      </c>
      <c r="AA148" s="408">
        <v>0</v>
      </c>
      <c r="AB148" s="408">
        <v>0</v>
      </c>
      <c r="AC148" s="408">
        <v>0</v>
      </c>
      <c r="AD148" s="408">
        <v>0</v>
      </c>
      <c r="AE148" s="408">
        <v>0</v>
      </c>
      <c r="AF148" s="408">
        <v>980.7644395242047</v>
      </c>
      <c r="AG148" s="408">
        <v>13.065571720035965</v>
      </c>
      <c r="AH148" s="408">
        <v>0</v>
      </c>
      <c r="AI148" s="408">
        <v>0</v>
      </c>
      <c r="AJ148" s="408">
        <v>0</v>
      </c>
      <c r="AK148" s="408">
        <v>0</v>
      </c>
      <c r="AL148" s="408">
        <v>45.132569407761451</v>
      </c>
      <c r="AM148" s="408"/>
      <c r="AN148" s="408">
        <v>6.3019490881795379</v>
      </c>
      <c r="AO148" s="408">
        <v>0</v>
      </c>
      <c r="AP148" s="408">
        <v>0</v>
      </c>
      <c r="AQ148" s="408">
        <v>0</v>
      </c>
      <c r="AR148" s="408">
        <v>0</v>
      </c>
      <c r="AS148" s="408">
        <v>0</v>
      </c>
      <c r="AT148" s="408">
        <v>0</v>
      </c>
      <c r="AU148" s="408">
        <v>0</v>
      </c>
      <c r="AV148" s="408">
        <v>0</v>
      </c>
      <c r="AW148" s="408">
        <v>0</v>
      </c>
      <c r="AX148" s="408">
        <v>0</v>
      </c>
      <c r="AY148" s="408">
        <v>0</v>
      </c>
      <c r="AZ148" s="408">
        <v>0</v>
      </c>
      <c r="BA148" s="408"/>
      <c r="BB148" s="408">
        <v>0</v>
      </c>
      <c r="BC148" s="408">
        <v>0</v>
      </c>
      <c r="BD148" s="408">
        <v>0</v>
      </c>
      <c r="BE148" s="408">
        <v>0</v>
      </c>
      <c r="BF148" s="408">
        <v>0</v>
      </c>
      <c r="BG148" s="408">
        <v>72.729774970352977</v>
      </c>
      <c r="BH148" s="408">
        <v>0</v>
      </c>
      <c r="BI148" s="408">
        <v>0</v>
      </c>
      <c r="BJ148" s="408">
        <v>0</v>
      </c>
      <c r="BK148" s="408">
        <v>0</v>
      </c>
      <c r="BL148" s="408">
        <v>0</v>
      </c>
      <c r="BM148" s="408"/>
      <c r="BN148" s="408"/>
      <c r="BO148" s="408"/>
      <c r="BP148" s="408"/>
      <c r="BQ148" s="408"/>
      <c r="BR148" s="408"/>
      <c r="BS148" s="408"/>
      <c r="BT148" s="408"/>
      <c r="BU148" s="408"/>
      <c r="BV148" s="408">
        <v>1053.4942144945576</v>
      </c>
      <c r="BW148" s="408"/>
      <c r="BX148" s="408"/>
      <c r="BY148" s="408"/>
      <c r="BZ148" s="408"/>
      <c r="CA148" s="408"/>
      <c r="CB148" s="408"/>
      <c r="CC148" s="408"/>
      <c r="CD148" s="408"/>
      <c r="CE148" s="408"/>
      <c r="CF148" s="408"/>
      <c r="CG148" s="408"/>
      <c r="CH148" s="408"/>
      <c r="CI148" s="408">
        <v>1484.47</v>
      </c>
      <c r="CJ148" s="408">
        <v>112.37139999999999</v>
      </c>
      <c r="CK148" s="408"/>
      <c r="CL148" s="408"/>
      <c r="CM148" s="408"/>
      <c r="CN148" s="408"/>
      <c r="CO148" s="408">
        <v>2.8001400000000163</v>
      </c>
      <c r="CP148" s="408">
        <v>108.35117999999993</v>
      </c>
      <c r="CQ148" s="408">
        <v>30</v>
      </c>
      <c r="CR148" s="408">
        <v>111.11432064176938</v>
      </c>
      <c r="CS148" s="408">
        <v>0</v>
      </c>
      <c r="CT148" s="408">
        <v>0</v>
      </c>
      <c r="CU148" s="408">
        <v>0</v>
      </c>
      <c r="CV148" s="408">
        <v>0</v>
      </c>
      <c r="CW148" s="408">
        <v>0</v>
      </c>
      <c r="CX148" s="408">
        <v>0</v>
      </c>
      <c r="CY148" s="408">
        <v>0</v>
      </c>
      <c r="CZ148" s="408">
        <v>0</v>
      </c>
      <c r="DA148" s="408">
        <v>0</v>
      </c>
      <c r="DB148" s="408">
        <v>0</v>
      </c>
      <c r="DC148" s="408">
        <v>108.31835726370457</v>
      </c>
      <c r="DD148" s="408">
        <v>0</v>
      </c>
      <c r="DE148" s="408">
        <v>0</v>
      </c>
      <c r="DF148" s="408">
        <v>0</v>
      </c>
      <c r="DG148" s="408">
        <v>8.0324789842189119</v>
      </c>
      <c r="DH148" s="408">
        <v>0</v>
      </c>
      <c r="DI148" s="408">
        <v>-4.4293498940014331</v>
      </c>
      <c r="DJ148" s="408"/>
      <c r="DK148" s="408">
        <v>0</v>
      </c>
      <c r="DL148" s="408">
        <v>0</v>
      </c>
      <c r="DM148" s="408">
        <v>0</v>
      </c>
      <c r="DN148" s="408">
        <v>0</v>
      </c>
      <c r="DO148" s="408">
        <v>-0.66146167630362385</v>
      </c>
      <c r="DP148" s="408">
        <v>-0.14570403584895431</v>
      </c>
      <c r="DQ148" s="408">
        <v>0</v>
      </c>
      <c r="DR148" s="408">
        <v>0</v>
      </c>
      <c r="DS148" s="408"/>
      <c r="DT148" s="408"/>
      <c r="DU148" s="408"/>
      <c r="DV148" s="408">
        <v>0</v>
      </c>
      <c r="DW148" s="408">
        <v>0</v>
      </c>
      <c r="DX148" s="408">
        <v>0</v>
      </c>
      <c r="DY148" s="408">
        <v>2.8001400000000558</v>
      </c>
      <c r="DZ148" s="408">
        <v>108.35118</v>
      </c>
      <c r="EA148" s="408">
        <v>0</v>
      </c>
      <c r="EB148" s="408">
        <v>0</v>
      </c>
      <c r="EC148" s="408">
        <v>0</v>
      </c>
      <c r="ED148" s="408">
        <v>0</v>
      </c>
      <c r="EE148" s="408">
        <v>0</v>
      </c>
      <c r="EF148" s="408">
        <v>0</v>
      </c>
      <c r="EG148" s="408">
        <v>0</v>
      </c>
      <c r="EH148" s="408">
        <v>0</v>
      </c>
      <c r="EI148" s="408">
        <v>0</v>
      </c>
      <c r="EJ148" s="408">
        <v>0</v>
      </c>
      <c r="EK148" s="408">
        <v>0</v>
      </c>
      <c r="EL148" s="408">
        <v>0</v>
      </c>
      <c r="EM148" s="408">
        <v>0</v>
      </c>
      <c r="EN148" s="408">
        <v>0</v>
      </c>
      <c r="EO148" s="408">
        <v>0</v>
      </c>
      <c r="EP148" s="408">
        <v>0</v>
      </c>
      <c r="EQ148" s="408">
        <v>0</v>
      </c>
      <c r="ER148" s="408">
        <v>0</v>
      </c>
      <c r="ES148" s="408">
        <v>0</v>
      </c>
      <c r="ET148" s="408">
        <v>0</v>
      </c>
      <c r="EU148" s="408">
        <v>0</v>
      </c>
      <c r="EV148" s="408">
        <v>238</v>
      </c>
      <c r="EW148" s="408">
        <v>0</v>
      </c>
      <c r="EX148" s="408">
        <v>0</v>
      </c>
      <c r="EY148" s="408">
        <v>0</v>
      </c>
      <c r="EZ148" s="408"/>
      <c r="FA148" s="408">
        <v>0</v>
      </c>
      <c r="FB148" s="408"/>
      <c r="FC148" s="408"/>
      <c r="FD148" s="408"/>
      <c r="FE148" s="408"/>
      <c r="FF148" s="408">
        <v>0</v>
      </c>
      <c r="FG148" s="408">
        <v>0</v>
      </c>
      <c r="FH148" s="408">
        <v>0</v>
      </c>
      <c r="FI148" s="408">
        <v>0</v>
      </c>
    </row>
    <row r="149" spans="1:165">
      <c r="A149" s="408">
        <v>153</v>
      </c>
      <c r="B149" s="408" t="s">
        <v>1036</v>
      </c>
      <c r="C149" s="408" t="s">
        <v>2243</v>
      </c>
      <c r="D149" s="408" t="s">
        <v>597</v>
      </c>
      <c r="E149" s="408" t="s">
        <v>2246</v>
      </c>
      <c r="F149" s="408" t="s">
        <v>1322</v>
      </c>
      <c r="G149" s="408" t="s">
        <v>1322</v>
      </c>
      <c r="H149" s="408" t="s">
        <v>1322</v>
      </c>
      <c r="I149" s="408" t="s">
        <v>1322</v>
      </c>
      <c r="J149" s="408" t="s">
        <v>2236</v>
      </c>
      <c r="K149" s="824">
        <v>44440</v>
      </c>
      <c r="L149" s="408">
        <v>143</v>
      </c>
      <c r="M149" s="408">
        <v>143</v>
      </c>
      <c r="N149" s="408">
        <v>0</v>
      </c>
      <c r="O149" s="408">
        <v>0</v>
      </c>
      <c r="P149" s="408">
        <v>0</v>
      </c>
      <c r="Q149" s="408">
        <v>0</v>
      </c>
      <c r="R149" s="408">
        <v>44.35</v>
      </c>
      <c r="S149" s="408"/>
      <c r="T149" s="408"/>
      <c r="U149" s="408">
        <v>6342.05</v>
      </c>
      <c r="V149" s="408"/>
      <c r="W149" s="408">
        <v>6342.05</v>
      </c>
      <c r="X149" s="408">
        <v>4142.71</v>
      </c>
      <c r="Y149" s="408">
        <v>0</v>
      </c>
      <c r="Z149" s="408">
        <v>0</v>
      </c>
      <c r="AA149" s="408">
        <v>0</v>
      </c>
      <c r="AB149" s="408">
        <v>0</v>
      </c>
      <c r="AC149" s="408">
        <v>0</v>
      </c>
      <c r="AD149" s="408">
        <v>1876.4551073961979</v>
      </c>
      <c r="AE149" s="408">
        <v>4106.6520188616778</v>
      </c>
      <c r="AF149" s="408"/>
      <c r="AG149" s="408"/>
      <c r="AH149" s="408"/>
      <c r="AI149" s="408">
        <v>0</v>
      </c>
      <c r="AJ149" s="408">
        <v>0</v>
      </c>
      <c r="AK149" s="408">
        <v>0</v>
      </c>
      <c r="AL149" s="408">
        <v>0</v>
      </c>
      <c r="AM149" s="408"/>
      <c r="AN149" s="408">
        <v>0</v>
      </c>
      <c r="AO149" s="408">
        <v>141.81605890751828</v>
      </c>
      <c r="AP149" s="408">
        <v>216.97266925736545</v>
      </c>
      <c r="AQ149" s="408">
        <v>0</v>
      </c>
      <c r="AR149" s="408">
        <v>0</v>
      </c>
      <c r="AS149" s="408"/>
      <c r="AT149" s="408"/>
      <c r="AU149" s="408">
        <v>0</v>
      </c>
      <c r="AV149" s="408">
        <v>0</v>
      </c>
      <c r="AW149" s="408">
        <v>0</v>
      </c>
      <c r="AX149" s="408"/>
      <c r="AY149" s="408"/>
      <c r="AZ149" s="408">
        <v>0</v>
      </c>
      <c r="BA149" s="408"/>
      <c r="BB149" s="408">
        <v>0</v>
      </c>
      <c r="BC149" s="408">
        <v>0</v>
      </c>
      <c r="BD149" s="408">
        <v>0</v>
      </c>
      <c r="BE149" s="408">
        <v>0</v>
      </c>
      <c r="BF149" s="408"/>
      <c r="BG149" s="408">
        <v>0</v>
      </c>
      <c r="BH149" s="408">
        <v>0</v>
      </c>
      <c r="BI149" s="408">
        <v>13.6</v>
      </c>
      <c r="BJ149" s="408">
        <v>63.82</v>
      </c>
      <c r="BK149" s="408">
        <v>1807.34</v>
      </c>
      <c r="BL149" s="408">
        <v>2</v>
      </c>
      <c r="BM149" s="408"/>
      <c r="BN149" s="408"/>
      <c r="BO149" s="408"/>
      <c r="BP149" s="408"/>
      <c r="BQ149" s="408"/>
      <c r="BR149" s="408"/>
      <c r="BS149" s="408"/>
      <c r="BT149" s="408"/>
      <c r="BU149" s="408"/>
      <c r="BV149" s="408">
        <v>0</v>
      </c>
      <c r="BW149" s="408"/>
      <c r="BX149" s="408"/>
      <c r="BY149" s="408"/>
      <c r="BZ149" s="408"/>
      <c r="CA149" s="408"/>
      <c r="CB149" s="408"/>
      <c r="CC149" s="408"/>
      <c r="CD149" s="408"/>
      <c r="CE149" s="408"/>
      <c r="CF149" s="408"/>
      <c r="CG149" s="408"/>
      <c r="CH149" s="408"/>
      <c r="CI149" s="408">
        <v>4142.71</v>
      </c>
      <c r="CJ149" s="408">
        <v>-2199.3700000000008</v>
      </c>
      <c r="CK149" s="408"/>
      <c r="CL149" s="408"/>
      <c r="CM149" s="408"/>
      <c r="CN149" s="408"/>
      <c r="CO149" s="408">
        <v>-2199.34</v>
      </c>
      <c r="CP149" s="408">
        <v>0</v>
      </c>
      <c r="CQ149" s="408">
        <v>30</v>
      </c>
      <c r="CR149" s="408">
        <v>104.83206434614658</v>
      </c>
      <c r="CS149" s="408">
        <v>17.121740749543847</v>
      </c>
      <c r="CT149" s="408">
        <v>26.195550922648238</v>
      </c>
      <c r="CU149" s="408">
        <v>0</v>
      </c>
      <c r="CV149" s="408">
        <v>0</v>
      </c>
      <c r="CW149" s="408"/>
      <c r="CX149" s="408"/>
      <c r="CY149" s="408"/>
      <c r="CZ149" s="408">
        <v>61.514772673954667</v>
      </c>
      <c r="DA149" s="408">
        <v>0</v>
      </c>
      <c r="DB149" s="408">
        <v>0</v>
      </c>
      <c r="DC149" s="408"/>
      <c r="DD149" s="408"/>
      <c r="DE149" s="408">
        <v>0</v>
      </c>
      <c r="DF149" s="408">
        <v>0</v>
      </c>
      <c r="DG149" s="408">
        <v>0</v>
      </c>
      <c r="DH149" s="408">
        <v>0</v>
      </c>
      <c r="DI149" s="408">
        <v>0</v>
      </c>
      <c r="DJ149" s="408"/>
      <c r="DK149" s="408">
        <v>0</v>
      </c>
      <c r="DL149" s="408">
        <v>0</v>
      </c>
      <c r="DM149" s="408"/>
      <c r="DN149" s="408">
        <v>0</v>
      </c>
      <c r="DO149" s="408">
        <v>0</v>
      </c>
      <c r="DP149" s="408">
        <v>0</v>
      </c>
      <c r="DQ149" s="408">
        <v>0</v>
      </c>
      <c r="DR149" s="408">
        <v>0</v>
      </c>
      <c r="DS149" s="408"/>
      <c r="DT149" s="408"/>
      <c r="DU149" s="408">
        <v>4106.6520188616778</v>
      </c>
      <c r="DV149" s="408"/>
      <c r="DW149" s="408">
        <v>0</v>
      </c>
      <c r="DX149" s="408">
        <v>0</v>
      </c>
      <c r="DY149" s="408">
        <v>-2199.34</v>
      </c>
      <c r="DZ149" s="408"/>
      <c r="EA149" s="408">
        <v>0</v>
      </c>
      <c r="EB149" s="408"/>
      <c r="EC149" s="408">
        <v>-2303.7894807610255</v>
      </c>
      <c r="ED149" s="408"/>
      <c r="EE149" s="408">
        <v>0</v>
      </c>
      <c r="EF149" s="408">
        <v>0</v>
      </c>
      <c r="EG149" s="408"/>
      <c r="EH149" s="408">
        <v>0</v>
      </c>
      <c r="EI149" s="408">
        <v>0</v>
      </c>
      <c r="EJ149" s="408">
        <v>0</v>
      </c>
      <c r="EK149" s="408">
        <v>0</v>
      </c>
      <c r="EL149" s="408">
        <v>0</v>
      </c>
      <c r="EM149" s="408"/>
      <c r="EN149" s="408"/>
      <c r="EO149" s="408">
        <v>0</v>
      </c>
      <c r="EP149" s="408">
        <v>0</v>
      </c>
      <c r="EQ149" s="408"/>
      <c r="ER149" s="408">
        <v>0</v>
      </c>
      <c r="ES149" s="408"/>
      <c r="ET149" s="408">
        <v>0</v>
      </c>
      <c r="EU149" s="408"/>
      <c r="EV149" s="408">
        <v>238</v>
      </c>
      <c r="EW149" s="408"/>
      <c r="EX149" s="408"/>
      <c r="EY149" s="408"/>
      <c r="EZ149" s="408"/>
      <c r="FA149" s="408">
        <v>0</v>
      </c>
      <c r="FB149" s="408"/>
      <c r="FC149" s="408"/>
      <c r="FD149" s="408"/>
      <c r="FE149" s="408"/>
      <c r="FF149" s="408">
        <v>0</v>
      </c>
      <c r="FG149" s="408">
        <v>0</v>
      </c>
      <c r="FH149" s="408">
        <v>0</v>
      </c>
      <c r="FI149" s="408">
        <v>0</v>
      </c>
    </row>
    <row r="150" spans="1:165">
      <c r="A150" s="408">
        <v>154</v>
      </c>
      <c r="B150" s="408" t="s">
        <v>1036</v>
      </c>
      <c r="C150" s="408" t="s">
        <v>2235</v>
      </c>
      <c r="D150" s="408" t="s">
        <v>2247</v>
      </c>
      <c r="E150" s="408" t="s">
        <v>2248</v>
      </c>
      <c r="F150" s="408" t="s">
        <v>2249</v>
      </c>
      <c r="G150" s="408" t="s">
        <v>1322</v>
      </c>
      <c r="H150" s="408" t="s">
        <v>1322</v>
      </c>
      <c r="I150" s="408" t="s">
        <v>1322</v>
      </c>
      <c r="J150" s="408" t="s">
        <v>2236</v>
      </c>
      <c r="K150" s="824">
        <v>44440</v>
      </c>
      <c r="L150" s="408">
        <v>0</v>
      </c>
      <c r="M150" s="408">
        <v>0</v>
      </c>
      <c r="N150" s="408">
        <v>490.375</v>
      </c>
      <c r="O150" s="408">
        <v>490.375</v>
      </c>
      <c r="P150" s="408">
        <v>490.375</v>
      </c>
      <c r="Q150" s="408">
        <v>490.375</v>
      </c>
      <c r="R150" s="408"/>
      <c r="S150" s="408">
        <v>319.73</v>
      </c>
      <c r="T150" s="408">
        <v>115.17</v>
      </c>
      <c r="U150" s="408"/>
      <c r="V150" s="408">
        <v>213264.08750000002</v>
      </c>
      <c r="W150" s="408">
        <v>213264.08750000002</v>
      </c>
      <c r="X150" s="408">
        <v>162917.28625</v>
      </c>
      <c r="Y150" s="408">
        <v>0</v>
      </c>
      <c r="Z150" s="408">
        <v>16597.158258381591</v>
      </c>
      <c r="AA150" s="408">
        <v>0</v>
      </c>
      <c r="AB150" s="408">
        <v>0</v>
      </c>
      <c r="AC150" s="408">
        <v>0</v>
      </c>
      <c r="AD150" s="408">
        <v>20009.815446086159</v>
      </c>
      <c r="AE150" s="408">
        <v>103946.22139987886</v>
      </c>
      <c r="AF150" s="408">
        <v>55734.997707000759</v>
      </c>
      <c r="AG150" s="408">
        <v>742.4918568725102</v>
      </c>
      <c r="AH150" s="408">
        <v>0</v>
      </c>
      <c r="AI150" s="408">
        <v>0</v>
      </c>
      <c r="AJ150" s="408">
        <v>0</v>
      </c>
      <c r="AK150" s="408">
        <v>0</v>
      </c>
      <c r="AL150" s="408">
        <v>2564.7989987003916</v>
      </c>
      <c r="AM150" s="408"/>
      <c r="AN150" s="408">
        <v>491.66486950602086</v>
      </c>
      <c r="AO150" s="408">
        <v>1537.1855867885799</v>
      </c>
      <c r="AP150" s="408">
        <v>2315.4793924799692</v>
      </c>
      <c r="AQ150" s="408">
        <v>0</v>
      </c>
      <c r="AR150" s="408">
        <v>0</v>
      </c>
      <c r="AS150" s="408">
        <v>0</v>
      </c>
      <c r="AT150" s="408">
        <v>0</v>
      </c>
      <c r="AU150" s="408">
        <v>0</v>
      </c>
      <c r="AV150" s="408">
        <v>0</v>
      </c>
      <c r="AW150" s="408">
        <v>0</v>
      </c>
      <c r="AX150" s="408">
        <v>0</v>
      </c>
      <c r="AY150" s="408">
        <v>0</v>
      </c>
      <c r="AZ150" s="408">
        <v>0</v>
      </c>
      <c r="BA150" s="408"/>
      <c r="BB150" s="408">
        <v>0</v>
      </c>
      <c r="BC150" s="408">
        <v>0</v>
      </c>
      <c r="BD150" s="408">
        <v>0</v>
      </c>
      <c r="BE150" s="408">
        <v>0</v>
      </c>
      <c r="BF150" s="408">
        <v>0</v>
      </c>
      <c r="BG150" s="408">
        <v>9324.3609252428832</v>
      </c>
      <c r="BH150" s="408">
        <v>0</v>
      </c>
      <c r="BI150" s="408">
        <v>469.39</v>
      </c>
      <c r="BJ150" s="408">
        <v>2201.29</v>
      </c>
      <c r="BK150" s="408">
        <v>58700.59</v>
      </c>
      <c r="BL150" s="408">
        <v>41</v>
      </c>
      <c r="BM150" s="408"/>
      <c r="BN150" s="408"/>
      <c r="BO150" s="408"/>
      <c r="BP150" s="408"/>
      <c r="BQ150" s="408"/>
      <c r="BR150" s="408"/>
      <c r="BS150" s="408"/>
      <c r="BT150" s="408"/>
      <c r="BU150" s="408"/>
      <c r="BV150" s="408">
        <v>65059.358632243646</v>
      </c>
      <c r="BW150" s="408"/>
      <c r="BX150" s="408"/>
      <c r="BY150" s="408"/>
      <c r="BZ150" s="408"/>
      <c r="CA150" s="408"/>
      <c r="CB150" s="408"/>
      <c r="CC150" s="408"/>
      <c r="CD150" s="408"/>
      <c r="CE150" s="408"/>
      <c r="CF150" s="408"/>
      <c r="CG150" s="408"/>
      <c r="CH150" s="408"/>
      <c r="CI150" s="408">
        <v>162918.9474</v>
      </c>
      <c r="CJ150" s="408">
        <v>-50345.170100000047</v>
      </c>
      <c r="CK150" s="408"/>
      <c r="CL150" s="408"/>
      <c r="CM150" s="408"/>
      <c r="CN150" s="408"/>
      <c r="CO150" s="408">
        <v>-56501.007500000014</v>
      </c>
      <c r="CP150" s="408">
        <v>6154.2062499999984</v>
      </c>
      <c r="CQ150" s="408">
        <v>30</v>
      </c>
      <c r="CR150" s="408">
        <v>7968.1665794359578</v>
      </c>
      <c r="CS150" s="408">
        <v>185.58753714975001</v>
      </c>
      <c r="CT150" s="408">
        <v>279.55252863716078</v>
      </c>
      <c r="CU150" s="408">
        <v>0</v>
      </c>
      <c r="CV150" s="408">
        <v>0</v>
      </c>
      <c r="CW150" s="408">
        <v>0</v>
      </c>
      <c r="CX150" s="408">
        <v>0</v>
      </c>
      <c r="CY150" s="408">
        <v>0</v>
      </c>
      <c r="CZ150" s="408">
        <v>655.97052845118378</v>
      </c>
      <c r="DA150" s="408">
        <v>0</v>
      </c>
      <c r="DB150" s="408">
        <v>0</v>
      </c>
      <c r="DC150" s="408">
        <v>6155.5284331550793</v>
      </c>
      <c r="DD150" s="408">
        <v>0</v>
      </c>
      <c r="DE150" s="408">
        <v>0</v>
      </c>
      <c r="DF150" s="408">
        <v>0</v>
      </c>
      <c r="DG150" s="408">
        <v>1029.8083997071772</v>
      </c>
      <c r="DH150" s="408">
        <v>0</v>
      </c>
      <c r="DI150" s="408">
        <v>-289.32370147132315</v>
      </c>
      <c r="DJ150" s="408"/>
      <c r="DK150" s="408">
        <v>0</v>
      </c>
      <c r="DL150" s="408">
        <v>0</v>
      </c>
      <c r="DM150" s="408">
        <v>0</v>
      </c>
      <c r="DN150" s="408">
        <v>0</v>
      </c>
      <c r="DO150" s="408">
        <v>-37.589622468302878</v>
      </c>
      <c r="DP150" s="408">
        <v>-11.367523724767352</v>
      </c>
      <c r="DQ150" s="408">
        <v>0</v>
      </c>
      <c r="DR150" s="408">
        <v>0</v>
      </c>
      <c r="DS150" s="408"/>
      <c r="DT150" s="408"/>
      <c r="DU150" s="408"/>
      <c r="DV150" s="408">
        <v>103946.22139987886</v>
      </c>
      <c r="DW150" s="408">
        <v>0</v>
      </c>
      <c r="DX150" s="408">
        <v>0</v>
      </c>
      <c r="DY150" s="408">
        <v>-56501.007500000007</v>
      </c>
      <c r="DZ150" s="408">
        <v>6154.2062499999956</v>
      </c>
      <c r="EA150" s="408">
        <v>0</v>
      </c>
      <c r="EB150" s="408">
        <v>0</v>
      </c>
      <c r="EC150" s="408">
        <v>-58312.759475607236</v>
      </c>
      <c r="ED150" s="408">
        <v>0</v>
      </c>
      <c r="EE150" s="408">
        <v>0</v>
      </c>
      <c r="EF150" s="408">
        <v>0</v>
      </c>
      <c r="EG150" s="408">
        <v>0</v>
      </c>
      <c r="EH150" s="408">
        <v>0</v>
      </c>
      <c r="EI150" s="408">
        <v>0</v>
      </c>
      <c r="EJ150" s="408">
        <v>0</v>
      </c>
      <c r="EK150" s="408">
        <v>0</v>
      </c>
      <c r="EL150" s="408">
        <v>0</v>
      </c>
      <c r="EM150" s="408">
        <v>0</v>
      </c>
      <c r="EN150" s="408">
        <v>0</v>
      </c>
      <c r="EO150" s="408">
        <v>0</v>
      </c>
      <c r="EP150" s="408">
        <v>0</v>
      </c>
      <c r="EQ150" s="408">
        <v>0</v>
      </c>
      <c r="ER150" s="408">
        <v>0</v>
      </c>
      <c r="ES150" s="408">
        <v>0</v>
      </c>
      <c r="ET150" s="408">
        <v>0</v>
      </c>
      <c r="EU150" s="408">
        <v>0</v>
      </c>
      <c r="EV150" s="408">
        <v>238</v>
      </c>
      <c r="EW150" s="408">
        <v>0</v>
      </c>
      <c r="EX150" s="408">
        <v>0</v>
      </c>
      <c r="EY150" s="408">
        <v>0</v>
      </c>
      <c r="EZ150" s="408"/>
      <c r="FA150" s="408">
        <v>0</v>
      </c>
      <c r="FB150" s="408"/>
      <c r="FC150" s="408"/>
      <c r="FD150" s="408"/>
      <c r="FE150" s="408"/>
      <c r="FF150" s="408">
        <v>0</v>
      </c>
      <c r="FG150" s="408">
        <v>0</v>
      </c>
      <c r="FH150" s="408">
        <v>0</v>
      </c>
      <c r="FI150" s="408">
        <v>0</v>
      </c>
    </row>
    <row r="151" spans="1:165">
      <c r="A151" s="408">
        <v>155</v>
      </c>
      <c r="B151" s="408" t="s">
        <v>1036</v>
      </c>
      <c r="C151" s="408" t="s">
        <v>2235</v>
      </c>
      <c r="D151" s="408" t="s">
        <v>1958</v>
      </c>
      <c r="E151" s="408" t="s">
        <v>1001</v>
      </c>
      <c r="F151" s="408" t="s">
        <v>2250</v>
      </c>
      <c r="G151" s="408" t="s">
        <v>1322</v>
      </c>
      <c r="H151" s="408" t="s">
        <v>1322</v>
      </c>
      <c r="I151" s="408" t="s">
        <v>1322</v>
      </c>
      <c r="J151" s="408" t="s">
        <v>2236</v>
      </c>
      <c r="K151" s="824">
        <v>44440</v>
      </c>
      <c r="L151" s="408">
        <v>0</v>
      </c>
      <c r="M151" s="408">
        <v>0</v>
      </c>
      <c r="N151" s="408">
        <v>78.88</v>
      </c>
      <c r="O151" s="408">
        <v>74.147199999999998</v>
      </c>
      <c r="P151" s="408">
        <v>78.88</v>
      </c>
      <c r="Q151" s="408">
        <v>74.147199999999998</v>
      </c>
      <c r="R151" s="408"/>
      <c r="S151" s="408">
        <v>581.32000000000005</v>
      </c>
      <c r="T151" s="408">
        <v>209.4</v>
      </c>
      <c r="U151" s="408"/>
      <c r="V151" s="408">
        <v>62371.993600000002</v>
      </c>
      <c r="W151" s="408">
        <v>62371.993600000002</v>
      </c>
      <c r="X151" s="408">
        <v>47649.041599999997</v>
      </c>
      <c r="Y151" s="408">
        <v>0</v>
      </c>
      <c r="Z151" s="408">
        <v>4854.1101417602968</v>
      </c>
      <c r="AA151" s="408">
        <v>0</v>
      </c>
      <c r="AB151" s="408">
        <v>0</v>
      </c>
      <c r="AC151" s="408">
        <v>0</v>
      </c>
      <c r="AD151" s="408">
        <v>5852.1975014938471</v>
      </c>
      <c r="AE151" s="408">
        <v>30400.771001867502</v>
      </c>
      <c r="AF151" s="408">
        <v>16300.610827996052</v>
      </c>
      <c r="AG151" s="408">
        <v>217.1538763751447</v>
      </c>
      <c r="AH151" s="408">
        <v>0</v>
      </c>
      <c r="AI151" s="408">
        <v>0</v>
      </c>
      <c r="AJ151" s="408">
        <v>0</v>
      </c>
      <c r="AK151" s="408">
        <v>0</v>
      </c>
      <c r="AL151" s="408">
        <v>750.11737776742996</v>
      </c>
      <c r="AM151" s="408"/>
      <c r="AN151" s="408">
        <v>143.79542523258127</v>
      </c>
      <c r="AO151" s="408">
        <v>449.57504353674858</v>
      </c>
      <c r="AP151" s="408">
        <v>677.19978487268963</v>
      </c>
      <c r="AQ151" s="408">
        <v>0</v>
      </c>
      <c r="AR151" s="408">
        <v>0</v>
      </c>
      <c r="AS151" s="408">
        <v>0</v>
      </c>
      <c r="AT151" s="408">
        <v>0</v>
      </c>
      <c r="AU151" s="408">
        <v>0</v>
      </c>
      <c r="AV151" s="408">
        <v>0</v>
      </c>
      <c r="AW151" s="408">
        <v>0</v>
      </c>
      <c r="AX151" s="408">
        <v>0</v>
      </c>
      <c r="AY151" s="408">
        <v>0</v>
      </c>
      <c r="AZ151" s="408">
        <v>0</v>
      </c>
      <c r="BA151" s="408"/>
      <c r="BB151" s="408">
        <v>0</v>
      </c>
      <c r="BC151" s="408">
        <v>0</v>
      </c>
      <c r="BD151" s="408">
        <v>0</v>
      </c>
      <c r="BE151" s="408">
        <v>0</v>
      </c>
      <c r="BF151" s="408">
        <v>0</v>
      </c>
      <c r="BG151" s="408">
        <v>2727.0617191227802</v>
      </c>
      <c r="BH151" s="408">
        <v>0</v>
      </c>
      <c r="BI151" s="408">
        <v>128.05000000000001</v>
      </c>
      <c r="BJ151" s="408">
        <v>600.65</v>
      </c>
      <c r="BK151" s="408">
        <v>24892.7</v>
      </c>
      <c r="BL151" s="408">
        <v>21</v>
      </c>
      <c r="BM151" s="408"/>
      <c r="BN151" s="408"/>
      <c r="BO151" s="408"/>
      <c r="BP151" s="408"/>
      <c r="BQ151" s="408">
        <v>2858.9424959999983</v>
      </c>
      <c r="BR151" s="408"/>
      <c r="BS151" s="408"/>
      <c r="BT151" s="408"/>
      <c r="BU151" s="408"/>
      <c r="BV151" s="408">
        <v>19027.672547118833</v>
      </c>
      <c r="BW151" s="408"/>
      <c r="BX151" s="408"/>
      <c r="BY151" s="408"/>
      <c r="BZ151" s="408"/>
      <c r="CA151" s="408"/>
      <c r="CB151" s="408"/>
      <c r="CC151" s="408"/>
      <c r="CD151" s="408"/>
      <c r="CE151" s="408"/>
      <c r="CF151" s="408"/>
      <c r="CG151" s="408"/>
      <c r="CH151" s="408"/>
      <c r="CI151" s="408">
        <v>44791.790500000003</v>
      </c>
      <c r="CJ151" s="408">
        <v>-13837.913484000004</v>
      </c>
      <c r="CK151" s="408"/>
      <c r="CL151" s="408"/>
      <c r="CM151" s="408"/>
      <c r="CN151" s="408"/>
      <c r="CO151" s="408">
        <v>-16523.782400000004</v>
      </c>
      <c r="CP151" s="408">
        <v>1800.8303999999987</v>
      </c>
      <c r="CQ151" s="408">
        <v>30</v>
      </c>
      <c r="CR151" s="408">
        <v>2330.4205215337643</v>
      </c>
      <c r="CS151" s="408">
        <v>54.278107868735503</v>
      </c>
      <c r="CT151" s="408">
        <v>81.759705082471442</v>
      </c>
      <c r="CU151" s="408">
        <v>0</v>
      </c>
      <c r="CV151" s="408">
        <v>0</v>
      </c>
      <c r="CW151" s="408">
        <v>0</v>
      </c>
      <c r="CX151" s="408">
        <v>0</v>
      </c>
      <c r="CY151" s="408">
        <v>0</v>
      </c>
      <c r="CZ151" s="408">
        <v>191.84930005972001</v>
      </c>
      <c r="DA151" s="408">
        <v>0</v>
      </c>
      <c r="DB151" s="408">
        <v>0</v>
      </c>
      <c r="DC151" s="408">
        <v>1800.2848758872769</v>
      </c>
      <c r="DD151" s="408">
        <v>0</v>
      </c>
      <c r="DE151" s="408">
        <v>0</v>
      </c>
      <c r="DF151" s="408">
        <v>0</v>
      </c>
      <c r="DG151" s="408">
        <v>301.18429427906676</v>
      </c>
      <c r="DH151" s="408">
        <v>0</v>
      </c>
      <c r="DI151" s="408">
        <v>-84.617444245563092</v>
      </c>
      <c r="DJ151" s="408"/>
      <c r="DK151" s="408">
        <v>0</v>
      </c>
      <c r="DL151" s="408">
        <v>0</v>
      </c>
      <c r="DM151" s="408">
        <v>0</v>
      </c>
      <c r="DN151" s="408">
        <v>0</v>
      </c>
      <c r="DO151" s="408">
        <v>-10.993699331401103</v>
      </c>
      <c r="DP151" s="408">
        <v>-3.324618066543394</v>
      </c>
      <c r="DQ151" s="408">
        <v>0</v>
      </c>
      <c r="DR151" s="408">
        <v>0</v>
      </c>
      <c r="DS151" s="408"/>
      <c r="DT151" s="408"/>
      <c r="DU151" s="408"/>
      <c r="DV151" s="408">
        <v>30400.771001867502</v>
      </c>
      <c r="DW151" s="408">
        <v>0</v>
      </c>
      <c r="DX151" s="408">
        <v>0</v>
      </c>
      <c r="DY151" s="408">
        <v>-16523.782400000004</v>
      </c>
      <c r="DZ151" s="408">
        <v>1800.8303999999989</v>
      </c>
      <c r="EA151" s="408">
        <v>0</v>
      </c>
      <c r="EB151" s="408">
        <v>0</v>
      </c>
      <c r="EC151" s="408">
        <v>-17054.519379643145</v>
      </c>
      <c r="ED151" s="408">
        <v>0</v>
      </c>
      <c r="EE151" s="408">
        <v>0</v>
      </c>
      <c r="EF151" s="408">
        <v>0</v>
      </c>
      <c r="EG151" s="408">
        <v>0</v>
      </c>
      <c r="EH151" s="408">
        <v>0</v>
      </c>
      <c r="EI151" s="408">
        <v>0</v>
      </c>
      <c r="EJ151" s="408">
        <v>0</v>
      </c>
      <c r="EK151" s="408">
        <v>0</v>
      </c>
      <c r="EL151" s="408">
        <v>0</v>
      </c>
      <c r="EM151" s="408">
        <v>0</v>
      </c>
      <c r="EN151" s="408">
        <v>0</v>
      </c>
      <c r="EO151" s="408">
        <v>0</v>
      </c>
      <c r="EP151" s="408">
        <v>0</v>
      </c>
      <c r="EQ151" s="408">
        <v>0</v>
      </c>
      <c r="ER151" s="408">
        <v>0</v>
      </c>
      <c r="ES151" s="408">
        <v>0</v>
      </c>
      <c r="ET151" s="408">
        <v>0</v>
      </c>
      <c r="EU151" s="408">
        <v>0</v>
      </c>
      <c r="EV151" s="408">
        <v>238</v>
      </c>
      <c r="EW151" s="408">
        <v>0</v>
      </c>
      <c r="EX151" s="408">
        <v>0</v>
      </c>
      <c r="EY151" s="408">
        <v>0</v>
      </c>
      <c r="EZ151" s="408"/>
      <c r="FA151" s="408">
        <v>0</v>
      </c>
      <c r="FB151" s="408"/>
      <c r="FC151" s="408"/>
      <c r="FD151" s="408"/>
      <c r="FE151" s="408"/>
      <c r="FF151" s="408">
        <v>0</v>
      </c>
      <c r="FG151" s="408">
        <v>0</v>
      </c>
      <c r="FH151" s="408">
        <v>0</v>
      </c>
      <c r="FI151" s="408">
        <v>0</v>
      </c>
    </row>
    <row r="152" spans="1:165">
      <c r="A152" s="408">
        <v>156</v>
      </c>
      <c r="B152" s="408" t="s">
        <v>1036</v>
      </c>
      <c r="C152" s="408" t="s">
        <v>2235</v>
      </c>
      <c r="D152" s="408" t="s">
        <v>1958</v>
      </c>
      <c r="E152" s="408" t="s">
        <v>2251</v>
      </c>
      <c r="F152" s="408" t="s">
        <v>1322</v>
      </c>
      <c r="G152" s="408" t="s">
        <v>1322</v>
      </c>
      <c r="H152" s="408" t="s">
        <v>1322</v>
      </c>
      <c r="I152" s="408" t="s">
        <v>1322</v>
      </c>
      <c r="J152" s="408" t="s">
        <v>2236</v>
      </c>
      <c r="K152" s="824">
        <v>44440</v>
      </c>
      <c r="L152" s="408">
        <v>0</v>
      </c>
      <c r="M152" s="408">
        <v>0</v>
      </c>
      <c r="N152" s="408">
        <v>23.54</v>
      </c>
      <c r="O152" s="408">
        <v>23.54</v>
      </c>
      <c r="P152" s="408">
        <v>23.54</v>
      </c>
      <c r="Q152" s="408">
        <v>23.54</v>
      </c>
      <c r="R152" s="408"/>
      <c r="S152" s="408">
        <v>581.32000000000005</v>
      </c>
      <c r="T152" s="408">
        <v>209.4</v>
      </c>
      <c r="U152" s="408"/>
      <c r="V152" s="408">
        <v>18613.5488</v>
      </c>
      <c r="W152" s="408">
        <v>18613.5488</v>
      </c>
      <c r="X152" s="408">
        <v>14219.807799999999</v>
      </c>
      <c r="Y152" s="408">
        <v>0</v>
      </c>
      <c r="Z152" s="408">
        <v>1448.6023420009813</v>
      </c>
      <c r="AA152" s="408">
        <v>0</v>
      </c>
      <c r="AB152" s="408">
        <v>0</v>
      </c>
      <c r="AC152" s="408">
        <v>0</v>
      </c>
      <c r="AD152" s="408">
        <v>1746.4595484934732</v>
      </c>
      <c r="AE152" s="408">
        <v>9072.4410418859152</v>
      </c>
      <c r="AF152" s="408">
        <v>4864.5585559207284</v>
      </c>
      <c r="AG152" s="408">
        <v>64.804795256984107</v>
      </c>
      <c r="AH152" s="408">
        <v>0</v>
      </c>
      <c r="AI152" s="408">
        <v>0</v>
      </c>
      <c r="AJ152" s="408">
        <v>0</v>
      </c>
      <c r="AK152" s="408">
        <v>0</v>
      </c>
      <c r="AL152" s="408">
        <v>223.85602272623356</v>
      </c>
      <c r="AM152" s="408"/>
      <c r="AN152" s="408">
        <v>42.912579994611598</v>
      </c>
      <c r="AO152" s="408">
        <v>134.1657774449171</v>
      </c>
      <c r="AP152" s="408">
        <v>202.09537190546547</v>
      </c>
      <c r="AQ152" s="408">
        <v>0</v>
      </c>
      <c r="AR152" s="408">
        <v>0</v>
      </c>
      <c r="AS152" s="408">
        <v>0</v>
      </c>
      <c r="AT152" s="408">
        <v>0</v>
      </c>
      <c r="AU152" s="408">
        <v>0</v>
      </c>
      <c r="AV152" s="408">
        <v>0</v>
      </c>
      <c r="AW152" s="408">
        <v>0</v>
      </c>
      <c r="AX152" s="408">
        <v>0</v>
      </c>
      <c r="AY152" s="408">
        <v>0</v>
      </c>
      <c r="AZ152" s="408">
        <v>0</v>
      </c>
      <c r="BA152" s="408"/>
      <c r="BB152" s="408">
        <v>0</v>
      </c>
      <c r="BC152" s="408">
        <v>0</v>
      </c>
      <c r="BD152" s="408">
        <v>0</v>
      </c>
      <c r="BE152" s="408">
        <v>0</v>
      </c>
      <c r="BF152" s="408">
        <v>0</v>
      </c>
      <c r="BG152" s="408">
        <v>813.83155258811166</v>
      </c>
      <c r="BH152" s="408">
        <v>0</v>
      </c>
      <c r="BI152" s="408">
        <v>39.64</v>
      </c>
      <c r="BJ152" s="408">
        <v>186.19</v>
      </c>
      <c r="BK152" s="408">
        <v>7447.88</v>
      </c>
      <c r="BL152" s="408">
        <v>17</v>
      </c>
      <c r="BM152" s="408"/>
      <c r="BN152" s="408"/>
      <c r="BO152" s="408"/>
      <c r="BP152" s="408"/>
      <c r="BQ152" s="408"/>
      <c r="BR152" s="408"/>
      <c r="BS152" s="408"/>
      <c r="BT152" s="408"/>
      <c r="BU152" s="408"/>
      <c r="BV152" s="408">
        <v>5678.3901085088401</v>
      </c>
      <c r="BW152" s="408"/>
      <c r="BX152" s="408"/>
      <c r="BY152" s="408"/>
      <c r="BZ152" s="408"/>
      <c r="CA152" s="408"/>
      <c r="CB152" s="408"/>
      <c r="CC152" s="408"/>
      <c r="CD152" s="408"/>
      <c r="CE152" s="408"/>
      <c r="CF152" s="408"/>
      <c r="CG152" s="408"/>
      <c r="CH152" s="408"/>
      <c r="CI152" s="408">
        <v>14219.807799999999</v>
      </c>
      <c r="CJ152" s="408">
        <v>-4393.7710000000006</v>
      </c>
      <c r="CK152" s="408"/>
      <c r="CL152" s="408"/>
      <c r="CM152" s="408"/>
      <c r="CN152" s="408"/>
      <c r="CO152" s="408">
        <v>-4931.1592000000019</v>
      </c>
      <c r="CP152" s="408">
        <v>537.41819999999962</v>
      </c>
      <c r="CQ152" s="408">
        <v>30</v>
      </c>
      <c r="CR152" s="408">
        <v>695.46271649219852</v>
      </c>
      <c r="CS152" s="408">
        <v>16.198106734660684</v>
      </c>
      <c r="CT152" s="408">
        <v>24.399384604987006</v>
      </c>
      <c r="CU152" s="408">
        <v>0</v>
      </c>
      <c r="CV152" s="408">
        <v>0</v>
      </c>
      <c r="CW152" s="408">
        <v>0</v>
      </c>
      <c r="CX152" s="408">
        <v>0</v>
      </c>
      <c r="CY152" s="408">
        <v>0</v>
      </c>
      <c r="CZ152" s="408">
        <v>57.25320136163532</v>
      </c>
      <c r="DA152" s="408">
        <v>0</v>
      </c>
      <c r="DB152" s="408">
        <v>0</v>
      </c>
      <c r="DC152" s="408">
        <v>537.25540033451398</v>
      </c>
      <c r="DD152" s="408">
        <v>0</v>
      </c>
      <c r="DE152" s="408">
        <v>0</v>
      </c>
      <c r="DF152" s="408">
        <v>0</v>
      </c>
      <c r="DG152" s="408">
        <v>89.8818241294274</v>
      </c>
      <c r="DH152" s="408">
        <v>0</v>
      </c>
      <c r="DI152" s="408">
        <v>-25.252213964763769</v>
      </c>
      <c r="DJ152" s="408"/>
      <c r="DK152" s="408">
        <v>0</v>
      </c>
      <c r="DL152" s="408">
        <v>0</v>
      </c>
      <c r="DM152" s="408">
        <v>0</v>
      </c>
      <c r="DN152" s="408">
        <v>0</v>
      </c>
      <c r="DO152" s="408">
        <v>-3.2808276148730044</v>
      </c>
      <c r="DP152" s="408">
        <v>-0.99215909338781927</v>
      </c>
      <c r="DQ152" s="408">
        <v>0</v>
      </c>
      <c r="DR152" s="408">
        <v>0</v>
      </c>
      <c r="DS152" s="408"/>
      <c r="DT152" s="408"/>
      <c r="DU152" s="408"/>
      <c r="DV152" s="408">
        <v>9072.4410418859152</v>
      </c>
      <c r="DW152" s="408">
        <v>0</v>
      </c>
      <c r="DX152" s="408">
        <v>0</v>
      </c>
      <c r="DY152" s="408">
        <v>-4931.1592000000019</v>
      </c>
      <c r="DZ152" s="408">
        <v>537.41820000000007</v>
      </c>
      <c r="EA152" s="408">
        <v>0</v>
      </c>
      <c r="EB152" s="408">
        <v>0</v>
      </c>
      <c r="EC152" s="408">
        <v>-5089.545971054762</v>
      </c>
      <c r="ED152" s="408">
        <v>0</v>
      </c>
      <c r="EE152" s="408">
        <v>0</v>
      </c>
      <c r="EF152" s="408">
        <v>0</v>
      </c>
      <c r="EG152" s="408">
        <v>0</v>
      </c>
      <c r="EH152" s="408">
        <v>0</v>
      </c>
      <c r="EI152" s="408">
        <v>0</v>
      </c>
      <c r="EJ152" s="408">
        <v>0</v>
      </c>
      <c r="EK152" s="408">
        <v>0</v>
      </c>
      <c r="EL152" s="408">
        <v>0</v>
      </c>
      <c r="EM152" s="408">
        <v>0</v>
      </c>
      <c r="EN152" s="408">
        <v>0</v>
      </c>
      <c r="EO152" s="408">
        <v>0</v>
      </c>
      <c r="EP152" s="408">
        <v>0</v>
      </c>
      <c r="EQ152" s="408">
        <v>0</v>
      </c>
      <c r="ER152" s="408">
        <v>0</v>
      </c>
      <c r="ES152" s="408">
        <v>0</v>
      </c>
      <c r="ET152" s="408">
        <v>0</v>
      </c>
      <c r="EU152" s="408">
        <v>0</v>
      </c>
      <c r="EV152" s="408">
        <v>238</v>
      </c>
      <c r="EW152" s="408">
        <v>0</v>
      </c>
      <c r="EX152" s="408">
        <v>0</v>
      </c>
      <c r="EY152" s="408">
        <v>0</v>
      </c>
      <c r="EZ152" s="408"/>
      <c r="FA152" s="408">
        <v>0</v>
      </c>
      <c r="FB152" s="408"/>
      <c r="FC152" s="408"/>
      <c r="FD152" s="408"/>
      <c r="FE152" s="408"/>
      <c r="FF152" s="408">
        <v>0</v>
      </c>
      <c r="FG152" s="408">
        <v>0</v>
      </c>
      <c r="FH152" s="408">
        <v>0</v>
      </c>
      <c r="FI152" s="408">
        <v>0</v>
      </c>
    </row>
    <row r="153" spans="1:165">
      <c r="A153" s="408">
        <v>157</v>
      </c>
      <c r="B153" s="408" t="s">
        <v>1036</v>
      </c>
      <c r="C153" s="408" t="s">
        <v>2235</v>
      </c>
      <c r="D153" s="408" t="s">
        <v>2245</v>
      </c>
      <c r="E153" s="408" t="s">
        <v>974</v>
      </c>
      <c r="F153" s="408" t="s">
        <v>2252</v>
      </c>
      <c r="G153" s="408" t="s">
        <v>2253</v>
      </c>
      <c r="H153" s="408" t="s">
        <v>1322</v>
      </c>
      <c r="I153" s="408" t="s">
        <v>1322</v>
      </c>
      <c r="J153" s="408" t="s">
        <v>2236</v>
      </c>
      <c r="K153" s="824">
        <v>44440</v>
      </c>
      <c r="L153" s="408">
        <v>0</v>
      </c>
      <c r="M153" s="408">
        <v>0</v>
      </c>
      <c r="N153" s="408">
        <v>0</v>
      </c>
      <c r="O153" s="408">
        <v>0</v>
      </c>
      <c r="P153" s="408">
        <v>0</v>
      </c>
      <c r="Q153" s="408">
        <v>0</v>
      </c>
      <c r="R153" s="408"/>
      <c r="S153" s="408"/>
      <c r="T153" s="408"/>
      <c r="U153" s="408"/>
      <c r="V153" s="408"/>
      <c r="W153" s="408"/>
      <c r="X153" s="408"/>
      <c r="Y153" s="408"/>
      <c r="Z153" s="408"/>
      <c r="AA153" s="408">
        <v>0</v>
      </c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408"/>
      <c r="AL153" s="408"/>
      <c r="AM153" s="408"/>
      <c r="AN153" s="408"/>
      <c r="AO153" s="408"/>
      <c r="AP153" s="408"/>
      <c r="AQ153" s="408"/>
      <c r="AR153" s="408"/>
      <c r="AS153" s="408"/>
      <c r="AT153" s="408"/>
      <c r="AU153" s="408"/>
      <c r="AV153" s="408"/>
      <c r="AW153" s="408"/>
      <c r="AX153" s="408"/>
      <c r="AY153" s="408"/>
      <c r="AZ153" s="408">
        <v>0</v>
      </c>
      <c r="BA153" s="408"/>
      <c r="BB153" s="408"/>
      <c r="BC153" s="408"/>
      <c r="BD153" s="408"/>
      <c r="BE153" s="408"/>
      <c r="BF153" s="408"/>
      <c r="BG153" s="408"/>
      <c r="BH153" s="408"/>
      <c r="BI153" s="408">
        <v>88.19</v>
      </c>
      <c r="BJ153" s="408">
        <v>416</v>
      </c>
      <c r="BK153" s="408">
        <v>1170.94</v>
      </c>
      <c r="BL153" s="408">
        <v>130</v>
      </c>
      <c r="BM153" s="408"/>
      <c r="BN153" s="408"/>
      <c r="BO153" s="408"/>
      <c r="BP153" s="408"/>
      <c r="BQ153" s="408"/>
      <c r="BR153" s="408"/>
      <c r="BS153" s="408"/>
      <c r="BT153" s="408"/>
      <c r="BU153" s="408"/>
      <c r="BV153" s="408"/>
      <c r="BW153" s="408"/>
      <c r="BX153" s="408"/>
      <c r="BY153" s="408"/>
      <c r="BZ153" s="408"/>
      <c r="CA153" s="408"/>
      <c r="CB153" s="408"/>
      <c r="CC153" s="408"/>
      <c r="CD153" s="408"/>
      <c r="CE153" s="408"/>
      <c r="CF153" s="408"/>
      <c r="CG153" s="408"/>
      <c r="CH153" s="408"/>
      <c r="CI153" s="408"/>
      <c r="CJ153" s="408">
        <v>-0.03</v>
      </c>
      <c r="CK153" s="408"/>
      <c r="CL153" s="408"/>
      <c r="CM153" s="408"/>
      <c r="CN153" s="408"/>
      <c r="CO153" s="408">
        <v>0</v>
      </c>
      <c r="CP153" s="408">
        <v>0</v>
      </c>
      <c r="CQ153" s="408">
        <v>30</v>
      </c>
      <c r="CR153" s="408"/>
      <c r="CS153" s="408"/>
      <c r="CT153" s="408"/>
      <c r="CU153" s="408"/>
      <c r="CV153" s="408"/>
      <c r="CW153" s="408"/>
      <c r="CX153" s="408"/>
      <c r="CY153" s="408"/>
      <c r="CZ153" s="408"/>
      <c r="DA153" s="408"/>
      <c r="DB153" s="408"/>
      <c r="DC153" s="408"/>
      <c r="DD153" s="408"/>
      <c r="DE153" s="408"/>
      <c r="DF153" s="408"/>
      <c r="DG153" s="408"/>
      <c r="DH153" s="408"/>
      <c r="DI153" s="408"/>
      <c r="DJ153" s="408"/>
      <c r="DK153" s="408">
        <v>0</v>
      </c>
      <c r="DL153" s="408"/>
      <c r="DM153" s="408"/>
      <c r="DN153" s="408"/>
      <c r="DO153" s="408"/>
      <c r="DP153" s="408"/>
      <c r="DQ153" s="408"/>
      <c r="DR153" s="408"/>
      <c r="DS153" s="408"/>
      <c r="DT153" s="408"/>
      <c r="DU153" s="408"/>
      <c r="DV153" s="408"/>
      <c r="DW153" s="408"/>
      <c r="DX153" s="408"/>
      <c r="DY153" s="408"/>
      <c r="DZ153" s="408"/>
      <c r="EA153" s="408"/>
      <c r="EB153" s="408"/>
      <c r="EC153" s="408"/>
      <c r="ED153" s="408"/>
      <c r="EE153" s="408"/>
      <c r="EF153" s="408"/>
      <c r="EG153" s="408"/>
      <c r="EH153" s="408"/>
      <c r="EI153" s="408"/>
      <c r="EJ153" s="408"/>
      <c r="EK153" s="408"/>
      <c r="EL153" s="408"/>
      <c r="EM153" s="408"/>
      <c r="EN153" s="408"/>
      <c r="EO153" s="408"/>
      <c r="EP153" s="408"/>
      <c r="EQ153" s="408"/>
      <c r="ER153" s="408"/>
      <c r="ES153" s="408"/>
      <c r="ET153" s="408"/>
      <c r="EU153" s="408"/>
      <c r="EV153" s="408">
        <v>238</v>
      </c>
      <c r="EW153" s="408"/>
      <c r="EX153" s="408"/>
      <c r="EY153" s="408"/>
      <c r="EZ153" s="408"/>
      <c r="FA153" s="408">
        <v>0</v>
      </c>
      <c r="FB153" s="408"/>
      <c r="FC153" s="408"/>
      <c r="FD153" s="408"/>
      <c r="FE153" s="408"/>
      <c r="FF153" s="408">
        <v>0</v>
      </c>
      <c r="FG153" s="408">
        <v>0</v>
      </c>
      <c r="FH153" s="408">
        <v>0</v>
      </c>
      <c r="FI153" s="408">
        <v>0</v>
      </c>
    </row>
    <row r="154" spans="1:165">
      <c r="A154" s="408">
        <v>158</v>
      </c>
      <c r="B154" s="408" t="s">
        <v>2238</v>
      </c>
      <c r="C154" s="408" t="s">
        <v>2235</v>
      </c>
      <c r="D154" s="408" t="s">
        <v>2245</v>
      </c>
      <c r="E154" s="408" t="s">
        <v>974</v>
      </c>
      <c r="F154" s="408" t="s">
        <v>2252</v>
      </c>
      <c r="G154" s="408" t="s">
        <v>2253</v>
      </c>
      <c r="H154" s="408" t="s">
        <v>1322</v>
      </c>
      <c r="I154" s="408" t="s">
        <v>1322</v>
      </c>
      <c r="J154" s="408" t="s">
        <v>2236</v>
      </c>
      <c r="K154" s="824">
        <v>44440</v>
      </c>
      <c r="L154" s="408">
        <v>0</v>
      </c>
      <c r="M154" s="408">
        <v>0</v>
      </c>
      <c r="N154" s="408">
        <v>0</v>
      </c>
      <c r="O154" s="408">
        <v>0</v>
      </c>
      <c r="P154" s="408">
        <v>0</v>
      </c>
      <c r="Q154" s="408">
        <v>0</v>
      </c>
      <c r="R154" s="408"/>
      <c r="S154" s="408"/>
      <c r="T154" s="408"/>
      <c r="U154" s="408"/>
      <c r="V154" s="408"/>
      <c r="W154" s="408"/>
      <c r="X154" s="408"/>
      <c r="Y154" s="408"/>
      <c r="Z154" s="408"/>
      <c r="AA154" s="408">
        <v>0</v>
      </c>
      <c r="AB154" s="408"/>
      <c r="AC154" s="408"/>
      <c r="AD154" s="408"/>
      <c r="AE154" s="408"/>
      <c r="AF154" s="408"/>
      <c r="AG154" s="408"/>
      <c r="AH154" s="408"/>
      <c r="AI154" s="408"/>
      <c r="AJ154" s="408"/>
      <c r="AK154" s="408"/>
      <c r="AL154" s="408"/>
      <c r="AM154" s="408"/>
      <c r="AN154" s="408"/>
      <c r="AO154" s="408"/>
      <c r="AP154" s="408"/>
      <c r="AQ154" s="408"/>
      <c r="AR154" s="408"/>
      <c r="AS154" s="408"/>
      <c r="AT154" s="408"/>
      <c r="AU154" s="408"/>
      <c r="AV154" s="408"/>
      <c r="AW154" s="408"/>
      <c r="AX154" s="408"/>
      <c r="AY154" s="408"/>
      <c r="AZ154" s="408">
        <v>0</v>
      </c>
      <c r="BA154" s="408"/>
      <c r="BB154" s="408"/>
      <c r="BC154" s="408"/>
      <c r="BD154" s="408"/>
      <c r="BE154" s="408"/>
      <c r="BF154" s="408"/>
      <c r="BG154" s="408"/>
      <c r="BH154" s="408"/>
      <c r="BI154" s="408">
        <v>6.47</v>
      </c>
      <c r="BJ154" s="408">
        <v>30.76</v>
      </c>
      <c r="BK154" s="408">
        <v>156.16</v>
      </c>
      <c r="BL154" s="408">
        <v>16</v>
      </c>
      <c r="BM154" s="408"/>
      <c r="BN154" s="408"/>
      <c r="BO154" s="408"/>
      <c r="BP154" s="408"/>
      <c r="BQ154" s="408"/>
      <c r="BR154" s="408"/>
      <c r="BS154" s="408"/>
      <c r="BT154" s="408"/>
      <c r="BU154" s="408"/>
      <c r="BV154" s="408"/>
      <c r="BW154" s="408"/>
      <c r="BX154" s="408"/>
      <c r="BY154" s="408"/>
      <c r="BZ154" s="408"/>
      <c r="CA154" s="408"/>
      <c r="CB154" s="408"/>
      <c r="CC154" s="408"/>
      <c r="CD154" s="408"/>
      <c r="CE154" s="408"/>
      <c r="CF154" s="408"/>
      <c r="CG154" s="408"/>
      <c r="CH154" s="408"/>
      <c r="CI154" s="408"/>
      <c r="CJ154" s="408">
        <v>-0.03</v>
      </c>
      <c r="CK154" s="408"/>
      <c r="CL154" s="408"/>
      <c r="CM154" s="408"/>
      <c r="CN154" s="408"/>
      <c r="CO154" s="408">
        <v>0</v>
      </c>
      <c r="CP154" s="408">
        <v>0</v>
      </c>
      <c r="CQ154" s="408">
        <v>30</v>
      </c>
      <c r="CR154" s="408"/>
      <c r="CS154" s="408"/>
      <c r="CT154" s="408"/>
      <c r="CU154" s="408"/>
      <c r="CV154" s="408"/>
      <c r="CW154" s="408"/>
      <c r="CX154" s="408"/>
      <c r="CY154" s="408"/>
      <c r="CZ154" s="408"/>
      <c r="DA154" s="408"/>
      <c r="DB154" s="408"/>
      <c r="DC154" s="408"/>
      <c r="DD154" s="408"/>
      <c r="DE154" s="408"/>
      <c r="DF154" s="408"/>
      <c r="DG154" s="408"/>
      <c r="DH154" s="408"/>
      <c r="DI154" s="408"/>
      <c r="DJ154" s="408"/>
      <c r="DK154" s="408">
        <v>0</v>
      </c>
      <c r="DL154" s="408"/>
      <c r="DM154" s="408"/>
      <c r="DN154" s="408"/>
      <c r="DO154" s="408"/>
      <c r="DP154" s="408"/>
      <c r="DQ154" s="408"/>
      <c r="DR154" s="408"/>
      <c r="DS154" s="408"/>
      <c r="DT154" s="408"/>
      <c r="DU154" s="408"/>
      <c r="DV154" s="408"/>
      <c r="DW154" s="408"/>
      <c r="DX154" s="408"/>
      <c r="DY154" s="408"/>
      <c r="DZ154" s="408"/>
      <c r="EA154" s="408"/>
      <c r="EB154" s="408"/>
      <c r="EC154" s="408"/>
      <c r="ED154" s="408"/>
      <c r="EE154" s="408"/>
      <c r="EF154" s="408"/>
      <c r="EG154" s="408"/>
      <c r="EH154" s="408"/>
      <c r="EI154" s="408"/>
      <c r="EJ154" s="408"/>
      <c r="EK154" s="408"/>
      <c r="EL154" s="408"/>
      <c r="EM154" s="408"/>
      <c r="EN154" s="408"/>
      <c r="EO154" s="408"/>
      <c r="EP154" s="408"/>
      <c r="EQ154" s="408"/>
      <c r="ER154" s="408"/>
      <c r="ES154" s="408"/>
      <c r="ET154" s="408"/>
      <c r="EU154" s="408"/>
      <c r="EV154" s="408">
        <v>238</v>
      </c>
      <c r="EW154" s="408"/>
      <c r="EX154" s="408"/>
      <c r="EY154" s="408"/>
      <c r="EZ154" s="408"/>
      <c r="FA154" s="408">
        <v>0</v>
      </c>
      <c r="FB154" s="408"/>
      <c r="FC154" s="408"/>
      <c r="FD154" s="408"/>
      <c r="FE154" s="408"/>
      <c r="FF154" s="408">
        <v>0</v>
      </c>
      <c r="FG154" s="408">
        <v>0</v>
      </c>
      <c r="FH154" s="408">
        <v>0</v>
      </c>
      <c r="FI154" s="408">
        <v>0</v>
      </c>
    </row>
    <row r="155" spans="1:165">
      <c r="A155" s="408">
        <v>159</v>
      </c>
      <c r="B155" s="408" t="s">
        <v>1036</v>
      </c>
      <c r="C155" s="408" t="s">
        <v>2235</v>
      </c>
      <c r="D155" s="408" t="s">
        <v>2245</v>
      </c>
      <c r="E155" s="408" t="s">
        <v>974</v>
      </c>
      <c r="F155" s="408" t="s">
        <v>2252</v>
      </c>
      <c r="G155" s="408" t="s">
        <v>2253</v>
      </c>
      <c r="H155" s="408" t="s">
        <v>1322</v>
      </c>
      <c r="I155" s="408" t="s">
        <v>1322</v>
      </c>
      <c r="J155" s="408" t="s">
        <v>2236</v>
      </c>
      <c r="K155" s="824">
        <v>44440</v>
      </c>
      <c r="L155" s="408">
        <v>0</v>
      </c>
      <c r="M155" s="408">
        <v>0</v>
      </c>
      <c r="N155" s="408">
        <v>59.588000000000001</v>
      </c>
      <c r="O155" s="408">
        <v>59.588000000000001</v>
      </c>
      <c r="P155" s="408">
        <v>59.588000000000001</v>
      </c>
      <c r="Q155" s="408">
        <v>59.588000000000001</v>
      </c>
      <c r="R155" s="408"/>
      <c r="S155" s="408">
        <v>581.32000000000005</v>
      </c>
      <c r="T155" s="408">
        <v>209.4</v>
      </c>
      <c r="U155" s="408"/>
      <c r="V155" s="408">
        <v>47117.423360000008</v>
      </c>
      <c r="W155" s="408">
        <v>47117.423360000008</v>
      </c>
      <c r="X155" s="408">
        <v>35995.32316</v>
      </c>
      <c r="Y155" s="408">
        <v>0</v>
      </c>
      <c r="Z155" s="408">
        <v>3666.9208307202407</v>
      </c>
      <c r="AA155" s="408">
        <v>0</v>
      </c>
      <c r="AB155" s="408">
        <v>0</v>
      </c>
      <c r="AC155" s="408">
        <v>0</v>
      </c>
      <c r="AD155" s="408">
        <v>4420.9019360929942</v>
      </c>
      <c r="AE155" s="408">
        <v>22965.531724889461</v>
      </c>
      <c r="AF155" s="408">
        <v>12313.904640195598</v>
      </c>
      <c r="AG155" s="408">
        <v>164.04367628603097</v>
      </c>
      <c r="AH155" s="408">
        <v>0</v>
      </c>
      <c r="AI155" s="408">
        <v>0</v>
      </c>
      <c r="AJ155" s="408">
        <v>0</v>
      </c>
      <c r="AK155" s="408">
        <v>0</v>
      </c>
      <c r="AL155" s="408">
        <v>566.65814282968586</v>
      </c>
      <c r="AM155" s="408"/>
      <c r="AN155" s="408">
        <v>108.6267976516107</v>
      </c>
      <c r="AO155" s="408">
        <v>339.62066042428722</v>
      </c>
      <c r="AP155" s="408">
        <v>511.57429996188938</v>
      </c>
      <c r="AQ155" s="408">
        <v>0</v>
      </c>
      <c r="AR155" s="408">
        <v>0</v>
      </c>
      <c r="AS155" s="408">
        <v>0</v>
      </c>
      <c r="AT155" s="408">
        <v>0</v>
      </c>
      <c r="AU155" s="408">
        <v>0</v>
      </c>
      <c r="AV155" s="408">
        <v>0</v>
      </c>
      <c r="AW155" s="408">
        <v>0</v>
      </c>
      <c r="AX155" s="408">
        <v>0</v>
      </c>
      <c r="AY155" s="408">
        <v>0</v>
      </c>
      <c r="AZ155" s="408">
        <v>0</v>
      </c>
      <c r="BA155" s="408"/>
      <c r="BB155" s="408">
        <v>0</v>
      </c>
      <c r="BC155" s="408">
        <v>0</v>
      </c>
      <c r="BD155" s="408">
        <v>0</v>
      </c>
      <c r="BE155" s="408">
        <v>0</v>
      </c>
      <c r="BF155" s="408">
        <v>0</v>
      </c>
      <c r="BG155" s="408">
        <v>2060.0932266618693</v>
      </c>
      <c r="BH155" s="408">
        <v>0</v>
      </c>
      <c r="BI155" s="408">
        <v>0</v>
      </c>
      <c r="BJ155" s="408">
        <v>0</v>
      </c>
      <c r="BK155" s="408">
        <v>0</v>
      </c>
      <c r="BL155" s="408">
        <v>0</v>
      </c>
      <c r="BM155" s="408"/>
      <c r="BN155" s="408"/>
      <c r="BO155" s="408"/>
      <c r="BP155" s="408"/>
      <c r="BQ155" s="408"/>
      <c r="BR155" s="408">
        <v>4319.5341199999957</v>
      </c>
      <c r="BS155" s="408"/>
      <c r="BT155" s="408"/>
      <c r="BU155" s="408"/>
      <c r="BV155" s="408">
        <v>14373.997866857468</v>
      </c>
      <c r="BW155" s="408"/>
      <c r="BX155" s="408"/>
      <c r="BY155" s="408"/>
      <c r="BZ155" s="408"/>
      <c r="CA155" s="408"/>
      <c r="CB155" s="408"/>
      <c r="CC155" s="408"/>
      <c r="CD155" s="408"/>
      <c r="CE155" s="408"/>
      <c r="CF155" s="408"/>
      <c r="CG155" s="408"/>
      <c r="CH155" s="408"/>
      <c r="CI155" s="408">
        <v>31676.852200000001</v>
      </c>
      <c r="CJ155" s="408">
        <v>-9787.4876000000004</v>
      </c>
      <c r="CK155" s="408"/>
      <c r="CL155" s="408"/>
      <c r="CM155" s="408"/>
      <c r="CN155" s="408"/>
      <c r="CO155" s="408">
        <v>-12482.494240000005</v>
      </c>
      <c r="CP155" s="408">
        <v>1360.394039999999</v>
      </c>
      <c r="CQ155" s="408">
        <v>30</v>
      </c>
      <c r="CR155" s="408">
        <v>1760.460167813817</v>
      </c>
      <c r="CS155" s="408">
        <v>41.0030919330909</v>
      </c>
      <c r="CT155" s="408">
        <v>61.763403986489664</v>
      </c>
      <c r="CU155" s="408">
        <v>0</v>
      </c>
      <c r="CV155" s="408">
        <v>0</v>
      </c>
      <c r="CW155" s="408">
        <v>0</v>
      </c>
      <c r="CX155" s="408">
        <v>0</v>
      </c>
      <c r="CY155" s="408">
        <v>0</v>
      </c>
      <c r="CZ155" s="408">
        <v>144.92794234227404</v>
      </c>
      <c r="DA155" s="408">
        <v>0</v>
      </c>
      <c r="DB155" s="408">
        <v>0</v>
      </c>
      <c r="DC155" s="408">
        <v>1359.9819369215384</v>
      </c>
      <c r="DD155" s="408">
        <v>0</v>
      </c>
      <c r="DE155" s="408">
        <v>0</v>
      </c>
      <c r="DF155" s="408">
        <v>0</v>
      </c>
      <c r="DG155" s="408">
        <v>227.52243569347138</v>
      </c>
      <c r="DH155" s="408">
        <v>0</v>
      </c>
      <c r="DI155" s="408">
        <v>-63.922214347167937</v>
      </c>
      <c r="DJ155" s="408"/>
      <c r="DK155" s="408">
        <v>0</v>
      </c>
      <c r="DL155" s="408">
        <v>0</v>
      </c>
      <c r="DM155" s="408">
        <v>0</v>
      </c>
      <c r="DN155" s="408">
        <v>0</v>
      </c>
      <c r="DO155" s="408">
        <v>-8.3049259097302865</v>
      </c>
      <c r="DP155" s="408">
        <v>-2.5115028061509577</v>
      </c>
      <c r="DQ155" s="408">
        <v>0</v>
      </c>
      <c r="DR155" s="408">
        <v>0</v>
      </c>
      <c r="DS155" s="408"/>
      <c r="DT155" s="408"/>
      <c r="DU155" s="408"/>
      <c r="DV155" s="408">
        <v>22965.531724889461</v>
      </c>
      <c r="DW155" s="408">
        <v>0</v>
      </c>
      <c r="DX155" s="408">
        <v>0</v>
      </c>
      <c r="DY155" s="408">
        <v>-12482.494240000007</v>
      </c>
      <c r="DZ155" s="408">
        <v>1360.3940399999992</v>
      </c>
      <c r="EA155" s="408">
        <v>0</v>
      </c>
      <c r="EB155" s="408">
        <v>0</v>
      </c>
      <c r="EC155" s="408">
        <v>-12883.426734206081</v>
      </c>
      <c r="ED155" s="408">
        <v>0</v>
      </c>
      <c r="EE155" s="408">
        <v>0</v>
      </c>
      <c r="EF155" s="408">
        <v>0</v>
      </c>
      <c r="EG155" s="408">
        <v>0</v>
      </c>
      <c r="EH155" s="408">
        <v>0</v>
      </c>
      <c r="EI155" s="408">
        <v>0</v>
      </c>
      <c r="EJ155" s="408">
        <v>0</v>
      </c>
      <c r="EK155" s="408">
        <v>0</v>
      </c>
      <c r="EL155" s="408">
        <v>0</v>
      </c>
      <c r="EM155" s="408">
        <v>0</v>
      </c>
      <c r="EN155" s="408">
        <v>0</v>
      </c>
      <c r="EO155" s="408">
        <v>0</v>
      </c>
      <c r="EP155" s="408">
        <v>0</v>
      </c>
      <c r="EQ155" s="408">
        <v>0</v>
      </c>
      <c r="ER155" s="408">
        <v>0</v>
      </c>
      <c r="ES155" s="408">
        <v>0</v>
      </c>
      <c r="ET155" s="408">
        <v>0</v>
      </c>
      <c r="EU155" s="408">
        <v>0</v>
      </c>
      <c r="EV155" s="408">
        <v>238</v>
      </c>
      <c r="EW155" s="408">
        <v>0</v>
      </c>
      <c r="EX155" s="408">
        <v>0</v>
      </c>
      <c r="EY155" s="408">
        <v>0</v>
      </c>
      <c r="EZ155" s="408"/>
      <c r="FA155" s="408">
        <v>0</v>
      </c>
      <c r="FB155" s="408"/>
      <c r="FC155" s="408"/>
      <c r="FD155" s="408"/>
      <c r="FE155" s="408"/>
      <c r="FF155" s="408">
        <v>0</v>
      </c>
      <c r="FG155" s="408">
        <v>0</v>
      </c>
      <c r="FH155" s="408">
        <v>0</v>
      </c>
      <c r="FI155" s="408">
        <v>0</v>
      </c>
    </row>
    <row r="156" spans="1:165">
      <c r="A156" s="408">
        <v>160</v>
      </c>
      <c r="B156" s="408" t="s">
        <v>2238</v>
      </c>
      <c r="C156" s="408" t="s">
        <v>2235</v>
      </c>
      <c r="D156" s="408" t="s">
        <v>2245</v>
      </c>
      <c r="E156" s="408" t="s">
        <v>974</v>
      </c>
      <c r="F156" s="408" t="s">
        <v>2252</v>
      </c>
      <c r="G156" s="408" t="s">
        <v>2253</v>
      </c>
      <c r="H156" s="408" t="s">
        <v>1322</v>
      </c>
      <c r="I156" s="408" t="s">
        <v>1322</v>
      </c>
      <c r="J156" s="408" t="s">
        <v>2236</v>
      </c>
      <c r="K156" s="824">
        <v>44440</v>
      </c>
      <c r="L156" s="408">
        <v>0</v>
      </c>
      <c r="M156" s="408">
        <v>0</v>
      </c>
      <c r="N156" s="408">
        <v>4.5460000000000003</v>
      </c>
      <c r="O156" s="408">
        <v>4.5460000000000003</v>
      </c>
      <c r="P156" s="408">
        <v>4.5460000000000003</v>
      </c>
      <c r="Q156" s="408">
        <v>4.5460000000000003</v>
      </c>
      <c r="R156" s="408"/>
      <c r="S156" s="408">
        <v>581.32000000000005</v>
      </c>
      <c r="T156" s="408">
        <v>209.4</v>
      </c>
      <c r="U156" s="408"/>
      <c r="V156" s="408">
        <v>3594.6131200000004</v>
      </c>
      <c r="W156" s="408">
        <v>3594.6131200000004</v>
      </c>
      <c r="X156" s="408">
        <v>2746.1022199999998</v>
      </c>
      <c r="Y156" s="408">
        <v>0</v>
      </c>
      <c r="Z156" s="408">
        <v>279.75132738897457</v>
      </c>
      <c r="AA156" s="408">
        <v>0</v>
      </c>
      <c r="AB156" s="408">
        <v>0</v>
      </c>
      <c r="AC156" s="408">
        <v>0</v>
      </c>
      <c r="AD156" s="408">
        <v>337.27294424177273</v>
      </c>
      <c r="AE156" s="408">
        <v>1752.0525478510353</v>
      </c>
      <c r="AF156" s="408">
        <v>939.43429036599969</v>
      </c>
      <c r="AG156" s="408">
        <v>12.514978727198377</v>
      </c>
      <c r="AH156" s="408">
        <v>0</v>
      </c>
      <c r="AI156" s="408">
        <v>0</v>
      </c>
      <c r="AJ156" s="408">
        <v>0</v>
      </c>
      <c r="AK156" s="408">
        <v>0</v>
      </c>
      <c r="AL156" s="408">
        <v>43.230649078736526</v>
      </c>
      <c r="AM156" s="408"/>
      <c r="AN156" s="408">
        <v>8.2871957797580436</v>
      </c>
      <c r="AO156" s="408">
        <v>25.909839603423674</v>
      </c>
      <c r="AP156" s="408">
        <v>39.028273605872812</v>
      </c>
      <c r="AQ156" s="408">
        <v>0</v>
      </c>
      <c r="AR156" s="408">
        <v>0</v>
      </c>
      <c r="AS156" s="408">
        <v>0</v>
      </c>
      <c r="AT156" s="408">
        <v>0</v>
      </c>
      <c r="AU156" s="408">
        <v>0</v>
      </c>
      <c r="AV156" s="408">
        <v>0</v>
      </c>
      <c r="AW156" s="408">
        <v>0</v>
      </c>
      <c r="AX156" s="408">
        <v>0</v>
      </c>
      <c r="AY156" s="408">
        <v>0</v>
      </c>
      <c r="AZ156" s="408">
        <v>0</v>
      </c>
      <c r="BA156" s="408"/>
      <c r="BB156" s="408">
        <v>0</v>
      </c>
      <c r="BC156" s="408">
        <v>0</v>
      </c>
      <c r="BD156" s="408">
        <v>0</v>
      </c>
      <c r="BE156" s="408">
        <v>0</v>
      </c>
      <c r="BF156" s="408">
        <v>0</v>
      </c>
      <c r="BG156" s="408">
        <v>157.16560059751725</v>
      </c>
      <c r="BH156" s="408">
        <v>0</v>
      </c>
      <c r="BI156" s="408">
        <v>0</v>
      </c>
      <c r="BJ156" s="408">
        <v>0</v>
      </c>
      <c r="BK156" s="408">
        <v>0</v>
      </c>
      <c r="BL156" s="408">
        <v>0</v>
      </c>
      <c r="BM156" s="408"/>
      <c r="BN156" s="408"/>
      <c r="BO156" s="408"/>
      <c r="BP156" s="408"/>
      <c r="BQ156" s="408"/>
      <c r="BR156" s="408">
        <v>329.53953999999965</v>
      </c>
      <c r="BS156" s="408"/>
      <c r="BT156" s="408"/>
      <c r="BU156" s="408"/>
      <c r="BV156" s="408">
        <v>1096.5998909635168</v>
      </c>
      <c r="BW156" s="408"/>
      <c r="BX156" s="408"/>
      <c r="BY156" s="408"/>
      <c r="BZ156" s="408"/>
      <c r="CA156" s="408"/>
      <c r="CB156" s="408"/>
      <c r="CC156" s="408"/>
      <c r="CD156" s="408"/>
      <c r="CE156" s="408"/>
      <c r="CF156" s="408"/>
      <c r="CG156" s="408"/>
      <c r="CH156" s="408"/>
      <c r="CI156" s="408">
        <v>2418.6890000000003</v>
      </c>
      <c r="CJ156" s="408">
        <v>-744.67510000000038</v>
      </c>
      <c r="CK156" s="408"/>
      <c r="CL156" s="408"/>
      <c r="CM156" s="408"/>
      <c r="CN156" s="408"/>
      <c r="CO156" s="408">
        <v>-952.29608000000042</v>
      </c>
      <c r="CP156" s="408">
        <v>103.78517999999994</v>
      </c>
      <c r="CQ156" s="408">
        <v>30</v>
      </c>
      <c r="CR156" s="408">
        <v>134.30643624356571</v>
      </c>
      <c r="CS156" s="408">
        <v>3.1281475452747394</v>
      </c>
      <c r="CT156" s="408">
        <v>4.7119627193827966</v>
      </c>
      <c r="CU156" s="408">
        <v>0</v>
      </c>
      <c r="CV156" s="408">
        <v>0</v>
      </c>
      <c r="CW156" s="408">
        <v>0</v>
      </c>
      <c r="CX156" s="408">
        <v>0</v>
      </c>
      <c r="CY156" s="408">
        <v>0</v>
      </c>
      <c r="CZ156" s="408">
        <v>11.056629285896122</v>
      </c>
      <c r="DA156" s="408">
        <v>0</v>
      </c>
      <c r="DB156" s="408">
        <v>0</v>
      </c>
      <c r="DC156" s="408">
        <v>103.75374043843249</v>
      </c>
      <c r="DD156" s="408">
        <v>0</v>
      </c>
      <c r="DE156" s="408">
        <v>0</v>
      </c>
      <c r="DF156" s="408">
        <v>0</v>
      </c>
      <c r="DG156" s="408">
        <v>17.357806817857977</v>
      </c>
      <c r="DH156" s="408">
        <v>0</v>
      </c>
      <c r="DI156" s="408">
        <v>-4.8766595022861452</v>
      </c>
      <c r="DJ156" s="408"/>
      <c r="DK156" s="408">
        <v>0</v>
      </c>
      <c r="DL156" s="408">
        <v>0</v>
      </c>
      <c r="DM156" s="408">
        <v>0</v>
      </c>
      <c r="DN156" s="408">
        <v>0</v>
      </c>
      <c r="DO156" s="408">
        <v>-0.63358718509824286</v>
      </c>
      <c r="DP156" s="408">
        <v>-0.19160387589384165</v>
      </c>
      <c r="DQ156" s="408">
        <v>0</v>
      </c>
      <c r="DR156" s="408">
        <v>0</v>
      </c>
      <c r="DS156" s="408"/>
      <c r="DT156" s="408"/>
      <c r="DU156" s="408"/>
      <c r="DV156" s="408">
        <v>1752.0525478510353</v>
      </c>
      <c r="DW156" s="408">
        <v>0</v>
      </c>
      <c r="DX156" s="408">
        <v>0</v>
      </c>
      <c r="DY156" s="408">
        <v>-952.2960800000003</v>
      </c>
      <c r="DZ156" s="408">
        <v>103.78517999999997</v>
      </c>
      <c r="EA156" s="408">
        <v>0</v>
      </c>
      <c r="EB156" s="408">
        <v>0</v>
      </c>
      <c r="EC156" s="408">
        <v>-982.88343179332821</v>
      </c>
      <c r="ED156" s="408">
        <v>0</v>
      </c>
      <c r="EE156" s="408">
        <v>0</v>
      </c>
      <c r="EF156" s="408">
        <v>0</v>
      </c>
      <c r="EG156" s="408">
        <v>0</v>
      </c>
      <c r="EH156" s="408">
        <v>0</v>
      </c>
      <c r="EI156" s="408">
        <v>0</v>
      </c>
      <c r="EJ156" s="408">
        <v>0</v>
      </c>
      <c r="EK156" s="408">
        <v>0</v>
      </c>
      <c r="EL156" s="408">
        <v>0</v>
      </c>
      <c r="EM156" s="408">
        <v>0</v>
      </c>
      <c r="EN156" s="408">
        <v>0</v>
      </c>
      <c r="EO156" s="408">
        <v>0</v>
      </c>
      <c r="EP156" s="408">
        <v>0</v>
      </c>
      <c r="EQ156" s="408">
        <v>0</v>
      </c>
      <c r="ER156" s="408">
        <v>0</v>
      </c>
      <c r="ES156" s="408">
        <v>0</v>
      </c>
      <c r="ET156" s="408">
        <v>0</v>
      </c>
      <c r="EU156" s="408">
        <v>0</v>
      </c>
      <c r="EV156" s="408">
        <v>238</v>
      </c>
      <c r="EW156" s="408">
        <v>0</v>
      </c>
      <c r="EX156" s="408">
        <v>0</v>
      </c>
      <c r="EY156" s="408">
        <v>0</v>
      </c>
      <c r="EZ156" s="408"/>
      <c r="FA156" s="408">
        <v>0</v>
      </c>
      <c r="FB156" s="408"/>
      <c r="FC156" s="408"/>
      <c r="FD156" s="408"/>
      <c r="FE156" s="408"/>
      <c r="FF156" s="408">
        <v>0</v>
      </c>
      <c r="FG156" s="408">
        <v>0</v>
      </c>
      <c r="FH156" s="408">
        <v>0</v>
      </c>
      <c r="FI156" s="408">
        <v>0</v>
      </c>
    </row>
    <row r="157" spans="1:165">
      <c r="A157" s="408">
        <v>161</v>
      </c>
      <c r="B157" s="408" t="s">
        <v>1036</v>
      </c>
      <c r="C157" s="408" t="s">
        <v>2235</v>
      </c>
      <c r="D157" s="408" t="s">
        <v>2245</v>
      </c>
      <c r="E157" s="408" t="s">
        <v>974</v>
      </c>
      <c r="F157" s="408" t="s">
        <v>2252</v>
      </c>
      <c r="G157" s="408" t="s">
        <v>2254</v>
      </c>
      <c r="H157" s="408" t="s">
        <v>1322</v>
      </c>
      <c r="I157" s="408" t="s">
        <v>1322</v>
      </c>
      <c r="J157" s="408" t="s">
        <v>2236</v>
      </c>
      <c r="K157" s="824">
        <v>44440</v>
      </c>
      <c r="L157" s="408">
        <v>0</v>
      </c>
      <c r="M157" s="408">
        <v>0</v>
      </c>
      <c r="N157" s="408">
        <v>50.892000000000003</v>
      </c>
      <c r="O157" s="408">
        <v>20.3568</v>
      </c>
      <c r="P157" s="408">
        <v>50.892000000000003</v>
      </c>
      <c r="Q157" s="408">
        <v>20.3568</v>
      </c>
      <c r="R157" s="408"/>
      <c r="S157" s="408">
        <v>581.32000000000005</v>
      </c>
      <c r="T157" s="408">
        <v>209.4</v>
      </c>
      <c r="U157" s="408"/>
      <c r="V157" s="408">
        <v>40241.322240000009</v>
      </c>
      <c r="W157" s="408">
        <v>40241.322240000009</v>
      </c>
      <c r="X157" s="408">
        <v>30742.330440000002</v>
      </c>
      <c r="Y157" s="408">
        <v>0</v>
      </c>
      <c r="Z157" s="408">
        <v>3131.7871873030563</v>
      </c>
      <c r="AA157" s="408">
        <v>0</v>
      </c>
      <c r="AB157" s="408">
        <v>0</v>
      </c>
      <c r="AC157" s="408">
        <v>0</v>
      </c>
      <c r="AD157" s="408">
        <v>3775.7357409485917</v>
      </c>
      <c r="AE157" s="408">
        <v>19614.047132695752</v>
      </c>
      <c r="AF157" s="408">
        <v>10516.869754796846</v>
      </c>
      <c r="AG157" s="408">
        <v>140.10389295745264</v>
      </c>
      <c r="AH157" s="408">
        <v>0</v>
      </c>
      <c r="AI157" s="408">
        <v>0</v>
      </c>
      <c r="AJ157" s="408">
        <v>0</v>
      </c>
      <c r="AK157" s="408">
        <v>0</v>
      </c>
      <c r="AL157" s="408">
        <v>483.9626469236822</v>
      </c>
      <c r="AM157" s="408"/>
      <c r="AN157" s="408">
        <v>92.774299961162853</v>
      </c>
      <c r="AO157" s="408">
        <v>290.05797560436372</v>
      </c>
      <c r="AP157" s="408">
        <v>436.91748797846003</v>
      </c>
      <c r="AQ157" s="408">
        <v>0</v>
      </c>
      <c r="AR157" s="408">
        <v>0</v>
      </c>
      <c r="AS157" s="408">
        <v>0</v>
      </c>
      <c r="AT157" s="408">
        <v>0</v>
      </c>
      <c r="AU157" s="408">
        <v>0</v>
      </c>
      <c r="AV157" s="408">
        <v>0</v>
      </c>
      <c r="AW157" s="408">
        <v>0</v>
      </c>
      <c r="AX157" s="408">
        <v>0</v>
      </c>
      <c r="AY157" s="408">
        <v>0</v>
      </c>
      <c r="AZ157" s="408">
        <v>0</v>
      </c>
      <c r="BA157" s="408"/>
      <c r="BB157" s="408">
        <v>0</v>
      </c>
      <c r="BC157" s="408">
        <v>0</v>
      </c>
      <c r="BD157" s="408">
        <v>0</v>
      </c>
      <c r="BE157" s="408">
        <v>0</v>
      </c>
      <c r="BF157" s="408">
        <v>0</v>
      </c>
      <c r="BG157" s="408">
        <v>1759.4526497159807</v>
      </c>
      <c r="BH157" s="408">
        <v>0</v>
      </c>
      <c r="BI157" s="408">
        <v>0</v>
      </c>
      <c r="BJ157" s="408">
        <v>0</v>
      </c>
      <c r="BK157" s="408">
        <v>0</v>
      </c>
      <c r="BL157" s="408">
        <v>0</v>
      </c>
      <c r="BM157" s="408"/>
      <c r="BN157" s="408"/>
      <c r="BO157" s="408"/>
      <c r="BP157" s="408"/>
      <c r="BQ157" s="408"/>
      <c r="BR157" s="408"/>
      <c r="BS157" s="408">
        <v>19921.062696000001</v>
      </c>
      <c r="BT157" s="408"/>
      <c r="BU157" s="408"/>
      <c r="BV157" s="408">
        <v>12276.322404512826</v>
      </c>
      <c r="BW157" s="408"/>
      <c r="BX157" s="408"/>
      <c r="BY157" s="408"/>
      <c r="BZ157" s="408"/>
      <c r="CA157" s="408"/>
      <c r="CB157" s="408"/>
      <c r="CC157" s="408"/>
      <c r="CD157" s="408"/>
      <c r="CE157" s="408"/>
      <c r="CF157" s="408"/>
      <c r="CG157" s="408"/>
      <c r="CH157" s="408"/>
      <c r="CI157" s="408">
        <v>10822.968800000001</v>
      </c>
      <c r="CJ157" s="408">
        <v>-3342.3404799999989</v>
      </c>
      <c r="CK157" s="408"/>
      <c r="CL157" s="408"/>
      <c r="CM157" s="408"/>
      <c r="CN157" s="408"/>
      <c r="CO157" s="408">
        <v>-10660.856160000005</v>
      </c>
      <c r="CP157" s="408">
        <v>1161.8643599999994</v>
      </c>
      <c r="CQ157" s="408">
        <v>30</v>
      </c>
      <c r="CR157" s="408">
        <v>1503.5466681274884</v>
      </c>
      <c r="CS157" s="408">
        <v>35.019288357703942</v>
      </c>
      <c r="CT157" s="408">
        <v>52.749935485004244</v>
      </c>
      <c r="CU157" s="408">
        <v>0</v>
      </c>
      <c r="CV157" s="408">
        <v>0</v>
      </c>
      <c r="CW157" s="408">
        <v>0</v>
      </c>
      <c r="CX157" s="408">
        <v>0</v>
      </c>
      <c r="CY157" s="408">
        <v>0</v>
      </c>
      <c r="CZ157" s="408">
        <v>123.77782173731293</v>
      </c>
      <c r="DA157" s="408">
        <v>0</v>
      </c>
      <c r="DB157" s="408">
        <v>0</v>
      </c>
      <c r="DC157" s="408">
        <v>1161.5123973587124</v>
      </c>
      <c r="DD157" s="408">
        <v>0</v>
      </c>
      <c r="DE157" s="408">
        <v>0</v>
      </c>
      <c r="DF157" s="408">
        <v>0</v>
      </c>
      <c r="DG157" s="408">
        <v>194.31885274404476</v>
      </c>
      <c r="DH157" s="408">
        <v>0</v>
      </c>
      <c r="DI157" s="408">
        <v>-54.593698942003357</v>
      </c>
      <c r="DJ157" s="408"/>
      <c r="DK157" s="408">
        <v>0</v>
      </c>
      <c r="DL157" s="408">
        <v>0</v>
      </c>
      <c r="DM157" s="408">
        <v>0</v>
      </c>
      <c r="DN157" s="408">
        <v>0</v>
      </c>
      <c r="DO157" s="408">
        <v>-7.0929430321205018</v>
      </c>
      <c r="DP157" s="408">
        <v>-2.1449855811679299</v>
      </c>
      <c r="DQ157" s="408">
        <v>0</v>
      </c>
      <c r="DR157" s="408">
        <v>0</v>
      </c>
      <c r="DS157" s="408"/>
      <c r="DT157" s="408"/>
      <c r="DU157" s="408"/>
      <c r="DV157" s="408">
        <v>19614.047132695752</v>
      </c>
      <c r="DW157" s="408">
        <v>0</v>
      </c>
      <c r="DX157" s="408">
        <v>0</v>
      </c>
      <c r="DY157" s="408">
        <v>-10660.856160000003</v>
      </c>
      <c r="DZ157" s="408">
        <v>1161.8643599999996</v>
      </c>
      <c r="EA157" s="408">
        <v>0</v>
      </c>
      <c r="EB157" s="408">
        <v>0</v>
      </c>
      <c r="EC157" s="408">
        <v>-11003.278400973617</v>
      </c>
      <c r="ED157" s="408">
        <v>0</v>
      </c>
      <c r="EE157" s="408">
        <v>0</v>
      </c>
      <c r="EF157" s="408">
        <v>0</v>
      </c>
      <c r="EG157" s="408">
        <v>0</v>
      </c>
      <c r="EH157" s="408">
        <v>0</v>
      </c>
      <c r="EI157" s="408">
        <v>0</v>
      </c>
      <c r="EJ157" s="408">
        <v>0</v>
      </c>
      <c r="EK157" s="408">
        <v>0</v>
      </c>
      <c r="EL157" s="408">
        <v>0</v>
      </c>
      <c r="EM157" s="408">
        <v>0</v>
      </c>
      <c r="EN157" s="408">
        <v>0</v>
      </c>
      <c r="EO157" s="408">
        <v>0</v>
      </c>
      <c r="EP157" s="408">
        <v>0</v>
      </c>
      <c r="EQ157" s="408">
        <v>0</v>
      </c>
      <c r="ER157" s="408">
        <v>0</v>
      </c>
      <c r="ES157" s="408">
        <v>0</v>
      </c>
      <c r="ET157" s="408">
        <v>0</v>
      </c>
      <c r="EU157" s="408">
        <v>0</v>
      </c>
      <c r="EV157" s="408">
        <v>238</v>
      </c>
      <c r="EW157" s="408">
        <v>0</v>
      </c>
      <c r="EX157" s="408">
        <v>0</v>
      </c>
      <c r="EY157" s="408">
        <v>0</v>
      </c>
      <c r="EZ157" s="408"/>
      <c r="FA157" s="408">
        <v>0</v>
      </c>
      <c r="FB157" s="408"/>
      <c r="FC157" s="408"/>
      <c r="FD157" s="408"/>
      <c r="FE157" s="408"/>
      <c r="FF157" s="408">
        <v>0</v>
      </c>
      <c r="FG157" s="408">
        <v>0</v>
      </c>
      <c r="FH157" s="408">
        <v>0</v>
      </c>
      <c r="FI157" s="408">
        <v>0</v>
      </c>
    </row>
    <row r="158" spans="1:165">
      <c r="A158" s="408">
        <v>162</v>
      </c>
      <c r="B158" s="408" t="s">
        <v>2238</v>
      </c>
      <c r="C158" s="408" t="s">
        <v>2235</v>
      </c>
      <c r="D158" s="408" t="s">
        <v>2245</v>
      </c>
      <c r="E158" s="408" t="s">
        <v>974</v>
      </c>
      <c r="F158" s="408" t="s">
        <v>2252</v>
      </c>
      <c r="G158" s="408" t="s">
        <v>2254</v>
      </c>
      <c r="H158" s="408" t="s">
        <v>1322</v>
      </c>
      <c r="I158" s="408" t="s">
        <v>1322</v>
      </c>
      <c r="J158" s="408" t="s">
        <v>2236</v>
      </c>
      <c r="K158" s="824">
        <v>44440</v>
      </c>
      <c r="L158" s="408">
        <v>0</v>
      </c>
      <c r="M158" s="408">
        <v>0</v>
      </c>
      <c r="N158" s="408">
        <v>1.8109999999999999</v>
      </c>
      <c r="O158" s="408">
        <v>0.72440000000000004</v>
      </c>
      <c r="P158" s="408">
        <v>1.8109999999999999</v>
      </c>
      <c r="Q158" s="408">
        <v>0.72440000000000004</v>
      </c>
      <c r="R158" s="408"/>
      <c r="S158" s="408">
        <v>581.32000000000005</v>
      </c>
      <c r="T158" s="408">
        <v>209.4</v>
      </c>
      <c r="U158" s="408"/>
      <c r="V158" s="408">
        <v>1431.9939200000001</v>
      </c>
      <c r="W158" s="408">
        <v>1431.9939200000001</v>
      </c>
      <c r="X158" s="408">
        <v>1093.9707699999999</v>
      </c>
      <c r="Y158" s="408">
        <v>0</v>
      </c>
      <c r="Z158" s="408">
        <v>111.4451504402624</v>
      </c>
      <c r="AA158" s="408">
        <v>0</v>
      </c>
      <c r="AB158" s="408">
        <v>0</v>
      </c>
      <c r="AC158" s="408">
        <v>0</v>
      </c>
      <c r="AD158" s="408">
        <v>134.36016322522005</v>
      </c>
      <c r="AE158" s="408">
        <v>697.96901983242958</v>
      </c>
      <c r="AF158" s="408">
        <v>374.24450062754624</v>
      </c>
      <c r="AG158" s="408">
        <v>4.9856195501443592</v>
      </c>
      <c r="AH158" s="408">
        <v>0</v>
      </c>
      <c r="AI158" s="408">
        <v>0</v>
      </c>
      <c r="AJ158" s="408">
        <v>0</v>
      </c>
      <c r="AK158" s="408">
        <v>0</v>
      </c>
      <c r="AL158" s="408">
        <v>17.221888579320687</v>
      </c>
      <c r="AM158" s="408"/>
      <c r="AN158" s="408">
        <v>3.3013883759660834</v>
      </c>
      <c r="AO158" s="408">
        <v>10.321759683634022</v>
      </c>
      <c r="AP158" s="408">
        <v>15.547779036567457</v>
      </c>
      <c r="AQ158" s="408">
        <v>0</v>
      </c>
      <c r="AR158" s="408">
        <v>0</v>
      </c>
      <c r="AS158" s="408">
        <v>0</v>
      </c>
      <c r="AT158" s="408">
        <v>0</v>
      </c>
      <c r="AU158" s="408">
        <v>0</v>
      </c>
      <c r="AV158" s="408">
        <v>0</v>
      </c>
      <c r="AW158" s="408">
        <v>0</v>
      </c>
      <c r="AX158" s="408">
        <v>0</v>
      </c>
      <c r="AY158" s="408">
        <v>0</v>
      </c>
      <c r="AZ158" s="408">
        <v>0</v>
      </c>
      <c r="BA158" s="408"/>
      <c r="BB158" s="408">
        <v>0</v>
      </c>
      <c r="BC158" s="408">
        <v>0</v>
      </c>
      <c r="BD158" s="408">
        <v>0</v>
      </c>
      <c r="BE158" s="408">
        <v>0</v>
      </c>
      <c r="BF158" s="408">
        <v>0</v>
      </c>
      <c r="BG158" s="408">
        <v>62.610405341421846</v>
      </c>
      <c r="BH158" s="408">
        <v>0</v>
      </c>
      <c r="BI158" s="408">
        <v>0</v>
      </c>
      <c r="BJ158" s="408">
        <v>0</v>
      </c>
      <c r="BK158" s="408">
        <v>0</v>
      </c>
      <c r="BL158" s="408">
        <v>0</v>
      </c>
      <c r="BM158" s="408"/>
      <c r="BN158" s="408"/>
      <c r="BO158" s="408"/>
      <c r="BP158" s="408"/>
      <c r="BQ158" s="408"/>
      <c r="BR158" s="408"/>
      <c r="BS158" s="408">
        <v>708.8942179999998</v>
      </c>
      <c r="BT158" s="408"/>
      <c r="BU158" s="408"/>
      <c r="BV158" s="408">
        <v>436.85490596896807</v>
      </c>
      <c r="BW158" s="408"/>
      <c r="BX158" s="408"/>
      <c r="BY158" s="408"/>
      <c r="BZ158" s="408"/>
      <c r="CA158" s="408"/>
      <c r="CB158" s="408"/>
      <c r="CC158" s="408"/>
      <c r="CD158" s="408"/>
      <c r="CE158" s="408"/>
      <c r="CF158" s="408"/>
      <c r="CG158" s="408"/>
      <c r="CH158" s="408"/>
      <c r="CI158" s="408">
        <v>382.73760000000004</v>
      </c>
      <c r="CJ158" s="408">
        <v>-121.36613999999997</v>
      </c>
      <c r="CK158" s="408"/>
      <c r="CL158" s="408"/>
      <c r="CM158" s="408"/>
      <c r="CN158" s="408"/>
      <c r="CO158" s="408">
        <v>-379.36828000000014</v>
      </c>
      <c r="CP158" s="408">
        <v>41.345129999999969</v>
      </c>
      <c r="CQ158" s="408">
        <v>30</v>
      </c>
      <c r="CR158" s="408">
        <v>53.503949854179041</v>
      </c>
      <c r="CS158" s="408">
        <v>1.2461670049477682</v>
      </c>
      <c r="CT158" s="408">
        <v>1.8771149328645489</v>
      </c>
      <c r="CU158" s="408">
        <v>0</v>
      </c>
      <c r="CV158" s="408">
        <v>0</v>
      </c>
      <c r="CW158" s="408">
        <v>0</v>
      </c>
      <c r="CX158" s="408">
        <v>0</v>
      </c>
      <c r="CY158" s="408">
        <v>0</v>
      </c>
      <c r="CZ158" s="408">
        <v>4.4046536816449304</v>
      </c>
      <c r="DA158" s="408">
        <v>0</v>
      </c>
      <c r="DB158" s="408">
        <v>0</v>
      </c>
      <c r="DC158" s="408">
        <v>41.332605352837959</v>
      </c>
      <c r="DD158" s="408">
        <v>0</v>
      </c>
      <c r="DE158" s="408">
        <v>0</v>
      </c>
      <c r="DF158" s="408">
        <v>0</v>
      </c>
      <c r="DG158" s="408">
        <v>6.9148676082579854</v>
      </c>
      <c r="DH158" s="408">
        <v>0</v>
      </c>
      <c r="DI158" s="408">
        <v>-1.9427255518346129</v>
      </c>
      <c r="DJ158" s="408"/>
      <c r="DK158" s="408">
        <v>0</v>
      </c>
      <c r="DL158" s="408">
        <v>0</v>
      </c>
      <c r="DM158" s="408">
        <v>0</v>
      </c>
      <c r="DN158" s="408">
        <v>0</v>
      </c>
      <c r="DO158" s="408">
        <v>-0.25240351786469972</v>
      </c>
      <c r="DP158" s="408">
        <v>-7.6329656674823276E-2</v>
      </c>
      <c r="DQ158" s="408">
        <v>0</v>
      </c>
      <c r="DR158" s="408">
        <v>0</v>
      </c>
      <c r="DS158" s="408"/>
      <c r="DT158" s="408"/>
      <c r="DU158" s="408"/>
      <c r="DV158" s="408">
        <v>697.96901983242958</v>
      </c>
      <c r="DW158" s="408">
        <v>0</v>
      </c>
      <c r="DX158" s="408">
        <v>0</v>
      </c>
      <c r="DY158" s="408">
        <v>-379.36828000000014</v>
      </c>
      <c r="DZ158" s="408">
        <v>41.345129999999926</v>
      </c>
      <c r="EA158" s="408">
        <v>0</v>
      </c>
      <c r="EB158" s="408">
        <v>0</v>
      </c>
      <c r="EC158" s="408">
        <v>-391.55343048343985</v>
      </c>
      <c r="ED158" s="408">
        <v>0</v>
      </c>
      <c r="EE158" s="408">
        <v>0</v>
      </c>
      <c r="EF158" s="408">
        <v>0</v>
      </c>
      <c r="EG158" s="408">
        <v>0</v>
      </c>
      <c r="EH158" s="408">
        <v>0</v>
      </c>
      <c r="EI158" s="408">
        <v>0</v>
      </c>
      <c r="EJ158" s="408">
        <v>0</v>
      </c>
      <c r="EK158" s="408">
        <v>0</v>
      </c>
      <c r="EL158" s="408">
        <v>0</v>
      </c>
      <c r="EM158" s="408">
        <v>0</v>
      </c>
      <c r="EN158" s="408">
        <v>0</v>
      </c>
      <c r="EO158" s="408">
        <v>0</v>
      </c>
      <c r="EP158" s="408">
        <v>0</v>
      </c>
      <c r="EQ158" s="408">
        <v>0</v>
      </c>
      <c r="ER158" s="408">
        <v>0</v>
      </c>
      <c r="ES158" s="408">
        <v>0</v>
      </c>
      <c r="ET158" s="408">
        <v>0</v>
      </c>
      <c r="EU158" s="408">
        <v>0</v>
      </c>
      <c r="EV158" s="408">
        <v>238</v>
      </c>
      <c r="EW158" s="408">
        <v>0</v>
      </c>
      <c r="EX158" s="408">
        <v>0</v>
      </c>
      <c r="EY158" s="408">
        <v>0</v>
      </c>
      <c r="EZ158" s="408"/>
      <c r="FA158" s="408">
        <v>0</v>
      </c>
      <c r="FB158" s="408"/>
      <c r="FC158" s="408"/>
      <c r="FD158" s="408"/>
      <c r="FE158" s="408"/>
      <c r="FF158" s="408">
        <v>0</v>
      </c>
      <c r="FG158" s="408">
        <v>0</v>
      </c>
      <c r="FH158" s="408">
        <v>0</v>
      </c>
      <c r="FI158" s="408">
        <v>0</v>
      </c>
    </row>
    <row r="159" spans="1:165">
      <c r="A159" s="408">
        <v>163</v>
      </c>
      <c r="B159" s="408" t="s">
        <v>1036</v>
      </c>
      <c r="C159" s="408" t="s">
        <v>2243</v>
      </c>
      <c r="D159" s="408" t="s">
        <v>597</v>
      </c>
      <c r="E159" s="408" t="s">
        <v>974</v>
      </c>
      <c r="F159" s="408" t="s">
        <v>2252</v>
      </c>
      <c r="G159" s="408" t="s">
        <v>1322</v>
      </c>
      <c r="H159" s="408" t="s">
        <v>1322</v>
      </c>
      <c r="I159" s="408" t="s">
        <v>973</v>
      </c>
      <c r="J159" s="408" t="s">
        <v>2236</v>
      </c>
      <c r="K159" s="824">
        <v>44440</v>
      </c>
      <c r="L159" s="408">
        <v>0</v>
      </c>
      <c r="M159" s="408">
        <v>0</v>
      </c>
      <c r="N159" s="408">
        <v>14.289</v>
      </c>
      <c r="O159" s="408">
        <v>13.71744</v>
      </c>
      <c r="P159" s="408">
        <v>14.289</v>
      </c>
      <c r="Q159" s="408">
        <v>13.71744</v>
      </c>
      <c r="R159" s="408"/>
      <c r="S159" s="408">
        <v>1614.19</v>
      </c>
      <c r="T159" s="408">
        <v>209.4</v>
      </c>
      <c r="U159" s="408"/>
      <c r="V159" s="408">
        <v>26057.27751</v>
      </c>
      <c r="W159" s="408">
        <v>26057.27751</v>
      </c>
      <c r="X159" s="408">
        <v>17320.411349999998</v>
      </c>
      <c r="Y159" s="408">
        <v>0</v>
      </c>
      <c r="Z159" s="408">
        <v>765.00418914278976</v>
      </c>
      <c r="AA159" s="408">
        <v>0</v>
      </c>
      <c r="AB159" s="408">
        <v>0</v>
      </c>
      <c r="AC159" s="408">
        <v>0</v>
      </c>
      <c r="AD159" s="408">
        <v>4449.8516640253729</v>
      </c>
      <c r="AE159" s="408">
        <v>16615.772408058183</v>
      </c>
      <c r="AF159" s="408">
        <v>2952.832506607956</v>
      </c>
      <c r="AG159" s="408">
        <v>39.337116373281475</v>
      </c>
      <c r="AH159" s="408">
        <v>0</v>
      </c>
      <c r="AI159" s="408">
        <v>0</v>
      </c>
      <c r="AJ159" s="408">
        <v>0</v>
      </c>
      <c r="AK159" s="408">
        <v>0</v>
      </c>
      <c r="AL159" s="408">
        <v>135.8826979071857</v>
      </c>
      <c r="AM159" s="408"/>
      <c r="AN159" s="408">
        <v>18.973567324272526</v>
      </c>
      <c r="AO159" s="408">
        <v>345.7212886514148</v>
      </c>
      <c r="AP159" s="408">
        <v>514.95703908882422</v>
      </c>
      <c r="AQ159" s="408">
        <v>0</v>
      </c>
      <c r="AR159" s="408">
        <v>0</v>
      </c>
      <c r="AS159" s="408">
        <v>0</v>
      </c>
      <c r="AT159" s="408">
        <v>0</v>
      </c>
      <c r="AU159" s="408">
        <v>0</v>
      </c>
      <c r="AV159" s="408">
        <v>0</v>
      </c>
      <c r="AW159" s="408">
        <v>0</v>
      </c>
      <c r="AX159" s="408">
        <v>0</v>
      </c>
      <c r="AY159" s="408">
        <v>0</v>
      </c>
      <c r="AZ159" s="408">
        <v>0</v>
      </c>
      <c r="BA159" s="408"/>
      <c r="BB159" s="408">
        <v>0</v>
      </c>
      <c r="BC159" s="408">
        <v>0</v>
      </c>
      <c r="BD159" s="408">
        <v>0</v>
      </c>
      <c r="BE159" s="408">
        <v>0</v>
      </c>
      <c r="BF159" s="408">
        <v>0</v>
      </c>
      <c r="BG159" s="408">
        <v>218.97087116548116</v>
      </c>
      <c r="BH159" s="408">
        <v>0</v>
      </c>
      <c r="BI159" s="408">
        <v>0</v>
      </c>
      <c r="BJ159" s="408">
        <v>0</v>
      </c>
      <c r="BK159" s="408">
        <v>0</v>
      </c>
      <c r="BL159" s="408">
        <v>0</v>
      </c>
      <c r="BM159" s="408"/>
      <c r="BN159" s="408"/>
      <c r="BO159" s="408"/>
      <c r="BP159" s="408"/>
      <c r="BQ159" s="408"/>
      <c r="BR159" s="408">
        <v>692.81645399999979</v>
      </c>
      <c r="BS159" s="408"/>
      <c r="BT159" s="408"/>
      <c r="BU159" s="408"/>
      <c r="BV159" s="408">
        <v>3171.8033777734372</v>
      </c>
      <c r="BW159" s="408"/>
      <c r="BX159" s="408"/>
      <c r="BY159" s="408"/>
      <c r="BZ159" s="408"/>
      <c r="CA159" s="408"/>
      <c r="CB159" s="408"/>
      <c r="CC159" s="408"/>
      <c r="CD159" s="408"/>
      <c r="CE159" s="408"/>
      <c r="CF159" s="408"/>
      <c r="CG159" s="408"/>
      <c r="CH159" s="408"/>
      <c r="CI159" s="408">
        <v>16630.698</v>
      </c>
      <c r="CJ159" s="408">
        <v>-8384.3184095999968</v>
      </c>
      <c r="CK159" s="408"/>
      <c r="CL159" s="408"/>
      <c r="CM159" s="408"/>
      <c r="CN159" s="408"/>
      <c r="CO159" s="408">
        <v>-9063.0840300000018</v>
      </c>
      <c r="CP159" s="408">
        <v>326.21786999999978</v>
      </c>
      <c r="CQ159" s="408">
        <v>30</v>
      </c>
      <c r="CR159" s="408">
        <v>584.32541144539391</v>
      </c>
      <c r="CS159" s="408">
        <v>41.739633166282204</v>
      </c>
      <c r="CT159" s="408">
        <v>62.171808949940328</v>
      </c>
      <c r="CU159" s="408">
        <v>0</v>
      </c>
      <c r="CV159" s="408">
        <v>0</v>
      </c>
      <c r="CW159" s="408">
        <v>0</v>
      </c>
      <c r="CX159" s="408">
        <v>0</v>
      </c>
      <c r="CY159" s="408">
        <v>0</v>
      </c>
      <c r="CZ159" s="408">
        <v>145.87698499494491</v>
      </c>
      <c r="DA159" s="408">
        <v>0</v>
      </c>
      <c r="DB159" s="408">
        <v>0</v>
      </c>
      <c r="DC159" s="408">
        <v>326.11904908155793</v>
      </c>
      <c r="DD159" s="408">
        <v>0</v>
      </c>
      <c r="DE159" s="408">
        <v>0</v>
      </c>
      <c r="DF159" s="408">
        <v>0</v>
      </c>
      <c r="DG159" s="408">
        <v>24.183753098504837</v>
      </c>
      <c r="DH159" s="408">
        <v>0</v>
      </c>
      <c r="DI159" s="408">
        <v>-13.335646994392391</v>
      </c>
      <c r="DJ159" s="408"/>
      <c r="DK159" s="408">
        <v>0</v>
      </c>
      <c r="DL159" s="408">
        <v>0</v>
      </c>
      <c r="DM159" s="408">
        <v>0</v>
      </c>
      <c r="DN159" s="408">
        <v>0</v>
      </c>
      <c r="DO159" s="408">
        <v>-1.9914930241682498</v>
      </c>
      <c r="DP159" s="408">
        <v>-0.43867782727469518</v>
      </c>
      <c r="DQ159" s="408">
        <v>0</v>
      </c>
      <c r="DR159" s="408">
        <v>0</v>
      </c>
      <c r="DS159" s="408"/>
      <c r="DT159" s="408"/>
      <c r="DU159" s="408"/>
      <c r="DV159" s="408">
        <v>16615.772408058183</v>
      </c>
      <c r="DW159" s="408">
        <v>0</v>
      </c>
      <c r="DX159" s="408">
        <v>0</v>
      </c>
      <c r="DY159" s="408">
        <v>-9063.08403</v>
      </c>
      <c r="DZ159" s="408">
        <v>326.21786999999995</v>
      </c>
      <c r="EA159" s="408">
        <v>0</v>
      </c>
      <c r="EB159" s="408">
        <v>0</v>
      </c>
      <c r="EC159" s="408">
        <v>-9321.277165094325</v>
      </c>
      <c r="ED159" s="408">
        <v>0</v>
      </c>
      <c r="EE159" s="408">
        <v>0</v>
      </c>
      <c r="EF159" s="408">
        <v>0</v>
      </c>
      <c r="EG159" s="408">
        <v>0</v>
      </c>
      <c r="EH159" s="408">
        <v>0</v>
      </c>
      <c r="EI159" s="408">
        <v>0</v>
      </c>
      <c r="EJ159" s="408">
        <v>0</v>
      </c>
      <c r="EK159" s="408">
        <v>0</v>
      </c>
      <c r="EL159" s="408">
        <v>0</v>
      </c>
      <c r="EM159" s="408">
        <v>0</v>
      </c>
      <c r="EN159" s="408">
        <v>0</v>
      </c>
      <c r="EO159" s="408">
        <v>0</v>
      </c>
      <c r="EP159" s="408">
        <v>0</v>
      </c>
      <c r="EQ159" s="408">
        <v>0</v>
      </c>
      <c r="ER159" s="408">
        <v>0</v>
      </c>
      <c r="ES159" s="408">
        <v>0</v>
      </c>
      <c r="ET159" s="408">
        <v>0</v>
      </c>
      <c r="EU159" s="408">
        <v>0</v>
      </c>
      <c r="EV159" s="408">
        <v>238</v>
      </c>
      <c r="EW159" s="408">
        <v>0</v>
      </c>
      <c r="EX159" s="408">
        <v>0</v>
      </c>
      <c r="EY159" s="408">
        <v>0</v>
      </c>
      <c r="EZ159" s="408"/>
      <c r="FA159" s="408">
        <v>0</v>
      </c>
      <c r="FB159" s="408"/>
      <c r="FC159" s="408"/>
      <c r="FD159" s="408"/>
      <c r="FE159" s="408"/>
      <c r="FF159" s="408">
        <v>0</v>
      </c>
      <c r="FG159" s="408">
        <v>0</v>
      </c>
      <c r="FH159" s="408">
        <v>0</v>
      </c>
      <c r="FI159" s="408">
        <v>0</v>
      </c>
    </row>
    <row r="160" spans="1:165">
      <c r="A160" s="408">
        <v>164</v>
      </c>
      <c r="B160" s="408" t="s">
        <v>2238</v>
      </c>
      <c r="C160" s="408" t="s">
        <v>2243</v>
      </c>
      <c r="D160" s="408" t="s">
        <v>597</v>
      </c>
      <c r="E160" s="408" t="s">
        <v>974</v>
      </c>
      <c r="F160" s="408" t="s">
        <v>2252</v>
      </c>
      <c r="G160" s="408" t="s">
        <v>1322</v>
      </c>
      <c r="H160" s="408" t="s">
        <v>1322</v>
      </c>
      <c r="I160" s="408" t="s">
        <v>973</v>
      </c>
      <c r="J160" s="408" t="s">
        <v>2236</v>
      </c>
      <c r="K160" s="824">
        <v>44440</v>
      </c>
      <c r="L160" s="408">
        <v>0</v>
      </c>
      <c r="M160" s="408">
        <v>0</v>
      </c>
      <c r="N160" s="408">
        <v>0.126</v>
      </c>
      <c r="O160" s="408">
        <v>0.12096</v>
      </c>
      <c r="P160" s="408">
        <v>0.126</v>
      </c>
      <c r="Q160" s="408">
        <v>0.12096</v>
      </c>
      <c r="R160" s="408"/>
      <c r="S160" s="408">
        <v>1614.19</v>
      </c>
      <c r="T160" s="408">
        <v>209.4</v>
      </c>
      <c r="U160" s="408"/>
      <c r="V160" s="408">
        <v>229.77234000000001</v>
      </c>
      <c r="W160" s="408">
        <v>229.77234000000001</v>
      </c>
      <c r="X160" s="408">
        <v>152.73089999999999</v>
      </c>
      <c r="Y160" s="408">
        <v>0</v>
      </c>
      <c r="Z160" s="408">
        <v>6.7457854175933587</v>
      </c>
      <c r="AA160" s="408">
        <v>0</v>
      </c>
      <c r="AB160" s="408">
        <v>0</v>
      </c>
      <c r="AC160" s="408">
        <v>0</v>
      </c>
      <c r="AD160" s="408">
        <v>39.238666783343625</v>
      </c>
      <c r="AE160" s="408">
        <v>146.51741363393737</v>
      </c>
      <c r="AF160" s="408">
        <v>26.037993969669152</v>
      </c>
      <c r="AG160" s="408">
        <v>0.34687358548768044</v>
      </c>
      <c r="AH160" s="408">
        <v>0</v>
      </c>
      <c r="AI160" s="408">
        <v>0</v>
      </c>
      <c r="AJ160" s="408">
        <v>0</v>
      </c>
      <c r="AK160" s="408">
        <v>0</v>
      </c>
      <c r="AL160" s="408">
        <v>1.1982098072857021</v>
      </c>
      <c r="AM160" s="408"/>
      <c r="AN160" s="408">
        <v>0.16730838287202313</v>
      </c>
      <c r="AO160" s="408">
        <v>3.0485605969681759</v>
      </c>
      <c r="AP160" s="408">
        <v>4.540876683126311</v>
      </c>
      <c r="AQ160" s="408">
        <v>0</v>
      </c>
      <c r="AR160" s="408">
        <v>0</v>
      </c>
      <c r="AS160" s="408">
        <v>0</v>
      </c>
      <c r="AT160" s="408">
        <v>0</v>
      </c>
      <c r="AU160" s="408">
        <v>0</v>
      </c>
      <c r="AV160" s="408">
        <v>0</v>
      </c>
      <c r="AW160" s="408">
        <v>0</v>
      </c>
      <c r="AX160" s="408">
        <v>0</v>
      </c>
      <c r="AY160" s="408">
        <v>0</v>
      </c>
      <c r="AZ160" s="408">
        <v>0</v>
      </c>
      <c r="BA160" s="408"/>
      <c r="BB160" s="408">
        <v>0</v>
      </c>
      <c r="BC160" s="408">
        <v>0</v>
      </c>
      <c r="BD160" s="408">
        <v>0</v>
      </c>
      <c r="BE160" s="408">
        <v>0</v>
      </c>
      <c r="BF160" s="408">
        <v>0</v>
      </c>
      <c r="BG160" s="408">
        <v>1.9308789815137957</v>
      </c>
      <c r="BH160" s="408">
        <v>0</v>
      </c>
      <c r="BI160" s="408">
        <v>0</v>
      </c>
      <c r="BJ160" s="408">
        <v>0</v>
      </c>
      <c r="BK160" s="408">
        <v>0</v>
      </c>
      <c r="BL160" s="408">
        <v>0</v>
      </c>
      <c r="BM160" s="408"/>
      <c r="BN160" s="408"/>
      <c r="BO160" s="408"/>
      <c r="BP160" s="408"/>
      <c r="BQ160" s="408"/>
      <c r="BR160" s="408">
        <v>6.1092360000000028</v>
      </c>
      <c r="BS160" s="408"/>
      <c r="BT160" s="408"/>
      <c r="BU160" s="408"/>
      <c r="BV160" s="408">
        <v>27.968872951182949</v>
      </c>
      <c r="BW160" s="408"/>
      <c r="BX160" s="408"/>
      <c r="BY160" s="408"/>
      <c r="BZ160" s="408"/>
      <c r="CA160" s="408"/>
      <c r="CB160" s="408"/>
      <c r="CC160" s="408"/>
      <c r="CD160" s="408"/>
      <c r="CE160" s="408"/>
      <c r="CF160" s="408"/>
      <c r="CG160" s="408"/>
      <c r="CH160" s="408"/>
      <c r="CI160" s="408">
        <v>145.458</v>
      </c>
      <c r="CJ160" s="408">
        <v>-75.153446399999979</v>
      </c>
      <c r="CK160" s="408"/>
      <c r="CL160" s="408"/>
      <c r="CM160" s="408"/>
      <c r="CN160" s="408"/>
      <c r="CO160" s="408">
        <v>-79.918020000000013</v>
      </c>
      <c r="CP160" s="408">
        <v>2.8765799999999979</v>
      </c>
      <c r="CQ160" s="408">
        <v>30</v>
      </c>
      <c r="CR160" s="408">
        <v>5.1525650389894082</v>
      </c>
      <c r="CS160" s="408">
        <v>0.36805891097708443</v>
      </c>
      <c r="CT160" s="408">
        <v>0.54822926220816637</v>
      </c>
      <c r="CU160" s="408">
        <v>0</v>
      </c>
      <c r="CV160" s="408">
        <v>0</v>
      </c>
      <c r="CW160" s="408">
        <v>0</v>
      </c>
      <c r="CX160" s="408">
        <v>0</v>
      </c>
      <c r="CY160" s="408">
        <v>0</v>
      </c>
      <c r="CZ160" s="408">
        <v>1.2863391496509919</v>
      </c>
      <c r="DA160" s="408">
        <v>0</v>
      </c>
      <c r="DB160" s="408">
        <v>0</v>
      </c>
      <c r="DC160" s="408">
        <v>2.8757085999213565</v>
      </c>
      <c r="DD160" s="408">
        <v>0</v>
      </c>
      <c r="DE160" s="408">
        <v>0</v>
      </c>
      <c r="DF160" s="408">
        <v>0</v>
      </c>
      <c r="DG160" s="408">
        <v>0.21325165444828964</v>
      </c>
      <c r="DH160" s="408">
        <v>0</v>
      </c>
      <c r="DI160" s="408">
        <v>-0.1175933600177359</v>
      </c>
      <c r="DJ160" s="408"/>
      <c r="DK160" s="408">
        <v>0</v>
      </c>
      <c r="DL160" s="408">
        <v>0</v>
      </c>
      <c r="DM160" s="408">
        <v>0</v>
      </c>
      <c r="DN160" s="408">
        <v>0</v>
      </c>
      <c r="DO160" s="408">
        <v>-1.7560929459388142E-2</v>
      </c>
      <c r="DP160" s="408">
        <v>-3.8682487393527643E-3</v>
      </c>
      <c r="DQ160" s="408">
        <v>0</v>
      </c>
      <c r="DR160" s="408">
        <v>0</v>
      </c>
      <c r="DS160" s="408"/>
      <c r="DT160" s="408"/>
      <c r="DU160" s="408"/>
      <c r="DV160" s="408">
        <v>146.51741363393737</v>
      </c>
      <c r="DW160" s="408">
        <v>0</v>
      </c>
      <c r="DX160" s="408">
        <v>0</v>
      </c>
      <c r="DY160" s="408">
        <v>-79.918020000000013</v>
      </c>
      <c r="DZ160" s="408">
        <v>2.8765800000000006</v>
      </c>
      <c r="EA160" s="408">
        <v>0</v>
      </c>
      <c r="EB160" s="408">
        <v>0</v>
      </c>
      <c r="EC160" s="408">
        <v>-82.194759801377629</v>
      </c>
      <c r="ED160" s="408">
        <v>0</v>
      </c>
      <c r="EE160" s="408">
        <v>0</v>
      </c>
      <c r="EF160" s="408">
        <v>0</v>
      </c>
      <c r="EG160" s="408">
        <v>0</v>
      </c>
      <c r="EH160" s="408">
        <v>0</v>
      </c>
      <c r="EI160" s="408">
        <v>0</v>
      </c>
      <c r="EJ160" s="408">
        <v>0</v>
      </c>
      <c r="EK160" s="408">
        <v>0</v>
      </c>
      <c r="EL160" s="408">
        <v>0</v>
      </c>
      <c r="EM160" s="408">
        <v>0</v>
      </c>
      <c r="EN160" s="408">
        <v>0</v>
      </c>
      <c r="EO160" s="408">
        <v>0</v>
      </c>
      <c r="EP160" s="408">
        <v>0</v>
      </c>
      <c r="EQ160" s="408">
        <v>0</v>
      </c>
      <c r="ER160" s="408">
        <v>0</v>
      </c>
      <c r="ES160" s="408">
        <v>0</v>
      </c>
      <c r="ET160" s="408">
        <v>0</v>
      </c>
      <c r="EU160" s="408">
        <v>0</v>
      </c>
      <c r="EV160" s="408">
        <v>238</v>
      </c>
      <c r="EW160" s="408">
        <v>0</v>
      </c>
      <c r="EX160" s="408">
        <v>0</v>
      </c>
      <c r="EY160" s="408">
        <v>0</v>
      </c>
      <c r="EZ160" s="408"/>
      <c r="FA160" s="408">
        <v>0</v>
      </c>
      <c r="FB160" s="408"/>
      <c r="FC160" s="408"/>
      <c r="FD160" s="408"/>
      <c r="FE160" s="408"/>
      <c r="FF160" s="408">
        <v>0</v>
      </c>
      <c r="FG160" s="408">
        <v>0</v>
      </c>
      <c r="FH160" s="408">
        <v>0</v>
      </c>
      <c r="FI160" s="408">
        <v>0</v>
      </c>
    </row>
    <row r="161" spans="1:165">
      <c r="A161" s="408">
        <v>165</v>
      </c>
      <c r="B161" s="408" t="s">
        <v>1036</v>
      </c>
      <c r="C161" s="408" t="s">
        <v>2243</v>
      </c>
      <c r="D161" s="408" t="s">
        <v>597</v>
      </c>
      <c r="E161" s="408" t="s">
        <v>974</v>
      </c>
      <c r="F161" s="408" t="s">
        <v>2252</v>
      </c>
      <c r="G161" s="408" t="s">
        <v>1322</v>
      </c>
      <c r="H161" s="408" t="s">
        <v>1322</v>
      </c>
      <c r="I161" s="408" t="s">
        <v>2244</v>
      </c>
      <c r="J161" s="408" t="s">
        <v>2236</v>
      </c>
      <c r="K161" s="824">
        <v>44440</v>
      </c>
      <c r="L161" s="408">
        <v>0</v>
      </c>
      <c r="M161" s="408">
        <v>0</v>
      </c>
      <c r="N161" s="408">
        <v>420.74400000000003</v>
      </c>
      <c r="O161" s="408">
        <v>403.91424000000001</v>
      </c>
      <c r="P161" s="408">
        <v>420.74400000000003</v>
      </c>
      <c r="Q161" s="408">
        <v>403.91424000000001</v>
      </c>
      <c r="R161" s="408"/>
      <c r="S161" s="408">
        <v>79.7</v>
      </c>
      <c r="T161" s="408">
        <v>209.4</v>
      </c>
      <c r="U161" s="408"/>
      <c r="V161" s="408">
        <v>121637.09040000002</v>
      </c>
      <c r="W161" s="408">
        <v>121637.09040000002</v>
      </c>
      <c r="X161" s="408">
        <v>131490.91488</v>
      </c>
      <c r="Y161" s="408">
        <v>0</v>
      </c>
      <c r="Z161" s="408">
        <v>22525.783648729368</v>
      </c>
      <c r="AA161" s="408">
        <v>0</v>
      </c>
      <c r="AB161" s="408">
        <v>0</v>
      </c>
      <c r="AC161" s="408">
        <v>0</v>
      </c>
      <c r="AD161" s="408">
        <v>0</v>
      </c>
      <c r="AE161" s="408">
        <v>0</v>
      </c>
      <c r="AF161" s="408">
        <v>86947.061387099035</v>
      </c>
      <c r="AG161" s="408">
        <v>1158.2934908922907</v>
      </c>
      <c r="AH161" s="408">
        <v>0</v>
      </c>
      <c r="AI161" s="408">
        <v>0</v>
      </c>
      <c r="AJ161" s="408">
        <v>0</v>
      </c>
      <c r="AK161" s="408">
        <v>0</v>
      </c>
      <c r="AL161" s="408">
        <v>4001.1078345763135</v>
      </c>
      <c r="AM161" s="408"/>
      <c r="AN161" s="408">
        <v>558.68252573894051</v>
      </c>
      <c r="AO161" s="408">
        <v>0</v>
      </c>
      <c r="AP161" s="408">
        <v>0</v>
      </c>
      <c r="AQ161" s="408">
        <v>0</v>
      </c>
      <c r="AR161" s="408">
        <v>0</v>
      </c>
      <c r="AS161" s="408">
        <v>0</v>
      </c>
      <c r="AT161" s="408">
        <v>0</v>
      </c>
      <c r="AU161" s="408">
        <v>0</v>
      </c>
      <c r="AV161" s="408">
        <v>0</v>
      </c>
      <c r="AW161" s="408">
        <v>0</v>
      </c>
      <c r="AX161" s="408">
        <v>0</v>
      </c>
      <c r="AY161" s="408">
        <v>0</v>
      </c>
      <c r="AZ161" s="408">
        <v>0</v>
      </c>
      <c r="BA161" s="408"/>
      <c r="BB161" s="408">
        <v>0</v>
      </c>
      <c r="BC161" s="408">
        <v>0</v>
      </c>
      <c r="BD161" s="408">
        <v>0</v>
      </c>
      <c r="BE161" s="408">
        <v>0</v>
      </c>
      <c r="BF161" s="408">
        <v>0</v>
      </c>
      <c r="BG161" s="408">
        <v>6447.6646523654008</v>
      </c>
      <c r="BH161" s="408">
        <v>0</v>
      </c>
      <c r="BI161" s="408">
        <v>0</v>
      </c>
      <c r="BJ161" s="408">
        <v>0</v>
      </c>
      <c r="BK161" s="408">
        <v>0</v>
      </c>
      <c r="BL161" s="408">
        <v>0</v>
      </c>
      <c r="BM161" s="408"/>
      <c r="BN161" s="408"/>
      <c r="BO161" s="408"/>
      <c r="BP161" s="408"/>
      <c r="BQ161" s="408"/>
      <c r="BR161" s="408">
        <v>5259.6365952000069</v>
      </c>
      <c r="BS161" s="408"/>
      <c r="BT161" s="408"/>
      <c r="BU161" s="408"/>
      <c r="BV161" s="408">
        <v>93394.72603946444</v>
      </c>
      <c r="BW161" s="408"/>
      <c r="BX161" s="408"/>
      <c r="BY161" s="408"/>
      <c r="BZ161" s="408"/>
      <c r="CA161" s="408"/>
      <c r="CB161" s="408"/>
      <c r="CC161" s="408"/>
      <c r="CD161" s="408"/>
      <c r="CE161" s="408"/>
      <c r="CF161" s="408"/>
      <c r="CG161" s="408"/>
      <c r="CH161" s="408"/>
      <c r="CI161" s="408">
        <v>126229.9532</v>
      </c>
      <c r="CJ161" s="408">
        <v>9458.316416000016</v>
      </c>
      <c r="CK161" s="408"/>
      <c r="CL161" s="408"/>
      <c r="CM161" s="408"/>
      <c r="CN161" s="408"/>
      <c r="CO161" s="408">
        <v>248.23896000000144</v>
      </c>
      <c r="CP161" s="408">
        <v>9605.5855199999933</v>
      </c>
      <c r="CQ161" s="408">
        <v>30</v>
      </c>
      <c r="CR161" s="408">
        <v>9850.5444003583252</v>
      </c>
      <c r="CS161" s="408">
        <v>0</v>
      </c>
      <c r="CT161" s="408">
        <v>0</v>
      </c>
      <c r="CU161" s="408">
        <v>0</v>
      </c>
      <c r="CV161" s="408">
        <v>0</v>
      </c>
      <c r="CW161" s="408">
        <v>0</v>
      </c>
      <c r="CX161" s="408">
        <v>0</v>
      </c>
      <c r="CY161" s="408">
        <v>0</v>
      </c>
      <c r="CZ161" s="408">
        <v>0</v>
      </c>
      <c r="DA161" s="408">
        <v>0</v>
      </c>
      <c r="DB161" s="408">
        <v>0</v>
      </c>
      <c r="DC161" s="408">
        <v>9602.6757076611975</v>
      </c>
      <c r="DD161" s="408">
        <v>0</v>
      </c>
      <c r="DE161" s="408">
        <v>0</v>
      </c>
      <c r="DF161" s="408">
        <v>0</v>
      </c>
      <c r="DG161" s="408">
        <v>712.0980484062793</v>
      </c>
      <c r="DH161" s="408">
        <v>0</v>
      </c>
      <c r="DI161" s="408">
        <v>-392.67222751827285</v>
      </c>
      <c r="DJ161" s="408"/>
      <c r="DK161" s="408">
        <v>0</v>
      </c>
      <c r="DL161" s="408">
        <v>0</v>
      </c>
      <c r="DM161" s="408">
        <v>0</v>
      </c>
      <c r="DN161" s="408">
        <v>0</v>
      </c>
      <c r="DO161" s="408">
        <v>-58.640124638578072</v>
      </c>
      <c r="DP161" s="408">
        <v>-12.917003552303527</v>
      </c>
      <c r="DQ161" s="408">
        <v>0</v>
      </c>
      <c r="DR161" s="408">
        <v>0</v>
      </c>
      <c r="DS161" s="408"/>
      <c r="DT161" s="408"/>
      <c r="DU161" s="408"/>
      <c r="DV161" s="408">
        <v>0</v>
      </c>
      <c r="DW161" s="408">
        <v>0</v>
      </c>
      <c r="DX161" s="408">
        <v>0</v>
      </c>
      <c r="DY161" s="408">
        <v>248.23896000000241</v>
      </c>
      <c r="DZ161" s="408">
        <v>9605.5855199999933</v>
      </c>
      <c r="EA161" s="408">
        <v>0</v>
      </c>
      <c r="EB161" s="408">
        <v>0</v>
      </c>
      <c r="EC161" s="408">
        <v>0</v>
      </c>
      <c r="ED161" s="408">
        <v>0</v>
      </c>
      <c r="EE161" s="408">
        <v>0</v>
      </c>
      <c r="EF161" s="408">
        <v>0</v>
      </c>
      <c r="EG161" s="408">
        <v>0</v>
      </c>
      <c r="EH161" s="408">
        <v>0</v>
      </c>
      <c r="EI161" s="408">
        <v>0</v>
      </c>
      <c r="EJ161" s="408">
        <v>0</v>
      </c>
      <c r="EK161" s="408">
        <v>0</v>
      </c>
      <c r="EL161" s="408">
        <v>0</v>
      </c>
      <c r="EM161" s="408">
        <v>0</v>
      </c>
      <c r="EN161" s="408">
        <v>0</v>
      </c>
      <c r="EO161" s="408">
        <v>0</v>
      </c>
      <c r="EP161" s="408">
        <v>0</v>
      </c>
      <c r="EQ161" s="408">
        <v>0</v>
      </c>
      <c r="ER161" s="408">
        <v>0</v>
      </c>
      <c r="ES161" s="408">
        <v>0</v>
      </c>
      <c r="ET161" s="408">
        <v>0</v>
      </c>
      <c r="EU161" s="408">
        <v>0</v>
      </c>
      <c r="EV161" s="408">
        <v>238</v>
      </c>
      <c r="EW161" s="408">
        <v>0</v>
      </c>
      <c r="EX161" s="408">
        <v>0</v>
      </c>
      <c r="EY161" s="408">
        <v>0</v>
      </c>
      <c r="EZ161" s="408"/>
      <c r="FA161" s="408">
        <v>0</v>
      </c>
      <c r="FB161" s="408"/>
      <c r="FC161" s="408"/>
      <c r="FD161" s="408"/>
      <c r="FE161" s="408"/>
      <c r="FF161" s="408">
        <v>0</v>
      </c>
      <c r="FG161" s="408">
        <v>0</v>
      </c>
      <c r="FH161" s="408">
        <v>0</v>
      </c>
      <c r="FI161" s="408">
        <v>0</v>
      </c>
    </row>
    <row r="162" spans="1:165">
      <c r="A162" s="408">
        <v>166</v>
      </c>
      <c r="B162" s="408" t="s">
        <v>2238</v>
      </c>
      <c r="C162" s="408" t="s">
        <v>2243</v>
      </c>
      <c r="D162" s="408" t="s">
        <v>597</v>
      </c>
      <c r="E162" s="408" t="s">
        <v>974</v>
      </c>
      <c r="F162" s="408" t="s">
        <v>2252</v>
      </c>
      <c r="G162" s="408" t="s">
        <v>1322</v>
      </c>
      <c r="H162" s="408" t="s">
        <v>1322</v>
      </c>
      <c r="I162" s="408" t="s">
        <v>2244</v>
      </c>
      <c r="J162" s="408" t="s">
        <v>2236</v>
      </c>
      <c r="K162" s="824">
        <v>44440</v>
      </c>
      <c r="L162" s="408">
        <v>0</v>
      </c>
      <c r="M162" s="408">
        <v>0</v>
      </c>
      <c r="N162" s="408">
        <v>9.5749999999999993</v>
      </c>
      <c r="O162" s="408">
        <v>9.1920000000000002</v>
      </c>
      <c r="P162" s="408">
        <v>9.5749999999999993</v>
      </c>
      <c r="Q162" s="408">
        <v>9.1920000000000002</v>
      </c>
      <c r="R162" s="408"/>
      <c r="S162" s="408">
        <v>79.7</v>
      </c>
      <c r="T162" s="408">
        <v>209.4</v>
      </c>
      <c r="U162" s="408"/>
      <c r="V162" s="408">
        <v>2768.1324999999997</v>
      </c>
      <c r="W162" s="408">
        <v>2768.1324999999997</v>
      </c>
      <c r="X162" s="408">
        <v>2992.3789999999999</v>
      </c>
      <c r="Y162" s="408">
        <v>0</v>
      </c>
      <c r="Z162" s="408">
        <v>512.62615375759049</v>
      </c>
      <c r="AA162" s="408">
        <v>0</v>
      </c>
      <c r="AB162" s="408">
        <v>0</v>
      </c>
      <c r="AC162" s="408">
        <v>0</v>
      </c>
      <c r="AD162" s="408">
        <v>0</v>
      </c>
      <c r="AE162" s="408">
        <v>0</v>
      </c>
      <c r="AF162" s="408">
        <v>1978.6808909490642</v>
      </c>
      <c r="AG162" s="408">
        <v>26.359639532099525</v>
      </c>
      <c r="AH162" s="408">
        <v>0</v>
      </c>
      <c r="AI162" s="408">
        <v>0</v>
      </c>
      <c r="AJ162" s="408">
        <v>0</v>
      </c>
      <c r="AK162" s="408">
        <v>0</v>
      </c>
      <c r="AL162" s="408">
        <v>91.05443575206823</v>
      </c>
      <c r="AM162" s="408"/>
      <c r="AN162" s="408">
        <v>12.714109253965248</v>
      </c>
      <c r="AO162" s="408">
        <v>0</v>
      </c>
      <c r="AP162" s="408">
        <v>0</v>
      </c>
      <c r="AQ162" s="408">
        <v>0</v>
      </c>
      <c r="AR162" s="408">
        <v>0</v>
      </c>
      <c r="AS162" s="408">
        <v>0</v>
      </c>
      <c r="AT162" s="408">
        <v>0</v>
      </c>
      <c r="AU162" s="408">
        <v>0</v>
      </c>
      <c r="AV162" s="408">
        <v>0</v>
      </c>
      <c r="AW162" s="408">
        <v>0</v>
      </c>
      <c r="AX162" s="408">
        <v>0</v>
      </c>
      <c r="AY162" s="408">
        <v>0</v>
      </c>
      <c r="AZ162" s="408">
        <v>0</v>
      </c>
      <c r="BA162" s="408"/>
      <c r="BB162" s="408">
        <v>0</v>
      </c>
      <c r="BC162" s="408">
        <v>0</v>
      </c>
      <c r="BD162" s="408">
        <v>0</v>
      </c>
      <c r="BE162" s="408">
        <v>0</v>
      </c>
      <c r="BF162" s="408">
        <v>0</v>
      </c>
      <c r="BG162" s="408">
        <v>146.73147815868725</v>
      </c>
      <c r="BH162" s="408">
        <v>0</v>
      </c>
      <c r="BI162" s="408">
        <v>0</v>
      </c>
      <c r="BJ162" s="408">
        <v>0</v>
      </c>
      <c r="BK162" s="408">
        <v>0</v>
      </c>
      <c r="BL162" s="408">
        <v>0</v>
      </c>
      <c r="BM162" s="408"/>
      <c r="BN162" s="408"/>
      <c r="BO162" s="408"/>
      <c r="BP162" s="408"/>
      <c r="BQ162" s="408"/>
      <c r="BR162" s="408">
        <v>119.69515999999972</v>
      </c>
      <c r="BS162" s="408"/>
      <c r="BT162" s="408"/>
      <c r="BU162" s="408"/>
      <c r="BV162" s="408">
        <v>2125.4123691077516</v>
      </c>
      <c r="BW162" s="408"/>
      <c r="BX162" s="408"/>
      <c r="BY162" s="408"/>
      <c r="BZ162" s="408"/>
      <c r="CA162" s="408"/>
      <c r="CB162" s="408"/>
      <c r="CC162" s="408"/>
      <c r="CD162" s="408"/>
      <c r="CE162" s="408"/>
      <c r="CF162" s="408"/>
      <c r="CG162" s="408"/>
      <c r="CH162" s="408"/>
      <c r="CI162" s="408">
        <v>2872.0587999999998</v>
      </c>
      <c r="CJ162" s="408">
        <v>214.62159999999949</v>
      </c>
      <c r="CK162" s="408"/>
      <c r="CL162" s="408"/>
      <c r="CM162" s="408"/>
      <c r="CN162" s="408"/>
      <c r="CO162" s="408">
        <v>5.6492500000000323</v>
      </c>
      <c r="CP162" s="408">
        <v>218.59724999999983</v>
      </c>
      <c r="CQ162" s="408">
        <v>30</v>
      </c>
      <c r="CR162" s="408">
        <v>224.17185422354441</v>
      </c>
      <c r="CS162" s="408">
        <v>0</v>
      </c>
      <c r="CT162" s="408">
        <v>0</v>
      </c>
      <c r="CU162" s="408">
        <v>0</v>
      </c>
      <c r="CV162" s="408">
        <v>0</v>
      </c>
      <c r="CW162" s="408">
        <v>0</v>
      </c>
      <c r="CX162" s="408">
        <v>0</v>
      </c>
      <c r="CY162" s="408">
        <v>0</v>
      </c>
      <c r="CZ162" s="408">
        <v>0</v>
      </c>
      <c r="DA162" s="408">
        <v>0</v>
      </c>
      <c r="DB162" s="408">
        <v>0</v>
      </c>
      <c r="DC162" s="408">
        <v>218.53103050989694</v>
      </c>
      <c r="DD162" s="408">
        <v>0</v>
      </c>
      <c r="DE162" s="408">
        <v>0</v>
      </c>
      <c r="DF162" s="408">
        <v>0</v>
      </c>
      <c r="DG162" s="408">
        <v>16.205433264622002</v>
      </c>
      <c r="DH162" s="408">
        <v>0</v>
      </c>
      <c r="DI162" s="408">
        <v>-8.9361620807128475</v>
      </c>
      <c r="DJ162" s="408"/>
      <c r="DK162" s="408">
        <v>0</v>
      </c>
      <c r="DL162" s="408">
        <v>0</v>
      </c>
      <c r="DM162" s="408">
        <v>0</v>
      </c>
      <c r="DN162" s="408">
        <v>0</v>
      </c>
      <c r="DO162" s="408">
        <v>-1.3344912664574764</v>
      </c>
      <c r="DP162" s="408">
        <v>-0.29395620380398846</v>
      </c>
      <c r="DQ162" s="408">
        <v>0</v>
      </c>
      <c r="DR162" s="408">
        <v>0</v>
      </c>
      <c r="DS162" s="408"/>
      <c r="DT162" s="408"/>
      <c r="DU162" s="408"/>
      <c r="DV162" s="408">
        <v>0</v>
      </c>
      <c r="DW162" s="408">
        <v>0</v>
      </c>
      <c r="DX162" s="408">
        <v>0</v>
      </c>
      <c r="DY162" s="408">
        <v>5.6492500000000518</v>
      </c>
      <c r="DZ162" s="408">
        <v>218.59725000000003</v>
      </c>
      <c r="EA162" s="408">
        <v>0</v>
      </c>
      <c r="EB162" s="408">
        <v>0</v>
      </c>
      <c r="EC162" s="408">
        <v>0</v>
      </c>
      <c r="ED162" s="408">
        <v>0</v>
      </c>
      <c r="EE162" s="408">
        <v>0</v>
      </c>
      <c r="EF162" s="408">
        <v>0</v>
      </c>
      <c r="EG162" s="408">
        <v>0</v>
      </c>
      <c r="EH162" s="408">
        <v>0</v>
      </c>
      <c r="EI162" s="408">
        <v>0</v>
      </c>
      <c r="EJ162" s="408">
        <v>0</v>
      </c>
      <c r="EK162" s="408">
        <v>0</v>
      </c>
      <c r="EL162" s="408">
        <v>0</v>
      </c>
      <c r="EM162" s="408">
        <v>0</v>
      </c>
      <c r="EN162" s="408">
        <v>0</v>
      </c>
      <c r="EO162" s="408">
        <v>0</v>
      </c>
      <c r="EP162" s="408">
        <v>0</v>
      </c>
      <c r="EQ162" s="408">
        <v>0</v>
      </c>
      <c r="ER162" s="408">
        <v>0</v>
      </c>
      <c r="ES162" s="408">
        <v>0</v>
      </c>
      <c r="ET162" s="408">
        <v>0</v>
      </c>
      <c r="EU162" s="408">
        <v>0</v>
      </c>
      <c r="EV162" s="408">
        <v>238</v>
      </c>
      <c r="EW162" s="408">
        <v>0</v>
      </c>
      <c r="EX162" s="408">
        <v>0</v>
      </c>
      <c r="EY162" s="408">
        <v>0</v>
      </c>
      <c r="EZ162" s="408"/>
      <c r="FA162" s="408">
        <v>0</v>
      </c>
      <c r="FB162" s="408"/>
      <c r="FC162" s="408"/>
      <c r="FD162" s="408"/>
      <c r="FE162" s="408"/>
      <c r="FF162" s="408">
        <v>0</v>
      </c>
      <c r="FG162" s="408">
        <v>0</v>
      </c>
      <c r="FH162" s="408">
        <v>0</v>
      </c>
      <c r="FI162" s="408">
        <v>0</v>
      </c>
    </row>
    <row r="163" spans="1:165">
      <c r="A163" s="408">
        <v>167</v>
      </c>
      <c r="B163" s="408" t="s">
        <v>1036</v>
      </c>
      <c r="C163" s="408" t="s">
        <v>2243</v>
      </c>
      <c r="D163" s="408" t="s">
        <v>597</v>
      </c>
      <c r="E163" s="408" t="s">
        <v>974</v>
      </c>
      <c r="F163" s="408" t="s">
        <v>2252</v>
      </c>
      <c r="G163" s="408" t="s">
        <v>1322</v>
      </c>
      <c r="H163" s="408" t="s">
        <v>1322</v>
      </c>
      <c r="I163" s="408" t="s">
        <v>1322</v>
      </c>
      <c r="J163" s="408" t="s">
        <v>2236</v>
      </c>
      <c r="K163" s="824">
        <v>44440</v>
      </c>
      <c r="L163" s="408">
        <v>20482</v>
      </c>
      <c r="M163" s="408">
        <v>19662.72</v>
      </c>
      <c r="N163" s="408">
        <v>0</v>
      </c>
      <c r="O163" s="408">
        <v>0</v>
      </c>
      <c r="P163" s="408">
        <v>0</v>
      </c>
      <c r="Q163" s="408">
        <v>0</v>
      </c>
      <c r="R163" s="408">
        <v>44.35</v>
      </c>
      <c r="S163" s="408"/>
      <c r="T163" s="408"/>
      <c r="U163" s="408">
        <v>908376.70000000007</v>
      </c>
      <c r="V163" s="408"/>
      <c r="W163" s="408">
        <v>908376.70000000007</v>
      </c>
      <c r="X163" s="408">
        <v>593363.53999999992</v>
      </c>
      <c r="Y163" s="408">
        <v>0</v>
      </c>
      <c r="Z163" s="408">
        <v>0</v>
      </c>
      <c r="AA163" s="408">
        <v>0</v>
      </c>
      <c r="AB163" s="408">
        <v>0</v>
      </c>
      <c r="AC163" s="408">
        <v>0</v>
      </c>
      <c r="AD163" s="408">
        <v>268766.10845936311</v>
      </c>
      <c r="AE163" s="408">
        <v>588198.9276246496</v>
      </c>
      <c r="AF163" s="408"/>
      <c r="AG163" s="408"/>
      <c r="AH163" s="408"/>
      <c r="AI163" s="408">
        <v>0</v>
      </c>
      <c r="AJ163" s="408">
        <v>0</v>
      </c>
      <c r="AK163" s="408">
        <v>0</v>
      </c>
      <c r="AL163" s="408">
        <v>0</v>
      </c>
      <c r="AM163" s="408"/>
      <c r="AN163" s="408">
        <v>0</v>
      </c>
      <c r="AO163" s="408">
        <v>20312.423206599928</v>
      </c>
      <c r="AP163" s="408">
        <v>31077.16231978573</v>
      </c>
      <c r="AQ163" s="408">
        <v>0</v>
      </c>
      <c r="AR163" s="408">
        <v>0</v>
      </c>
      <c r="AS163" s="408"/>
      <c r="AT163" s="408"/>
      <c r="AU163" s="408">
        <v>0</v>
      </c>
      <c r="AV163" s="408">
        <v>0</v>
      </c>
      <c r="AW163" s="408">
        <v>0</v>
      </c>
      <c r="AX163" s="408"/>
      <c r="AY163" s="408"/>
      <c r="AZ163" s="408">
        <v>0</v>
      </c>
      <c r="BA163" s="408"/>
      <c r="BB163" s="408">
        <v>0</v>
      </c>
      <c r="BC163" s="408">
        <v>0</v>
      </c>
      <c r="BD163" s="408">
        <v>0</v>
      </c>
      <c r="BE163" s="408">
        <v>0</v>
      </c>
      <c r="BF163" s="408"/>
      <c r="BG163" s="408">
        <v>0</v>
      </c>
      <c r="BH163" s="408">
        <v>0</v>
      </c>
      <c r="BI163" s="408">
        <v>1386.69</v>
      </c>
      <c r="BJ163" s="408">
        <v>6503.1</v>
      </c>
      <c r="BK163" s="408">
        <v>710.48</v>
      </c>
      <c r="BL163" s="408">
        <v>123</v>
      </c>
      <c r="BM163" s="408"/>
      <c r="BN163" s="408"/>
      <c r="BO163" s="408"/>
      <c r="BP163" s="408"/>
      <c r="BQ163" s="408"/>
      <c r="BR163" s="408">
        <v>23734.541599999964</v>
      </c>
      <c r="BS163" s="408"/>
      <c r="BT163" s="408"/>
      <c r="BU163" s="408"/>
      <c r="BV163" s="408">
        <v>0</v>
      </c>
      <c r="BW163" s="408"/>
      <c r="BX163" s="408"/>
      <c r="BY163" s="408"/>
      <c r="BZ163" s="408"/>
      <c r="CA163" s="408"/>
      <c r="CB163" s="408"/>
      <c r="CC163" s="408"/>
      <c r="CD163" s="408"/>
      <c r="CE163" s="408"/>
      <c r="CF163" s="408"/>
      <c r="CG163" s="408"/>
      <c r="CH163" s="408"/>
      <c r="CI163" s="408">
        <v>569628.99840000004</v>
      </c>
      <c r="CJ163" s="408">
        <v>-302412.66360000009</v>
      </c>
      <c r="CK163" s="408"/>
      <c r="CL163" s="408"/>
      <c r="CM163" s="408"/>
      <c r="CN163" s="408"/>
      <c r="CO163" s="408">
        <v>-315013.16000000003</v>
      </c>
      <c r="CP163" s="408">
        <v>0</v>
      </c>
      <c r="CQ163" s="408">
        <v>30</v>
      </c>
      <c r="CR163" s="408">
        <v>15015.177216348064</v>
      </c>
      <c r="CS163" s="408">
        <v>2452.3600981269738</v>
      </c>
      <c r="CT163" s="408">
        <v>3752.0089090746951</v>
      </c>
      <c r="CU163" s="408">
        <v>0</v>
      </c>
      <c r="CV163" s="408">
        <v>0</v>
      </c>
      <c r="CW163" s="408"/>
      <c r="CX163" s="408"/>
      <c r="CY163" s="408"/>
      <c r="CZ163" s="408">
        <v>8810.8082091464312</v>
      </c>
      <c r="DA163" s="408">
        <v>0</v>
      </c>
      <c r="DB163" s="408">
        <v>0</v>
      </c>
      <c r="DC163" s="408"/>
      <c r="DD163" s="408"/>
      <c r="DE163" s="408">
        <v>0</v>
      </c>
      <c r="DF163" s="408">
        <v>0</v>
      </c>
      <c r="DG163" s="408">
        <v>0</v>
      </c>
      <c r="DH163" s="408">
        <v>0</v>
      </c>
      <c r="DI163" s="408">
        <v>0</v>
      </c>
      <c r="DJ163" s="408"/>
      <c r="DK163" s="408">
        <v>0</v>
      </c>
      <c r="DL163" s="408">
        <v>0</v>
      </c>
      <c r="DM163" s="408"/>
      <c r="DN163" s="408">
        <v>0</v>
      </c>
      <c r="DO163" s="408">
        <v>0</v>
      </c>
      <c r="DP163" s="408">
        <v>0</v>
      </c>
      <c r="DQ163" s="408">
        <v>0</v>
      </c>
      <c r="DR163" s="408">
        <v>0</v>
      </c>
      <c r="DS163" s="408"/>
      <c r="DT163" s="408"/>
      <c r="DU163" s="408">
        <v>588198.9276246496</v>
      </c>
      <c r="DV163" s="408"/>
      <c r="DW163" s="408">
        <v>0</v>
      </c>
      <c r="DX163" s="408">
        <v>0</v>
      </c>
      <c r="DY163" s="408">
        <v>-315013.16000000015</v>
      </c>
      <c r="DZ163" s="408"/>
      <c r="EA163" s="408">
        <v>0</v>
      </c>
      <c r="EB163" s="408"/>
      <c r="EC163" s="408">
        <v>-329973.53947515611</v>
      </c>
      <c r="ED163" s="408"/>
      <c r="EE163" s="408">
        <v>0</v>
      </c>
      <c r="EF163" s="408">
        <v>0</v>
      </c>
      <c r="EG163" s="408"/>
      <c r="EH163" s="408">
        <v>0</v>
      </c>
      <c r="EI163" s="408">
        <v>0</v>
      </c>
      <c r="EJ163" s="408">
        <v>0</v>
      </c>
      <c r="EK163" s="408">
        <v>0</v>
      </c>
      <c r="EL163" s="408">
        <v>0</v>
      </c>
      <c r="EM163" s="408"/>
      <c r="EN163" s="408"/>
      <c r="EO163" s="408">
        <v>0</v>
      </c>
      <c r="EP163" s="408">
        <v>0</v>
      </c>
      <c r="EQ163" s="408"/>
      <c r="ER163" s="408">
        <v>0</v>
      </c>
      <c r="ES163" s="408"/>
      <c r="ET163" s="408">
        <v>0</v>
      </c>
      <c r="EU163" s="408"/>
      <c r="EV163" s="408">
        <v>238</v>
      </c>
      <c r="EW163" s="408"/>
      <c r="EX163" s="408"/>
      <c r="EY163" s="408"/>
      <c r="EZ163" s="408"/>
      <c r="FA163" s="408">
        <v>0</v>
      </c>
      <c r="FB163" s="408"/>
      <c r="FC163" s="408"/>
      <c r="FD163" s="408"/>
      <c r="FE163" s="408"/>
      <c r="FF163" s="408">
        <v>0</v>
      </c>
      <c r="FG163" s="408">
        <v>0</v>
      </c>
      <c r="FH163" s="408">
        <v>0</v>
      </c>
      <c r="FI163" s="408">
        <v>0</v>
      </c>
    </row>
    <row r="164" spans="1:165">
      <c r="A164" s="408">
        <v>168</v>
      </c>
      <c r="B164" s="408" t="s">
        <v>2238</v>
      </c>
      <c r="C164" s="408" t="s">
        <v>2243</v>
      </c>
      <c r="D164" s="408" t="s">
        <v>597</v>
      </c>
      <c r="E164" s="408" t="s">
        <v>974</v>
      </c>
      <c r="F164" s="408" t="s">
        <v>2252</v>
      </c>
      <c r="G164" s="408" t="s">
        <v>1322</v>
      </c>
      <c r="H164" s="408" t="s">
        <v>1322</v>
      </c>
      <c r="I164" s="408" t="s">
        <v>1322</v>
      </c>
      <c r="J164" s="408" t="s">
        <v>2236</v>
      </c>
      <c r="K164" s="824">
        <v>44440</v>
      </c>
      <c r="L164" s="408">
        <v>1243</v>
      </c>
      <c r="M164" s="408">
        <v>1193.28</v>
      </c>
      <c r="N164" s="408">
        <v>0</v>
      </c>
      <c r="O164" s="408">
        <v>0</v>
      </c>
      <c r="P164" s="408">
        <v>0</v>
      </c>
      <c r="Q164" s="408">
        <v>0</v>
      </c>
      <c r="R164" s="408">
        <v>44.35</v>
      </c>
      <c r="S164" s="408"/>
      <c r="T164" s="408"/>
      <c r="U164" s="408">
        <v>55127.05</v>
      </c>
      <c r="V164" s="408"/>
      <c r="W164" s="408">
        <v>55127.05</v>
      </c>
      <c r="X164" s="408">
        <v>36009.71</v>
      </c>
      <c r="Y164" s="408">
        <v>0</v>
      </c>
      <c r="Z164" s="408">
        <v>0</v>
      </c>
      <c r="AA164" s="408">
        <v>0</v>
      </c>
      <c r="AB164" s="408">
        <v>0</v>
      </c>
      <c r="AC164" s="408">
        <v>0</v>
      </c>
      <c r="AD164" s="408">
        <v>16310.725164290028</v>
      </c>
      <c r="AE164" s="408">
        <v>35696.28293318228</v>
      </c>
      <c r="AF164" s="408"/>
      <c r="AG164" s="408"/>
      <c r="AH164" s="408"/>
      <c r="AI164" s="408">
        <v>0</v>
      </c>
      <c r="AJ164" s="408">
        <v>0</v>
      </c>
      <c r="AK164" s="408">
        <v>0</v>
      </c>
      <c r="AL164" s="408">
        <v>0</v>
      </c>
      <c r="AM164" s="408"/>
      <c r="AN164" s="408">
        <v>0</v>
      </c>
      <c r="AO164" s="408">
        <v>1232.708819734582</v>
      </c>
      <c r="AP164" s="408">
        <v>1885.9932020063304</v>
      </c>
      <c r="AQ164" s="408">
        <v>0</v>
      </c>
      <c r="AR164" s="408">
        <v>0</v>
      </c>
      <c r="AS164" s="408"/>
      <c r="AT164" s="408"/>
      <c r="AU164" s="408">
        <v>0</v>
      </c>
      <c r="AV164" s="408">
        <v>0</v>
      </c>
      <c r="AW164" s="408">
        <v>0</v>
      </c>
      <c r="AX164" s="408"/>
      <c r="AY164" s="408"/>
      <c r="AZ164" s="408">
        <v>0</v>
      </c>
      <c r="BA164" s="408"/>
      <c r="BB164" s="408">
        <v>0</v>
      </c>
      <c r="BC164" s="408">
        <v>0</v>
      </c>
      <c r="BD164" s="408">
        <v>0</v>
      </c>
      <c r="BE164" s="408">
        <v>0</v>
      </c>
      <c r="BF164" s="408"/>
      <c r="BG164" s="408">
        <v>0</v>
      </c>
      <c r="BH164" s="408">
        <v>0</v>
      </c>
      <c r="BI164" s="408">
        <v>70.459999999999994</v>
      </c>
      <c r="BJ164" s="408">
        <v>330.68</v>
      </c>
      <c r="BK164" s="408">
        <v>100.72</v>
      </c>
      <c r="BL164" s="408">
        <v>12</v>
      </c>
      <c r="BM164" s="408"/>
      <c r="BN164" s="408"/>
      <c r="BO164" s="408"/>
      <c r="BP164" s="408"/>
      <c r="BQ164" s="408"/>
      <c r="BR164" s="408">
        <v>1440.3884000000007</v>
      </c>
      <c r="BS164" s="408"/>
      <c r="BT164" s="408"/>
      <c r="BU164" s="408"/>
      <c r="BV164" s="408">
        <v>0</v>
      </c>
      <c r="BW164" s="408"/>
      <c r="BX164" s="408"/>
      <c r="BY164" s="408"/>
      <c r="BZ164" s="408"/>
      <c r="CA164" s="408"/>
      <c r="CB164" s="408"/>
      <c r="CC164" s="408"/>
      <c r="CD164" s="408"/>
      <c r="CE164" s="408"/>
      <c r="CF164" s="408"/>
      <c r="CG164" s="408"/>
      <c r="CH164" s="408"/>
      <c r="CI164" s="408">
        <v>34569.321599999996</v>
      </c>
      <c r="CJ164" s="408">
        <v>-18352.676400000011</v>
      </c>
      <c r="CK164" s="408"/>
      <c r="CL164" s="408"/>
      <c r="CM164" s="408"/>
      <c r="CN164" s="408"/>
      <c r="CO164" s="408">
        <v>-19117.340000000004</v>
      </c>
      <c r="CP164" s="408">
        <v>0</v>
      </c>
      <c r="CQ164" s="408">
        <v>30</v>
      </c>
      <c r="CR164" s="408">
        <v>911.23255931650419</v>
      </c>
      <c r="CS164" s="408">
        <v>148.82743882295813</v>
      </c>
      <c r="CT164" s="408">
        <v>227.69978878917323</v>
      </c>
      <c r="CU164" s="408">
        <v>0</v>
      </c>
      <c r="CV164" s="408">
        <v>0</v>
      </c>
      <c r="CW164" s="408"/>
      <c r="CX164" s="408"/>
      <c r="CY164" s="408"/>
      <c r="CZ164" s="408">
        <v>534.70533170437375</v>
      </c>
      <c r="DA164" s="408">
        <v>0</v>
      </c>
      <c r="DB164" s="408">
        <v>0</v>
      </c>
      <c r="DC164" s="408"/>
      <c r="DD164" s="408"/>
      <c r="DE164" s="408">
        <v>0</v>
      </c>
      <c r="DF164" s="408">
        <v>0</v>
      </c>
      <c r="DG164" s="408">
        <v>0</v>
      </c>
      <c r="DH164" s="408">
        <v>0</v>
      </c>
      <c r="DI164" s="408">
        <v>0</v>
      </c>
      <c r="DJ164" s="408"/>
      <c r="DK164" s="408">
        <v>0</v>
      </c>
      <c r="DL164" s="408">
        <v>0</v>
      </c>
      <c r="DM164" s="408"/>
      <c r="DN164" s="408">
        <v>0</v>
      </c>
      <c r="DO164" s="408">
        <v>0</v>
      </c>
      <c r="DP164" s="408">
        <v>0</v>
      </c>
      <c r="DQ164" s="408">
        <v>0</v>
      </c>
      <c r="DR164" s="408">
        <v>0</v>
      </c>
      <c r="DS164" s="408"/>
      <c r="DT164" s="408"/>
      <c r="DU164" s="408">
        <v>35696.28293318228</v>
      </c>
      <c r="DV164" s="408"/>
      <c r="DW164" s="408">
        <v>0</v>
      </c>
      <c r="DX164" s="408">
        <v>0</v>
      </c>
      <c r="DY164" s="408">
        <v>-19117.340000000004</v>
      </c>
      <c r="DZ164" s="408"/>
      <c r="EA164" s="408">
        <v>0</v>
      </c>
      <c r="EB164" s="408"/>
      <c r="EC164" s="408">
        <v>-20025.247025076605</v>
      </c>
      <c r="ED164" s="408"/>
      <c r="EE164" s="408">
        <v>0</v>
      </c>
      <c r="EF164" s="408">
        <v>0</v>
      </c>
      <c r="EG164" s="408"/>
      <c r="EH164" s="408">
        <v>0</v>
      </c>
      <c r="EI164" s="408">
        <v>0</v>
      </c>
      <c r="EJ164" s="408">
        <v>0</v>
      </c>
      <c r="EK164" s="408">
        <v>0</v>
      </c>
      <c r="EL164" s="408">
        <v>0</v>
      </c>
      <c r="EM164" s="408"/>
      <c r="EN164" s="408"/>
      <c r="EO164" s="408">
        <v>0</v>
      </c>
      <c r="EP164" s="408">
        <v>0</v>
      </c>
      <c r="EQ164" s="408"/>
      <c r="ER164" s="408">
        <v>0</v>
      </c>
      <c r="ES164" s="408"/>
      <c r="ET164" s="408">
        <v>0</v>
      </c>
      <c r="EU164" s="408"/>
      <c r="EV164" s="408">
        <v>238</v>
      </c>
      <c r="EW164" s="408"/>
      <c r="EX164" s="408"/>
      <c r="EY164" s="408"/>
      <c r="EZ164" s="408"/>
      <c r="FA164" s="408">
        <v>0</v>
      </c>
      <c r="FB164" s="408"/>
      <c r="FC164" s="408"/>
      <c r="FD164" s="408"/>
      <c r="FE164" s="408"/>
      <c r="FF164" s="408">
        <v>0</v>
      </c>
      <c r="FG164" s="408">
        <v>0</v>
      </c>
      <c r="FH164" s="408">
        <v>0</v>
      </c>
      <c r="FI164" s="408">
        <v>0</v>
      </c>
    </row>
    <row r="165" spans="1:165">
      <c r="A165" s="408">
        <v>169</v>
      </c>
      <c r="B165" s="408" t="s">
        <v>1036</v>
      </c>
      <c r="C165" s="408" t="s">
        <v>2243</v>
      </c>
      <c r="D165" s="408" t="s">
        <v>597</v>
      </c>
      <c r="E165" s="408" t="s">
        <v>974</v>
      </c>
      <c r="F165" s="408" t="s">
        <v>2252</v>
      </c>
      <c r="G165" s="408" t="s">
        <v>2254</v>
      </c>
      <c r="H165" s="408" t="s">
        <v>1322</v>
      </c>
      <c r="I165" s="408" t="s">
        <v>2244</v>
      </c>
      <c r="J165" s="408" t="s">
        <v>2236</v>
      </c>
      <c r="K165" s="824">
        <v>44440</v>
      </c>
      <c r="L165" s="408">
        <v>0</v>
      </c>
      <c r="M165" s="408">
        <v>0</v>
      </c>
      <c r="N165" s="408">
        <v>397.20800000000003</v>
      </c>
      <c r="O165" s="408">
        <v>119.16240000000001</v>
      </c>
      <c r="P165" s="408">
        <v>397.20800000000003</v>
      </c>
      <c r="Q165" s="408">
        <v>119.16240000000001</v>
      </c>
      <c r="R165" s="408"/>
      <c r="S165" s="408">
        <v>79.7</v>
      </c>
      <c r="T165" s="408">
        <v>209.4</v>
      </c>
      <c r="U165" s="408"/>
      <c r="V165" s="408">
        <v>114832.8328</v>
      </c>
      <c r="W165" s="408">
        <v>114832.8328</v>
      </c>
      <c r="X165" s="408">
        <v>124135.44416000001</v>
      </c>
      <c r="Y165" s="408">
        <v>0</v>
      </c>
      <c r="Z165" s="408">
        <v>21265.713763106534</v>
      </c>
      <c r="AA165" s="408">
        <v>0</v>
      </c>
      <c r="AB165" s="408">
        <v>0</v>
      </c>
      <c r="AC165" s="408">
        <v>0</v>
      </c>
      <c r="AD165" s="408">
        <v>0</v>
      </c>
      <c r="AE165" s="408">
        <v>0</v>
      </c>
      <c r="AF165" s="408">
        <v>82083.329434161467</v>
      </c>
      <c r="AG165" s="408">
        <v>1093.4997074951634</v>
      </c>
      <c r="AH165" s="408">
        <v>0</v>
      </c>
      <c r="AI165" s="408">
        <v>0</v>
      </c>
      <c r="AJ165" s="408">
        <v>0</v>
      </c>
      <c r="AK165" s="408">
        <v>0</v>
      </c>
      <c r="AL165" s="408">
        <v>3777.2898502566604</v>
      </c>
      <c r="AM165" s="408"/>
      <c r="AN165" s="408">
        <v>527.4303820938934</v>
      </c>
      <c r="AO165" s="408">
        <v>0</v>
      </c>
      <c r="AP165" s="408">
        <v>0</v>
      </c>
      <c r="AQ165" s="408">
        <v>0</v>
      </c>
      <c r="AR165" s="408">
        <v>0</v>
      </c>
      <c r="AS165" s="408">
        <v>0</v>
      </c>
      <c r="AT165" s="408">
        <v>0</v>
      </c>
      <c r="AU165" s="408">
        <v>0</v>
      </c>
      <c r="AV165" s="408">
        <v>0</v>
      </c>
      <c r="AW165" s="408">
        <v>0</v>
      </c>
      <c r="AX165" s="408">
        <v>0</v>
      </c>
      <c r="AY165" s="408">
        <v>0</v>
      </c>
      <c r="AZ165" s="408">
        <v>0</v>
      </c>
      <c r="BA165" s="408"/>
      <c r="BB165" s="408">
        <v>0</v>
      </c>
      <c r="BC165" s="408">
        <v>0</v>
      </c>
      <c r="BD165" s="408">
        <v>0</v>
      </c>
      <c r="BE165" s="408">
        <v>0</v>
      </c>
      <c r="BF165" s="408">
        <v>0</v>
      </c>
      <c r="BG165" s="408">
        <v>6086.9887181677122</v>
      </c>
      <c r="BH165" s="408">
        <v>0</v>
      </c>
      <c r="BI165" s="408">
        <v>0</v>
      </c>
      <c r="BJ165" s="408">
        <v>0</v>
      </c>
      <c r="BK165" s="408">
        <v>0</v>
      </c>
      <c r="BL165" s="408">
        <v>0</v>
      </c>
      <c r="BM165" s="408"/>
      <c r="BN165" s="408"/>
      <c r="BO165" s="408"/>
      <c r="BP165" s="408"/>
      <c r="BQ165" s="408"/>
      <c r="BR165" s="408"/>
      <c r="BS165" s="408">
        <v>86894.810912000015</v>
      </c>
      <c r="BT165" s="408"/>
      <c r="BU165" s="408"/>
      <c r="BV165" s="408">
        <v>88170.318152329186</v>
      </c>
      <c r="BW165" s="408"/>
      <c r="BX165" s="408"/>
      <c r="BY165" s="408"/>
      <c r="BZ165" s="408"/>
      <c r="CA165" s="408"/>
      <c r="CB165" s="408"/>
      <c r="CC165" s="408"/>
      <c r="CD165" s="408"/>
      <c r="CE165" s="408"/>
      <c r="CF165" s="408"/>
      <c r="CG165" s="408"/>
      <c r="CH165" s="408"/>
      <c r="CI165" s="408">
        <v>37239.883199999997</v>
      </c>
      <c r="CJ165" s="408">
        <v>2790.0033599999952</v>
      </c>
      <c r="CK165" s="408"/>
      <c r="CL165" s="408"/>
      <c r="CM165" s="408"/>
      <c r="CN165" s="408"/>
      <c r="CO165" s="408">
        <v>234.35272000000137</v>
      </c>
      <c r="CP165" s="408">
        <v>9068.2586399999946</v>
      </c>
      <c r="CQ165" s="408">
        <v>30</v>
      </c>
      <c r="CR165" s="408">
        <v>9299.5147647441627</v>
      </c>
      <c r="CS165" s="408">
        <v>0</v>
      </c>
      <c r="CT165" s="408">
        <v>0</v>
      </c>
      <c r="CU165" s="408">
        <v>0</v>
      </c>
      <c r="CV165" s="408">
        <v>0</v>
      </c>
      <c r="CW165" s="408">
        <v>0</v>
      </c>
      <c r="CX165" s="408">
        <v>0</v>
      </c>
      <c r="CY165" s="408">
        <v>0</v>
      </c>
      <c r="CZ165" s="408">
        <v>0</v>
      </c>
      <c r="DA165" s="408">
        <v>0</v>
      </c>
      <c r="DB165" s="408">
        <v>0</v>
      </c>
      <c r="DC165" s="408">
        <v>9065.5115996631939</v>
      </c>
      <c r="DD165" s="408">
        <v>0</v>
      </c>
      <c r="DE165" s="408">
        <v>0</v>
      </c>
      <c r="DF165" s="408">
        <v>0</v>
      </c>
      <c r="DG165" s="408">
        <v>672.26399333409699</v>
      </c>
      <c r="DH165" s="408">
        <v>0</v>
      </c>
      <c r="DI165" s="408">
        <v>-370.70653449146994</v>
      </c>
      <c r="DJ165" s="408"/>
      <c r="DK165" s="408">
        <v>0</v>
      </c>
      <c r="DL165" s="408">
        <v>0</v>
      </c>
      <c r="DM165" s="408">
        <v>0</v>
      </c>
      <c r="DN165" s="408">
        <v>0</v>
      </c>
      <c r="DO165" s="408">
        <v>-55.359854513529172</v>
      </c>
      <c r="DP165" s="408">
        <v>-12.194439248101844</v>
      </c>
      <c r="DQ165" s="408">
        <v>0</v>
      </c>
      <c r="DR165" s="408">
        <v>0</v>
      </c>
      <c r="DS165" s="408"/>
      <c r="DT165" s="408"/>
      <c r="DU165" s="408"/>
      <c r="DV165" s="408">
        <v>0</v>
      </c>
      <c r="DW165" s="408">
        <v>0</v>
      </c>
      <c r="DX165" s="408">
        <v>0</v>
      </c>
      <c r="DY165" s="408">
        <v>234.35272000000259</v>
      </c>
      <c r="DZ165" s="408">
        <v>9068.25864</v>
      </c>
      <c r="EA165" s="408">
        <v>0</v>
      </c>
      <c r="EB165" s="408">
        <v>0</v>
      </c>
      <c r="EC165" s="408">
        <v>0</v>
      </c>
      <c r="ED165" s="408">
        <v>0</v>
      </c>
      <c r="EE165" s="408">
        <v>0</v>
      </c>
      <c r="EF165" s="408">
        <v>0</v>
      </c>
      <c r="EG165" s="408">
        <v>0</v>
      </c>
      <c r="EH165" s="408">
        <v>0</v>
      </c>
      <c r="EI165" s="408">
        <v>0</v>
      </c>
      <c r="EJ165" s="408">
        <v>0</v>
      </c>
      <c r="EK165" s="408">
        <v>0</v>
      </c>
      <c r="EL165" s="408">
        <v>0</v>
      </c>
      <c r="EM165" s="408">
        <v>0</v>
      </c>
      <c r="EN165" s="408">
        <v>0</v>
      </c>
      <c r="EO165" s="408">
        <v>0</v>
      </c>
      <c r="EP165" s="408">
        <v>0</v>
      </c>
      <c r="EQ165" s="408">
        <v>0</v>
      </c>
      <c r="ER165" s="408">
        <v>0</v>
      </c>
      <c r="ES165" s="408">
        <v>0</v>
      </c>
      <c r="ET165" s="408">
        <v>0</v>
      </c>
      <c r="EU165" s="408">
        <v>0</v>
      </c>
      <c r="EV165" s="408">
        <v>238</v>
      </c>
      <c r="EW165" s="408">
        <v>0</v>
      </c>
      <c r="EX165" s="408">
        <v>0</v>
      </c>
      <c r="EY165" s="408">
        <v>0</v>
      </c>
      <c r="EZ165" s="408"/>
      <c r="FA165" s="408">
        <v>0</v>
      </c>
      <c r="FB165" s="408"/>
      <c r="FC165" s="408"/>
      <c r="FD165" s="408"/>
      <c r="FE165" s="408"/>
      <c r="FF165" s="408">
        <v>0</v>
      </c>
      <c r="FG165" s="408">
        <v>0</v>
      </c>
      <c r="FH165" s="408">
        <v>0</v>
      </c>
      <c r="FI165" s="408">
        <v>0</v>
      </c>
    </row>
    <row r="166" spans="1:165">
      <c r="A166" s="408">
        <v>170</v>
      </c>
      <c r="B166" s="408" t="s">
        <v>1036</v>
      </c>
      <c r="C166" s="408" t="s">
        <v>2235</v>
      </c>
      <c r="D166" s="408" t="s">
        <v>1955</v>
      </c>
      <c r="E166" s="408" t="s">
        <v>969</v>
      </c>
      <c r="F166" s="408" t="s">
        <v>969</v>
      </c>
      <c r="G166" s="408" t="s">
        <v>1322</v>
      </c>
      <c r="H166" s="408" t="s">
        <v>1322</v>
      </c>
      <c r="I166" s="408" t="s">
        <v>1322</v>
      </c>
      <c r="J166" s="408" t="s">
        <v>2236</v>
      </c>
      <c r="K166" s="824">
        <v>44470</v>
      </c>
      <c r="L166" s="408">
        <v>0</v>
      </c>
      <c r="M166" s="408">
        <v>0</v>
      </c>
      <c r="N166" s="408">
        <v>1369.684</v>
      </c>
      <c r="O166" s="408">
        <v>1369.684</v>
      </c>
      <c r="P166" s="408">
        <v>1369.684</v>
      </c>
      <c r="Q166" s="408">
        <v>1369.684</v>
      </c>
      <c r="R166" s="408"/>
      <c r="S166" s="408">
        <v>581.32000000000005</v>
      </c>
      <c r="T166" s="408">
        <v>209.4</v>
      </c>
      <c r="U166" s="408"/>
      <c r="V166" s="408">
        <v>1083036.5324800001</v>
      </c>
      <c r="W166" s="408">
        <v>1083036.5324800001</v>
      </c>
      <c r="X166" s="408">
        <v>827385.01387999998</v>
      </c>
      <c r="Y166" s="408">
        <v>0</v>
      </c>
      <c r="Z166" s="408">
        <v>84287.487264285126</v>
      </c>
      <c r="AA166" s="408">
        <v>0</v>
      </c>
      <c r="AB166" s="408">
        <v>0</v>
      </c>
      <c r="AC166" s="408">
        <v>0</v>
      </c>
      <c r="AD166" s="408">
        <v>101618.42396851038</v>
      </c>
      <c r="AE166" s="408">
        <v>527883.48921047023</v>
      </c>
      <c r="AF166" s="408">
        <v>283046.2200980343</v>
      </c>
      <c r="AG166" s="408">
        <v>3770.6920640087947</v>
      </c>
      <c r="AH166" s="408">
        <v>0</v>
      </c>
      <c r="AI166" s="408">
        <v>0</v>
      </c>
      <c r="AJ166" s="408">
        <v>0</v>
      </c>
      <c r="AK166" s="408">
        <v>0</v>
      </c>
      <c r="AL166" s="408">
        <v>13025.14921970087</v>
      </c>
      <c r="AM166" s="408"/>
      <c r="AN166" s="408">
        <v>2496.8850559617499</v>
      </c>
      <c r="AO166" s="408">
        <v>7806.4876259075554</v>
      </c>
      <c r="AP166" s="408">
        <v>11758.997339548239</v>
      </c>
      <c r="AQ166" s="408">
        <v>0</v>
      </c>
      <c r="AR166" s="408">
        <v>0</v>
      </c>
      <c r="AS166" s="408">
        <v>0</v>
      </c>
      <c r="AT166" s="408">
        <v>0</v>
      </c>
      <c r="AU166" s="408">
        <v>0</v>
      </c>
      <c r="AV166" s="408">
        <v>0</v>
      </c>
      <c r="AW166" s="408">
        <v>0</v>
      </c>
      <c r="AX166" s="408">
        <v>0</v>
      </c>
      <c r="AY166" s="408">
        <v>0</v>
      </c>
      <c r="AZ166" s="408">
        <v>0</v>
      </c>
      <c r="BA166" s="408"/>
      <c r="BB166" s="408">
        <v>0</v>
      </c>
      <c r="BC166" s="408">
        <v>0</v>
      </c>
      <c r="BD166" s="408">
        <v>0</v>
      </c>
      <c r="BE166" s="408">
        <v>0</v>
      </c>
      <c r="BF166" s="408">
        <v>0</v>
      </c>
      <c r="BG166" s="408">
        <v>47353.103495118739</v>
      </c>
      <c r="BH166" s="408">
        <v>0</v>
      </c>
      <c r="BI166" s="408">
        <v>4554.09</v>
      </c>
      <c r="BJ166" s="408">
        <v>20897.330000000002</v>
      </c>
      <c r="BK166" s="408">
        <v>435248.97</v>
      </c>
      <c r="BL166" s="408">
        <v>9295</v>
      </c>
      <c r="BM166" s="408"/>
      <c r="BN166" s="408"/>
      <c r="BO166" s="408"/>
      <c r="BP166" s="408"/>
      <c r="BQ166" s="408"/>
      <c r="BR166" s="408"/>
      <c r="BS166" s="408"/>
      <c r="BT166" s="408"/>
      <c r="BU166" s="408"/>
      <c r="BV166" s="408">
        <v>330399.32359315304</v>
      </c>
      <c r="BW166" s="408"/>
      <c r="BX166" s="408"/>
      <c r="BY166" s="408"/>
      <c r="BZ166" s="408"/>
      <c r="CA166" s="408"/>
      <c r="CB166" s="408"/>
      <c r="CC166" s="408"/>
      <c r="CD166" s="408"/>
      <c r="CE166" s="408"/>
      <c r="CF166" s="408"/>
      <c r="CG166" s="408"/>
      <c r="CH166" s="408"/>
      <c r="CI166" s="408">
        <v>827382.59759999998</v>
      </c>
      <c r="CJ166" s="408">
        <v>-255653.9648800001</v>
      </c>
      <c r="CK166" s="408"/>
      <c r="CL166" s="408"/>
      <c r="CM166" s="408"/>
      <c r="CN166" s="408"/>
      <c r="CO166" s="408">
        <v>-286921.40432000009</v>
      </c>
      <c r="CP166" s="408">
        <v>31269.885719999977</v>
      </c>
      <c r="CQ166" s="408">
        <v>31</v>
      </c>
      <c r="CR166" s="408">
        <v>40465.767008322058</v>
      </c>
      <c r="CS166" s="408">
        <v>942.49310215620062</v>
      </c>
      <c r="CT166" s="408">
        <v>1419.6876254586678</v>
      </c>
      <c r="CU166" s="408">
        <v>0</v>
      </c>
      <c r="CV166" s="408">
        <v>0</v>
      </c>
      <c r="CW166" s="408">
        <v>0</v>
      </c>
      <c r="CX166" s="408">
        <v>0</v>
      </c>
      <c r="CY166" s="408">
        <v>0</v>
      </c>
      <c r="CZ166" s="408">
        <v>3331.2996539426676</v>
      </c>
      <c r="DA166" s="408">
        <v>0</v>
      </c>
      <c r="DB166" s="408">
        <v>0</v>
      </c>
      <c r="DC166" s="408">
        <v>31260.413158529205</v>
      </c>
      <c r="DD166" s="408">
        <v>0</v>
      </c>
      <c r="DE166" s="408">
        <v>0</v>
      </c>
      <c r="DF166" s="408">
        <v>0</v>
      </c>
      <c r="DG166" s="408">
        <v>5229.808683130439</v>
      </c>
      <c r="DH166" s="408">
        <v>0</v>
      </c>
      <c r="DI166" s="408">
        <v>-1469.309831440667</v>
      </c>
      <c r="DJ166" s="408"/>
      <c r="DK166" s="408">
        <v>0</v>
      </c>
      <c r="DL166" s="408">
        <v>0</v>
      </c>
      <c r="DM166" s="408">
        <v>0</v>
      </c>
      <c r="DN166" s="408">
        <v>0</v>
      </c>
      <c r="DO166" s="408">
        <v>-190.89622306073579</v>
      </c>
      <c r="DP166" s="408">
        <v>-57.72916039370466</v>
      </c>
      <c r="DQ166" s="408">
        <v>0</v>
      </c>
      <c r="DR166" s="408">
        <v>0</v>
      </c>
      <c r="DS166" s="408"/>
      <c r="DT166" s="408"/>
      <c r="DU166" s="408"/>
      <c r="DV166" s="408">
        <v>527883.48921047023</v>
      </c>
      <c r="DW166" s="408">
        <v>0</v>
      </c>
      <c r="DX166" s="408">
        <v>0</v>
      </c>
      <c r="DY166" s="408">
        <v>-286921.40432000003</v>
      </c>
      <c r="DZ166" s="408">
        <v>31269.885719999962</v>
      </c>
      <c r="EA166" s="408">
        <v>0</v>
      </c>
      <c r="EB166" s="408">
        <v>0</v>
      </c>
      <c r="EC166" s="408">
        <v>-296137.19982235227</v>
      </c>
      <c r="ED166" s="408">
        <v>0</v>
      </c>
      <c r="EE166" s="408">
        <v>0</v>
      </c>
      <c r="EF166" s="408">
        <v>0</v>
      </c>
      <c r="EG166" s="408">
        <v>0</v>
      </c>
      <c r="EH166" s="408">
        <v>0</v>
      </c>
      <c r="EI166" s="408">
        <v>0</v>
      </c>
      <c r="EJ166" s="408">
        <v>0</v>
      </c>
      <c r="EK166" s="408">
        <v>0</v>
      </c>
      <c r="EL166" s="408">
        <v>0</v>
      </c>
      <c r="EM166" s="408">
        <v>0</v>
      </c>
      <c r="EN166" s="408">
        <v>0</v>
      </c>
      <c r="EO166" s="408">
        <v>0</v>
      </c>
      <c r="EP166" s="408">
        <v>0</v>
      </c>
      <c r="EQ166" s="408">
        <v>0</v>
      </c>
      <c r="ER166" s="408">
        <v>0</v>
      </c>
      <c r="ES166" s="408">
        <v>0</v>
      </c>
      <c r="ET166" s="408">
        <v>0</v>
      </c>
      <c r="EU166" s="408">
        <v>0</v>
      </c>
      <c r="EV166" s="408">
        <v>238</v>
      </c>
      <c r="EW166" s="408">
        <v>0</v>
      </c>
      <c r="EX166" s="408">
        <v>0</v>
      </c>
      <c r="EY166" s="408">
        <v>0</v>
      </c>
      <c r="EZ166" s="408"/>
      <c r="FA166" s="408">
        <v>0</v>
      </c>
      <c r="FB166" s="408"/>
      <c r="FC166" s="408"/>
      <c r="FD166" s="408"/>
      <c r="FE166" s="408"/>
      <c r="FF166" s="408">
        <v>0</v>
      </c>
      <c r="FG166" s="408">
        <v>0</v>
      </c>
      <c r="FH166" s="408">
        <v>0</v>
      </c>
      <c r="FI166" s="408">
        <v>0</v>
      </c>
    </row>
    <row r="167" spans="1:165">
      <c r="A167" s="408">
        <v>171</v>
      </c>
      <c r="B167" s="408" t="s">
        <v>2237</v>
      </c>
      <c r="C167" s="408" t="s">
        <v>2235</v>
      </c>
      <c r="D167" s="408" t="s">
        <v>1955</v>
      </c>
      <c r="E167" s="408" t="s">
        <v>969</v>
      </c>
      <c r="F167" s="408" t="s">
        <v>969</v>
      </c>
      <c r="G167" s="408" t="s">
        <v>1322</v>
      </c>
      <c r="H167" s="408" t="s">
        <v>1322</v>
      </c>
      <c r="I167" s="408" t="s">
        <v>1322</v>
      </c>
      <c r="J167" s="408" t="s">
        <v>2236</v>
      </c>
      <c r="K167" s="824">
        <v>44470</v>
      </c>
      <c r="L167" s="408">
        <v>0</v>
      </c>
      <c r="M167" s="408">
        <v>0</v>
      </c>
      <c r="N167" s="408">
        <v>-1.863</v>
      </c>
      <c r="O167" s="408">
        <v>-1.863</v>
      </c>
      <c r="P167" s="408">
        <v>-1.863</v>
      </c>
      <c r="Q167" s="408">
        <v>-1.863</v>
      </c>
      <c r="R167" s="408"/>
      <c r="S167" s="408">
        <v>581.32000000000005</v>
      </c>
      <c r="T167" s="408">
        <v>209.4</v>
      </c>
      <c r="U167" s="408"/>
      <c r="V167" s="408">
        <v>-1473.1113600000001</v>
      </c>
      <c r="W167" s="408">
        <v>-1473.1113600000001</v>
      </c>
      <c r="X167" s="408">
        <v>-1125.3824099999999</v>
      </c>
      <c r="Y167" s="408">
        <v>0</v>
      </c>
      <c r="Z167" s="408">
        <v>-114.64512162904961</v>
      </c>
      <c r="AA167" s="408">
        <v>0</v>
      </c>
      <c r="AB167" s="408">
        <v>0</v>
      </c>
      <c r="AC167" s="408">
        <v>0</v>
      </c>
      <c r="AD167" s="408">
        <v>-138.2181027546024</v>
      </c>
      <c r="AE167" s="408">
        <v>-718.0100960506993</v>
      </c>
      <c r="AF167" s="408">
        <v>-384.99033940867957</v>
      </c>
      <c r="AG167" s="408">
        <v>-5.1287737282821322</v>
      </c>
      <c r="AH167" s="408">
        <v>0</v>
      </c>
      <c r="AI167" s="408">
        <v>0</v>
      </c>
      <c r="AJ167" s="408">
        <v>0</v>
      </c>
      <c r="AK167" s="408">
        <v>0</v>
      </c>
      <c r="AL167" s="408">
        <v>-17.716387864867169</v>
      </c>
      <c r="AM167" s="408"/>
      <c r="AN167" s="408">
        <v>-3.3961825203891847</v>
      </c>
      <c r="AO167" s="408">
        <v>-10.618132683937153</v>
      </c>
      <c r="AP167" s="408">
        <v>-15.994208915033227</v>
      </c>
      <c r="AQ167" s="408">
        <v>0</v>
      </c>
      <c r="AR167" s="408">
        <v>0</v>
      </c>
      <c r="AS167" s="408">
        <v>0</v>
      </c>
      <c r="AT167" s="408">
        <v>0</v>
      </c>
      <c r="AU167" s="408">
        <v>0</v>
      </c>
      <c r="AV167" s="408">
        <v>0</v>
      </c>
      <c r="AW167" s="408">
        <v>0</v>
      </c>
      <c r="AX167" s="408">
        <v>0</v>
      </c>
      <c r="AY167" s="408">
        <v>0</v>
      </c>
      <c r="AZ167" s="408">
        <v>0</v>
      </c>
      <c r="BA167" s="408"/>
      <c r="BB167" s="408">
        <v>0</v>
      </c>
      <c r="BC167" s="408">
        <v>0</v>
      </c>
      <c r="BD167" s="408">
        <v>0</v>
      </c>
      <c r="BE167" s="408">
        <v>0</v>
      </c>
      <c r="BF167" s="408">
        <v>0</v>
      </c>
      <c r="BG167" s="408">
        <v>-64.408164081208668</v>
      </c>
      <c r="BH167" s="408">
        <v>0</v>
      </c>
      <c r="BI167" s="408">
        <v>-3.43</v>
      </c>
      <c r="BJ167" s="408">
        <v>-15.82</v>
      </c>
      <c r="BK167" s="408">
        <v>-644.6</v>
      </c>
      <c r="BL167" s="408">
        <v>0</v>
      </c>
      <c r="BM167" s="408"/>
      <c r="BN167" s="408"/>
      <c r="BO167" s="408"/>
      <c r="BP167" s="408"/>
      <c r="BQ167" s="408"/>
      <c r="BR167" s="408"/>
      <c r="BS167" s="408"/>
      <c r="BT167" s="408"/>
      <c r="BU167" s="408"/>
      <c r="BV167" s="408">
        <v>-449.39850348988824</v>
      </c>
      <c r="BW167" s="408"/>
      <c r="BX167" s="408"/>
      <c r="BY167" s="408"/>
      <c r="BZ167" s="408"/>
      <c r="CA167" s="408"/>
      <c r="CB167" s="408"/>
      <c r="CC167" s="408"/>
      <c r="CD167" s="408"/>
      <c r="CE167" s="408"/>
      <c r="CF167" s="408"/>
      <c r="CG167" s="408"/>
      <c r="CH167" s="408"/>
      <c r="CI167" s="408">
        <v>-1123.5702000000001</v>
      </c>
      <c r="CJ167" s="408">
        <v>349.51116000000002</v>
      </c>
      <c r="CK167" s="408"/>
      <c r="CL167" s="408"/>
      <c r="CM167" s="408"/>
      <c r="CN167" s="408"/>
      <c r="CO167" s="408">
        <v>390.26124000000016</v>
      </c>
      <c r="CP167" s="408">
        <v>-42.532289999999968</v>
      </c>
      <c r="CQ167" s="408">
        <v>31</v>
      </c>
      <c r="CR167" s="408">
        <v>-55.040231131052451</v>
      </c>
      <c r="CS167" s="408">
        <v>-1.2819487190600185</v>
      </c>
      <c r="CT167" s="408">
        <v>-1.9310133185680058</v>
      </c>
      <c r="CU167" s="408">
        <v>0</v>
      </c>
      <c r="CV167" s="408">
        <v>0</v>
      </c>
      <c r="CW167" s="408">
        <v>0</v>
      </c>
      <c r="CX167" s="408">
        <v>0</v>
      </c>
      <c r="CY167" s="408">
        <v>0</v>
      </c>
      <c r="CZ167" s="408">
        <v>-4.5311263439561174</v>
      </c>
      <c r="DA167" s="408">
        <v>0</v>
      </c>
      <c r="DB167" s="408">
        <v>0</v>
      </c>
      <c r="DC167" s="408">
        <v>-42.519405727408639</v>
      </c>
      <c r="DD167" s="408">
        <v>0</v>
      </c>
      <c r="DE167" s="408">
        <v>0</v>
      </c>
      <c r="DF167" s="408">
        <v>0</v>
      </c>
      <c r="DG167" s="408">
        <v>-7.1134170923161975</v>
      </c>
      <c r="DH167" s="408">
        <v>0</v>
      </c>
      <c r="DI167" s="408">
        <v>1.9985078426658731</v>
      </c>
      <c r="DJ167" s="408"/>
      <c r="DK167" s="408">
        <v>0</v>
      </c>
      <c r="DL167" s="408">
        <v>0</v>
      </c>
      <c r="DM167" s="408">
        <v>0</v>
      </c>
      <c r="DN167" s="408">
        <v>0</v>
      </c>
      <c r="DO167" s="408">
        <v>0.25965088557810034</v>
      </c>
      <c r="DP167" s="408">
        <v>7.8521342012808582E-2</v>
      </c>
      <c r="DQ167" s="408">
        <v>0</v>
      </c>
      <c r="DR167" s="408">
        <v>0</v>
      </c>
      <c r="DS167" s="408"/>
      <c r="DT167" s="408"/>
      <c r="DU167" s="408"/>
      <c r="DV167" s="408">
        <v>-718.0100960506993</v>
      </c>
      <c r="DW167" s="408">
        <v>0</v>
      </c>
      <c r="DX167" s="408">
        <v>0</v>
      </c>
      <c r="DY167" s="408">
        <v>390.26124000000016</v>
      </c>
      <c r="DZ167" s="408">
        <v>-42.532289999999932</v>
      </c>
      <c r="EA167" s="408">
        <v>0</v>
      </c>
      <c r="EB167" s="408">
        <v>0</v>
      </c>
      <c r="EC167" s="408">
        <v>402.79626780267728</v>
      </c>
      <c r="ED167" s="408">
        <v>0</v>
      </c>
      <c r="EE167" s="408">
        <v>0</v>
      </c>
      <c r="EF167" s="408">
        <v>0</v>
      </c>
      <c r="EG167" s="408">
        <v>0</v>
      </c>
      <c r="EH167" s="408">
        <v>0</v>
      </c>
      <c r="EI167" s="408">
        <v>0</v>
      </c>
      <c r="EJ167" s="408">
        <v>0</v>
      </c>
      <c r="EK167" s="408">
        <v>0</v>
      </c>
      <c r="EL167" s="408">
        <v>0</v>
      </c>
      <c r="EM167" s="408">
        <v>0</v>
      </c>
      <c r="EN167" s="408">
        <v>0</v>
      </c>
      <c r="EO167" s="408">
        <v>0</v>
      </c>
      <c r="EP167" s="408">
        <v>0</v>
      </c>
      <c r="EQ167" s="408">
        <v>0</v>
      </c>
      <c r="ER167" s="408">
        <v>0</v>
      </c>
      <c r="ES167" s="408">
        <v>0</v>
      </c>
      <c r="ET167" s="408">
        <v>0</v>
      </c>
      <c r="EU167" s="408">
        <v>0</v>
      </c>
      <c r="EV167" s="408">
        <v>238</v>
      </c>
      <c r="EW167" s="408">
        <v>0</v>
      </c>
      <c r="EX167" s="408">
        <v>0</v>
      </c>
      <c r="EY167" s="408">
        <v>0</v>
      </c>
      <c r="EZ167" s="408"/>
      <c r="FA167" s="408">
        <v>0</v>
      </c>
      <c r="FB167" s="408"/>
      <c r="FC167" s="408"/>
      <c r="FD167" s="408"/>
      <c r="FE167" s="408"/>
      <c r="FF167" s="408">
        <v>0</v>
      </c>
      <c r="FG167" s="408">
        <v>0</v>
      </c>
      <c r="FH167" s="408">
        <v>0</v>
      </c>
      <c r="FI167" s="408">
        <v>0</v>
      </c>
    </row>
    <row r="168" spans="1:165">
      <c r="A168" s="408">
        <v>172</v>
      </c>
      <c r="B168" s="408" t="s">
        <v>2238</v>
      </c>
      <c r="C168" s="408" t="s">
        <v>2235</v>
      </c>
      <c r="D168" s="408" t="s">
        <v>1955</v>
      </c>
      <c r="E168" s="408" t="s">
        <v>969</v>
      </c>
      <c r="F168" s="408" t="s">
        <v>969</v>
      </c>
      <c r="G168" s="408" t="s">
        <v>1322</v>
      </c>
      <c r="H168" s="408" t="s">
        <v>1322</v>
      </c>
      <c r="I168" s="408" t="s">
        <v>1322</v>
      </c>
      <c r="J168" s="408" t="s">
        <v>2236</v>
      </c>
      <c r="K168" s="824">
        <v>44470</v>
      </c>
      <c r="L168" s="408">
        <v>0</v>
      </c>
      <c r="M168" s="408">
        <v>0</v>
      </c>
      <c r="N168" s="408">
        <v>42.192999999999998</v>
      </c>
      <c r="O168" s="408">
        <v>42.192999999999998</v>
      </c>
      <c r="P168" s="408">
        <v>42.192999999999998</v>
      </c>
      <c r="Q168" s="408">
        <v>42.192999999999998</v>
      </c>
      <c r="R168" s="408"/>
      <c r="S168" s="408">
        <v>581.32000000000005</v>
      </c>
      <c r="T168" s="408">
        <v>209.4</v>
      </c>
      <c r="U168" s="408"/>
      <c r="V168" s="408">
        <v>33362.848960000003</v>
      </c>
      <c r="W168" s="408">
        <v>33362.848960000003</v>
      </c>
      <c r="X168" s="408">
        <v>25487.525509999999</v>
      </c>
      <c r="Y168" s="408">
        <v>0</v>
      </c>
      <c r="Z168" s="408">
        <v>2596.4689301634407</v>
      </c>
      <c r="AA168" s="408">
        <v>0</v>
      </c>
      <c r="AB168" s="408">
        <v>0</v>
      </c>
      <c r="AC168" s="408">
        <v>0</v>
      </c>
      <c r="AD168" s="408">
        <v>3130.3469723698008</v>
      </c>
      <c r="AE168" s="408">
        <v>16261.406324566373</v>
      </c>
      <c r="AF168" s="408">
        <v>8719.214917160718</v>
      </c>
      <c r="AG168" s="408">
        <v>116.15585073398175</v>
      </c>
      <c r="AH168" s="408">
        <v>0</v>
      </c>
      <c r="AI168" s="408">
        <v>0</v>
      </c>
      <c r="AJ168" s="408">
        <v>0</v>
      </c>
      <c r="AK168" s="408">
        <v>0</v>
      </c>
      <c r="AL168" s="408">
        <v>401.23862221274311</v>
      </c>
      <c r="AM168" s="408"/>
      <c r="AN168" s="408">
        <v>76.916333377767501</v>
      </c>
      <c r="AO168" s="408">
        <v>240.47819234211502</v>
      </c>
      <c r="AP168" s="408">
        <v>362.23492042511913</v>
      </c>
      <c r="AQ168" s="408">
        <v>0</v>
      </c>
      <c r="AR168" s="408">
        <v>0</v>
      </c>
      <c r="AS168" s="408">
        <v>0</v>
      </c>
      <c r="AT168" s="408">
        <v>0</v>
      </c>
      <c r="AU168" s="408">
        <v>0</v>
      </c>
      <c r="AV168" s="408">
        <v>0</v>
      </c>
      <c r="AW168" s="408">
        <v>0</v>
      </c>
      <c r="AX168" s="408">
        <v>0</v>
      </c>
      <c r="AY168" s="408">
        <v>0</v>
      </c>
      <c r="AZ168" s="408">
        <v>0</v>
      </c>
      <c r="BA168" s="408"/>
      <c r="BB168" s="408">
        <v>0</v>
      </c>
      <c r="BC168" s="408">
        <v>0</v>
      </c>
      <c r="BD168" s="408">
        <v>0</v>
      </c>
      <c r="BE168" s="408">
        <v>0</v>
      </c>
      <c r="BF168" s="408">
        <v>0</v>
      </c>
      <c r="BG168" s="408">
        <v>1458.7083559197195</v>
      </c>
      <c r="BH168" s="408">
        <v>0</v>
      </c>
      <c r="BI168" s="408">
        <v>140.38999999999999</v>
      </c>
      <c r="BJ168" s="408">
        <v>648.61</v>
      </c>
      <c r="BK168" s="408">
        <v>38991.589999999997</v>
      </c>
      <c r="BL168" s="408">
        <v>635</v>
      </c>
      <c r="BM168" s="408"/>
      <c r="BN168" s="408"/>
      <c r="BO168" s="408"/>
      <c r="BP168" s="408"/>
      <c r="BQ168" s="408"/>
      <c r="BR168" s="408"/>
      <c r="BS168" s="408"/>
      <c r="BT168" s="408"/>
      <c r="BU168" s="408"/>
      <c r="BV168" s="408">
        <v>10177.923273080438</v>
      </c>
      <c r="BW168" s="408"/>
      <c r="BX168" s="408"/>
      <c r="BY168" s="408"/>
      <c r="BZ168" s="408"/>
      <c r="CA168" s="408"/>
      <c r="CB168" s="408"/>
      <c r="CC168" s="408"/>
      <c r="CD168" s="408"/>
      <c r="CE168" s="408"/>
      <c r="CF168" s="408"/>
      <c r="CG168" s="408"/>
      <c r="CH168" s="408"/>
      <c r="CI168" s="408">
        <v>25485.713299999996</v>
      </c>
      <c r="CJ168" s="408">
        <v>-7877.165660000006</v>
      </c>
      <c r="CK168" s="408"/>
      <c r="CL168" s="408"/>
      <c r="CM168" s="408"/>
      <c r="CN168" s="408"/>
      <c r="CO168" s="408">
        <v>-8838.589640000002</v>
      </c>
      <c r="CP168" s="408">
        <v>963.26618999999926</v>
      </c>
      <c r="CQ168" s="408">
        <v>31</v>
      </c>
      <c r="CR168" s="408">
        <v>1246.5445368290311</v>
      </c>
      <c r="CS168" s="408">
        <v>29.033420452656657</v>
      </c>
      <c r="CT168" s="408">
        <v>43.733357461266678</v>
      </c>
      <c r="CU168" s="408">
        <v>0</v>
      </c>
      <c r="CV168" s="408">
        <v>0</v>
      </c>
      <c r="CW168" s="408">
        <v>0</v>
      </c>
      <c r="CX168" s="408">
        <v>0</v>
      </c>
      <c r="CY168" s="408">
        <v>0</v>
      </c>
      <c r="CZ168" s="408">
        <v>102.62040463260337</v>
      </c>
      <c r="DA168" s="408">
        <v>0</v>
      </c>
      <c r="DB168" s="408">
        <v>0</v>
      </c>
      <c r="DC168" s="408">
        <v>962.9743885435073</v>
      </c>
      <c r="DD168" s="408">
        <v>0</v>
      </c>
      <c r="DE168" s="408">
        <v>0</v>
      </c>
      <c r="DF168" s="408">
        <v>0</v>
      </c>
      <c r="DG168" s="408">
        <v>161.1038150166919</v>
      </c>
      <c r="DH168" s="408">
        <v>0</v>
      </c>
      <c r="DI168" s="408">
        <v>-45.261965327751568</v>
      </c>
      <c r="DJ168" s="408"/>
      <c r="DK168" s="408">
        <v>0</v>
      </c>
      <c r="DL168" s="408">
        <v>0</v>
      </c>
      <c r="DM168" s="408">
        <v>0</v>
      </c>
      <c r="DN168" s="408">
        <v>0</v>
      </c>
      <c r="DO168" s="408">
        <v>-5.880542037142618</v>
      </c>
      <c r="DP168" s="408">
        <v>-1.7783419128000162</v>
      </c>
      <c r="DQ168" s="408">
        <v>0</v>
      </c>
      <c r="DR168" s="408">
        <v>0</v>
      </c>
      <c r="DS168" s="408"/>
      <c r="DT168" s="408"/>
      <c r="DU168" s="408"/>
      <c r="DV168" s="408">
        <v>16261.406324566373</v>
      </c>
      <c r="DW168" s="408">
        <v>0</v>
      </c>
      <c r="DX168" s="408">
        <v>0</v>
      </c>
      <c r="DY168" s="408">
        <v>-8838.589640000002</v>
      </c>
      <c r="DZ168" s="408">
        <v>963.26618999999846</v>
      </c>
      <c r="EA168" s="408">
        <v>0</v>
      </c>
      <c r="EB168" s="408">
        <v>0</v>
      </c>
      <c r="EC168" s="408">
        <v>-9122.4814425111963</v>
      </c>
      <c r="ED168" s="408">
        <v>0</v>
      </c>
      <c r="EE168" s="408">
        <v>0</v>
      </c>
      <c r="EF168" s="408">
        <v>0</v>
      </c>
      <c r="EG168" s="408">
        <v>0</v>
      </c>
      <c r="EH168" s="408">
        <v>0</v>
      </c>
      <c r="EI168" s="408">
        <v>0</v>
      </c>
      <c r="EJ168" s="408">
        <v>0</v>
      </c>
      <c r="EK168" s="408">
        <v>0</v>
      </c>
      <c r="EL168" s="408">
        <v>0</v>
      </c>
      <c r="EM168" s="408">
        <v>0</v>
      </c>
      <c r="EN168" s="408">
        <v>0</v>
      </c>
      <c r="EO168" s="408">
        <v>0</v>
      </c>
      <c r="EP168" s="408">
        <v>0</v>
      </c>
      <c r="EQ168" s="408">
        <v>0</v>
      </c>
      <c r="ER168" s="408">
        <v>0</v>
      </c>
      <c r="ES168" s="408">
        <v>0</v>
      </c>
      <c r="ET168" s="408">
        <v>0</v>
      </c>
      <c r="EU168" s="408">
        <v>0</v>
      </c>
      <c r="EV168" s="408">
        <v>238</v>
      </c>
      <c r="EW168" s="408">
        <v>0</v>
      </c>
      <c r="EX168" s="408">
        <v>0</v>
      </c>
      <c r="EY168" s="408">
        <v>0</v>
      </c>
      <c r="EZ168" s="408"/>
      <c r="FA168" s="408">
        <v>0</v>
      </c>
      <c r="FB168" s="408"/>
      <c r="FC168" s="408"/>
      <c r="FD168" s="408"/>
      <c r="FE168" s="408"/>
      <c r="FF168" s="408">
        <v>0</v>
      </c>
      <c r="FG168" s="408">
        <v>0</v>
      </c>
      <c r="FH168" s="408">
        <v>0</v>
      </c>
      <c r="FI168" s="408">
        <v>0</v>
      </c>
    </row>
    <row r="169" spans="1:165">
      <c r="A169" s="408">
        <v>173</v>
      </c>
      <c r="B169" s="408" t="s">
        <v>1036</v>
      </c>
      <c r="C169" s="408" t="s">
        <v>2235</v>
      </c>
      <c r="D169" s="408" t="s">
        <v>1955</v>
      </c>
      <c r="E169" s="408" t="s">
        <v>969</v>
      </c>
      <c r="F169" s="408" t="s">
        <v>2239</v>
      </c>
      <c r="G169" s="408" t="s">
        <v>1322</v>
      </c>
      <c r="H169" s="408" t="s">
        <v>1322</v>
      </c>
      <c r="I169" s="408" t="s">
        <v>1322</v>
      </c>
      <c r="J169" s="408" t="s">
        <v>2236</v>
      </c>
      <c r="K169" s="824">
        <v>44470</v>
      </c>
      <c r="L169" s="408">
        <v>0</v>
      </c>
      <c r="M169" s="408">
        <v>0</v>
      </c>
      <c r="N169" s="408">
        <v>38.64</v>
      </c>
      <c r="O169" s="408">
        <v>38.64</v>
      </c>
      <c r="P169" s="408">
        <v>38.64</v>
      </c>
      <c r="Q169" s="408">
        <v>38.64</v>
      </c>
      <c r="R169" s="408"/>
      <c r="S169" s="408">
        <v>510.28</v>
      </c>
      <c r="T169" s="408">
        <v>209.4</v>
      </c>
      <c r="U169" s="408"/>
      <c r="V169" s="408">
        <v>27808.4352</v>
      </c>
      <c r="W169" s="408">
        <v>27808.4352</v>
      </c>
      <c r="X169" s="408">
        <v>20642.647199999999</v>
      </c>
      <c r="Y169" s="408">
        <v>0</v>
      </c>
      <c r="Z169" s="408">
        <v>0</v>
      </c>
      <c r="AA169" s="408">
        <v>0</v>
      </c>
      <c r="AB169" s="408">
        <v>0</v>
      </c>
      <c r="AC169" s="408">
        <v>0</v>
      </c>
      <c r="AD169" s="408">
        <v>2866.7458349102722</v>
      </c>
      <c r="AE169" s="408">
        <v>14892.06125142191</v>
      </c>
      <c r="AF169" s="408">
        <v>7984.9848173652063</v>
      </c>
      <c r="AG169" s="408">
        <v>106.37456621622201</v>
      </c>
      <c r="AH169" s="408">
        <v>0</v>
      </c>
      <c r="AI169" s="408">
        <v>0</v>
      </c>
      <c r="AJ169" s="408">
        <v>0</v>
      </c>
      <c r="AK169" s="408">
        <v>0</v>
      </c>
      <c r="AL169" s="408">
        <v>0</v>
      </c>
      <c r="AM169" s="408"/>
      <c r="AN169" s="408">
        <v>70.439341163627532</v>
      </c>
      <c r="AO169" s="408">
        <v>220.22793714832613</v>
      </c>
      <c r="AP169" s="408">
        <v>331.73174045994841</v>
      </c>
      <c r="AQ169" s="408">
        <v>0</v>
      </c>
      <c r="AR169" s="408">
        <v>0</v>
      </c>
      <c r="AS169" s="408">
        <v>0</v>
      </c>
      <c r="AT169" s="408">
        <v>0</v>
      </c>
      <c r="AU169" s="408">
        <v>0</v>
      </c>
      <c r="AV169" s="408">
        <v>0</v>
      </c>
      <c r="AW169" s="408">
        <v>0</v>
      </c>
      <c r="AX169" s="408">
        <v>0</v>
      </c>
      <c r="AY169" s="408">
        <v>0</v>
      </c>
      <c r="AZ169" s="408">
        <v>0</v>
      </c>
      <c r="BA169" s="408"/>
      <c r="BB169" s="408">
        <v>0</v>
      </c>
      <c r="BC169" s="408">
        <v>0</v>
      </c>
      <c r="BD169" s="408">
        <v>0</v>
      </c>
      <c r="BE169" s="408">
        <v>0</v>
      </c>
      <c r="BF169" s="408">
        <v>0</v>
      </c>
      <c r="BG169" s="408">
        <v>1335.873032795439</v>
      </c>
      <c r="BH169" s="408">
        <v>0</v>
      </c>
      <c r="BI169" s="408">
        <v>30.31</v>
      </c>
      <c r="BJ169" s="408">
        <v>147.88</v>
      </c>
      <c r="BK169" s="408">
        <v>2965.61</v>
      </c>
      <c r="BL169" s="408">
        <v>84</v>
      </c>
      <c r="BM169" s="408"/>
      <c r="BN169" s="408"/>
      <c r="BO169" s="408"/>
      <c r="BP169" s="408"/>
      <c r="BQ169" s="408"/>
      <c r="BR169" s="408"/>
      <c r="BS169" s="408"/>
      <c r="BT169" s="408">
        <v>13417.74</v>
      </c>
      <c r="BU169" s="408"/>
      <c r="BV169" s="408">
        <v>9320.8578501606462</v>
      </c>
      <c r="BW169" s="408"/>
      <c r="BX169" s="408"/>
      <c r="BY169" s="408"/>
      <c r="BZ169" s="408"/>
      <c r="CA169" s="408"/>
      <c r="CB169" s="408"/>
      <c r="CC169" s="408"/>
      <c r="CD169" s="408"/>
      <c r="CE169" s="408"/>
      <c r="CF169" s="408"/>
      <c r="CG169" s="408"/>
      <c r="CH169" s="408"/>
      <c r="CI169" s="408">
        <v>7224.9071999999996</v>
      </c>
      <c r="CJ169" s="408">
        <v>-2508.1524000000027</v>
      </c>
      <c r="CK169" s="408"/>
      <c r="CL169" s="408"/>
      <c r="CM169" s="408"/>
      <c r="CN169" s="408"/>
      <c r="CO169" s="408">
        <v>-8047.9391999999989</v>
      </c>
      <c r="CP169" s="408">
        <v>882.15119999999945</v>
      </c>
      <c r="CQ169" s="408">
        <v>31</v>
      </c>
      <c r="CR169" s="408">
        <v>1188.411048933549</v>
      </c>
      <c r="CS169" s="408">
        <v>26.588566024948534</v>
      </c>
      <c r="CT169" s="408">
        <v>40.050646607336375</v>
      </c>
      <c r="CU169" s="408">
        <v>0</v>
      </c>
      <c r="CV169" s="408">
        <v>0</v>
      </c>
      <c r="CW169" s="408">
        <v>0</v>
      </c>
      <c r="CX169" s="408">
        <v>0</v>
      </c>
      <c r="CY169" s="408">
        <v>0</v>
      </c>
      <c r="CZ169" s="408">
        <v>93.978916763534016</v>
      </c>
      <c r="DA169" s="408">
        <v>0</v>
      </c>
      <c r="DB169" s="408">
        <v>0</v>
      </c>
      <c r="DC169" s="408">
        <v>881.88397064254968</v>
      </c>
      <c r="DD169" s="408">
        <v>0</v>
      </c>
      <c r="DE169" s="408">
        <v>0</v>
      </c>
      <c r="DF169" s="408">
        <v>0</v>
      </c>
      <c r="DG169" s="408">
        <v>147.53753969248396</v>
      </c>
      <c r="DH169" s="408">
        <v>0</v>
      </c>
      <c r="DI169" s="408">
        <v>0</v>
      </c>
      <c r="DJ169" s="408"/>
      <c r="DK169" s="408">
        <v>0</v>
      </c>
      <c r="DL169" s="408">
        <v>0</v>
      </c>
      <c r="DM169" s="408">
        <v>0</v>
      </c>
      <c r="DN169" s="408">
        <v>0</v>
      </c>
      <c r="DO169" s="408">
        <v>0</v>
      </c>
      <c r="DP169" s="408">
        <v>-1.6285907973026923</v>
      </c>
      <c r="DQ169" s="408">
        <v>0</v>
      </c>
      <c r="DR169" s="408">
        <v>0</v>
      </c>
      <c r="DS169" s="408"/>
      <c r="DT169" s="408"/>
      <c r="DU169" s="408"/>
      <c r="DV169" s="408">
        <v>14892.06125142191</v>
      </c>
      <c r="DW169" s="408">
        <v>0</v>
      </c>
      <c r="DX169" s="408">
        <v>0</v>
      </c>
      <c r="DY169" s="408">
        <v>-8047.9391999999989</v>
      </c>
      <c r="DZ169" s="408">
        <v>882.15120000000024</v>
      </c>
      <c r="EA169" s="408">
        <v>0</v>
      </c>
      <c r="EB169" s="408">
        <v>0</v>
      </c>
      <c r="EC169" s="408">
        <v>-8354.2929618333037</v>
      </c>
      <c r="ED169" s="408">
        <v>0</v>
      </c>
      <c r="EE169" s="408">
        <v>0</v>
      </c>
      <c r="EF169" s="408">
        <v>0</v>
      </c>
      <c r="EG169" s="408">
        <v>0</v>
      </c>
      <c r="EH169" s="408">
        <v>0</v>
      </c>
      <c r="EI169" s="408">
        <v>0</v>
      </c>
      <c r="EJ169" s="408">
        <v>0</v>
      </c>
      <c r="EK169" s="408">
        <v>0</v>
      </c>
      <c r="EL169" s="408">
        <v>0</v>
      </c>
      <c r="EM169" s="408">
        <v>0</v>
      </c>
      <c r="EN169" s="408">
        <v>0</v>
      </c>
      <c r="EO169" s="408">
        <v>0</v>
      </c>
      <c r="EP169" s="408">
        <v>0</v>
      </c>
      <c r="EQ169" s="408">
        <v>0</v>
      </c>
      <c r="ER169" s="408">
        <v>0</v>
      </c>
      <c r="ES169" s="408">
        <v>0</v>
      </c>
      <c r="ET169" s="408">
        <v>0</v>
      </c>
      <c r="EU169" s="408">
        <v>0</v>
      </c>
      <c r="EV169" s="408">
        <v>238</v>
      </c>
      <c r="EW169" s="408">
        <v>0</v>
      </c>
      <c r="EX169" s="408">
        <v>0</v>
      </c>
      <c r="EY169" s="408">
        <v>0</v>
      </c>
      <c r="EZ169" s="408"/>
      <c r="FA169" s="408">
        <v>0</v>
      </c>
      <c r="FB169" s="408"/>
      <c r="FC169" s="408"/>
      <c r="FD169" s="408"/>
      <c r="FE169" s="408"/>
      <c r="FF169" s="408">
        <v>0</v>
      </c>
      <c r="FG169" s="408">
        <v>0</v>
      </c>
      <c r="FH169" s="408">
        <v>0</v>
      </c>
      <c r="FI169" s="408">
        <v>0</v>
      </c>
    </row>
    <row r="170" spans="1:165">
      <c r="A170" s="408">
        <v>174</v>
      </c>
      <c r="B170" s="408" t="s">
        <v>1036</v>
      </c>
      <c r="C170" s="408" t="s">
        <v>2235</v>
      </c>
      <c r="D170" s="408" t="s">
        <v>1955</v>
      </c>
      <c r="E170" s="408" t="s">
        <v>969</v>
      </c>
      <c r="F170" s="408" t="s">
        <v>2240</v>
      </c>
      <c r="G170" s="408" t="s">
        <v>1322</v>
      </c>
      <c r="H170" s="408" t="s">
        <v>1322</v>
      </c>
      <c r="I170" s="408" t="s">
        <v>1322</v>
      </c>
      <c r="J170" s="408" t="s">
        <v>2236</v>
      </c>
      <c r="K170" s="824">
        <v>44470</v>
      </c>
      <c r="L170" s="408">
        <v>0</v>
      </c>
      <c r="M170" s="408">
        <v>0</v>
      </c>
      <c r="N170" s="408">
        <v>76.423000000000002</v>
      </c>
      <c r="O170" s="408">
        <v>76.423000000000002</v>
      </c>
      <c r="P170" s="408">
        <v>76.423000000000002</v>
      </c>
      <c r="Q170" s="408">
        <v>76.423000000000002</v>
      </c>
      <c r="R170" s="408"/>
      <c r="S170" s="408">
        <v>510.28</v>
      </c>
      <c r="T170" s="408">
        <v>209.4</v>
      </c>
      <c r="U170" s="408"/>
      <c r="V170" s="408">
        <v>55000.104640000005</v>
      </c>
      <c r="W170" s="408">
        <v>55000.104640000005</v>
      </c>
      <c r="X170" s="408">
        <v>40827.459289999999</v>
      </c>
      <c r="Y170" s="408">
        <v>0</v>
      </c>
      <c r="Z170" s="408">
        <v>0</v>
      </c>
      <c r="AA170" s="408">
        <v>0</v>
      </c>
      <c r="AB170" s="408">
        <v>0</v>
      </c>
      <c r="AC170" s="408">
        <v>0</v>
      </c>
      <c r="AD170" s="408">
        <v>5669.9098587305316</v>
      </c>
      <c r="AE170" s="408">
        <v>29453.830150554262</v>
      </c>
      <c r="AF170" s="408">
        <v>15792.869945587505</v>
      </c>
      <c r="AG170" s="408">
        <v>210.38984145813495</v>
      </c>
      <c r="AH170" s="408">
        <v>0</v>
      </c>
      <c r="AI170" s="408">
        <v>0</v>
      </c>
      <c r="AJ170" s="408">
        <v>0</v>
      </c>
      <c r="AK170" s="408">
        <v>0</v>
      </c>
      <c r="AL170" s="408">
        <v>0</v>
      </c>
      <c r="AM170" s="408"/>
      <c r="AN170" s="408">
        <v>139.31640190858974</v>
      </c>
      <c r="AO170" s="408">
        <v>435.57141927242571</v>
      </c>
      <c r="AP170" s="408">
        <v>656.10597311518211</v>
      </c>
      <c r="AQ170" s="408">
        <v>0</v>
      </c>
      <c r="AR170" s="408">
        <v>0</v>
      </c>
      <c r="AS170" s="408">
        <v>0</v>
      </c>
      <c r="AT170" s="408">
        <v>0</v>
      </c>
      <c r="AU170" s="408">
        <v>0</v>
      </c>
      <c r="AV170" s="408">
        <v>0</v>
      </c>
      <c r="AW170" s="408">
        <v>0</v>
      </c>
      <c r="AX170" s="408">
        <v>0</v>
      </c>
      <c r="AY170" s="408">
        <v>0</v>
      </c>
      <c r="AZ170" s="408">
        <v>0</v>
      </c>
      <c r="BA170" s="408"/>
      <c r="BB170" s="408">
        <v>0</v>
      </c>
      <c r="BC170" s="408">
        <v>0</v>
      </c>
      <c r="BD170" s="408">
        <v>0</v>
      </c>
      <c r="BE170" s="408">
        <v>0</v>
      </c>
      <c r="BF170" s="408">
        <v>0</v>
      </c>
      <c r="BG170" s="408">
        <v>2642.1176186678531</v>
      </c>
      <c r="BH170" s="408">
        <v>0</v>
      </c>
      <c r="BI170" s="408">
        <v>113.27</v>
      </c>
      <c r="BJ170" s="408">
        <v>522.04999999999995</v>
      </c>
      <c r="BK170" s="408">
        <v>11131.27</v>
      </c>
      <c r="BL170" s="408">
        <v>292</v>
      </c>
      <c r="BM170" s="408"/>
      <c r="BN170" s="408"/>
      <c r="BO170" s="408"/>
      <c r="BP170" s="408"/>
      <c r="BQ170" s="408"/>
      <c r="BR170" s="408"/>
      <c r="BS170" s="408"/>
      <c r="BT170" s="408">
        <v>16330.830870000002</v>
      </c>
      <c r="BU170" s="408"/>
      <c r="BV170" s="408">
        <v>18434.98756425536</v>
      </c>
      <c r="BW170" s="408"/>
      <c r="BX170" s="408"/>
      <c r="BY170" s="408"/>
      <c r="BZ170" s="408"/>
      <c r="CA170" s="408"/>
      <c r="CB170" s="408"/>
      <c r="CC170" s="408"/>
      <c r="CD170" s="408"/>
      <c r="CE170" s="408"/>
      <c r="CF170" s="408"/>
      <c r="CG170" s="408"/>
      <c r="CH170" s="408"/>
      <c r="CI170" s="408">
        <v>24495.666799999999</v>
      </c>
      <c r="CJ170" s="408">
        <v>-8504.5788299999986</v>
      </c>
      <c r="CK170" s="408"/>
      <c r="CL170" s="408"/>
      <c r="CM170" s="408"/>
      <c r="CN170" s="408"/>
      <c r="CO170" s="408">
        <v>-15917.382439999998</v>
      </c>
      <c r="CP170" s="408">
        <v>1744.7370899999987</v>
      </c>
      <c r="CQ170" s="408">
        <v>31</v>
      </c>
      <c r="CR170" s="408">
        <v>2350.464223412233</v>
      </c>
      <c r="CS170" s="408">
        <v>52.587421876931671</v>
      </c>
      <c r="CT170" s="408">
        <v>79.213006357983204</v>
      </c>
      <c r="CU170" s="408">
        <v>0</v>
      </c>
      <c r="CV170" s="408">
        <v>0</v>
      </c>
      <c r="CW170" s="408">
        <v>0</v>
      </c>
      <c r="CX170" s="408">
        <v>0</v>
      </c>
      <c r="CY170" s="408">
        <v>0</v>
      </c>
      <c r="CZ170" s="408">
        <v>185.87346676551624</v>
      </c>
      <c r="DA170" s="408">
        <v>0</v>
      </c>
      <c r="DB170" s="408">
        <v>0</v>
      </c>
      <c r="DC170" s="408">
        <v>1744.2085581888077</v>
      </c>
      <c r="DD170" s="408">
        <v>0</v>
      </c>
      <c r="DE170" s="408">
        <v>0</v>
      </c>
      <c r="DF170" s="408">
        <v>0</v>
      </c>
      <c r="DG170" s="408">
        <v>291.80283115731618</v>
      </c>
      <c r="DH170" s="408">
        <v>0</v>
      </c>
      <c r="DI170" s="408">
        <v>0</v>
      </c>
      <c r="DJ170" s="408"/>
      <c r="DK170" s="408">
        <v>0</v>
      </c>
      <c r="DL170" s="408">
        <v>0</v>
      </c>
      <c r="DM170" s="408">
        <v>0</v>
      </c>
      <c r="DN170" s="408">
        <v>0</v>
      </c>
      <c r="DO170" s="408">
        <v>0</v>
      </c>
      <c r="DP170" s="408">
        <v>-3.2210609343236172</v>
      </c>
      <c r="DQ170" s="408">
        <v>0</v>
      </c>
      <c r="DR170" s="408">
        <v>0</v>
      </c>
      <c r="DS170" s="408"/>
      <c r="DT170" s="408"/>
      <c r="DU170" s="408"/>
      <c r="DV170" s="408">
        <v>29453.830150554262</v>
      </c>
      <c r="DW170" s="408">
        <v>0</v>
      </c>
      <c r="DX170" s="408">
        <v>0</v>
      </c>
      <c r="DY170" s="408">
        <v>-15917.382440000001</v>
      </c>
      <c r="DZ170" s="408">
        <v>1744.7370899999987</v>
      </c>
      <c r="EA170" s="408">
        <v>0</v>
      </c>
      <c r="EB170" s="408">
        <v>0</v>
      </c>
      <c r="EC170" s="408">
        <v>-16523.295316309181</v>
      </c>
      <c r="ED170" s="408">
        <v>0</v>
      </c>
      <c r="EE170" s="408">
        <v>0</v>
      </c>
      <c r="EF170" s="408">
        <v>0</v>
      </c>
      <c r="EG170" s="408">
        <v>0</v>
      </c>
      <c r="EH170" s="408">
        <v>0</v>
      </c>
      <c r="EI170" s="408">
        <v>0</v>
      </c>
      <c r="EJ170" s="408">
        <v>0</v>
      </c>
      <c r="EK170" s="408">
        <v>0</v>
      </c>
      <c r="EL170" s="408">
        <v>0</v>
      </c>
      <c r="EM170" s="408">
        <v>0</v>
      </c>
      <c r="EN170" s="408">
        <v>0</v>
      </c>
      <c r="EO170" s="408">
        <v>0</v>
      </c>
      <c r="EP170" s="408">
        <v>0</v>
      </c>
      <c r="EQ170" s="408">
        <v>0</v>
      </c>
      <c r="ER170" s="408">
        <v>0</v>
      </c>
      <c r="ES170" s="408">
        <v>0</v>
      </c>
      <c r="ET170" s="408">
        <v>0</v>
      </c>
      <c r="EU170" s="408">
        <v>0</v>
      </c>
      <c r="EV170" s="408">
        <v>238</v>
      </c>
      <c r="EW170" s="408">
        <v>0</v>
      </c>
      <c r="EX170" s="408">
        <v>0</v>
      </c>
      <c r="EY170" s="408">
        <v>0</v>
      </c>
      <c r="EZ170" s="408"/>
      <c r="FA170" s="408">
        <v>0</v>
      </c>
      <c r="FB170" s="408"/>
      <c r="FC170" s="408"/>
      <c r="FD170" s="408"/>
      <c r="FE170" s="408"/>
      <c r="FF170" s="408">
        <v>0</v>
      </c>
      <c r="FG170" s="408">
        <v>0</v>
      </c>
      <c r="FH170" s="408">
        <v>0</v>
      </c>
      <c r="FI170" s="408">
        <v>0</v>
      </c>
    </row>
    <row r="171" spans="1:165">
      <c r="A171" s="408">
        <v>175</v>
      </c>
      <c r="B171" s="408" t="s">
        <v>1036</v>
      </c>
      <c r="C171" s="408" t="s">
        <v>2235</v>
      </c>
      <c r="D171" s="408" t="s">
        <v>1955</v>
      </c>
      <c r="E171" s="408" t="s">
        <v>969</v>
      </c>
      <c r="F171" s="408" t="s">
        <v>2241</v>
      </c>
      <c r="G171" s="408" t="s">
        <v>1322</v>
      </c>
      <c r="H171" s="408" t="s">
        <v>1322</v>
      </c>
      <c r="I171" s="408" t="s">
        <v>1322</v>
      </c>
      <c r="J171" s="408" t="s">
        <v>2236</v>
      </c>
      <c r="K171" s="824">
        <v>44470</v>
      </c>
      <c r="L171" s="408">
        <v>0</v>
      </c>
      <c r="M171" s="408">
        <v>0</v>
      </c>
      <c r="N171" s="408">
        <v>62.133000000000003</v>
      </c>
      <c r="O171" s="408">
        <v>62.133000000000003</v>
      </c>
      <c r="P171" s="408">
        <v>62.133000000000003</v>
      </c>
      <c r="Q171" s="408">
        <v>62.133000000000003</v>
      </c>
      <c r="R171" s="408"/>
      <c r="S171" s="408">
        <v>510.28</v>
      </c>
      <c r="T171" s="408">
        <v>209.4</v>
      </c>
      <c r="U171" s="408"/>
      <c r="V171" s="408">
        <v>44715.877439999997</v>
      </c>
      <c r="W171" s="408">
        <v>44715.877439999997</v>
      </c>
      <c r="X171" s="408">
        <v>33193.312590000001</v>
      </c>
      <c r="Y171" s="408">
        <v>0</v>
      </c>
      <c r="Z171" s="408">
        <v>0</v>
      </c>
      <c r="AA171" s="408">
        <v>0</v>
      </c>
      <c r="AB171" s="408">
        <v>0</v>
      </c>
      <c r="AC171" s="408">
        <v>0</v>
      </c>
      <c r="AD171" s="408">
        <v>4609.7183995983423</v>
      </c>
      <c r="AE171" s="408">
        <v>23946.388243649006</v>
      </c>
      <c r="AF171" s="408">
        <v>12839.830788233758</v>
      </c>
      <c r="AG171" s="408">
        <v>171.0499721198893</v>
      </c>
      <c r="AH171" s="408">
        <v>0</v>
      </c>
      <c r="AI171" s="408">
        <v>0</v>
      </c>
      <c r="AJ171" s="408">
        <v>0</v>
      </c>
      <c r="AK171" s="408">
        <v>0</v>
      </c>
      <c r="AL171" s="408">
        <v>0</v>
      </c>
      <c r="AM171" s="408"/>
      <c r="AN171" s="408">
        <v>113.26624183539518</v>
      </c>
      <c r="AO171" s="408">
        <v>354.12583899681545</v>
      </c>
      <c r="AP171" s="408">
        <v>533.42360843680058</v>
      </c>
      <c r="AQ171" s="408">
        <v>0</v>
      </c>
      <c r="AR171" s="408">
        <v>0</v>
      </c>
      <c r="AS171" s="408">
        <v>0</v>
      </c>
      <c r="AT171" s="408">
        <v>0</v>
      </c>
      <c r="AU171" s="408">
        <v>0</v>
      </c>
      <c r="AV171" s="408">
        <v>0</v>
      </c>
      <c r="AW171" s="408">
        <v>0</v>
      </c>
      <c r="AX171" s="408">
        <v>0</v>
      </c>
      <c r="AY171" s="408">
        <v>0</v>
      </c>
      <c r="AZ171" s="408">
        <v>0</v>
      </c>
      <c r="BA171" s="408"/>
      <c r="BB171" s="408">
        <v>0</v>
      </c>
      <c r="BC171" s="408">
        <v>0</v>
      </c>
      <c r="BD171" s="408">
        <v>0</v>
      </c>
      <c r="BE171" s="408">
        <v>0</v>
      </c>
      <c r="BF171" s="408">
        <v>0</v>
      </c>
      <c r="BG171" s="408">
        <v>2148.0796880610515</v>
      </c>
      <c r="BH171" s="408">
        <v>0</v>
      </c>
      <c r="BI171" s="408">
        <v>165.4</v>
      </c>
      <c r="BJ171" s="408">
        <v>760.7</v>
      </c>
      <c r="BK171" s="408">
        <v>16153.82</v>
      </c>
      <c r="BL171" s="408">
        <v>719</v>
      </c>
      <c r="BM171" s="408"/>
      <c r="BN171" s="408"/>
      <c r="BO171" s="408"/>
      <c r="BP171" s="408"/>
      <c r="BQ171" s="408"/>
      <c r="BR171" s="408"/>
      <c r="BS171" s="408"/>
      <c r="BT171" s="408">
        <v>3319.7661899999985</v>
      </c>
      <c r="BU171" s="408"/>
      <c r="BV171" s="408">
        <v>14987.910476294808</v>
      </c>
      <c r="BW171" s="408"/>
      <c r="BX171" s="408"/>
      <c r="BY171" s="408"/>
      <c r="BZ171" s="408"/>
      <c r="CA171" s="408"/>
      <c r="CB171" s="408"/>
      <c r="CC171" s="408"/>
      <c r="CD171" s="408"/>
      <c r="CE171" s="408"/>
      <c r="CF171" s="408"/>
      <c r="CG171" s="408"/>
      <c r="CH171" s="408"/>
      <c r="CI171" s="408">
        <v>29872.103999999999</v>
      </c>
      <c r="CJ171" s="408">
        <v>-10372.09143</v>
      </c>
      <c r="CK171" s="408"/>
      <c r="CL171" s="408"/>
      <c r="CM171" s="408"/>
      <c r="CN171" s="408"/>
      <c r="CO171" s="408">
        <v>-12941.061239999999</v>
      </c>
      <c r="CP171" s="408">
        <v>1418.4963899999991</v>
      </c>
      <c r="CQ171" s="408">
        <v>31</v>
      </c>
      <c r="CR171" s="408">
        <v>1910.9612759676056</v>
      </c>
      <c r="CS171" s="408">
        <v>42.754331594930818</v>
      </c>
      <c r="CT171" s="408">
        <v>64.401315363706885</v>
      </c>
      <c r="CU171" s="408">
        <v>0</v>
      </c>
      <c r="CV171" s="408">
        <v>0</v>
      </c>
      <c r="CW171" s="408">
        <v>0</v>
      </c>
      <c r="CX171" s="408">
        <v>0</v>
      </c>
      <c r="CY171" s="408">
        <v>0</v>
      </c>
      <c r="CZ171" s="408">
        <v>151.11780629577333</v>
      </c>
      <c r="DA171" s="408">
        <v>0</v>
      </c>
      <c r="DB171" s="408">
        <v>0</v>
      </c>
      <c r="DC171" s="408">
        <v>1418.0666860231249</v>
      </c>
      <c r="DD171" s="408">
        <v>0</v>
      </c>
      <c r="DE171" s="408">
        <v>0</v>
      </c>
      <c r="DF171" s="408">
        <v>0</v>
      </c>
      <c r="DG171" s="408">
        <v>237.23990563439702</v>
      </c>
      <c r="DH171" s="408">
        <v>0</v>
      </c>
      <c r="DI171" s="408">
        <v>0</v>
      </c>
      <c r="DJ171" s="408"/>
      <c r="DK171" s="408">
        <v>0</v>
      </c>
      <c r="DL171" s="408">
        <v>0</v>
      </c>
      <c r="DM171" s="408">
        <v>0</v>
      </c>
      <c r="DN171" s="408">
        <v>0</v>
      </c>
      <c r="DO171" s="408">
        <v>0</v>
      </c>
      <c r="DP171" s="408">
        <v>-2.6187689443273285</v>
      </c>
      <c r="DQ171" s="408">
        <v>0</v>
      </c>
      <c r="DR171" s="408">
        <v>0</v>
      </c>
      <c r="DS171" s="408"/>
      <c r="DT171" s="408"/>
      <c r="DU171" s="408"/>
      <c r="DV171" s="408">
        <v>23946.388243649006</v>
      </c>
      <c r="DW171" s="408">
        <v>0</v>
      </c>
      <c r="DX171" s="408">
        <v>0</v>
      </c>
      <c r="DY171" s="408">
        <v>-12941.061239999999</v>
      </c>
      <c r="DZ171" s="408">
        <v>1418.4963900000002</v>
      </c>
      <c r="EA171" s="408">
        <v>0</v>
      </c>
      <c r="EB171" s="408">
        <v>0</v>
      </c>
      <c r="EC171" s="408">
        <v>-13433.677137618757</v>
      </c>
      <c r="ED171" s="408">
        <v>0</v>
      </c>
      <c r="EE171" s="408">
        <v>0</v>
      </c>
      <c r="EF171" s="408">
        <v>0</v>
      </c>
      <c r="EG171" s="408">
        <v>0</v>
      </c>
      <c r="EH171" s="408">
        <v>0</v>
      </c>
      <c r="EI171" s="408">
        <v>0</v>
      </c>
      <c r="EJ171" s="408">
        <v>0</v>
      </c>
      <c r="EK171" s="408">
        <v>0</v>
      </c>
      <c r="EL171" s="408">
        <v>0</v>
      </c>
      <c r="EM171" s="408">
        <v>0</v>
      </c>
      <c r="EN171" s="408">
        <v>0</v>
      </c>
      <c r="EO171" s="408">
        <v>0</v>
      </c>
      <c r="EP171" s="408">
        <v>0</v>
      </c>
      <c r="EQ171" s="408">
        <v>0</v>
      </c>
      <c r="ER171" s="408">
        <v>0</v>
      </c>
      <c r="ES171" s="408">
        <v>0</v>
      </c>
      <c r="ET171" s="408">
        <v>0</v>
      </c>
      <c r="EU171" s="408">
        <v>0</v>
      </c>
      <c r="EV171" s="408">
        <v>238</v>
      </c>
      <c r="EW171" s="408">
        <v>0</v>
      </c>
      <c r="EX171" s="408">
        <v>0</v>
      </c>
      <c r="EY171" s="408">
        <v>0</v>
      </c>
      <c r="EZ171" s="408"/>
      <c r="FA171" s="408">
        <v>0</v>
      </c>
      <c r="FB171" s="408"/>
      <c r="FC171" s="408"/>
      <c r="FD171" s="408"/>
      <c r="FE171" s="408"/>
      <c r="FF171" s="408">
        <v>0</v>
      </c>
      <c r="FG171" s="408">
        <v>0</v>
      </c>
      <c r="FH171" s="408">
        <v>0</v>
      </c>
      <c r="FI171" s="408">
        <v>0</v>
      </c>
    </row>
    <row r="172" spans="1:165">
      <c r="A172" s="408">
        <v>176</v>
      </c>
      <c r="B172" s="408" t="s">
        <v>2237</v>
      </c>
      <c r="C172" s="408" t="s">
        <v>2235</v>
      </c>
      <c r="D172" s="408" t="s">
        <v>1955</v>
      </c>
      <c r="E172" s="408" t="s">
        <v>969</v>
      </c>
      <c r="F172" s="408" t="s">
        <v>2241</v>
      </c>
      <c r="G172" s="408" t="s">
        <v>1322</v>
      </c>
      <c r="H172" s="408" t="s">
        <v>1322</v>
      </c>
      <c r="I172" s="408" t="s">
        <v>1322</v>
      </c>
      <c r="J172" s="408" t="s">
        <v>2236</v>
      </c>
      <c r="K172" s="824">
        <v>44470</v>
      </c>
      <c r="L172" s="408">
        <v>0</v>
      </c>
      <c r="M172" s="408">
        <v>0</v>
      </c>
      <c r="N172" s="408">
        <v>-0.05</v>
      </c>
      <c r="O172" s="408">
        <v>-0.05</v>
      </c>
      <c r="P172" s="408">
        <v>-0.05</v>
      </c>
      <c r="Q172" s="408">
        <v>-0.05</v>
      </c>
      <c r="R172" s="408"/>
      <c r="S172" s="408">
        <v>510.28</v>
      </c>
      <c r="T172" s="408">
        <v>209.4</v>
      </c>
      <c r="U172" s="408"/>
      <c r="V172" s="408">
        <v>-35.984000000000002</v>
      </c>
      <c r="W172" s="408">
        <v>-35.984000000000002</v>
      </c>
      <c r="X172" s="408">
        <v>-26.711500000000001</v>
      </c>
      <c r="Y172" s="408">
        <v>0</v>
      </c>
      <c r="Z172" s="408">
        <v>0</v>
      </c>
      <c r="AA172" s="408">
        <v>0</v>
      </c>
      <c r="AB172" s="408">
        <v>0</v>
      </c>
      <c r="AC172" s="408">
        <v>0</v>
      </c>
      <c r="AD172" s="408">
        <v>-3.7095572397907248</v>
      </c>
      <c r="AE172" s="408">
        <v>-19.270265594490052</v>
      </c>
      <c r="AF172" s="408">
        <v>-10.332537289551251</v>
      </c>
      <c r="AG172" s="408">
        <v>-0.137648248209397</v>
      </c>
      <c r="AH172" s="408">
        <v>0</v>
      </c>
      <c r="AI172" s="408">
        <v>0</v>
      </c>
      <c r="AJ172" s="408">
        <v>0</v>
      </c>
      <c r="AK172" s="408">
        <v>0</v>
      </c>
      <c r="AL172" s="408">
        <v>0</v>
      </c>
      <c r="AM172" s="408"/>
      <c r="AN172" s="408">
        <v>-9.1148215791443499E-2</v>
      </c>
      <c r="AO172" s="408">
        <v>-0.28497403875301003</v>
      </c>
      <c r="AP172" s="408">
        <v>-0.42925949852477796</v>
      </c>
      <c r="AQ172" s="408">
        <v>0</v>
      </c>
      <c r="AR172" s="408">
        <v>0</v>
      </c>
      <c r="AS172" s="408">
        <v>0</v>
      </c>
      <c r="AT172" s="408">
        <v>0</v>
      </c>
      <c r="AU172" s="408">
        <v>0</v>
      </c>
      <c r="AV172" s="408">
        <v>0</v>
      </c>
      <c r="AW172" s="408">
        <v>0</v>
      </c>
      <c r="AX172" s="408">
        <v>0</v>
      </c>
      <c r="AY172" s="408">
        <v>0</v>
      </c>
      <c r="AZ172" s="408">
        <v>0</v>
      </c>
      <c r="BA172" s="408"/>
      <c r="BB172" s="408">
        <v>0</v>
      </c>
      <c r="BC172" s="408">
        <v>0</v>
      </c>
      <c r="BD172" s="408">
        <v>0</v>
      </c>
      <c r="BE172" s="408">
        <v>0</v>
      </c>
      <c r="BF172" s="408">
        <v>0</v>
      </c>
      <c r="BG172" s="408">
        <v>-1.7286141728719451</v>
      </c>
      <c r="BH172" s="408">
        <v>0</v>
      </c>
      <c r="BI172" s="408">
        <v>-0.06</v>
      </c>
      <c r="BJ172" s="408">
        <v>-0.31</v>
      </c>
      <c r="BK172" s="408">
        <v>-12.29</v>
      </c>
      <c r="BL172" s="408">
        <v>0</v>
      </c>
      <c r="BM172" s="408"/>
      <c r="BN172" s="408"/>
      <c r="BO172" s="408"/>
      <c r="BP172" s="408"/>
      <c r="BQ172" s="408"/>
      <c r="BR172" s="408"/>
      <c r="BS172" s="408"/>
      <c r="BT172" s="408">
        <v>-2.6714999999999991</v>
      </c>
      <c r="BU172" s="408"/>
      <c r="BV172" s="408">
        <v>-12.061151462423195</v>
      </c>
      <c r="BW172" s="408"/>
      <c r="BX172" s="408"/>
      <c r="BY172" s="408"/>
      <c r="BZ172" s="408"/>
      <c r="CA172" s="408"/>
      <c r="CB172" s="408"/>
      <c r="CC172" s="408"/>
      <c r="CD172" s="408"/>
      <c r="CE172" s="408"/>
      <c r="CF172" s="408"/>
      <c r="CG172" s="408"/>
      <c r="CH172" s="408"/>
      <c r="CI172" s="408">
        <v>-24.040000000000003</v>
      </c>
      <c r="CJ172" s="408">
        <v>8.3154999999999966</v>
      </c>
      <c r="CK172" s="408"/>
      <c r="CL172" s="408"/>
      <c r="CM172" s="408"/>
      <c r="CN172" s="408"/>
      <c r="CO172" s="408">
        <v>10.414</v>
      </c>
      <c r="CP172" s="408">
        <v>-1.1414999999999993</v>
      </c>
      <c r="CQ172" s="408">
        <v>31</v>
      </c>
      <c r="CR172" s="408">
        <v>-1.5377989763632911</v>
      </c>
      <c r="CS172" s="408">
        <v>-3.4405494338701492E-2</v>
      </c>
      <c r="CT172" s="408">
        <v>-5.1825370868706533E-2</v>
      </c>
      <c r="CU172" s="408">
        <v>0</v>
      </c>
      <c r="CV172" s="408">
        <v>0</v>
      </c>
      <c r="CW172" s="408">
        <v>0</v>
      </c>
      <c r="CX172" s="408">
        <v>0</v>
      </c>
      <c r="CY172" s="408">
        <v>0</v>
      </c>
      <c r="CZ172" s="408">
        <v>-0.12160832914536002</v>
      </c>
      <c r="DA172" s="408">
        <v>0</v>
      </c>
      <c r="DB172" s="408">
        <v>0</v>
      </c>
      <c r="DC172" s="408">
        <v>-1.1411542063179994</v>
      </c>
      <c r="DD172" s="408">
        <v>0</v>
      </c>
      <c r="DE172" s="408">
        <v>0</v>
      </c>
      <c r="DF172" s="408">
        <v>0</v>
      </c>
      <c r="DG172" s="408">
        <v>-0.19091296544058478</v>
      </c>
      <c r="DH172" s="408">
        <v>0</v>
      </c>
      <c r="DI172" s="408">
        <v>0</v>
      </c>
      <c r="DJ172" s="408"/>
      <c r="DK172" s="408">
        <v>0</v>
      </c>
      <c r="DL172" s="408">
        <v>0</v>
      </c>
      <c r="DM172" s="408">
        <v>0</v>
      </c>
      <c r="DN172" s="408">
        <v>0</v>
      </c>
      <c r="DO172" s="408">
        <v>0</v>
      </c>
      <c r="DP172" s="408">
        <v>2.1073897480624881E-3</v>
      </c>
      <c r="DQ172" s="408">
        <v>0</v>
      </c>
      <c r="DR172" s="408">
        <v>0</v>
      </c>
      <c r="DS172" s="408"/>
      <c r="DT172" s="408"/>
      <c r="DU172" s="408"/>
      <c r="DV172" s="408">
        <v>-19.270265594490052</v>
      </c>
      <c r="DW172" s="408">
        <v>0</v>
      </c>
      <c r="DX172" s="408">
        <v>0</v>
      </c>
      <c r="DY172" s="408">
        <v>10.413999999999998</v>
      </c>
      <c r="DZ172" s="408">
        <v>-1.1414999999999988</v>
      </c>
      <c r="EA172" s="408">
        <v>0</v>
      </c>
      <c r="EB172" s="408">
        <v>0</v>
      </c>
      <c r="EC172" s="408">
        <v>10.810420499266701</v>
      </c>
      <c r="ED172" s="408">
        <v>0</v>
      </c>
      <c r="EE172" s="408">
        <v>0</v>
      </c>
      <c r="EF172" s="408">
        <v>0</v>
      </c>
      <c r="EG172" s="408">
        <v>0</v>
      </c>
      <c r="EH172" s="408">
        <v>0</v>
      </c>
      <c r="EI172" s="408">
        <v>0</v>
      </c>
      <c r="EJ172" s="408">
        <v>0</v>
      </c>
      <c r="EK172" s="408">
        <v>0</v>
      </c>
      <c r="EL172" s="408">
        <v>0</v>
      </c>
      <c r="EM172" s="408">
        <v>0</v>
      </c>
      <c r="EN172" s="408">
        <v>0</v>
      </c>
      <c r="EO172" s="408">
        <v>0</v>
      </c>
      <c r="EP172" s="408">
        <v>0</v>
      </c>
      <c r="EQ172" s="408">
        <v>0</v>
      </c>
      <c r="ER172" s="408">
        <v>0</v>
      </c>
      <c r="ES172" s="408">
        <v>0</v>
      </c>
      <c r="ET172" s="408">
        <v>0</v>
      </c>
      <c r="EU172" s="408">
        <v>0</v>
      </c>
      <c r="EV172" s="408">
        <v>238</v>
      </c>
      <c r="EW172" s="408">
        <v>0</v>
      </c>
      <c r="EX172" s="408">
        <v>0</v>
      </c>
      <c r="EY172" s="408">
        <v>0</v>
      </c>
      <c r="EZ172" s="408"/>
      <c r="FA172" s="408">
        <v>0</v>
      </c>
      <c r="FB172" s="408"/>
      <c r="FC172" s="408"/>
      <c r="FD172" s="408"/>
      <c r="FE172" s="408"/>
      <c r="FF172" s="408">
        <v>0</v>
      </c>
      <c r="FG172" s="408">
        <v>0</v>
      </c>
      <c r="FH172" s="408">
        <v>0</v>
      </c>
      <c r="FI172" s="408">
        <v>0</v>
      </c>
    </row>
    <row r="173" spans="1:165">
      <c r="A173" s="408">
        <v>177</v>
      </c>
      <c r="B173" s="408" t="s">
        <v>1036</v>
      </c>
      <c r="C173" s="408" t="s">
        <v>2235</v>
      </c>
      <c r="D173" s="408" t="s">
        <v>1955</v>
      </c>
      <c r="E173" s="408" t="s">
        <v>969</v>
      </c>
      <c r="F173" s="408" t="s">
        <v>2242</v>
      </c>
      <c r="G173" s="408" t="s">
        <v>1322</v>
      </c>
      <c r="H173" s="408" t="s">
        <v>1322</v>
      </c>
      <c r="I173" s="408" t="s">
        <v>1322</v>
      </c>
      <c r="J173" s="408" t="s">
        <v>2236</v>
      </c>
      <c r="K173" s="824">
        <v>44470</v>
      </c>
      <c r="L173" s="408">
        <v>0</v>
      </c>
      <c r="M173" s="408">
        <v>0</v>
      </c>
      <c r="N173" s="408">
        <v>11.08</v>
      </c>
      <c r="O173" s="408">
        <v>11.08</v>
      </c>
      <c r="P173" s="408">
        <v>11.08</v>
      </c>
      <c r="Q173" s="408">
        <v>11.08</v>
      </c>
      <c r="R173" s="408"/>
      <c r="S173" s="408">
        <v>510.28</v>
      </c>
      <c r="T173" s="408">
        <v>209.4</v>
      </c>
      <c r="U173" s="408"/>
      <c r="V173" s="408">
        <v>7974.0544</v>
      </c>
      <c r="W173" s="408">
        <v>7974.0544</v>
      </c>
      <c r="X173" s="408">
        <v>5919.2683999999999</v>
      </c>
      <c r="Y173" s="408">
        <v>0</v>
      </c>
      <c r="Z173" s="408">
        <v>0</v>
      </c>
      <c r="AA173" s="408">
        <v>0</v>
      </c>
      <c r="AB173" s="408">
        <v>0</v>
      </c>
      <c r="AC173" s="408">
        <v>0</v>
      </c>
      <c r="AD173" s="408">
        <v>822.03788433762463</v>
      </c>
      <c r="AE173" s="408">
        <v>4270.2908557389947</v>
      </c>
      <c r="AF173" s="408">
        <v>2289.6902633645573</v>
      </c>
      <c r="AG173" s="408">
        <v>30.502851803202375</v>
      </c>
      <c r="AH173" s="408">
        <v>0</v>
      </c>
      <c r="AI173" s="408">
        <v>0</v>
      </c>
      <c r="AJ173" s="408">
        <v>0</v>
      </c>
      <c r="AK173" s="408">
        <v>0</v>
      </c>
      <c r="AL173" s="408">
        <v>0</v>
      </c>
      <c r="AM173" s="408"/>
      <c r="AN173" s="408">
        <v>20.198444619383878</v>
      </c>
      <c r="AO173" s="408">
        <v>63.150246987667018</v>
      </c>
      <c r="AP173" s="408">
        <v>95.123904873090794</v>
      </c>
      <c r="AQ173" s="408">
        <v>0</v>
      </c>
      <c r="AR173" s="408">
        <v>0</v>
      </c>
      <c r="AS173" s="408">
        <v>0</v>
      </c>
      <c r="AT173" s="408">
        <v>0</v>
      </c>
      <c r="AU173" s="408">
        <v>0</v>
      </c>
      <c r="AV173" s="408">
        <v>0</v>
      </c>
      <c r="AW173" s="408">
        <v>0</v>
      </c>
      <c r="AX173" s="408">
        <v>0</v>
      </c>
      <c r="AY173" s="408">
        <v>0</v>
      </c>
      <c r="AZ173" s="408">
        <v>0</v>
      </c>
      <c r="BA173" s="408"/>
      <c r="BB173" s="408">
        <v>0</v>
      </c>
      <c r="BC173" s="408">
        <v>0</v>
      </c>
      <c r="BD173" s="408">
        <v>0</v>
      </c>
      <c r="BE173" s="408">
        <v>0</v>
      </c>
      <c r="BF173" s="408">
        <v>0</v>
      </c>
      <c r="BG173" s="408">
        <v>383.06090070842299</v>
      </c>
      <c r="BH173" s="408">
        <v>0</v>
      </c>
      <c r="BI173" s="408">
        <v>44.45</v>
      </c>
      <c r="BJ173" s="408">
        <v>205.89</v>
      </c>
      <c r="BK173" s="408">
        <v>4351.5</v>
      </c>
      <c r="BL173" s="408">
        <v>192</v>
      </c>
      <c r="BM173" s="408"/>
      <c r="BN173" s="408"/>
      <c r="BO173" s="408"/>
      <c r="BP173" s="408"/>
      <c r="BQ173" s="408"/>
      <c r="BR173" s="408"/>
      <c r="BS173" s="408"/>
      <c r="BT173" s="408"/>
      <c r="BU173" s="408"/>
      <c r="BV173" s="408">
        <v>2672.7511640729804</v>
      </c>
      <c r="BW173" s="408"/>
      <c r="BX173" s="408"/>
      <c r="BY173" s="408"/>
      <c r="BZ173" s="408"/>
      <c r="CA173" s="408"/>
      <c r="CB173" s="408"/>
      <c r="CC173" s="408"/>
      <c r="CD173" s="408"/>
      <c r="CE173" s="408"/>
      <c r="CF173" s="408"/>
      <c r="CG173" s="408"/>
      <c r="CH173" s="408"/>
      <c r="CI173" s="408">
        <v>5919.2683999999999</v>
      </c>
      <c r="CJ173" s="408">
        <v>-2054.8160000000007</v>
      </c>
      <c r="CK173" s="408"/>
      <c r="CL173" s="408"/>
      <c r="CM173" s="408"/>
      <c r="CN173" s="408"/>
      <c r="CO173" s="408">
        <v>-2307.7423999999996</v>
      </c>
      <c r="CP173" s="408">
        <v>252.95639999999983</v>
      </c>
      <c r="CQ173" s="408">
        <v>31</v>
      </c>
      <c r="CR173" s="408">
        <v>340.77625316210515</v>
      </c>
      <c r="CS173" s="408">
        <v>7.6242575454562598</v>
      </c>
      <c r="CT173" s="408">
        <v>11.484502184505359</v>
      </c>
      <c r="CU173" s="408">
        <v>0</v>
      </c>
      <c r="CV173" s="408">
        <v>0</v>
      </c>
      <c r="CW173" s="408">
        <v>0</v>
      </c>
      <c r="CX173" s="408">
        <v>0</v>
      </c>
      <c r="CY173" s="408">
        <v>0</v>
      </c>
      <c r="CZ173" s="408">
        <v>26.948405738611768</v>
      </c>
      <c r="DA173" s="408">
        <v>0</v>
      </c>
      <c r="DB173" s="408">
        <v>0</v>
      </c>
      <c r="DC173" s="408">
        <v>252.87977212006854</v>
      </c>
      <c r="DD173" s="408">
        <v>0</v>
      </c>
      <c r="DE173" s="408">
        <v>0</v>
      </c>
      <c r="DF173" s="408">
        <v>0</v>
      </c>
      <c r="DG173" s="408">
        <v>42.306313141633609</v>
      </c>
      <c r="DH173" s="408">
        <v>0</v>
      </c>
      <c r="DI173" s="408">
        <v>0</v>
      </c>
      <c r="DJ173" s="408"/>
      <c r="DK173" s="408">
        <v>0</v>
      </c>
      <c r="DL173" s="408">
        <v>0</v>
      </c>
      <c r="DM173" s="408">
        <v>0</v>
      </c>
      <c r="DN173" s="408">
        <v>0</v>
      </c>
      <c r="DO173" s="408">
        <v>0</v>
      </c>
      <c r="DP173" s="408">
        <v>-0.46699756817064753</v>
      </c>
      <c r="DQ173" s="408">
        <v>0</v>
      </c>
      <c r="DR173" s="408">
        <v>0</v>
      </c>
      <c r="DS173" s="408"/>
      <c r="DT173" s="408"/>
      <c r="DU173" s="408"/>
      <c r="DV173" s="408">
        <v>4270.2908557389947</v>
      </c>
      <c r="DW173" s="408">
        <v>0</v>
      </c>
      <c r="DX173" s="408">
        <v>0</v>
      </c>
      <c r="DY173" s="408">
        <v>-2307.7424000000001</v>
      </c>
      <c r="DZ173" s="408">
        <v>252.95640000000003</v>
      </c>
      <c r="EA173" s="408">
        <v>0</v>
      </c>
      <c r="EB173" s="408">
        <v>0</v>
      </c>
      <c r="EC173" s="408">
        <v>-2395.5891826375</v>
      </c>
      <c r="ED173" s="408">
        <v>0</v>
      </c>
      <c r="EE173" s="408">
        <v>0</v>
      </c>
      <c r="EF173" s="408">
        <v>0</v>
      </c>
      <c r="EG173" s="408">
        <v>0</v>
      </c>
      <c r="EH173" s="408">
        <v>0</v>
      </c>
      <c r="EI173" s="408">
        <v>0</v>
      </c>
      <c r="EJ173" s="408">
        <v>0</v>
      </c>
      <c r="EK173" s="408">
        <v>0</v>
      </c>
      <c r="EL173" s="408">
        <v>0</v>
      </c>
      <c r="EM173" s="408">
        <v>0</v>
      </c>
      <c r="EN173" s="408">
        <v>0</v>
      </c>
      <c r="EO173" s="408">
        <v>0</v>
      </c>
      <c r="EP173" s="408">
        <v>0</v>
      </c>
      <c r="EQ173" s="408">
        <v>0</v>
      </c>
      <c r="ER173" s="408">
        <v>0</v>
      </c>
      <c r="ES173" s="408">
        <v>0</v>
      </c>
      <c r="ET173" s="408">
        <v>0</v>
      </c>
      <c r="EU173" s="408">
        <v>0</v>
      </c>
      <c r="EV173" s="408">
        <v>238</v>
      </c>
      <c r="EW173" s="408">
        <v>0</v>
      </c>
      <c r="EX173" s="408">
        <v>0</v>
      </c>
      <c r="EY173" s="408">
        <v>0</v>
      </c>
      <c r="EZ173" s="408"/>
      <c r="FA173" s="408">
        <v>0</v>
      </c>
      <c r="FB173" s="408"/>
      <c r="FC173" s="408"/>
      <c r="FD173" s="408"/>
      <c r="FE173" s="408"/>
      <c r="FF173" s="408">
        <v>0</v>
      </c>
      <c r="FG173" s="408">
        <v>0</v>
      </c>
      <c r="FH173" s="408">
        <v>0</v>
      </c>
      <c r="FI173" s="408">
        <v>0</v>
      </c>
    </row>
    <row r="174" spans="1:165">
      <c r="A174" s="408">
        <v>178</v>
      </c>
      <c r="B174" s="408" t="s">
        <v>1036</v>
      </c>
      <c r="C174" s="408" t="s">
        <v>2321</v>
      </c>
      <c r="D174" s="408" t="s">
        <v>1955</v>
      </c>
      <c r="E174" s="408" t="s">
        <v>969</v>
      </c>
      <c r="F174" s="408" t="s">
        <v>969</v>
      </c>
      <c r="G174" s="408" t="s">
        <v>1322</v>
      </c>
      <c r="H174" s="408" t="s">
        <v>1322</v>
      </c>
      <c r="I174" s="408" t="s">
        <v>973</v>
      </c>
      <c r="J174" s="408" t="s">
        <v>2236</v>
      </c>
      <c r="K174" s="824">
        <v>44470</v>
      </c>
      <c r="L174" s="408">
        <v>0</v>
      </c>
      <c r="M174" s="408">
        <v>0</v>
      </c>
      <c r="N174" s="408">
        <v>5.6000000000000001E-2</v>
      </c>
      <c r="O174" s="408">
        <v>5.6000000000000001E-2</v>
      </c>
      <c r="P174" s="408">
        <v>5.6000000000000001E-2</v>
      </c>
      <c r="Q174" s="408">
        <v>5.6000000000000001E-2</v>
      </c>
      <c r="R174" s="408"/>
      <c r="S174" s="408">
        <v>1292.1099999999999</v>
      </c>
      <c r="T174" s="408">
        <v>209.4</v>
      </c>
      <c r="U174" s="408"/>
      <c r="V174" s="408">
        <v>84.084559999999996</v>
      </c>
      <c r="W174" s="408">
        <v>84.084559999999996</v>
      </c>
      <c r="X174" s="408">
        <v>55.819679999999998</v>
      </c>
      <c r="Y174" s="408">
        <v>0</v>
      </c>
      <c r="Z174" s="408">
        <v>3.4461228186939232</v>
      </c>
      <c r="AA174" s="408">
        <v>0</v>
      </c>
      <c r="AB174" s="408">
        <v>0</v>
      </c>
      <c r="AC174" s="408">
        <v>0</v>
      </c>
      <c r="AD174" s="408">
        <v>10.384912093429776</v>
      </c>
      <c r="AE174" s="408">
        <v>53.956762742575791</v>
      </c>
      <c r="AF174" s="408">
        <v>11.5724417642974</v>
      </c>
      <c r="AG174" s="408">
        <v>0.15416603799452466</v>
      </c>
      <c r="AH174" s="408">
        <v>0</v>
      </c>
      <c r="AI174" s="408">
        <v>0</v>
      </c>
      <c r="AJ174" s="408">
        <v>0</v>
      </c>
      <c r="AK174" s="408">
        <v>0</v>
      </c>
      <c r="AL174" s="408">
        <v>0.53253769212697877</v>
      </c>
      <c r="AM174" s="408"/>
      <c r="AN174" s="408">
        <v>0.10208600168641672</v>
      </c>
      <c r="AO174" s="408">
        <v>0.79793449526223437</v>
      </c>
      <c r="AP174" s="408">
        <v>1.2019265958693783</v>
      </c>
      <c r="AQ174" s="408">
        <v>0</v>
      </c>
      <c r="AR174" s="408">
        <v>0</v>
      </c>
      <c r="AS174" s="408">
        <v>0</v>
      </c>
      <c r="AT174" s="408">
        <v>0</v>
      </c>
      <c r="AU174" s="408">
        <v>0</v>
      </c>
      <c r="AV174" s="408">
        <v>0</v>
      </c>
      <c r="AW174" s="408">
        <v>0</v>
      </c>
      <c r="AX174" s="408">
        <v>0</v>
      </c>
      <c r="AY174" s="408">
        <v>0</v>
      </c>
      <c r="AZ174" s="408">
        <v>0</v>
      </c>
      <c r="BA174" s="408"/>
      <c r="BB174" s="408">
        <v>0</v>
      </c>
      <c r="BC174" s="408">
        <v>0</v>
      </c>
      <c r="BD174" s="408">
        <v>0</v>
      </c>
      <c r="BE174" s="408">
        <v>0</v>
      </c>
      <c r="BF174" s="408">
        <v>0</v>
      </c>
      <c r="BG174" s="408">
        <v>1.9360478736165785</v>
      </c>
      <c r="BH174" s="408">
        <v>0</v>
      </c>
      <c r="BI174" s="408">
        <v>0</v>
      </c>
      <c r="BJ174" s="408">
        <v>0</v>
      </c>
      <c r="BK174" s="408">
        <v>0</v>
      </c>
      <c r="BL174" s="408">
        <v>0</v>
      </c>
      <c r="BM174" s="408"/>
      <c r="BN174" s="408"/>
      <c r="BO174" s="408"/>
      <c r="BP174" s="408"/>
      <c r="BQ174" s="408"/>
      <c r="BR174" s="408"/>
      <c r="BS174" s="408"/>
      <c r="BT174" s="408"/>
      <c r="BU174" s="408"/>
      <c r="BV174" s="408">
        <v>13.508489637913978</v>
      </c>
      <c r="BW174" s="408"/>
      <c r="BX174" s="408"/>
      <c r="BY174" s="408"/>
      <c r="BZ174" s="408"/>
      <c r="CA174" s="408"/>
      <c r="CB174" s="408"/>
      <c r="CC174" s="408"/>
      <c r="CD174" s="408"/>
      <c r="CE174" s="408"/>
      <c r="CF174" s="408"/>
      <c r="CG174" s="408"/>
      <c r="CH174" s="408"/>
      <c r="CI174" s="408">
        <v>59.806799999999996</v>
      </c>
      <c r="CJ174" s="408">
        <v>-24.307760000000016</v>
      </c>
      <c r="CK174" s="408"/>
      <c r="CL174" s="408"/>
      <c r="CM174" s="408"/>
      <c r="CN174" s="408"/>
      <c r="CO174" s="408">
        <v>-29.543359999999996</v>
      </c>
      <c r="CP174" s="408">
        <v>1.2784799999999992</v>
      </c>
      <c r="CQ174" s="408">
        <v>31</v>
      </c>
      <c r="CR174" s="408">
        <v>2.0035668861139797</v>
      </c>
      <c r="CS174" s="408">
        <v>9.6336251819746366E-2</v>
      </c>
      <c r="CT174" s="408">
        <v>0.14511103843237705</v>
      </c>
      <c r="CU174" s="408">
        <v>0</v>
      </c>
      <c r="CV174" s="408">
        <v>0</v>
      </c>
      <c r="CW174" s="408">
        <v>0</v>
      </c>
      <c r="CX174" s="408">
        <v>0</v>
      </c>
      <c r="CY174" s="408">
        <v>0</v>
      </c>
      <c r="CZ174" s="408">
        <v>0.34044273382739298</v>
      </c>
      <c r="DA174" s="408">
        <v>0</v>
      </c>
      <c r="DB174" s="408">
        <v>0</v>
      </c>
      <c r="DC174" s="408">
        <v>1.2780927110761588</v>
      </c>
      <c r="DD174" s="408">
        <v>0</v>
      </c>
      <c r="DE174" s="408">
        <v>0</v>
      </c>
      <c r="DF174" s="408">
        <v>0</v>
      </c>
      <c r="DG174" s="408">
        <v>0.21382252129345503</v>
      </c>
      <c r="DH174" s="408">
        <v>0</v>
      </c>
      <c r="DI174" s="408">
        <v>-6.0073236279811759E-2</v>
      </c>
      <c r="DJ174" s="408"/>
      <c r="DK174" s="408">
        <v>0</v>
      </c>
      <c r="DL174" s="408">
        <v>0</v>
      </c>
      <c r="DM174" s="408">
        <v>0</v>
      </c>
      <c r="DN174" s="408">
        <v>0</v>
      </c>
      <c r="DO174" s="408">
        <v>-7.804857537505927E-3</v>
      </c>
      <c r="DP174" s="408">
        <v>-2.3602765178299956E-3</v>
      </c>
      <c r="DQ174" s="408">
        <v>0</v>
      </c>
      <c r="DR174" s="408">
        <v>0</v>
      </c>
      <c r="DS174" s="408"/>
      <c r="DT174" s="408"/>
      <c r="DU174" s="408"/>
      <c r="DV174" s="408">
        <v>53.956762742575791</v>
      </c>
      <c r="DW174" s="408">
        <v>0</v>
      </c>
      <c r="DX174" s="408">
        <v>0</v>
      </c>
      <c r="DY174" s="408">
        <v>-29.54336</v>
      </c>
      <c r="DZ174" s="408">
        <v>1.2784800000000001</v>
      </c>
      <c r="EA174" s="408">
        <v>0</v>
      </c>
      <c r="EB174" s="408">
        <v>0</v>
      </c>
      <c r="EC174" s="408">
        <v>-30.269188100510302</v>
      </c>
      <c r="ED174" s="408">
        <v>0</v>
      </c>
      <c r="EE174" s="408">
        <v>0</v>
      </c>
      <c r="EF174" s="408">
        <v>0</v>
      </c>
      <c r="EG174" s="408">
        <v>0</v>
      </c>
      <c r="EH174" s="408">
        <v>0</v>
      </c>
      <c r="EI174" s="408">
        <v>0</v>
      </c>
      <c r="EJ174" s="408">
        <v>0</v>
      </c>
      <c r="EK174" s="408">
        <v>0</v>
      </c>
      <c r="EL174" s="408">
        <v>0</v>
      </c>
      <c r="EM174" s="408">
        <v>0</v>
      </c>
      <c r="EN174" s="408">
        <v>0</v>
      </c>
      <c r="EO174" s="408">
        <v>0</v>
      </c>
      <c r="EP174" s="408">
        <v>0</v>
      </c>
      <c r="EQ174" s="408">
        <v>0</v>
      </c>
      <c r="ER174" s="408">
        <v>0</v>
      </c>
      <c r="ES174" s="408">
        <v>0</v>
      </c>
      <c r="ET174" s="408">
        <v>0</v>
      </c>
      <c r="EU174" s="408">
        <v>0</v>
      </c>
      <c r="EV174" s="408">
        <v>238</v>
      </c>
      <c r="EW174" s="408">
        <v>0</v>
      </c>
      <c r="EX174" s="408">
        <v>0</v>
      </c>
      <c r="EY174" s="408">
        <v>0</v>
      </c>
      <c r="EZ174" s="408"/>
      <c r="FA174" s="408">
        <v>0</v>
      </c>
      <c r="FB174" s="408"/>
      <c r="FC174" s="408"/>
      <c r="FD174" s="408"/>
      <c r="FE174" s="408"/>
      <c r="FF174" s="408">
        <v>0</v>
      </c>
      <c r="FG174" s="408">
        <v>0</v>
      </c>
      <c r="FH174" s="408">
        <v>0</v>
      </c>
      <c r="FI174" s="408">
        <v>0</v>
      </c>
    </row>
    <row r="175" spans="1:165">
      <c r="A175" s="408">
        <v>179</v>
      </c>
      <c r="B175" s="408" t="s">
        <v>1036</v>
      </c>
      <c r="C175" s="408" t="s">
        <v>2321</v>
      </c>
      <c r="D175" s="408" t="s">
        <v>1955</v>
      </c>
      <c r="E175" s="408" t="s">
        <v>969</v>
      </c>
      <c r="F175" s="408" t="s">
        <v>969</v>
      </c>
      <c r="G175" s="408" t="s">
        <v>1322</v>
      </c>
      <c r="H175" s="408" t="s">
        <v>1322</v>
      </c>
      <c r="I175" s="408" t="s">
        <v>2244</v>
      </c>
      <c r="J175" s="408" t="s">
        <v>2236</v>
      </c>
      <c r="K175" s="824">
        <v>44470</v>
      </c>
      <c r="L175" s="408">
        <v>0</v>
      </c>
      <c r="M175" s="408">
        <v>0</v>
      </c>
      <c r="N175" s="408">
        <v>0.50900000000000001</v>
      </c>
      <c r="O175" s="408">
        <v>0.50900000000000001</v>
      </c>
      <c r="P175" s="408">
        <v>0.50900000000000001</v>
      </c>
      <c r="Q175" s="408">
        <v>0.50900000000000001</v>
      </c>
      <c r="R175" s="408"/>
      <c r="S175" s="408">
        <v>344.38</v>
      </c>
      <c r="T175" s="408">
        <v>209.4</v>
      </c>
      <c r="U175" s="408"/>
      <c r="V175" s="408">
        <v>281.87402000000003</v>
      </c>
      <c r="W175" s="408">
        <v>281.87402000000003</v>
      </c>
      <c r="X175" s="408">
        <v>240.83335</v>
      </c>
      <c r="Y175" s="408">
        <v>0</v>
      </c>
      <c r="Z175" s="408">
        <v>31.322794905628694</v>
      </c>
      <c r="AA175" s="408">
        <v>0</v>
      </c>
      <c r="AB175" s="408">
        <v>0</v>
      </c>
      <c r="AC175" s="408">
        <v>0</v>
      </c>
      <c r="AD175" s="408">
        <v>18.881646350534815</v>
      </c>
      <c r="AE175" s="408">
        <v>98.085651875954611</v>
      </c>
      <c r="AF175" s="408">
        <v>105.18522960763173</v>
      </c>
      <c r="AG175" s="408">
        <v>1.4012591667716616</v>
      </c>
      <c r="AH175" s="408">
        <v>0</v>
      </c>
      <c r="AI175" s="408">
        <v>0</v>
      </c>
      <c r="AJ175" s="408">
        <v>0</v>
      </c>
      <c r="AK175" s="408">
        <v>0</v>
      </c>
      <c r="AL175" s="408">
        <v>4.8403872373684322</v>
      </c>
      <c r="AM175" s="408"/>
      <c r="AN175" s="408">
        <v>0.92788883675689482</v>
      </c>
      <c r="AO175" s="408">
        <v>1.450517857252821</v>
      </c>
      <c r="AP175" s="408">
        <v>2.18493084749112</v>
      </c>
      <c r="AQ175" s="408">
        <v>0</v>
      </c>
      <c r="AR175" s="408">
        <v>0</v>
      </c>
      <c r="AS175" s="408">
        <v>0</v>
      </c>
      <c r="AT175" s="408">
        <v>0</v>
      </c>
      <c r="AU175" s="408">
        <v>0</v>
      </c>
      <c r="AV175" s="408">
        <v>0</v>
      </c>
      <c r="AW175" s="408">
        <v>0</v>
      </c>
      <c r="AX175" s="408">
        <v>0</v>
      </c>
      <c r="AY175" s="408">
        <v>0</v>
      </c>
      <c r="AZ175" s="408">
        <v>0</v>
      </c>
      <c r="BA175" s="408"/>
      <c r="BB175" s="408">
        <v>0</v>
      </c>
      <c r="BC175" s="408">
        <v>0</v>
      </c>
      <c r="BD175" s="408">
        <v>0</v>
      </c>
      <c r="BE175" s="408">
        <v>0</v>
      </c>
      <c r="BF175" s="408">
        <v>0</v>
      </c>
      <c r="BG175" s="408">
        <v>17.597292279836399</v>
      </c>
      <c r="BH175" s="408">
        <v>0</v>
      </c>
      <c r="BI175" s="408">
        <v>0</v>
      </c>
      <c r="BJ175" s="408">
        <v>0</v>
      </c>
      <c r="BK175" s="408">
        <v>0</v>
      </c>
      <c r="BL175" s="408">
        <v>0</v>
      </c>
      <c r="BM175" s="408"/>
      <c r="BN175" s="408"/>
      <c r="BO175" s="408"/>
      <c r="BP175" s="408"/>
      <c r="BQ175" s="408"/>
      <c r="BR175" s="408"/>
      <c r="BS175" s="408"/>
      <c r="BT175" s="408"/>
      <c r="BU175" s="408"/>
      <c r="BV175" s="408">
        <v>122.78252188746812</v>
      </c>
      <c r="BW175" s="408"/>
      <c r="BX175" s="408"/>
      <c r="BY175" s="408"/>
      <c r="BZ175" s="408"/>
      <c r="CA175" s="408"/>
      <c r="CB175" s="408"/>
      <c r="CC175" s="408"/>
      <c r="CD175" s="408"/>
      <c r="CE175" s="408"/>
      <c r="CF175" s="408"/>
      <c r="CG175" s="408"/>
      <c r="CH175" s="408"/>
      <c r="CI175" s="408">
        <v>241.30649999999997</v>
      </c>
      <c r="CJ175" s="408">
        <v>-40.597520000000031</v>
      </c>
      <c r="CK175" s="408"/>
      <c r="CL175" s="408"/>
      <c r="CM175" s="408"/>
      <c r="CN175" s="408"/>
      <c r="CO175" s="408">
        <v>-52.661140000000003</v>
      </c>
      <c r="CP175" s="408">
        <v>11.620469999999992</v>
      </c>
      <c r="CQ175" s="408">
        <v>31</v>
      </c>
      <c r="CR175" s="408">
        <v>13.97992869167598</v>
      </c>
      <c r="CS175" s="408">
        <v>0.17512396618398784</v>
      </c>
      <c r="CT175" s="408">
        <v>0.2637911377217188</v>
      </c>
      <c r="CU175" s="408">
        <v>0</v>
      </c>
      <c r="CV175" s="408">
        <v>0</v>
      </c>
      <c r="CW175" s="408">
        <v>0</v>
      </c>
      <c r="CX175" s="408">
        <v>0</v>
      </c>
      <c r="CY175" s="408">
        <v>0</v>
      </c>
      <c r="CZ175" s="408">
        <v>0.6189863953498822</v>
      </c>
      <c r="DA175" s="408">
        <v>0</v>
      </c>
      <c r="DB175" s="408">
        <v>0</v>
      </c>
      <c r="DC175" s="408">
        <v>11.616949820317231</v>
      </c>
      <c r="DD175" s="408">
        <v>0</v>
      </c>
      <c r="DE175" s="408">
        <v>0</v>
      </c>
      <c r="DF175" s="408">
        <v>0</v>
      </c>
      <c r="DG175" s="408">
        <v>1.943493988185157</v>
      </c>
      <c r="DH175" s="408">
        <v>0</v>
      </c>
      <c r="DI175" s="408">
        <v>-0.54602280832900263</v>
      </c>
      <c r="DJ175" s="408"/>
      <c r="DK175" s="408">
        <v>0</v>
      </c>
      <c r="DL175" s="408">
        <v>0</v>
      </c>
      <c r="DM175" s="408">
        <v>0</v>
      </c>
      <c r="DN175" s="408">
        <v>0</v>
      </c>
      <c r="DO175" s="408">
        <v>-7.0940580117687446E-2</v>
      </c>
      <c r="DP175" s="408">
        <v>-2.1453227635276129E-2</v>
      </c>
      <c r="DQ175" s="408">
        <v>0</v>
      </c>
      <c r="DR175" s="408">
        <v>0</v>
      </c>
      <c r="DS175" s="408"/>
      <c r="DT175" s="408"/>
      <c r="DU175" s="408"/>
      <c r="DV175" s="408">
        <v>98.085651875954611</v>
      </c>
      <c r="DW175" s="408">
        <v>0</v>
      </c>
      <c r="DX175" s="408">
        <v>0</v>
      </c>
      <c r="DY175" s="408">
        <v>-52.661140000000017</v>
      </c>
      <c r="DZ175" s="408">
        <v>11.620469999999983</v>
      </c>
      <c r="EA175" s="408">
        <v>0</v>
      </c>
      <c r="EB175" s="408">
        <v>0</v>
      </c>
      <c r="EC175" s="408">
        <v>-55.025040341267754</v>
      </c>
      <c r="ED175" s="408">
        <v>0</v>
      </c>
      <c r="EE175" s="408">
        <v>0</v>
      </c>
      <c r="EF175" s="408">
        <v>0</v>
      </c>
      <c r="EG175" s="408">
        <v>0</v>
      </c>
      <c r="EH175" s="408">
        <v>0</v>
      </c>
      <c r="EI175" s="408">
        <v>0</v>
      </c>
      <c r="EJ175" s="408">
        <v>0</v>
      </c>
      <c r="EK175" s="408">
        <v>0</v>
      </c>
      <c r="EL175" s="408">
        <v>0</v>
      </c>
      <c r="EM175" s="408">
        <v>0</v>
      </c>
      <c r="EN175" s="408">
        <v>0</v>
      </c>
      <c r="EO175" s="408">
        <v>0</v>
      </c>
      <c r="EP175" s="408">
        <v>0</v>
      </c>
      <c r="EQ175" s="408">
        <v>0</v>
      </c>
      <c r="ER175" s="408">
        <v>0</v>
      </c>
      <c r="ES175" s="408">
        <v>0</v>
      </c>
      <c r="ET175" s="408">
        <v>0</v>
      </c>
      <c r="EU175" s="408">
        <v>0</v>
      </c>
      <c r="EV175" s="408">
        <v>238</v>
      </c>
      <c r="EW175" s="408">
        <v>0</v>
      </c>
      <c r="EX175" s="408">
        <v>0</v>
      </c>
      <c r="EY175" s="408">
        <v>0</v>
      </c>
      <c r="EZ175" s="408"/>
      <c r="FA175" s="408">
        <v>0</v>
      </c>
      <c r="FB175" s="408"/>
      <c r="FC175" s="408"/>
      <c r="FD175" s="408"/>
      <c r="FE175" s="408"/>
      <c r="FF175" s="408">
        <v>0</v>
      </c>
      <c r="FG175" s="408">
        <v>0</v>
      </c>
      <c r="FH175" s="408">
        <v>0</v>
      </c>
      <c r="FI175" s="408">
        <v>0</v>
      </c>
    </row>
    <row r="176" spans="1:165">
      <c r="A176" s="408">
        <v>180</v>
      </c>
      <c r="B176" s="408" t="s">
        <v>1036</v>
      </c>
      <c r="C176" s="408" t="s">
        <v>2321</v>
      </c>
      <c r="D176" s="408" t="s">
        <v>1955</v>
      </c>
      <c r="E176" s="408" t="s">
        <v>969</v>
      </c>
      <c r="F176" s="408" t="s">
        <v>969</v>
      </c>
      <c r="G176" s="408" t="s">
        <v>1322</v>
      </c>
      <c r="H176" s="408" t="s">
        <v>1322</v>
      </c>
      <c r="I176" s="408" t="s">
        <v>1322</v>
      </c>
      <c r="J176" s="408" t="s">
        <v>2236</v>
      </c>
      <c r="K176" s="824">
        <v>44470</v>
      </c>
      <c r="L176" s="408">
        <v>0</v>
      </c>
      <c r="M176" s="408">
        <v>0</v>
      </c>
      <c r="N176" s="408">
        <v>0</v>
      </c>
      <c r="O176" s="408">
        <v>0</v>
      </c>
      <c r="P176" s="408">
        <v>0</v>
      </c>
      <c r="Q176" s="408">
        <v>0</v>
      </c>
      <c r="R176" s="408"/>
      <c r="S176" s="408"/>
      <c r="T176" s="408"/>
      <c r="U176" s="408"/>
      <c r="V176" s="408"/>
      <c r="W176" s="408"/>
      <c r="X176" s="408"/>
      <c r="Y176" s="408"/>
      <c r="Z176" s="408"/>
      <c r="AA176" s="408">
        <v>0</v>
      </c>
      <c r="AB176" s="408"/>
      <c r="AC176" s="408"/>
      <c r="AD176" s="408"/>
      <c r="AE176" s="408"/>
      <c r="AF176" s="408"/>
      <c r="AG176" s="408"/>
      <c r="AH176" s="408"/>
      <c r="AI176" s="408"/>
      <c r="AJ176" s="408"/>
      <c r="AK176" s="408"/>
      <c r="AL176" s="408"/>
      <c r="AM176" s="408"/>
      <c r="AN176" s="408"/>
      <c r="AO176" s="408"/>
      <c r="AP176" s="408"/>
      <c r="AQ176" s="408"/>
      <c r="AR176" s="408"/>
      <c r="AS176" s="408"/>
      <c r="AT176" s="408"/>
      <c r="AU176" s="408"/>
      <c r="AV176" s="408"/>
      <c r="AW176" s="408"/>
      <c r="AX176" s="408"/>
      <c r="AY176" s="408"/>
      <c r="AZ176" s="408">
        <v>0</v>
      </c>
      <c r="BA176" s="408"/>
      <c r="BB176" s="408"/>
      <c r="BC176" s="408"/>
      <c r="BD176" s="408"/>
      <c r="BE176" s="408"/>
      <c r="BF176" s="408"/>
      <c r="BG176" s="408"/>
      <c r="BH176" s="408"/>
      <c r="BI176" s="408">
        <v>1.87</v>
      </c>
      <c r="BJ176" s="408">
        <v>8.56</v>
      </c>
      <c r="BK176" s="408">
        <v>182.1</v>
      </c>
      <c r="BL176" s="408">
        <v>2</v>
      </c>
      <c r="BM176" s="408"/>
      <c r="BN176" s="408"/>
      <c r="BO176" s="408"/>
      <c r="BP176" s="408"/>
      <c r="BQ176" s="408"/>
      <c r="BR176" s="408"/>
      <c r="BS176" s="408"/>
      <c r="BT176" s="408"/>
      <c r="BU176" s="408"/>
      <c r="BV176" s="408"/>
      <c r="BW176" s="408"/>
      <c r="BX176" s="408"/>
      <c r="BY176" s="408"/>
      <c r="BZ176" s="408"/>
      <c r="CA176" s="408"/>
      <c r="CB176" s="408"/>
      <c r="CC176" s="408"/>
      <c r="CD176" s="408"/>
      <c r="CE176" s="408"/>
      <c r="CF176" s="408"/>
      <c r="CG176" s="408"/>
      <c r="CH176" s="408"/>
      <c r="CI176" s="408"/>
      <c r="CJ176" s="408">
        <v>-0.03</v>
      </c>
      <c r="CK176" s="408"/>
      <c r="CL176" s="408"/>
      <c r="CM176" s="408"/>
      <c r="CN176" s="408"/>
      <c r="CO176" s="408">
        <v>0</v>
      </c>
      <c r="CP176" s="408">
        <v>0</v>
      </c>
      <c r="CQ176" s="408">
        <v>31</v>
      </c>
      <c r="CR176" s="408"/>
      <c r="CS176" s="408"/>
      <c r="CT176" s="408"/>
      <c r="CU176" s="408"/>
      <c r="CV176" s="408"/>
      <c r="CW176" s="408"/>
      <c r="CX176" s="408"/>
      <c r="CY176" s="408"/>
      <c r="CZ176" s="408"/>
      <c r="DA176" s="408"/>
      <c r="DB176" s="408"/>
      <c r="DC176" s="408"/>
      <c r="DD176" s="408"/>
      <c r="DE176" s="408"/>
      <c r="DF176" s="408"/>
      <c r="DG176" s="408"/>
      <c r="DH176" s="408"/>
      <c r="DI176" s="408"/>
      <c r="DJ176" s="408"/>
      <c r="DK176" s="408">
        <v>0</v>
      </c>
      <c r="DL176" s="408"/>
      <c r="DM176" s="408"/>
      <c r="DN176" s="408"/>
      <c r="DO176" s="408"/>
      <c r="DP176" s="408"/>
      <c r="DQ176" s="408"/>
      <c r="DR176" s="408"/>
      <c r="DS176" s="408"/>
      <c r="DT176" s="408"/>
      <c r="DU176" s="408"/>
      <c r="DV176" s="408"/>
      <c r="DW176" s="408"/>
      <c r="DX176" s="408"/>
      <c r="DY176" s="408"/>
      <c r="DZ176" s="408"/>
      <c r="EA176" s="408"/>
      <c r="EB176" s="408"/>
      <c r="EC176" s="408"/>
      <c r="ED176" s="408"/>
      <c r="EE176" s="408"/>
      <c r="EF176" s="408"/>
      <c r="EG176" s="408"/>
      <c r="EH176" s="408"/>
      <c r="EI176" s="408"/>
      <c r="EJ176" s="408"/>
      <c r="EK176" s="408"/>
      <c r="EL176" s="408"/>
      <c r="EM176" s="408"/>
      <c r="EN176" s="408"/>
      <c r="EO176" s="408"/>
      <c r="EP176" s="408"/>
      <c r="EQ176" s="408"/>
      <c r="ER176" s="408"/>
      <c r="ES176" s="408"/>
      <c r="ET176" s="408"/>
      <c r="EU176" s="408"/>
      <c r="EV176" s="408">
        <v>238</v>
      </c>
      <c r="EW176" s="408"/>
      <c r="EX176" s="408"/>
      <c r="EY176" s="408"/>
      <c r="EZ176" s="408"/>
      <c r="FA176" s="408">
        <v>0</v>
      </c>
      <c r="FB176" s="408"/>
      <c r="FC176" s="408"/>
      <c r="FD176" s="408"/>
      <c r="FE176" s="408"/>
      <c r="FF176" s="408">
        <v>0</v>
      </c>
      <c r="FG176" s="408">
        <v>0</v>
      </c>
      <c r="FH176" s="408">
        <v>0</v>
      </c>
      <c r="FI176" s="408">
        <v>0</v>
      </c>
    </row>
    <row r="177" spans="1:165">
      <c r="A177" s="408">
        <v>181</v>
      </c>
      <c r="B177" s="408" t="s">
        <v>1036</v>
      </c>
      <c r="C177" s="408" t="s">
        <v>2321</v>
      </c>
      <c r="D177" s="408" t="s">
        <v>1955</v>
      </c>
      <c r="E177" s="408" t="s">
        <v>969</v>
      </c>
      <c r="F177" s="408" t="s">
        <v>969</v>
      </c>
      <c r="G177" s="408" t="s">
        <v>1322</v>
      </c>
      <c r="H177" s="408" t="s">
        <v>1322</v>
      </c>
      <c r="I177" s="408" t="s">
        <v>2322</v>
      </c>
      <c r="J177" s="408" t="s">
        <v>2236</v>
      </c>
      <c r="K177" s="824">
        <v>44470</v>
      </c>
      <c r="L177" s="408">
        <v>0</v>
      </c>
      <c r="M177" s="408">
        <v>0</v>
      </c>
      <c r="N177" s="408">
        <v>4.2999999999999997E-2</v>
      </c>
      <c r="O177" s="408">
        <v>4.2999999999999997E-2</v>
      </c>
      <c r="P177" s="408">
        <v>4.2999999999999997E-2</v>
      </c>
      <c r="Q177" s="408">
        <v>4.2999999999999997E-2</v>
      </c>
      <c r="R177" s="408"/>
      <c r="S177" s="408">
        <v>818.26</v>
      </c>
      <c r="T177" s="408">
        <v>209.4</v>
      </c>
      <c r="U177" s="408"/>
      <c r="V177" s="408">
        <v>44.189379999999993</v>
      </c>
      <c r="W177" s="408">
        <v>44.189379999999993</v>
      </c>
      <c r="X177" s="408">
        <v>31.604140000000001</v>
      </c>
      <c r="Y177" s="408">
        <v>0</v>
      </c>
      <c r="Z177" s="408">
        <v>2.6461300214971195</v>
      </c>
      <c r="AA177" s="408">
        <v>0</v>
      </c>
      <c r="AB177" s="408">
        <v>0</v>
      </c>
      <c r="AC177" s="408">
        <v>0</v>
      </c>
      <c r="AD177" s="408">
        <v>4.7853288393300453</v>
      </c>
      <c r="AE177" s="408">
        <v>24.858657266073532</v>
      </c>
      <c r="AF177" s="408">
        <v>8.8859820690140747</v>
      </c>
      <c r="AG177" s="408">
        <v>0.11837749346008142</v>
      </c>
      <c r="AH177" s="408">
        <v>0</v>
      </c>
      <c r="AI177" s="408">
        <v>0</v>
      </c>
      <c r="AJ177" s="408">
        <v>0</v>
      </c>
      <c r="AK177" s="408">
        <v>0</v>
      </c>
      <c r="AL177" s="408">
        <v>0.40891287074035865</v>
      </c>
      <c r="AM177" s="408"/>
      <c r="AN177" s="408">
        <v>7.8387465580641399E-2</v>
      </c>
      <c r="AO177" s="408">
        <v>0.36762202839162916</v>
      </c>
      <c r="AP177" s="408">
        <v>0.55374475309696181</v>
      </c>
      <c r="AQ177" s="408">
        <v>0</v>
      </c>
      <c r="AR177" s="408">
        <v>0</v>
      </c>
      <c r="AS177" s="408">
        <v>0</v>
      </c>
      <c r="AT177" s="408">
        <v>0</v>
      </c>
      <c r="AU177" s="408">
        <v>0</v>
      </c>
      <c r="AV177" s="408">
        <v>0</v>
      </c>
      <c r="AW177" s="408">
        <v>0</v>
      </c>
      <c r="AX177" s="408">
        <v>0</v>
      </c>
      <c r="AY177" s="408">
        <v>0</v>
      </c>
      <c r="AZ177" s="408">
        <v>0</v>
      </c>
      <c r="BA177" s="408"/>
      <c r="BB177" s="408">
        <v>0</v>
      </c>
      <c r="BC177" s="408">
        <v>0</v>
      </c>
      <c r="BD177" s="408">
        <v>0</v>
      </c>
      <c r="BE177" s="408">
        <v>0</v>
      </c>
      <c r="BF177" s="408">
        <v>0</v>
      </c>
      <c r="BG177" s="408">
        <v>1.4866081886698725</v>
      </c>
      <c r="BH177" s="408">
        <v>0</v>
      </c>
      <c r="BI177" s="408">
        <v>0</v>
      </c>
      <c r="BJ177" s="408">
        <v>0</v>
      </c>
      <c r="BK177" s="408">
        <v>0</v>
      </c>
      <c r="BL177" s="408">
        <v>0</v>
      </c>
      <c r="BM177" s="408"/>
      <c r="BN177" s="408"/>
      <c r="BO177" s="408"/>
      <c r="BP177" s="408"/>
      <c r="BQ177" s="408"/>
      <c r="BR177" s="408"/>
      <c r="BS177" s="408"/>
      <c r="BT177" s="408"/>
      <c r="BU177" s="408"/>
      <c r="BV177" s="408">
        <v>10.372590257683948</v>
      </c>
      <c r="BW177" s="408"/>
      <c r="BX177" s="408"/>
      <c r="BY177" s="408"/>
      <c r="BZ177" s="408"/>
      <c r="CA177" s="408"/>
      <c r="CB177" s="408"/>
      <c r="CC177" s="408"/>
      <c r="CD177" s="408"/>
      <c r="CE177" s="408"/>
      <c r="CF177" s="408"/>
      <c r="CG177" s="408"/>
      <c r="CH177" s="408"/>
      <c r="CI177" s="408">
        <v>29.3992</v>
      </c>
      <c r="CJ177" s="408">
        <v>-14.820179999999986</v>
      </c>
      <c r="CK177" s="408"/>
      <c r="CL177" s="408"/>
      <c r="CM177" s="408"/>
      <c r="CN177" s="408"/>
      <c r="CO177" s="408">
        <v>-13.566929999999999</v>
      </c>
      <c r="CP177" s="408">
        <v>0.98168999999999929</v>
      </c>
      <c r="CQ177" s="408">
        <v>31</v>
      </c>
      <c r="CR177" s="408">
        <v>1.3597579603106382</v>
      </c>
      <c r="CS177" s="408">
        <v>4.438375394459132E-2</v>
      </c>
      <c r="CT177" s="408">
        <v>6.6854728420631671E-2</v>
      </c>
      <c r="CU177" s="408">
        <v>0</v>
      </c>
      <c r="CV177" s="408">
        <v>0</v>
      </c>
      <c r="CW177" s="408">
        <v>0</v>
      </c>
      <c r="CX177" s="408">
        <v>0</v>
      </c>
      <c r="CY177" s="408">
        <v>0</v>
      </c>
      <c r="CZ177" s="408">
        <v>0.15687474459752337</v>
      </c>
      <c r="DA177" s="408">
        <v>0</v>
      </c>
      <c r="DB177" s="408">
        <v>0</v>
      </c>
      <c r="DC177" s="408">
        <v>0.98139261743347816</v>
      </c>
      <c r="DD177" s="408">
        <v>0</v>
      </c>
      <c r="DE177" s="408">
        <v>0</v>
      </c>
      <c r="DF177" s="408">
        <v>0</v>
      </c>
      <c r="DG177" s="408">
        <v>0.1641851502789029</v>
      </c>
      <c r="DH177" s="408">
        <v>0</v>
      </c>
      <c r="DI177" s="408">
        <v>-4.612766357199849E-2</v>
      </c>
      <c r="DJ177" s="408"/>
      <c r="DK177" s="408">
        <v>0</v>
      </c>
      <c r="DL177" s="408">
        <v>0</v>
      </c>
      <c r="DM177" s="408">
        <v>0</v>
      </c>
      <c r="DN177" s="408">
        <v>0</v>
      </c>
      <c r="DO177" s="408">
        <v>-5.9930156091563269E-3</v>
      </c>
      <c r="DP177" s="408">
        <v>-1.8123551833337387E-3</v>
      </c>
      <c r="DQ177" s="408">
        <v>0</v>
      </c>
      <c r="DR177" s="408">
        <v>0</v>
      </c>
      <c r="DS177" s="408"/>
      <c r="DT177" s="408"/>
      <c r="DU177" s="408"/>
      <c r="DV177" s="408">
        <v>24.858657266073532</v>
      </c>
      <c r="DW177" s="408">
        <v>0</v>
      </c>
      <c r="DX177" s="408">
        <v>0</v>
      </c>
      <c r="DY177" s="408">
        <v>-13.566929999999996</v>
      </c>
      <c r="DZ177" s="408">
        <v>0.9816900000000004</v>
      </c>
      <c r="EA177" s="408">
        <v>0</v>
      </c>
      <c r="EB177" s="408">
        <v>0</v>
      </c>
      <c r="EC177" s="408">
        <v>-13.945450662093899</v>
      </c>
      <c r="ED177" s="408">
        <v>0</v>
      </c>
      <c r="EE177" s="408">
        <v>0</v>
      </c>
      <c r="EF177" s="408">
        <v>0</v>
      </c>
      <c r="EG177" s="408">
        <v>0</v>
      </c>
      <c r="EH177" s="408">
        <v>0</v>
      </c>
      <c r="EI177" s="408">
        <v>0</v>
      </c>
      <c r="EJ177" s="408">
        <v>0</v>
      </c>
      <c r="EK177" s="408">
        <v>0</v>
      </c>
      <c r="EL177" s="408">
        <v>0</v>
      </c>
      <c r="EM177" s="408">
        <v>0</v>
      </c>
      <c r="EN177" s="408">
        <v>0</v>
      </c>
      <c r="EO177" s="408">
        <v>0</v>
      </c>
      <c r="EP177" s="408">
        <v>0</v>
      </c>
      <c r="EQ177" s="408">
        <v>0</v>
      </c>
      <c r="ER177" s="408">
        <v>0</v>
      </c>
      <c r="ES177" s="408">
        <v>0</v>
      </c>
      <c r="ET177" s="408">
        <v>0</v>
      </c>
      <c r="EU177" s="408">
        <v>0</v>
      </c>
      <c r="EV177" s="408">
        <v>238</v>
      </c>
      <c r="EW177" s="408">
        <v>0</v>
      </c>
      <c r="EX177" s="408">
        <v>0</v>
      </c>
      <c r="EY177" s="408">
        <v>0</v>
      </c>
      <c r="EZ177" s="408"/>
      <c r="FA177" s="408">
        <v>0</v>
      </c>
      <c r="FB177" s="408"/>
      <c r="FC177" s="408"/>
      <c r="FD177" s="408"/>
      <c r="FE177" s="408"/>
      <c r="FF177" s="408">
        <v>0</v>
      </c>
      <c r="FG177" s="408">
        <v>0</v>
      </c>
      <c r="FH177" s="408">
        <v>0</v>
      </c>
      <c r="FI177" s="408">
        <v>0</v>
      </c>
    </row>
    <row r="178" spans="1:165">
      <c r="A178" s="408">
        <v>182</v>
      </c>
      <c r="B178" s="408" t="s">
        <v>1036</v>
      </c>
      <c r="C178" s="408" t="s">
        <v>2235</v>
      </c>
      <c r="D178" s="408" t="s">
        <v>1958</v>
      </c>
      <c r="E178" s="408" t="s">
        <v>970</v>
      </c>
      <c r="F178" s="408" t="s">
        <v>1322</v>
      </c>
      <c r="G178" s="408" t="s">
        <v>1322</v>
      </c>
      <c r="H178" s="408" t="s">
        <v>1322</v>
      </c>
      <c r="I178" s="408" t="s">
        <v>1322</v>
      </c>
      <c r="J178" s="408" t="s">
        <v>2236</v>
      </c>
      <c r="K178" s="824">
        <v>44470</v>
      </c>
      <c r="L178" s="408">
        <v>0</v>
      </c>
      <c r="M178" s="408">
        <v>0</v>
      </c>
      <c r="N178" s="408">
        <v>6.6239999999999997</v>
      </c>
      <c r="O178" s="408">
        <v>6.6239999999999997</v>
      </c>
      <c r="P178" s="408">
        <v>6.6239999999999997</v>
      </c>
      <c r="Q178" s="408">
        <v>6.6239999999999997</v>
      </c>
      <c r="R178" s="408"/>
      <c r="S178" s="408">
        <v>581.32000000000005</v>
      </c>
      <c r="T178" s="408">
        <v>209.4</v>
      </c>
      <c r="U178" s="408"/>
      <c r="V178" s="408">
        <v>5237.7292799999996</v>
      </c>
      <c r="W178" s="408">
        <v>5237.7292799999996</v>
      </c>
      <c r="X178" s="408">
        <v>4001.3596799999996</v>
      </c>
      <c r="Y178" s="408">
        <v>0</v>
      </c>
      <c r="Z178" s="408">
        <v>407.62709912550974</v>
      </c>
      <c r="AA178" s="408">
        <v>0</v>
      </c>
      <c r="AB178" s="408">
        <v>0</v>
      </c>
      <c r="AC178" s="408">
        <v>0</v>
      </c>
      <c r="AD178" s="408">
        <v>491.44214312747516</v>
      </c>
      <c r="AE178" s="408">
        <v>2552.9247859580419</v>
      </c>
      <c r="AF178" s="408">
        <v>1368.8545401197496</v>
      </c>
      <c r="AG178" s="408">
        <v>18.235639922780916</v>
      </c>
      <c r="AH178" s="408">
        <v>0</v>
      </c>
      <c r="AI178" s="408">
        <v>0</v>
      </c>
      <c r="AJ178" s="408">
        <v>0</v>
      </c>
      <c r="AK178" s="408">
        <v>0</v>
      </c>
      <c r="AL178" s="408">
        <v>62.991601297305479</v>
      </c>
      <c r="AM178" s="408"/>
      <c r="AN178" s="408">
        <v>12.075315628050435</v>
      </c>
      <c r="AO178" s="408">
        <v>37.753360653998769</v>
      </c>
      <c r="AP178" s="408">
        <v>56.868298364562584</v>
      </c>
      <c r="AQ178" s="408">
        <v>0</v>
      </c>
      <c r="AR178" s="408">
        <v>0</v>
      </c>
      <c r="AS178" s="408">
        <v>0</v>
      </c>
      <c r="AT178" s="408">
        <v>0</v>
      </c>
      <c r="AU178" s="408">
        <v>0</v>
      </c>
      <c r="AV178" s="408">
        <v>0</v>
      </c>
      <c r="AW178" s="408">
        <v>0</v>
      </c>
      <c r="AX178" s="408">
        <v>0</v>
      </c>
      <c r="AY178" s="408">
        <v>0</v>
      </c>
      <c r="AZ178" s="408">
        <v>0</v>
      </c>
      <c r="BA178" s="408"/>
      <c r="BB178" s="408">
        <v>0</v>
      </c>
      <c r="BC178" s="408">
        <v>0</v>
      </c>
      <c r="BD178" s="408">
        <v>0</v>
      </c>
      <c r="BE178" s="408">
        <v>0</v>
      </c>
      <c r="BF178" s="408">
        <v>0</v>
      </c>
      <c r="BG178" s="408">
        <v>229.00680562207526</v>
      </c>
      <c r="BH178" s="408">
        <v>0</v>
      </c>
      <c r="BI178" s="408">
        <v>18.93</v>
      </c>
      <c r="BJ178" s="408">
        <v>86.27</v>
      </c>
      <c r="BK178" s="408">
        <v>1070.56</v>
      </c>
      <c r="BL178" s="408">
        <v>6</v>
      </c>
      <c r="BM178" s="408"/>
      <c r="BN178" s="408"/>
      <c r="BO178" s="408"/>
      <c r="BP178" s="408"/>
      <c r="BQ178" s="408"/>
      <c r="BR178" s="408"/>
      <c r="BS178" s="408"/>
      <c r="BT178" s="408"/>
      <c r="BU178" s="408"/>
      <c r="BV178" s="408">
        <v>1597.8613457418248</v>
      </c>
      <c r="BW178" s="408"/>
      <c r="BX178" s="408"/>
      <c r="BY178" s="408"/>
      <c r="BZ178" s="408"/>
      <c r="CA178" s="408"/>
      <c r="CB178" s="408"/>
      <c r="CC178" s="408"/>
      <c r="CD178" s="408"/>
      <c r="CE178" s="408"/>
      <c r="CF178" s="408"/>
      <c r="CG178" s="408"/>
      <c r="CH178" s="408"/>
      <c r="CI178" s="408">
        <v>3998.9433999999997</v>
      </c>
      <c r="CJ178" s="408">
        <v>-1238.8158800000006</v>
      </c>
      <c r="CK178" s="408"/>
      <c r="CL178" s="408"/>
      <c r="CM178" s="408"/>
      <c r="CN178" s="408"/>
      <c r="CO178" s="408">
        <v>-1387.5955200000005</v>
      </c>
      <c r="CP178" s="408">
        <v>151.22591999999989</v>
      </c>
      <c r="CQ178" s="408">
        <v>31</v>
      </c>
      <c r="CR178" s="408">
        <v>195.69859957707422</v>
      </c>
      <c r="CS178" s="408">
        <v>4.5580398899911714</v>
      </c>
      <c r="CT178" s="408">
        <v>6.8658251326862327</v>
      </c>
      <c r="CU178" s="408">
        <v>0</v>
      </c>
      <c r="CV178" s="408">
        <v>0</v>
      </c>
      <c r="CW178" s="408">
        <v>0</v>
      </c>
      <c r="CX178" s="408">
        <v>0</v>
      </c>
      <c r="CY178" s="408">
        <v>0</v>
      </c>
      <c r="CZ178" s="408">
        <v>16.110671445177331</v>
      </c>
      <c r="DA178" s="408">
        <v>0</v>
      </c>
      <c r="DB178" s="408">
        <v>0</v>
      </c>
      <c r="DC178" s="408">
        <v>151.1801092530086</v>
      </c>
      <c r="DD178" s="408">
        <v>0</v>
      </c>
      <c r="DE178" s="408">
        <v>0</v>
      </c>
      <c r="DF178" s="408">
        <v>0</v>
      </c>
      <c r="DG178" s="408">
        <v>25.292149661568686</v>
      </c>
      <c r="DH178" s="408">
        <v>0</v>
      </c>
      <c r="DI178" s="408">
        <v>-7.1058056628120312</v>
      </c>
      <c r="DJ178" s="408"/>
      <c r="DK178" s="408">
        <v>0</v>
      </c>
      <c r="DL178" s="408">
        <v>0</v>
      </c>
      <c r="DM178" s="408">
        <v>0</v>
      </c>
      <c r="DN178" s="408">
        <v>0</v>
      </c>
      <c r="DO178" s="408">
        <v>-0.9232031487221235</v>
      </c>
      <c r="DP178" s="408">
        <v>-0.2791869938233198</v>
      </c>
      <c r="DQ178" s="408">
        <v>0</v>
      </c>
      <c r="DR178" s="408">
        <v>0</v>
      </c>
      <c r="DS178" s="408"/>
      <c r="DT178" s="408"/>
      <c r="DU178" s="408"/>
      <c r="DV178" s="408">
        <v>2552.9247859580419</v>
      </c>
      <c r="DW178" s="408">
        <v>0</v>
      </c>
      <c r="DX178" s="408">
        <v>0</v>
      </c>
      <c r="DY178" s="408">
        <v>-1387.5955200000003</v>
      </c>
      <c r="DZ178" s="408">
        <v>151.22591999999986</v>
      </c>
      <c r="EA178" s="408">
        <v>0</v>
      </c>
      <c r="EB178" s="408">
        <v>0</v>
      </c>
      <c r="EC178" s="408">
        <v>-1432.1645077428525</v>
      </c>
      <c r="ED178" s="408">
        <v>0</v>
      </c>
      <c r="EE178" s="408">
        <v>0</v>
      </c>
      <c r="EF178" s="408">
        <v>0</v>
      </c>
      <c r="EG178" s="408">
        <v>0</v>
      </c>
      <c r="EH178" s="408">
        <v>0</v>
      </c>
      <c r="EI178" s="408">
        <v>0</v>
      </c>
      <c r="EJ178" s="408">
        <v>0</v>
      </c>
      <c r="EK178" s="408">
        <v>0</v>
      </c>
      <c r="EL178" s="408">
        <v>0</v>
      </c>
      <c r="EM178" s="408">
        <v>0</v>
      </c>
      <c r="EN178" s="408">
        <v>0</v>
      </c>
      <c r="EO178" s="408">
        <v>0</v>
      </c>
      <c r="EP178" s="408">
        <v>0</v>
      </c>
      <c r="EQ178" s="408">
        <v>0</v>
      </c>
      <c r="ER178" s="408">
        <v>0</v>
      </c>
      <c r="ES178" s="408">
        <v>0</v>
      </c>
      <c r="ET178" s="408">
        <v>0</v>
      </c>
      <c r="EU178" s="408">
        <v>0</v>
      </c>
      <c r="EV178" s="408">
        <v>238</v>
      </c>
      <c r="EW178" s="408">
        <v>0</v>
      </c>
      <c r="EX178" s="408">
        <v>0</v>
      </c>
      <c r="EY178" s="408">
        <v>0</v>
      </c>
      <c r="EZ178" s="408"/>
      <c r="FA178" s="408">
        <v>0</v>
      </c>
      <c r="FB178" s="408"/>
      <c r="FC178" s="408"/>
      <c r="FD178" s="408"/>
      <c r="FE178" s="408"/>
      <c r="FF178" s="408">
        <v>0</v>
      </c>
      <c r="FG178" s="408">
        <v>0</v>
      </c>
      <c r="FH178" s="408">
        <v>0</v>
      </c>
      <c r="FI178" s="408">
        <v>0</v>
      </c>
    </row>
    <row r="179" spans="1:165">
      <c r="A179" s="408">
        <v>183</v>
      </c>
      <c r="B179" s="408" t="s">
        <v>2238</v>
      </c>
      <c r="C179" s="408" t="s">
        <v>2235</v>
      </c>
      <c r="D179" s="408" t="s">
        <v>1958</v>
      </c>
      <c r="E179" s="408" t="s">
        <v>970</v>
      </c>
      <c r="F179" s="408" t="s">
        <v>1322</v>
      </c>
      <c r="G179" s="408" t="s">
        <v>1322</v>
      </c>
      <c r="H179" s="408" t="s">
        <v>1322</v>
      </c>
      <c r="I179" s="408" t="s">
        <v>1322</v>
      </c>
      <c r="J179" s="408" t="s">
        <v>2236</v>
      </c>
      <c r="K179" s="824">
        <v>44470</v>
      </c>
      <c r="L179" s="408">
        <v>0</v>
      </c>
      <c r="M179" s="408">
        <v>0</v>
      </c>
      <c r="N179" s="408">
        <v>1.552</v>
      </c>
      <c r="O179" s="408">
        <v>1.552</v>
      </c>
      <c r="P179" s="408">
        <v>1.552</v>
      </c>
      <c r="Q179" s="408">
        <v>1.552</v>
      </c>
      <c r="R179" s="408"/>
      <c r="S179" s="408">
        <v>581.32000000000005</v>
      </c>
      <c r="T179" s="408">
        <v>209.4</v>
      </c>
      <c r="U179" s="408"/>
      <c r="V179" s="408">
        <v>1227.1974400000001</v>
      </c>
      <c r="W179" s="408">
        <v>1227.1974400000001</v>
      </c>
      <c r="X179" s="408">
        <v>937.51664000000005</v>
      </c>
      <c r="Y179" s="408">
        <v>0</v>
      </c>
      <c r="Z179" s="408">
        <v>95.506832403803017</v>
      </c>
      <c r="AA179" s="408">
        <v>0</v>
      </c>
      <c r="AB179" s="408">
        <v>0</v>
      </c>
      <c r="AC179" s="408">
        <v>0</v>
      </c>
      <c r="AD179" s="408">
        <v>115.14465672310411</v>
      </c>
      <c r="AE179" s="408">
        <v>598.14904405297113</v>
      </c>
      <c r="AF179" s="408">
        <v>320.72195746767079</v>
      </c>
      <c r="AG179" s="408">
        <v>4.2726016244196829</v>
      </c>
      <c r="AH179" s="408">
        <v>0</v>
      </c>
      <c r="AI179" s="408">
        <v>0</v>
      </c>
      <c r="AJ179" s="408">
        <v>0</v>
      </c>
      <c r="AK179" s="408">
        <v>0</v>
      </c>
      <c r="AL179" s="408">
        <v>14.758901753233411</v>
      </c>
      <c r="AM179" s="408"/>
      <c r="AN179" s="408">
        <v>2.8292406181664065</v>
      </c>
      <c r="AO179" s="408">
        <v>8.8455941628934305</v>
      </c>
      <c r="AP179" s="408">
        <v>13.324214834209108</v>
      </c>
      <c r="AQ179" s="408">
        <v>0</v>
      </c>
      <c r="AR179" s="408">
        <v>0</v>
      </c>
      <c r="AS179" s="408">
        <v>0</v>
      </c>
      <c r="AT179" s="408">
        <v>0</v>
      </c>
      <c r="AU179" s="408">
        <v>0</v>
      </c>
      <c r="AV179" s="408">
        <v>0</v>
      </c>
      <c r="AW179" s="408">
        <v>0</v>
      </c>
      <c r="AX179" s="408">
        <v>0</v>
      </c>
      <c r="AY179" s="408">
        <v>0</v>
      </c>
      <c r="AZ179" s="408">
        <v>0</v>
      </c>
      <c r="BA179" s="408"/>
      <c r="BB179" s="408">
        <v>0</v>
      </c>
      <c r="BC179" s="408">
        <v>0</v>
      </c>
      <c r="BD179" s="408">
        <v>0</v>
      </c>
      <c r="BE179" s="408">
        <v>0</v>
      </c>
      <c r="BF179" s="408">
        <v>0</v>
      </c>
      <c r="BG179" s="408">
        <v>53.656183925945172</v>
      </c>
      <c r="BH179" s="408">
        <v>0</v>
      </c>
      <c r="BI179" s="408">
        <v>4.43</v>
      </c>
      <c r="BJ179" s="408">
        <v>20.2</v>
      </c>
      <c r="BK179" s="408">
        <v>376.78</v>
      </c>
      <c r="BL179" s="408">
        <v>3</v>
      </c>
      <c r="BM179" s="408"/>
      <c r="BN179" s="408"/>
      <c r="BO179" s="408"/>
      <c r="BP179" s="408"/>
      <c r="BQ179" s="408"/>
      <c r="BR179" s="408"/>
      <c r="BS179" s="408"/>
      <c r="BT179" s="408"/>
      <c r="BU179" s="408"/>
      <c r="BV179" s="408">
        <v>374.37814139361598</v>
      </c>
      <c r="BW179" s="408"/>
      <c r="BX179" s="408"/>
      <c r="BY179" s="408"/>
      <c r="BZ179" s="408"/>
      <c r="CA179" s="408"/>
      <c r="CB179" s="408"/>
      <c r="CC179" s="408"/>
      <c r="CD179" s="408"/>
      <c r="CE179" s="408"/>
      <c r="CF179" s="408"/>
      <c r="CG179" s="408"/>
      <c r="CH179" s="408"/>
      <c r="CI179" s="408">
        <v>936.30849999999998</v>
      </c>
      <c r="CJ179" s="408">
        <v>-290.91894000000013</v>
      </c>
      <c r="CK179" s="408"/>
      <c r="CL179" s="408"/>
      <c r="CM179" s="408"/>
      <c r="CN179" s="408"/>
      <c r="CO179" s="408">
        <v>-325.1129600000001</v>
      </c>
      <c r="CP179" s="408">
        <v>35.432159999999975</v>
      </c>
      <c r="CQ179" s="408">
        <v>31</v>
      </c>
      <c r="CR179" s="408">
        <v>45.852087340522075</v>
      </c>
      <c r="CS179" s="408">
        <v>1.0679465442732958</v>
      </c>
      <c r="CT179" s="408">
        <v>1.6086595117646496</v>
      </c>
      <c r="CU179" s="408">
        <v>0</v>
      </c>
      <c r="CV179" s="408">
        <v>0</v>
      </c>
      <c r="CW179" s="408">
        <v>0</v>
      </c>
      <c r="CX179" s="408">
        <v>0</v>
      </c>
      <c r="CY179" s="408">
        <v>0</v>
      </c>
      <c r="CZ179" s="408">
        <v>3.7747225366719732</v>
      </c>
      <c r="DA179" s="408">
        <v>0</v>
      </c>
      <c r="DB179" s="408">
        <v>0</v>
      </c>
      <c r="DC179" s="408">
        <v>35.421426564110732</v>
      </c>
      <c r="DD179" s="408">
        <v>0</v>
      </c>
      <c r="DE179" s="408">
        <v>0</v>
      </c>
      <c r="DF179" s="408">
        <v>0</v>
      </c>
      <c r="DG179" s="408">
        <v>5.9259384472757546</v>
      </c>
      <c r="DH179" s="408">
        <v>0</v>
      </c>
      <c r="DI179" s="408">
        <v>-1.6648868340405016</v>
      </c>
      <c r="DJ179" s="408"/>
      <c r="DK179" s="408">
        <v>0</v>
      </c>
      <c r="DL179" s="408">
        <v>0</v>
      </c>
      <c r="DM179" s="408">
        <v>0</v>
      </c>
      <c r="DN179" s="408">
        <v>0</v>
      </c>
      <c r="DO179" s="408">
        <v>-0.21630605175373496</v>
      </c>
      <c r="DP179" s="408">
        <v>-6.5413377779860227E-2</v>
      </c>
      <c r="DQ179" s="408">
        <v>0</v>
      </c>
      <c r="DR179" s="408">
        <v>0</v>
      </c>
      <c r="DS179" s="408"/>
      <c r="DT179" s="408"/>
      <c r="DU179" s="408"/>
      <c r="DV179" s="408">
        <v>598.14904405297113</v>
      </c>
      <c r="DW179" s="408">
        <v>0</v>
      </c>
      <c r="DX179" s="408">
        <v>0</v>
      </c>
      <c r="DY179" s="408">
        <v>-325.11296000000004</v>
      </c>
      <c r="DZ179" s="408">
        <v>35.432159999999953</v>
      </c>
      <c r="EA179" s="408">
        <v>0</v>
      </c>
      <c r="EB179" s="408">
        <v>0</v>
      </c>
      <c r="EC179" s="408">
        <v>-335.55545229723833</v>
      </c>
      <c r="ED179" s="408">
        <v>0</v>
      </c>
      <c r="EE179" s="408">
        <v>0</v>
      </c>
      <c r="EF179" s="408">
        <v>0</v>
      </c>
      <c r="EG179" s="408">
        <v>0</v>
      </c>
      <c r="EH179" s="408">
        <v>0</v>
      </c>
      <c r="EI179" s="408">
        <v>0</v>
      </c>
      <c r="EJ179" s="408">
        <v>0</v>
      </c>
      <c r="EK179" s="408">
        <v>0</v>
      </c>
      <c r="EL179" s="408">
        <v>0</v>
      </c>
      <c r="EM179" s="408">
        <v>0</v>
      </c>
      <c r="EN179" s="408">
        <v>0</v>
      </c>
      <c r="EO179" s="408">
        <v>0</v>
      </c>
      <c r="EP179" s="408">
        <v>0</v>
      </c>
      <c r="EQ179" s="408">
        <v>0</v>
      </c>
      <c r="ER179" s="408">
        <v>0</v>
      </c>
      <c r="ES179" s="408">
        <v>0</v>
      </c>
      <c r="ET179" s="408">
        <v>0</v>
      </c>
      <c r="EU179" s="408">
        <v>0</v>
      </c>
      <c r="EV179" s="408">
        <v>238</v>
      </c>
      <c r="EW179" s="408">
        <v>0</v>
      </c>
      <c r="EX179" s="408">
        <v>0</v>
      </c>
      <c r="EY179" s="408">
        <v>0</v>
      </c>
      <c r="EZ179" s="408"/>
      <c r="FA179" s="408">
        <v>0</v>
      </c>
      <c r="FB179" s="408"/>
      <c r="FC179" s="408"/>
      <c r="FD179" s="408"/>
      <c r="FE179" s="408"/>
      <c r="FF179" s="408">
        <v>0</v>
      </c>
      <c r="FG179" s="408">
        <v>0</v>
      </c>
      <c r="FH179" s="408">
        <v>0</v>
      </c>
      <c r="FI179" s="408">
        <v>0</v>
      </c>
    </row>
    <row r="180" spans="1:165">
      <c r="A180" s="408">
        <v>184</v>
      </c>
      <c r="B180" s="408" t="s">
        <v>1036</v>
      </c>
      <c r="C180" s="408" t="s">
        <v>2243</v>
      </c>
      <c r="D180" s="408" t="s">
        <v>597</v>
      </c>
      <c r="E180" s="408" t="s">
        <v>970</v>
      </c>
      <c r="F180" s="408" t="s">
        <v>1322</v>
      </c>
      <c r="G180" s="408" t="s">
        <v>1322</v>
      </c>
      <c r="H180" s="408" t="s">
        <v>1322</v>
      </c>
      <c r="I180" s="408" t="s">
        <v>973</v>
      </c>
      <c r="J180" s="408" t="s">
        <v>2236</v>
      </c>
      <c r="K180" s="824">
        <v>44470</v>
      </c>
      <c r="L180" s="408">
        <v>0</v>
      </c>
      <c r="M180" s="408">
        <v>0</v>
      </c>
      <c r="N180" s="408">
        <v>6.1609999999999996</v>
      </c>
      <c r="O180" s="408">
        <v>6.1609999999999996</v>
      </c>
      <c r="P180" s="408">
        <v>6.1609999999999996</v>
      </c>
      <c r="Q180" s="408">
        <v>6.1609999999999996</v>
      </c>
      <c r="R180" s="408"/>
      <c r="S180" s="408">
        <v>1614.19</v>
      </c>
      <c r="T180" s="408">
        <v>209.4</v>
      </c>
      <c r="U180" s="408"/>
      <c r="V180" s="408">
        <v>11235.137989999999</v>
      </c>
      <c r="W180" s="408">
        <v>11235.137989999999</v>
      </c>
      <c r="X180" s="408">
        <v>7468.0561499999985</v>
      </c>
      <c r="Y180" s="408">
        <v>0</v>
      </c>
      <c r="Z180" s="408">
        <v>329.84749172851338</v>
      </c>
      <c r="AA180" s="408">
        <v>0</v>
      </c>
      <c r="AB180" s="408">
        <v>0</v>
      </c>
      <c r="AC180" s="408">
        <v>0</v>
      </c>
      <c r="AD180" s="408">
        <v>1918.6462385093655</v>
      </c>
      <c r="AE180" s="408">
        <v>7164.2363920530797</v>
      </c>
      <c r="AF180" s="408">
        <v>1273.175244818505</v>
      </c>
      <c r="AG180" s="408">
        <v>16.961017144361897</v>
      </c>
      <c r="AH180" s="408">
        <v>0</v>
      </c>
      <c r="AI180" s="408">
        <v>0</v>
      </c>
      <c r="AJ180" s="408">
        <v>0</v>
      </c>
      <c r="AK180" s="408">
        <v>0</v>
      </c>
      <c r="AL180" s="408">
        <v>58.588655735612782</v>
      </c>
      <c r="AM180" s="408"/>
      <c r="AN180" s="408">
        <v>8.1808487847185258</v>
      </c>
      <c r="AO180" s="408">
        <v>149.06493522159468</v>
      </c>
      <c r="AP180" s="408">
        <v>222.03445432334283</v>
      </c>
      <c r="AQ180" s="408">
        <v>0</v>
      </c>
      <c r="AR180" s="408">
        <v>0</v>
      </c>
      <c r="AS180" s="408">
        <v>0</v>
      </c>
      <c r="AT180" s="408">
        <v>0</v>
      </c>
      <c r="AU180" s="408">
        <v>0</v>
      </c>
      <c r="AV180" s="408">
        <v>0</v>
      </c>
      <c r="AW180" s="408">
        <v>0</v>
      </c>
      <c r="AX180" s="408">
        <v>0</v>
      </c>
      <c r="AY180" s="408">
        <v>0</v>
      </c>
      <c r="AZ180" s="408">
        <v>0</v>
      </c>
      <c r="BA180" s="408"/>
      <c r="BB180" s="408">
        <v>0</v>
      </c>
      <c r="BC180" s="408">
        <v>0</v>
      </c>
      <c r="BD180" s="408">
        <v>0</v>
      </c>
      <c r="BE180" s="408">
        <v>0</v>
      </c>
      <c r="BF180" s="408">
        <v>0</v>
      </c>
      <c r="BG180" s="408">
        <v>94.413852421480115</v>
      </c>
      <c r="BH180" s="408">
        <v>0</v>
      </c>
      <c r="BI180" s="408">
        <v>0</v>
      </c>
      <c r="BJ180" s="408">
        <v>0</v>
      </c>
      <c r="BK180" s="408">
        <v>0</v>
      </c>
      <c r="BL180" s="408">
        <v>0</v>
      </c>
      <c r="BM180" s="408"/>
      <c r="BN180" s="408"/>
      <c r="BO180" s="408"/>
      <c r="BP180" s="408"/>
      <c r="BQ180" s="408"/>
      <c r="BR180" s="408"/>
      <c r="BS180" s="408"/>
      <c r="BT180" s="408"/>
      <c r="BU180" s="408"/>
      <c r="BV180" s="408">
        <v>1367.5890972399852</v>
      </c>
      <c r="BW180" s="408"/>
      <c r="BX180" s="408"/>
      <c r="BY180" s="408"/>
      <c r="BZ180" s="408"/>
      <c r="CA180" s="408"/>
      <c r="CB180" s="408"/>
      <c r="CC180" s="408"/>
      <c r="CD180" s="408"/>
      <c r="CE180" s="408"/>
      <c r="CF180" s="408"/>
      <c r="CG180" s="408"/>
      <c r="CH180" s="408"/>
      <c r="CI180" s="408">
        <v>7466.8440000000001</v>
      </c>
      <c r="CJ180" s="408">
        <v>-3768.3239899999999</v>
      </c>
      <c r="CK180" s="408"/>
      <c r="CL180" s="408"/>
      <c r="CM180" s="408"/>
      <c r="CN180" s="408"/>
      <c r="CO180" s="408">
        <v>-3907.7374700000005</v>
      </c>
      <c r="CP180" s="408">
        <v>140.65562999999989</v>
      </c>
      <c r="CQ180" s="408">
        <v>31</v>
      </c>
      <c r="CR180" s="408">
        <v>251.9440730572519</v>
      </c>
      <c r="CS180" s="408">
        <v>17.996912305792222</v>
      </c>
      <c r="CT180" s="408">
        <v>26.806670511623139</v>
      </c>
      <c r="CU180" s="408">
        <v>0</v>
      </c>
      <c r="CV180" s="408">
        <v>0</v>
      </c>
      <c r="CW180" s="408">
        <v>0</v>
      </c>
      <c r="CX180" s="408">
        <v>0</v>
      </c>
      <c r="CY180" s="408">
        <v>0</v>
      </c>
      <c r="CZ180" s="408">
        <v>62.897900801585592</v>
      </c>
      <c r="DA180" s="408">
        <v>0</v>
      </c>
      <c r="DB180" s="408">
        <v>0</v>
      </c>
      <c r="DC180" s="408">
        <v>140.61302130250374</v>
      </c>
      <c r="DD180" s="408">
        <v>0</v>
      </c>
      <c r="DE180" s="408">
        <v>0</v>
      </c>
      <c r="DF180" s="408">
        <v>0</v>
      </c>
      <c r="DG180" s="408">
        <v>10.427328913142162</v>
      </c>
      <c r="DH180" s="408">
        <v>0</v>
      </c>
      <c r="DI180" s="408">
        <v>-5.7499419926132873</v>
      </c>
      <c r="DJ180" s="408"/>
      <c r="DK180" s="408">
        <v>0</v>
      </c>
      <c r="DL180" s="408">
        <v>0</v>
      </c>
      <c r="DM180" s="408">
        <v>0</v>
      </c>
      <c r="DN180" s="408">
        <v>0</v>
      </c>
      <c r="DO180" s="408">
        <v>-0.85867370158167233</v>
      </c>
      <c r="DP180" s="408">
        <v>-0.18914508319962131</v>
      </c>
      <c r="DQ180" s="408">
        <v>0</v>
      </c>
      <c r="DR180" s="408">
        <v>0</v>
      </c>
      <c r="DS180" s="408"/>
      <c r="DT180" s="408"/>
      <c r="DU180" s="408"/>
      <c r="DV180" s="408">
        <v>7164.2363920530797</v>
      </c>
      <c r="DW180" s="408">
        <v>0</v>
      </c>
      <c r="DX180" s="408">
        <v>0</v>
      </c>
      <c r="DY180" s="408">
        <v>-3907.73747</v>
      </c>
      <c r="DZ180" s="408">
        <v>140.65562999999997</v>
      </c>
      <c r="EA180" s="408">
        <v>0</v>
      </c>
      <c r="EB180" s="408">
        <v>0</v>
      </c>
      <c r="EC180" s="408">
        <v>-4019.0628185419646</v>
      </c>
      <c r="ED180" s="408">
        <v>0</v>
      </c>
      <c r="EE180" s="408">
        <v>0</v>
      </c>
      <c r="EF180" s="408">
        <v>0</v>
      </c>
      <c r="EG180" s="408">
        <v>0</v>
      </c>
      <c r="EH180" s="408">
        <v>0</v>
      </c>
      <c r="EI180" s="408">
        <v>0</v>
      </c>
      <c r="EJ180" s="408">
        <v>0</v>
      </c>
      <c r="EK180" s="408">
        <v>0</v>
      </c>
      <c r="EL180" s="408">
        <v>0</v>
      </c>
      <c r="EM180" s="408">
        <v>0</v>
      </c>
      <c r="EN180" s="408">
        <v>0</v>
      </c>
      <c r="EO180" s="408">
        <v>0</v>
      </c>
      <c r="EP180" s="408">
        <v>0</v>
      </c>
      <c r="EQ180" s="408">
        <v>0</v>
      </c>
      <c r="ER180" s="408">
        <v>0</v>
      </c>
      <c r="ES180" s="408">
        <v>0</v>
      </c>
      <c r="ET180" s="408">
        <v>0</v>
      </c>
      <c r="EU180" s="408">
        <v>0</v>
      </c>
      <c r="EV180" s="408">
        <v>238</v>
      </c>
      <c r="EW180" s="408">
        <v>0</v>
      </c>
      <c r="EX180" s="408">
        <v>0</v>
      </c>
      <c r="EY180" s="408">
        <v>0</v>
      </c>
      <c r="EZ180" s="408"/>
      <c r="FA180" s="408">
        <v>0</v>
      </c>
      <c r="FB180" s="408"/>
      <c r="FC180" s="408"/>
      <c r="FD180" s="408"/>
      <c r="FE180" s="408"/>
      <c r="FF180" s="408">
        <v>0</v>
      </c>
      <c r="FG180" s="408">
        <v>0</v>
      </c>
      <c r="FH180" s="408">
        <v>0</v>
      </c>
      <c r="FI180" s="408">
        <v>0</v>
      </c>
    </row>
    <row r="181" spans="1:165">
      <c r="A181" s="408">
        <v>185</v>
      </c>
      <c r="B181" s="408" t="s">
        <v>1036</v>
      </c>
      <c r="C181" s="408" t="s">
        <v>2243</v>
      </c>
      <c r="D181" s="408" t="s">
        <v>597</v>
      </c>
      <c r="E181" s="408" t="s">
        <v>970</v>
      </c>
      <c r="F181" s="408" t="s">
        <v>1322</v>
      </c>
      <c r="G181" s="408" t="s">
        <v>1322</v>
      </c>
      <c r="H181" s="408" t="s">
        <v>1322</v>
      </c>
      <c r="I181" s="408" t="s">
        <v>2244</v>
      </c>
      <c r="J181" s="408" t="s">
        <v>2236</v>
      </c>
      <c r="K181" s="824">
        <v>44470</v>
      </c>
      <c r="L181" s="408">
        <v>0</v>
      </c>
      <c r="M181" s="408">
        <v>0</v>
      </c>
      <c r="N181" s="408">
        <v>257.59699999999998</v>
      </c>
      <c r="O181" s="408">
        <v>257.59699999999998</v>
      </c>
      <c r="P181" s="408">
        <v>257.59699999999998</v>
      </c>
      <c r="Q181" s="408">
        <v>257.59699999999998</v>
      </c>
      <c r="R181" s="408"/>
      <c r="S181" s="408">
        <v>79.7</v>
      </c>
      <c r="T181" s="408">
        <v>209.4</v>
      </c>
      <c r="U181" s="408"/>
      <c r="V181" s="408">
        <v>74471.292699999991</v>
      </c>
      <c r="W181" s="408">
        <v>74471.292699999991</v>
      </c>
      <c r="X181" s="408">
        <v>80504.214439999996</v>
      </c>
      <c r="Y181" s="408">
        <v>0</v>
      </c>
      <c r="Z181" s="408">
        <v>13791.222906474575</v>
      </c>
      <c r="AA181" s="408">
        <v>0</v>
      </c>
      <c r="AB181" s="408">
        <v>0</v>
      </c>
      <c r="AC181" s="408">
        <v>0</v>
      </c>
      <c r="AD181" s="408">
        <v>0</v>
      </c>
      <c r="AE181" s="408">
        <v>0</v>
      </c>
      <c r="AF181" s="408">
        <v>53232.612163530663</v>
      </c>
      <c r="AG181" s="408">
        <v>709.15551587992081</v>
      </c>
      <c r="AH181" s="408">
        <v>0</v>
      </c>
      <c r="AI181" s="408">
        <v>0</v>
      </c>
      <c r="AJ181" s="408">
        <v>0</v>
      </c>
      <c r="AK181" s="408">
        <v>0</v>
      </c>
      <c r="AL181" s="408">
        <v>2449.6448549791667</v>
      </c>
      <c r="AM181" s="408"/>
      <c r="AN181" s="408">
        <v>342.04871033876617</v>
      </c>
      <c r="AO181" s="408">
        <v>0</v>
      </c>
      <c r="AP181" s="408">
        <v>0</v>
      </c>
      <c r="AQ181" s="408">
        <v>0</v>
      </c>
      <c r="AR181" s="408">
        <v>0</v>
      </c>
      <c r="AS181" s="408">
        <v>0</v>
      </c>
      <c r="AT181" s="408">
        <v>0</v>
      </c>
      <c r="AU181" s="408">
        <v>0</v>
      </c>
      <c r="AV181" s="408">
        <v>0</v>
      </c>
      <c r="AW181" s="408">
        <v>0</v>
      </c>
      <c r="AX181" s="408">
        <v>0</v>
      </c>
      <c r="AY181" s="408">
        <v>0</v>
      </c>
      <c r="AZ181" s="408">
        <v>0</v>
      </c>
      <c r="BA181" s="408"/>
      <c r="BB181" s="408">
        <v>0</v>
      </c>
      <c r="BC181" s="408">
        <v>0</v>
      </c>
      <c r="BD181" s="408">
        <v>0</v>
      </c>
      <c r="BE181" s="408">
        <v>0</v>
      </c>
      <c r="BF181" s="408">
        <v>0</v>
      </c>
      <c r="BG181" s="408">
        <v>3947.5288333413428</v>
      </c>
      <c r="BH181" s="408">
        <v>0</v>
      </c>
      <c r="BI181" s="408">
        <v>0</v>
      </c>
      <c r="BJ181" s="408">
        <v>0</v>
      </c>
      <c r="BK181" s="408">
        <v>0</v>
      </c>
      <c r="BL181" s="408">
        <v>0</v>
      </c>
      <c r="BM181" s="408"/>
      <c r="BN181" s="408"/>
      <c r="BO181" s="408"/>
      <c r="BP181" s="408"/>
      <c r="BQ181" s="408"/>
      <c r="BR181" s="408"/>
      <c r="BS181" s="408"/>
      <c r="BT181" s="408"/>
      <c r="BU181" s="408"/>
      <c r="BV181" s="408">
        <v>57180.140996872004</v>
      </c>
      <c r="BW181" s="408"/>
      <c r="BX181" s="408"/>
      <c r="BY181" s="408"/>
      <c r="BZ181" s="408"/>
      <c r="CA181" s="408"/>
      <c r="CB181" s="408"/>
      <c r="CC181" s="408"/>
      <c r="CD181" s="408"/>
      <c r="CE181" s="408"/>
      <c r="CF181" s="408"/>
      <c r="CG181" s="408"/>
      <c r="CH181" s="408"/>
      <c r="CI181" s="408">
        <v>80505.152000000002</v>
      </c>
      <c r="CJ181" s="408">
        <v>6033.8293000000122</v>
      </c>
      <c r="CK181" s="408"/>
      <c r="CL181" s="408"/>
      <c r="CM181" s="408"/>
      <c r="CN181" s="408"/>
      <c r="CO181" s="408">
        <v>151.98223000000087</v>
      </c>
      <c r="CP181" s="408">
        <v>5880.9395099999956</v>
      </c>
      <c r="CQ181" s="408">
        <v>31</v>
      </c>
      <c r="CR181" s="408">
        <v>6030.9135386341804</v>
      </c>
      <c r="CS181" s="408">
        <v>0</v>
      </c>
      <c r="CT181" s="408">
        <v>0</v>
      </c>
      <c r="CU181" s="408">
        <v>0</v>
      </c>
      <c r="CV181" s="408">
        <v>0</v>
      </c>
      <c r="CW181" s="408">
        <v>0</v>
      </c>
      <c r="CX181" s="408">
        <v>0</v>
      </c>
      <c r="CY181" s="408">
        <v>0</v>
      </c>
      <c r="CZ181" s="408">
        <v>0</v>
      </c>
      <c r="DA181" s="408">
        <v>0</v>
      </c>
      <c r="DB181" s="408">
        <v>0</v>
      </c>
      <c r="DC181" s="408">
        <v>5879.1580016979569</v>
      </c>
      <c r="DD181" s="408">
        <v>0</v>
      </c>
      <c r="DE181" s="408">
        <v>0</v>
      </c>
      <c r="DF181" s="408">
        <v>0</v>
      </c>
      <c r="DG181" s="408">
        <v>435.97608278504777</v>
      </c>
      <c r="DH181" s="408">
        <v>0</v>
      </c>
      <c r="DI181" s="408">
        <v>-240.41029174991309</v>
      </c>
      <c r="DJ181" s="408"/>
      <c r="DK181" s="408">
        <v>0</v>
      </c>
      <c r="DL181" s="408">
        <v>0</v>
      </c>
      <c r="DM181" s="408">
        <v>0</v>
      </c>
      <c r="DN181" s="408">
        <v>0</v>
      </c>
      <c r="DO181" s="408">
        <v>-35.901926555159207</v>
      </c>
      <c r="DP181" s="408">
        <v>-7.908327543738551</v>
      </c>
      <c r="DQ181" s="408">
        <v>0</v>
      </c>
      <c r="DR181" s="408">
        <v>0</v>
      </c>
      <c r="DS181" s="408"/>
      <c r="DT181" s="408"/>
      <c r="DU181" s="408"/>
      <c r="DV181" s="408">
        <v>0</v>
      </c>
      <c r="DW181" s="408">
        <v>0</v>
      </c>
      <c r="DX181" s="408">
        <v>0</v>
      </c>
      <c r="DY181" s="408">
        <v>151.98223000000144</v>
      </c>
      <c r="DZ181" s="408">
        <v>5880.9395099999965</v>
      </c>
      <c r="EA181" s="408">
        <v>0</v>
      </c>
      <c r="EB181" s="408">
        <v>0</v>
      </c>
      <c r="EC181" s="408">
        <v>0</v>
      </c>
      <c r="ED181" s="408">
        <v>0</v>
      </c>
      <c r="EE181" s="408">
        <v>0</v>
      </c>
      <c r="EF181" s="408">
        <v>0</v>
      </c>
      <c r="EG181" s="408">
        <v>0</v>
      </c>
      <c r="EH181" s="408">
        <v>0</v>
      </c>
      <c r="EI181" s="408">
        <v>0</v>
      </c>
      <c r="EJ181" s="408">
        <v>0</v>
      </c>
      <c r="EK181" s="408">
        <v>0</v>
      </c>
      <c r="EL181" s="408">
        <v>0</v>
      </c>
      <c r="EM181" s="408">
        <v>0</v>
      </c>
      <c r="EN181" s="408">
        <v>0</v>
      </c>
      <c r="EO181" s="408">
        <v>0</v>
      </c>
      <c r="EP181" s="408">
        <v>0</v>
      </c>
      <c r="EQ181" s="408">
        <v>0</v>
      </c>
      <c r="ER181" s="408">
        <v>0</v>
      </c>
      <c r="ES181" s="408">
        <v>0</v>
      </c>
      <c r="ET181" s="408">
        <v>0</v>
      </c>
      <c r="EU181" s="408">
        <v>0</v>
      </c>
      <c r="EV181" s="408">
        <v>238</v>
      </c>
      <c r="EW181" s="408">
        <v>0</v>
      </c>
      <c r="EX181" s="408">
        <v>0</v>
      </c>
      <c r="EY181" s="408">
        <v>0</v>
      </c>
      <c r="EZ181" s="408"/>
      <c r="FA181" s="408">
        <v>0</v>
      </c>
      <c r="FB181" s="408"/>
      <c r="FC181" s="408"/>
      <c r="FD181" s="408"/>
      <c r="FE181" s="408"/>
      <c r="FF181" s="408">
        <v>0</v>
      </c>
      <c r="FG181" s="408">
        <v>0</v>
      </c>
      <c r="FH181" s="408">
        <v>0</v>
      </c>
      <c r="FI181" s="408">
        <v>0</v>
      </c>
    </row>
    <row r="182" spans="1:165">
      <c r="A182" s="408">
        <v>186</v>
      </c>
      <c r="B182" s="408" t="s">
        <v>1036</v>
      </c>
      <c r="C182" s="408" t="s">
        <v>2243</v>
      </c>
      <c r="D182" s="408" t="s">
        <v>597</v>
      </c>
      <c r="E182" s="408" t="s">
        <v>970</v>
      </c>
      <c r="F182" s="408" t="s">
        <v>1322</v>
      </c>
      <c r="G182" s="408" t="s">
        <v>1322</v>
      </c>
      <c r="H182" s="408" t="s">
        <v>1322</v>
      </c>
      <c r="I182" s="408" t="s">
        <v>1322</v>
      </c>
      <c r="J182" s="408" t="s">
        <v>2236</v>
      </c>
      <c r="K182" s="824">
        <v>44470</v>
      </c>
      <c r="L182" s="408">
        <v>1655</v>
      </c>
      <c r="M182" s="408">
        <v>1655</v>
      </c>
      <c r="N182" s="408">
        <v>0</v>
      </c>
      <c r="O182" s="408">
        <v>0</v>
      </c>
      <c r="P182" s="408">
        <v>0</v>
      </c>
      <c r="Q182" s="408">
        <v>0</v>
      </c>
      <c r="R182" s="408">
        <v>44.35</v>
      </c>
      <c r="S182" s="408"/>
      <c r="T182" s="408"/>
      <c r="U182" s="408">
        <v>73399.25</v>
      </c>
      <c r="V182" s="408"/>
      <c r="W182" s="408">
        <v>73399.25</v>
      </c>
      <c r="X182" s="408">
        <v>47945.35</v>
      </c>
      <c r="Y182" s="408">
        <v>0</v>
      </c>
      <c r="Z182" s="408">
        <v>0</v>
      </c>
      <c r="AA182" s="408">
        <v>0</v>
      </c>
      <c r="AB182" s="408">
        <v>0</v>
      </c>
      <c r="AC182" s="408">
        <v>0</v>
      </c>
      <c r="AD182" s="408">
        <v>21717.01540378117</v>
      </c>
      <c r="AE182" s="408">
        <v>47528.035602909629</v>
      </c>
      <c r="AF182" s="408"/>
      <c r="AG182" s="408"/>
      <c r="AH182" s="408"/>
      <c r="AI182" s="408">
        <v>0</v>
      </c>
      <c r="AJ182" s="408">
        <v>0</v>
      </c>
      <c r="AK182" s="408">
        <v>0</v>
      </c>
      <c r="AL182" s="408">
        <v>0</v>
      </c>
      <c r="AM182" s="408"/>
      <c r="AN182" s="408">
        <v>0</v>
      </c>
      <c r="AO182" s="408">
        <v>1641.2977446989003</v>
      </c>
      <c r="AP182" s="408">
        <v>2511.1172560904884</v>
      </c>
      <c r="AQ182" s="408">
        <v>0</v>
      </c>
      <c r="AR182" s="408">
        <v>0</v>
      </c>
      <c r="AS182" s="408"/>
      <c r="AT182" s="408"/>
      <c r="AU182" s="408">
        <v>0</v>
      </c>
      <c r="AV182" s="408">
        <v>0</v>
      </c>
      <c r="AW182" s="408">
        <v>0</v>
      </c>
      <c r="AX182" s="408"/>
      <c r="AY182" s="408"/>
      <c r="AZ182" s="408">
        <v>0</v>
      </c>
      <c r="BA182" s="408"/>
      <c r="BB182" s="408">
        <v>0</v>
      </c>
      <c r="BC182" s="408">
        <v>0</v>
      </c>
      <c r="BD182" s="408">
        <v>0</v>
      </c>
      <c r="BE182" s="408">
        <v>0</v>
      </c>
      <c r="BF182" s="408"/>
      <c r="BG182" s="408">
        <v>0</v>
      </c>
      <c r="BH182" s="408">
        <v>0</v>
      </c>
      <c r="BI182" s="408">
        <v>686.39</v>
      </c>
      <c r="BJ182" s="408">
        <v>3122.11</v>
      </c>
      <c r="BK182" s="408">
        <v>38336.910000000003</v>
      </c>
      <c r="BL182" s="408">
        <v>7</v>
      </c>
      <c r="BM182" s="408"/>
      <c r="BN182" s="408"/>
      <c r="BO182" s="408"/>
      <c r="BP182" s="408"/>
      <c r="BQ182" s="408"/>
      <c r="BR182" s="408"/>
      <c r="BS182" s="408"/>
      <c r="BT182" s="408"/>
      <c r="BU182" s="408"/>
      <c r="BV182" s="408">
        <v>0</v>
      </c>
      <c r="BW182" s="408"/>
      <c r="BX182" s="408"/>
      <c r="BY182" s="408"/>
      <c r="BZ182" s="408"/>
      <c r="CA182" s="408"/>
      <c r="CB182" s="408"/>
      <c r="CC182" s="408"/>
      <c r="CD182" s="408"/>
      <c r="CE182" s="408"/>
      <c r="CF182" s="408"/>
      <c r="CG182" s="408"/>
      <c r="CH182" s="408"/>
      <c r="CI182" s="408">
        <v>47945.35</v>
      </c>
      <c r="CJ182" s="408">
        <v>-25453.929999999986</v>
      </c>
      <c r="CK182" s="408"/>
      <c r="CL182" s="408"/>
      <c r="CM182" s="408"/>
      <c r="CN182" s="408"/>
      <c r="CO182" s="408">
        <v>-25453.900000000005</v>
      </c>
      <c r="CP182" s="408">
        <v>0</v>
      </c>
      <c r="CQ182" s="408">
        <v>31</v>
      </c>
      <c r="CR182" s="408">
        <v>1213.2661992508656</v>
      </c>
      <c r="CS182" s="408">
        <v>198.15720937409174</v>
      </c>
      <c r="CT182" s="408">
        <v>303.17228515372608</v>
      </c>
      <c r="CU182" s="408">
        <v>0</v>
      </c>
      <c r="CV182" s="408">
        <v>0</v>
      </c>
      <c r="CW182" s="408"/>
      <c r="CX182" s="408"/>
      <c r="CY182" s="408"/>
      <c r="CZ182" s="408">
        <v>711.93670472304439</v>
      </c>
      <c r="DA182" s="408">
        <v>0</v>
      </c>
      <c r="DB182" s="408">
        <v>0</v>
      </c>
      <c r="DC182" s="408"/>
      <c r="DD182" s="408"/>
      <c r="DE182" s="408">
        <v>0</v>
      </c>
      <c r="DF182" s="408">
        <v>0</v>
      </c>
      <c r="DG182" s="408">
        <v>0</v>
      </c>
      <c r="DH182" s="408">
        <v>0</v>
      </c>
      <c r="DI182" s="408">
        <v>0</v>
      </c>
      <c r="DJ182" s="408"/>
      <c r="DK182" s="408">
        <v>0</v>
      </c>
      <c r="DL182" s="408">
        <v>0</v>
      </c>
      <c r="DM182" s="408"/>
      <c r="DN182" s="408">
        <v>0</v>
      </c>
      <c r="DO182" s="408">
        <v>0</v>
      </c>
      <c r="DP182" s="408">
        <v>0</v>
      </c>
      <c r="DQ182" s="408">
        <v>0</v>
      </c>
      <c r="DR182" s="408">
        <v>0</v>
      </c>
      <c r="DS182" s="408"/>
      <c r="DT182" s="408"/>
      <c r="DU182" s="408">
        <v>47528.035602909629</v>
      </c>
      <c r="DV182" s="408"/>
      <c r="DW182" s="408">
        <v>0</v>
      </c>
      <c r="DX182" s="408">
        <v>0</v>
      </c>
      <c r="DY182" s="408">
        <v>-25453.9</v>
      </c>
      <c r="DZ182" s="408"/>
      <c r="EA182" s="408">
        <v>0</v>
      </c>
      <c r="EB182" s="408"/>
      <c r="EC182" s="408">
        <v>-26662.738396220258</v>
      </c>
      <c r="ED182" s="408"/>
      <c r="EE182" s="408">
        <v>0</v>
      </c>
      <c r="EF182" s="408">
        <v>0</v>
      </c>
      <c r="EG182" s="408"/>
      <c r="EH182" s="408">
        <v>0</v>
      </c>
      <c r="EI182" s="408">
        <v>0</v>
      </c>
      <c r="EJ182" s="408">
        <v>0</v>
      </c>
      <c r="EK182" s="408">
        <v>0</v>
      </c>
      <c r="EL182" s="408">
        <v>0</v>
      </c>
      <c r="EM182" s="408"/>
      <c r="EN182" s="408"/>
      <c r="EO182" s="408">
        <v>0</v>
      </c>
      <c r="EP182" s="408">
        <v>0</v>
      </c>
      <c r="EQ182" s="408"/>
      <c r="ER182" s="408">
        <v>0</v>
      </c>
      <c r="ES182" s="408"/>
      <c r="ET182" s="408">
        <v>0</v>
      </c>
      <c r="EU182" s="408"/>
      <c r="EV182" s="408">
        <v>238</v>
      </c>
      <c r="EW182" s="408"/>
      <c r="EX182" s="408"/>
      <c r="EY182" s="408"/>
      <c r="EZ182" s="408"/>
      <c r="FA182" s="408">
        <v>0</v>
      </c>
      <c r="FB182" s="408"/>
      <c r="FC182" s="408"/>
      <c r="FD182" s="408"/>
      <c r="FE182" s="408"/>
      <c r="FF182" s="408">
        <v>0</v>
      </c>
      <c r="FG182" s="408">
        <v>0</v>
      </c>
      <c r="FH182" s="408">
        <v>0</v>
      </c>
      <c r="FI182" s="408">
        <v>0</v>
      </c>
    </row>
    <row r="183" spans="1:165">
      <c r="A183" s="408">
        <v>187</v>
      </c>
      <c r="B183" s="408" t="s">
        <v>1036</v>
      </c>
      <c r="C183" s="408" t="s">
        <v>2235</v>
      </c>
      <c r="D183" s="408" t="s">
        <v>1958</v>
      </c>
      <c r="E183" s="408" t="s">
        <v>998</v>
      </c>
      <c r="F183" s="408" t="s">
        <v>1322</v>
      </c>
      <c r="G183" s="408" t="s">
        <v>1322</v>
      </c>
      <c r="H183" s="408" t="s">
        <v>1322</v>
      </c>
      <c r="I183" s="408" t="s">
        <v>1322</v>
      </c>
      <c r="J183" s="408" t="s">
        <v>2236</v>
      </c>
      <c r="K183" s="824">
        <v>44470</v>
      </c>
      <c r="L183" s="408">
        <v>0</v>
      </c>
      <c r="M183" s="408">
        <v>0</v>
      </c>
      <c r="N183" s="408">
        <v>330.22</v>
      </c>
      <c r="O183" s="408">
        <v>330.22</v>
      </c>
      <c r="P183" s="408">
        <v>330.22</v>
      </c>
      <c r="Q183" s="408">
        <v>330.22</v>
      </c>
      <c r="R183" s="408"/>
      <c r="S183" s="408">
        <v>581.32000000000005</v>
      </c>
      <c r="T183" s="408">
        <v>209.4</v>
      </c>
      <c r="U183" s="408"/>
      <c r="V183" s="408">
        <v>261111.55840000004</v>
      </c>
      <c r="W183" s="408">
        <v>261111.55840000004</v>
      </c>
      <c r="X183" s="408">
        <v>199475.99540000001</v>
      </c>
      <c r="Y183" s="408">
        <v>0</v>
      </c>
      <c r="Z183" s="408">
        <v>20321.047806948347</v>
      </c>
      <c r="AA183" s="408">
        <v>0</v>
      </c>
      <c r="AB183" s="408">
        <v>0</v>
      </c>
      <c r="AC183" s="408">
        <v>0</v>
      </c>
      <c r="AD183" s="408">
        <v>24499.399834473865</v>
      </c>
      <c r="AE183" s="408">
        <v>127268.54209225009</v>
      </c>
      <c r="AF183" s="408">
        <v>68240.209275112284</v>
      </c>
      <c r="AG183" s="408">
        <v>909.0840904741417</v>
      </c>
      <c r="AH183" s="408">
        <v>0</v>
      </c>
      <c r="AI183" s="408">
        <v>0</v>
      </c>
      <c r="AJ183" s="408">
        <v>0</v>
      </c>
      <c r="AK183" s="408">
        <v>0</v>
      </c>
      <c r="AL183" s="408">
        <v>3140.2606552530524</v>
      </c>
      <c r="AM183" s="408"/>
      <c r="AN183" s="408">
        <v>601.9792763730095</v>
      </c>
      <c r="AO183" s="408">
        <v>1882.0825415403795</v>
      </c>
      <c r="AP183" s="408">
        <v>2835.001432057044</v>
      </c>
      <c r="AQ183" s="408">
        <v>0</v>
      </c>
      <c r="AR183" s="408">
        <v>0</v>
      </c>
      <c r="AS183" s="408">
        <v>0</v>
      </c>
      <c r="AT183" s="408">
        <v>0</v>
      </c>
      <c r="AU183" s="408">
        <v>0</v>
      </c>
      <c r="AV183" s="408">
        <v>0</v>
      </c>
      <c r="AW183" s="408">
        <v>0</v>
      </c>
      <c r="AX183" s="408">
        <v>0</v>
      </c>
      <c r="AY183" s="408">
        <v>0</v>
      </c>
      <c r="AZ183" s="408">
        <v>0</v>
      </c>
      <c r="BA183" s="408"/>
      <c r="BB183" s="408">
        <v>0</v>
      </c>
      <c r="BC183" s="408">
        <v>0</v>
      </c>
      <c r="BD183" s="408">
        <v>0</v>
      </c>
      <c r="BE183" s="408">
        <v>0</v>
      </c>
      <c r="BF183" s="408">
        <v>0</v>
      </c>
      <c r="BG183" s="408">
        <v>11416.459443315474</v>
      </c>
      <c r="BH183" s="408">
        <v>0</v>
      </c>
      <c r="BI183" s="408">
        <v>1114.92</v>
      </c>
      <c r="BJ183" s="408">
        <v>5086.83</v>
      </c>
      <c r="BK183" s="408">
        <v>108235.72</v>
      </c>
      <c r="BL183" s="408">
        <v>816</v>
      </c>
      <c r="BM183" s="408"/>
      <c r="BN183" s="408"/>
      <c r="BO183" s="408"/>
      <c r="BP183" s="408"/>
      <c r="BQ183" s="408"/>
      <c r="BR183" s="408"/>
      <c r="BS183" s="408"/>
      <c r="BT183" s="408"/>
      <c r="BU183" s="408"/>
      <c r="BV183" s="408">
        <v>79656.668718427754</v>
      </c>
      <c r="BW183" s="408"/>
      <c r="BX183" s="408"/>
      <c r="BY183" s="408"/>
      <c r="BZ183" s="408"/>
      <c r="CA183" s="408"/>
      <c r="CB183" s="408"/>
      <c r="CC183" s="408"/>
      <c r="CD183" s="408"/>
      <c r="CE183" s="408"/>
      <c r="CF183" s="408"/>
      <c r="CG183" s="408"/>
      <c r="CH183" s="408"/>
      <c r="CI183" s="408">
        <v>199475.99540000001</v>
      </c>
      <c r="CJ183" s="408">
        <v>-61635.593000000052</v>
      </c>
      <c r="CK183" s="408"/>
      <c r="CL183" s="408"/>
      <c r="CM183" s="408"/>
      <c r="CN183" s="408"/>
      <c r="CO183" s="408">
        <v>-69174.485600000029</v>
      </c>
      <c r="CP183" s="408">
        <v>7538.9225999999953</v>
      </c>
      <c r="CQ183" s="408">
        <v>31</v>
      </c>
      <c r="CR183" s="408">
        <v>9755.9769855587801</v>
      </c>
      <c r="CS183" s="408">
        <v>227.22764681052035</v>
      </c>
      <c r="CT183" s="408">
        <v>342.27547936528526</v>
      </c>
      <c r="CU183" s="408">
        <v>0</v>
      </c>
      <c r="CV183" s="408">
        <v>0</v>
      </c>
      <c r="CW183" s="408">
        <v>0</v>
      </c>
      <c r="CX183" s="408">
        <v>0</v>
      </c>
      <c r="CY183" s="408">
        <v>0</v>
      </c>
      <c r="CZ183" s="408">
        <v>803.15004900761414</v>
      </c>
      <c r="DA183" s="408">
        <v>0</v>
      </c>
      <c r="DB183" s="408">
        <v>0</v>
      </c>
      <c r="DC183" s="408">
        <v>7536.6388402065932</v>
      </c>
      <c r="DD183" s="408">
        <v>0</v>
      </c>
      <c r="DE183" s="408">
        <v>0</v>
      </c>
      <c r="DF183" s="408">
        <v>0</v>
      </c>
      <c r="DG183" s="408">
        <v>1260.8655889557995</v>
      </c>
      <c r="DH183" s="408">
        <v>0</v>
      </c>
      <c r="DI183" s="408">
        <v>-354.23900150570626</v>
      </c>
      <c r="DJ183" s="408"/>
      <c r="DK183" s="408">
        <v>0</v>
      </c>
      <c r="DL183" s="408">
        <v>0</v>
      </c>
      <c r="DM183" s="408">
        <v>0</v>
      </c>
      <c r="DN183" s="408">
        <v>0</v>
      </c>
      <c r="DO183" s="408">
        <v>-46.023572429199703</v>
      </c>
      <c r="DP183" s="408">
        <v>-13.91804485210389</v>
      </c>
      <c r="DQ183" s="408">
        <v>0</v>
      </c>
      <c r="DR183" s="408">
        <v>0</v>
      </c>
      <c r="DS183" s="408"/>
      <c r="DT183" s="408"/>
      <c r="DU183" s="408"/>
      <c r="DV183" s="408">
        <v>127268.54209225009</v>
      </c>
      <c r="DW183" s="408">
        <v>0</v>
      </c>
      <c r="DX183" s="408">
        <v>0</v>
      </c>
      <c r="DY183" s="408">
        <v>-69174.485600000044</v>
      </c>
      <c r="DZ183" s="408">
        <v>7538.9225999999908</v>
      </c>
      <c r="EA183" s="408">
        <v>0</v>
      </c>
      <c r="EB183" s="408">
        <v>0</v>
      </c>
      <c r="EC183" s="408">
        <v>-71396.341145357001</v>
      </c>
      <c r="ED183" s="408">
        <v>0</v>
      </c>
      <c r="EE183" s="408">
        <v>0</v>
      </c>
      <c r="EF183" s="408">
        <v>0</v>
      </c>
      <c r="EG183" s="408">
        <v>0</v>
      </c>
      <c r="EH183" s="408">
        <v>0</v>
      </c>
      <c r="EI183" s="408">
        <v>0</v>
      </c>
      <c r="EJ183" s="408">
        <v>0</v>
      </c>
      <c r="EK183" s="408">
        <v>0</v>
      </c>
      <c r="EL183" s="408">
        <v>0</v>
      </c>
      <c r="EM183" s="408">
        <v>0</v>
      </c>
      <c r="EN183" s="408">
        <v>0</v>
      </c>
      <c r="EO183" s="408">
        <v>0</v>
      </c>
      <c r="EP183" s="408">
        <v>0</v>
      </c>
      <c r="EQ183" s="408">
        <v>0</v>
      </c>
      <c r="ER183" s="408">
        <v>0</v>
      </c>
      <c r="ES183" s="408">
        <v>0</v>
      </c>
      <c r="ET183" s="408">
        <v>0</v>
      </c>
      <c r="EU183" s="408">
        <v>0</v>
      </c>
      <c r="EV183" s="408">
        <v>238</v>
      </c>
      <c r="EW183" s="408">
        <v>0</v>
      </c>
      <c r="EX183" s="408">
        <v>0</v>
      </c>
      <c r="EY183" s="408">
        <v>0</v>
      </c>
      <c r="EZ183" s="408"/>
      <c r="FA183" s="408">
        <v>0</v>
      </c>
      <c r="FB183" s="408"/>
      <c r="FC183" s="408"/>
      <c r="FD183" s="408"/>
      <c r="FE183" s="408"/>
      <c r="FF183" s="408">
        <v>0</v>
      </c>
      <c r="FG183" s="408">
        <v>0</v>
      </c>
      <c r="FH183" s="408">
        <v>0</v>
      </c>
      <c r="FI183" s="408">
        <v>0</v>
      </c>
    </row>
    <row r="184" spans="1:165">
      <c r="A184" s="408">
        <v>188</v>
      </c>
      <c r="B184" s="408" t="s">
        <v>2237</v>
      </c>
      <c r="C184" s="408" t="s">
        <v>2235</v>
      </c>
      <c r="D184" s="408" t="s">
        <v>1958</v>
      </c>
      <c r="E184" s="408" t="s">
        <v>998</v>
      </c>
      <c r="F184" s="408" t="s">
        <v>1322</v>
      </c>
      <c r="G184" s="408" t="s">
        <v>1322</v>
      </c>
      <c r="H184" s="408" t="s">
        <v>1322</v>
      </c>
      <c r="I184" s="408" t="s">
        <v>1322</v>
      </c>
      <c r="J184" s="408" t="s">
        <v>2236</v>
      </c>
      <c r="K184" s="824">
        <v>44470</v>
      </c>
      <c r="L184" s="408">
        <v>0</v>
      </c>
      <c r="M184" s="408">
        <v>0</v>
      </c>
      <c r="N184" s="408">
        <v>-0.1</v>
      </c>
      <c r="O184" s="408">
        <v>-0.1</v>
      </c>
      <c r="P184" s="408">
        <v>-0.1</v>
      </c>
      <c r="Q184" s="408">
        <v>-0.1</v>
      </c>
      <c r="R184" s="408"/>
      <c r="S184" s="408">
        <v>581.32000000000005</v>
      </c>
      <c r="T184" s="408">
        <v>209.4</v>
      </c>
      <c r="U184" s="408"/>
      <c r="V184" s="408">
        <v>-79.072000000000003</v>
      </c>
      <c r="W184" s="408">
        <v>-79.072000000000003</v>
      </c>
      <c r="X184" s="408">
        <v>-60.406999999999996</v>
      </c>
      <c r="Y184" s="408">
        <v>0</v>
      </c>
      <c r="Z184" s="408">
        <v>-6.1537907476677205</v>
      </c>
      <c r="AA184" s="408">
        <v>0</v>
      </c>
      <c r="AB184" s="408">
        <v>0</v>
      </c>
      <c r="AC184" s="408">
        <v>0</v>
      </c>
      <c r="AD184" s="408">
        <v>-7.4191144795814497</v>
      </c>
      <c r="AE184" s="408">
        <v>-38.540531188980104</v>
      </c>
      <c r="AF184" s="408">
        <v>-20.665074579102502</v>
      </c>
      <c r="AG184" s="408">
        <v>-0.275296496418794</v>
      </c>
      <c r="AH184" s="408">
        <v>0</v>
      </c>
      <c r="AI184" s="408">
        <v>0</v>
      </c>
      <c r="AJ184" s="408">
        <v>0</v>
      </c>
      <c r="AK184" s="408">
        <v>0</v>
      </c>
      <c r="AL184" s="408">
        <v>-0.95096016451246212</v>
      </c>
      <c r="AM184" s="408"/>
      <c r="AN184" s="408">
        <v>-0.182296431582887</v>
      </c>
      <c r="AO184" s="408">
        <v>-0.56994807750602006</v>
      </c>
      <c r="AP184" s="408">
        <v>-0.85851899704955592</v>
      </c>
      <c r="AQ184" s="408">
        <v>0</v>
      </c>
      <c r="AR184" s="408">
        <v>0</v>
      </c>
      <c r="AS184" s="408">
        <v>0</v>
      </c>
      <c r="AT184" s="408">
        <v>0</v>
      </c>
      <c r="AU184" s="408">
        <v>0</v>
      </c>
      <c r="AV184" s="408">
        <v>0</v>
      </c>
      <c r="AW184" s="408">
        <v>0</v>
      </c>
      <c r="AX184" s="408">
        <v>0</v>
      </c>
      <c r="AY184" s="408">
        <v>0</v>
      </c>
      <c r="AZ184" s="408">
        <v>0</v>
      </c>
      <c r="BA184" s="408"/>
      <c r="BB184" s="408">
        <v>0</v>
      </c>
      <c r="BC184" s="408">
        <v>0</v>
      </c>
      <c r="BD184" s="408">
        <v>0</v>
      </c>
      <c r="BE184" s="408">
        <v>0</v>
      </c>
      <c r="BF184" s="408">
        <v>0</v>
      </c>
      <c r="BG184" s="408">
        <v>-3.4572283457438902</v>
      </c>
      <c r="BH184" s="408">
        <v>0</v>
      </c>
      <c r="BI184" s="408">
        <v>-0.16</v>
      </c>
      <c r="BJ184" s="408">
        <v>-0.79</v>
      </c>
      <c r="BK184" s="408">
        <v>-31.21</v>
      </c>
      <c r="BL184" s="408">
        <v>0</v>
      </c>
      <c r="BM184" s="408"/>
      <c r="BN184" s="408"/>
      <c r="BO184" s="408"/>
      <c r="BP184" s="408"/>
      <c r="BQ184" s="408"/>
      <c r="BR184" s="408"/>
      <c r="BS184" s="408"/>
      <c r="BT184" s="408"/>
      <c r="BU184" s="408"/>
      <c r="BV184" s="408">
        <v>-24.122302924846391</v>
      </c>
      <c r="BW184" s="408"/>
      <c r="BX184" s="408"/>
      <c r="BY184" s="408"/>
      <c r="BZ184" s="408"/>
      <c r="CA184" s="408"/>
      <c r="CB184" s="408"/>
      <c r="CC184" s="408"/>
      <c r="CD184" s="408"/>
      <c r="CE184" s="408"/>
      <c r="CF184" s="408"/>
      <c r="CG184" s="408"/>
      <c r="CH184" s="408"/>
      <c r="CI184" s="408">
        <v>-60.406999999999996</v>
      </c>
      <c r="CJ184" s="408">
        <v>18.635000000000005</v>
      </c>
      <c r="CK184" s="408"/>
      <c r="CL184" s="408"/>
      <c r="CM184" s="408"/>
      <c r="CN184" s="408"/>
      <c r="CO184" s="408">
        <v>20.948000000000008</v>
      </c>
      <c r="CP184" s="408">
        <v>-2.2829999999999986</v>
      </c>
      <c r="CQ184" s="408">
        <v>31</v>
      </c>
      <c r="CR184" s="408">
        <v>-2.9543870709099522</v>
      </c>
      <c r="CS184" s="408">
        <v>-6.8810988677402984E-2</v>
      </c>
      <c r="CT184" s="408">
        <v>-0.10365074173741307</v>
      </c>
      <c r="CU184" s="408">
        <v>0</v>
      </c>
      <c r="CV184" s="408">
        <v>0</v>
      </c>
      <c r="CW184" s="408">
        <v>0</v>
      </c>
      <c r="CX184" s="408">
        <v>0</v>
      </c>
      <c r="CY184" s="408">
        <v>0</v>
      </c>
      <c r="CZ184" s="408">
        <v>-0.24321665829072003</v>
      </c>
      <c r="DA184" s="408">
        <v>0</v>
      </c>
      <c r="DB184" s="408">
        <v>0</v>
      </c>
      <c r="DC184" s="408">
        <v>-2.2823084126359987</v>
      </c>
      <c r="DD184" s="408">
        <v>0</v>
      </c>
      <c r="DE184" s="408">
        <v>0</v>
      </c>
      <c r="DF184" s="408">
        <v>0</v>
      </c>
      <c r="DG184" s="408">
        <v>-0.38182593088116956</v>
      </c>
      <c r="DH184" s="408">
        <v>0</v>
      </c>
      <c r="DI184" s="408">
        <v>0.10727363621395014</v>
      </c>
      <c r="DJ184" s="408"/>
      <c r="DK184" s="408">
        <v>0</v>
      </c>
      <c r="DL184" s="408">
        <v>0</v>
      </c>
      <c r="DM184" s="408">
        <v>0</v>
      </c>
      <c r="DN184" s="408">
        <v>0</v>
      </c>
      <c r="DO184" s="408">
        <v>1.3937245602689163E-2</v>
      </c>
      <c r="DP184" s="408">
        <v>4.2147794961249763E-3</v>
      </c>
      <c r="DQ184" s="408">
        <v>0</v>
      </c>
      <c r="DR184" s="408">
        <v>0</v>
      </c>
      <c r="DS184" s="408"/>
      <c r="DT184" s="408"/>
      <c r="DU184" s="408"/>
      <c r="DV184" s="408">
        <v>-38.540531188980104</v>
      </c>
      <c r="DW184" s="408">
        <v>0</v>
      </c>
      <c r="DX184" s="408">
        <v>0</v>
      </c>
      <c r="DY184" s="408">
        <v>20.948000000000008</v>
      </c>
      <c r="DZ184" s="408">
        <v>-2.2829999999999977</v>
      </c>
      <c r="EA184" s="408">
        <v>0</v>
      </c>
      <c r="EB184" s="408">
        <v>0</v>
      </c>
      <c r="EC184" s="408">
        <v>21.620840998533403</v>
      </c>
      <c r="ED184" s="408">
        <v>0</v>
      </c>
      <c r="EE184" s="408">
        <v>0</v>
      </c>
      <c r="EF184" s="408">
        <v>0</v>
      </c>
      <c r="EG184" s="408">
        <v>0</v>
      </c>
      <c r="EH184" s="408">
        <v>0</v>
      </c>
      <c r="EI184" s="408">
        <v>0</v>
      </c>
      <c r="EJ184" s="408">
        <v>0</v>
      </c>
      <c r="EK184" s="408">
        <v>0</v>
      </c>
      <c r="EL184" s="408">
        <v>0</v>
      </c>
      <c r="EM184" s="408">
        <v>0</v>
      </c>
      <c r="EN184" s="408">
        <v>0</v>
      </c>
      <c r="EO184" s="408">
        <v>0</v>
      </c>
      <c r="EP184" s="408">
        <v>0</v>
      </c>
      <c r="EQ184" s="408">
        <v>0</v>
      </c>
      <c r="ER184" s="408">
        <v>0</v>
      </c>
      <c r="ES184" s="408">
        <v>0</v>
      </c>
      <c r="ET184" s="408">
        <v>0</v>
      </c>
      <c r="EU184" s="408">
        <v>0</v>
      </c>
      <c r="EV184" s="408">
        <v>238</v>
      </c>
      <c r="EW184" s="408">
        <v>0</v>
      </c>
      <c r="EX184" s="408">
        <v>0</v>
      </c>
      <c r="EY184" s="408">
        <v>0</v>
      </c>
      <c r="EZ184" s="408"/>
      <c r="FA184" s="408">
        <v>0</v>
      </c>
      <c r="FB184" s="408"/>
      <c r="FC184" s="408"/>
      <c r="FD184" s="408"/>
      <c r="FE184" s="408"/>
      <c r="FF184" s="408">
        <v>0</v>
      </c>
      <c r="FG184" s="408">
        <v>0</v>
      </c>
      <c r="FH184" s="408">
        <v>0</v>
      </c>
      <c r="FI184" s="408">
        <v>0</v>
      </c>
    </row>
    <row r="185" spans="1:165">
      <c r="A185" s="408">
        <v>189</v>
      </c>
      <c r="B185" s="408" t="s">
        <v>2238</v>
      </c>
      <c r="C185" s="408" t="s">
        <v>2235</v>
      </c>
      <c r="D185" s="408" t="s">
        <v>1958</v>
      </c>
      <c r="E185" s="408" t="s">
        <v>998</v>
      </c>
      <c r="F185" s="408" t="s">
        <v>1322</v>
      </c>
      <c r="G185" s="408" t="s">
        <v>1322</v>
      </c>
      <c r="H185" s="408" t="s">
        <v>1322</v>
      </c>
      <c r="I185" s="408" t="s">
        <v>1322</v>
      </c>
      <c r="J185" s="408" t="s">
        <v>2236</v>
      </c>
      <c r="K185" s="824">
        <v>44470</v>
      </c>
      <c r="L185" s="408">
        <v>0</v>
      </c>
      <c r="M185" s="408">
        <v>0</v>
      </c>
      <c r="N185" s="408">
        <v>19.084</v>
      </c>
      <c r="O185" s="408">
        <v>19.084</v>
      </c>
      <c r="P185" s="408">
        <v>19.084</v>
      </c>
      <c r="Q185" s="408">
        <v>19.084</v>
      </c>
      <c r="R185" s="408"/>
      <c r="S185" s="408">
        <v>581.32000000000005</v>
      </c>
      <c r="T185" s="408">
        <v>209.4</v>
      </c>
      <c r="U185" s="408"/>
      <c r="V185" s="408">
        <v>15090.100480000001</v>
      </c>
      <c r="W185" s="408">
        <v>15090.100480000001</v>
      </c>
      <c r="X185" s="408">
        <v>11528.07188</v>
      </c>
      <c r="Y185" s="408">
        <v>0</v>
      </c>
      <c r="Z185" s="408">
        <v>1174.3894262849076</v>
      </c>
      <c r="AA185" s="408">
        <v>0</v>
      </c>
      <c r="AB185" s="408">
        <v>0</v>
      </c>
      <c r="AC185" s="408">
        <v>0</v>
      </c>
      <c r="AD185" s="408">
        <v>1415.8638072833237</v>
      </c>
      <c r="AE185" s="408">
        <v>7355.0749721049624</v>
      </c>
      <c r="AF185" s="408">
        <v>3943.7228326759209</v>
      </c>
      <c r="AG185" s="408">
        <v>52.537583376562651</v>
      </c>
      <c r="AH185" s="408">
        <v>0</v>
      </c>
      <c r="AI185" s="408">
        <v>0</v>
      </c>
      <c r="AJ185" s="408">
        <v>0</v>
      </c>
      <c r="AK185" s="408">
        <v>0</v>
      </c>
      <c r="AL185" s="408">
        <v>181.48123779555826</v>
      </c>
      <c r="AM185" s="408"/>
      <c r="AN185" s="408">
        <v>34.789451003278153</v>
      </c>
      <c r="AO185" s="408">
        <v>108.76889111124886</v>
      </c>
      <c r="AP185" s="408">
        <v>163.83976539693725</v>
      </c>
      <c r="AQ185" s="408">
        <v>0</v>
      </c>
      <c r="AR185" s="408">
        <v>0</v>
      </c>
      <c r="AS185" s="408">
        <v>0</v>
      </c>
      <c r="AT185" s="408">
        <v>0</v>
      </c>
      <c r="AU185" s="408">
        <v>0</v>
      </c>
      <c r="AV185" s="408">
        <v>0</v>
      </c>
      <c r="AW185" s="408">
        <v>0</v>
      </c>
      <c r="AX185" s="408">
        <v>0</v>
      </c>
      <c r="AY185" s="408">
        <v>0</v>
      </c>
      <c r="AZ185" s="408">
        <v>0</v>
      </c>
      <c r="BA185" s="408"/>
      <c r="BB185" s="408">
        <v>0</v>
      </c>
      <c r="BC185" s="408">
        <v>0</v>
      </c>
      <c r="BD185" s="408">
        <v>0</v>
      </c>
      <c r="BE185" s="408">
        <v>0</v>
      </c>
      <c r="BF185" s="408">
        <v>0</v>
      </c>
      <c r="BG185" s="408">
        <v>659.77745750176393</v>
      </c>
      <c r="BH185" s="408">
        <v>0</v>
      </c>
      <c r="BI185" s="408">
        <v>64.31</v>
      </c>
      <c r="BJ185" s="408">
        <v>294.68</v>
      </c>
      <c r="BK185" s="408">
        <v>18326.3</v>
      </c>
      <c r="BL185" s="408">
        <v>70</v>
      </c>
      <c r="BM185" s="408"/>
      <c r="BN185" s="408"/>
      <c r="BO185" s="408"/>
      <c r="BP185" s="408"/>
      <c r="BQ185" s="408"/>
      <c r="BR185" s="408"/>
      <c r="BS185" s="408"/>
      <c r="BT185" s="408"/>
      <c r="BU185" s="408"/>
      <c r="BV185" s="408">
        <v>4603.5002901776852</v>
      </c>
      <c r="BW185" s="408"/>
      <c r="BX185" s="408"/>
      <c r="BY185" s="408"/>
      <c r="BZ185" s="408"/>
      <c r="CA185" s="408"/>
      <c r="CB185" s="408"/>
      <c r="CC185" s="408"/>
      <c r="CD185" s="408"/>
      <c r="CE185" s="408"/>
      <c r="CF185" s="408"/>
      <c r="CG185" s="408"/>
      <c r="CH185" s="408"/>
      <c r="CI185" s="408">
        <v>11525.655599999998</v>
      </c>
      <c r="CJ185" s="408">
        <v>-3564.4748800000034</v>
      </c>
      <c r="CK185" s="408"/>
      <c r="CL185" s="408"/>
      <c r="CM185" s="408"/>
      <c r="CN185" s="408"/>
      <c r="CO185" s="408">
        <v>-3997.7163200000014</v>
      </c>
      <c r="CP185" s="408">
        <v>435.68771999999967</v>
      </c>
      <c r="CQ185" s="408">
        <v>31</v>
      </c>
      <c r="CR185" s="408">
        <v>563.81522861245321</v>
      </c>
      <c r="CS185" s="408">
        <v>13.131889079195588</v>
      </c>
      <c r="CT185" s="408">
        <v>19.7807075531679</v>
      </c>
      <c r="CU185" s="408">
        <v>0</v>
      </c>
      <c r="CV185" s="408">
        <v>0</v>
      </c>
      <c r="CW185" s="408">
        <v>0</v>
      </c>
      <c r="CX185" s="408">
        <v>0</v>
      </c>
      <c r="CY185" s="408">
        <v>0</v>
      </c>
      <c r="CZ185" s="408">
        <v>46.415467068200996</v>
      </c>
      <c r="DA185" s="408">
        <v>0</v>
      </c>
      <c r="DB185" s="408">
        <v>0</v>
      </c>
      <c r="DC185" s="408">
        <v>435.55573746745404</v>
      </c>
      <c r="DD185" s="408">
        <v>0</v>
      </c>
      <c r="DE185" s="408">
        <v>0</v>
      </c>
      <c r="DF185" s="408">
        <v>0</v>
      </c>
      <c r="DG185" s="408">
        <v>72.867660649362392</v>
      </c>
      <c r="DH185" s="408">
        <v>0</v>
      </c>
      <c r="DI185" s="408">
        <v>-20.472100735070171</v>
      </c>
      <c r="DJ185" s="408"/>
      <c r="DK185" s="408">
        <v>0</v>
      </c>
      <c r="DL185" s="408">
        <v>0</v>
      </c>
      <c r="DM185" s="408">
        <v>0</v>
      </c>
      <c r="DN185" s="408">
        <v>0</v>
      </c>
      <c r="DO185" s="408">
        <v>-2.6597839508172001</v>
      </c>
      <c r="DP185" s="408">
        <v>-0.80434851904048799</v>
      </c>
      <c r="DQ185" s="408">
        <v>0</v>
      </c>
      <c r="DR185" s="408">
        <v>0</v>
      </c>
      <c r="DS185" s="408"/>
      <c r="DT185" s="408"/>
      <c r="DU185" s="408"/>
      <c r="DV185" s="408">
        <v>7355.0749721049624</v>
      </c>
      <c r="DW185" s="408">
        <v>0</v>
      </c>
      <c r="DX185" s="408">
        <v>0</v>
      </c>
      <c r="DY185" s="408">
        <v>-3997.7163200000023</v>
      </c>
      <c r="DZ185" s="408">
        <v>435.68771999999944</v>
      </c>
      <c r="EA185" s="408">
        <v>0</v>
      </c>
      <c r="EB185" s="408">
        <v>0</v>
      </c>
      <c r="EC185" s="408">
        <v>-4126.1212961601141</v>
      </c>
      <c r="ED185" s="408">
        <v>0</v>
      </c>
      <c r="EE185" s="408">
        <v>0</v>
      </c>
      <c r="EF185" s="408">
        <v>0</v>
      </c>
      <c r="EG185" s="408">
        <v>0</v>
      </c>
      <c r="EH185" s="408">
        <v>0</v>
      </c>
      <c r="EI185" s="408">
        <v>0</v>
      </c>
      <c r="EJ185" s="408">
        <v>0</v>
      </c>
      <c r="EK185" s="408">
        <v>0</v>
      </c>
      <c r="EL185" s="408">
        <v>0</v>
      </c>
      <c r="EM185" s="408">
        <v>0</v>
      </c>
      <c r="EN185" s="408">
        <v>0</v>
      </c>
      <c r="EO185" s="408">
        <v>0</v>
      </c>
      <c r="EP185" s="408">
        <v>0</v>
      </c>
      <c r="EQ185" s="408">
        <v>0</v>
      </c>
      <c r="ER185" s="408">
        <v>0</v>
      </c>
      <c r="ES185" s="408">
        <v>0</v>
      </c>
      <c r="ET185" s="408">
        <v>0</v>
      </c>
      <c r="EU185" s="408">
        <v>0</v>
      </c>
      <c r="EV185" s="408">
        <v>238</v>
      </c>
      <c r="EW185" s="408">
        <v>0</v>
      </c>
      <c r="EX185" s="408">
        <v>0</v>
      </c>
      <c r="EY185" s="408">
        <v>0</v>
      </c>
      <c r="EZ185" s="408"/>
      <c r="FA185" s="408">
        <v>0</v>
      </c>
      <c r="FB185" s="408"/>
      <c r="FC185" s="408"/>
      <c r="FD185" s="408"/>
      <c r="FE185" s="408"/>
      <c r="FF185" s="408">
        <v>0</v>
      </c>
      <c r="FG185" s="408">
        <v>0</v>
      </c>
      <c r="FH185" s="408">
        <v>0</v>
      </c>
      <c r="FI185" s="408">
        <v>0</v>
      </c>
    </row>
    <row r="186" spans="1:165">
      <c r="A186" s="408">
        <v>190</v>
      </c>
      <c r="B186" s="408" t="s">
        <v>1036</v>
      </c>
      <c r="C186" s="408" t="s">
        <v>2243</v>
      </c>
      <c r="D186" s="408" t="s">
        <v>597</v>
      </c>
      <c r="E186" s="408" t="s">
        <v>998</v>
      </c>
      <c r="F186" s="408" t="s">
        <v>1322</v>
      </c>
      <c r="G186" s="408" t="s">
        <v>1322</v>
      </c>
      <c r="H186" s="408" t="s">
        <v>1322</v>
      </c>
      <c r="I186" s="408" t="s">
        <v>973</v>
      </c>
      <c r="J186" s="408" t="s">
        <v>2236</v>
      </c>
      <c r="K186" s="824">
        <v>44470</v>
      </c>
      <c r="L186" s="408">
        <v>0</v>
      </c>
      <c r="M186" s="408">
        <v>0</v>
      </c>
      <c r="N186" s="408">
        <v>52.167999999999999</v>
      </c>
      <c r="O186" s="408">
        <v>52.167999999999999</v>
      </c>
      <c r="P186" s="408">
        <v>52.167999999999999</v>
      </c>
      <c r="Q186" s="408">
        <v>52.167999999999999</v>
      </c>
      <c r="R186" s="408"/>
      <c r="S186" s="408">
        <v>1614.19</v>
      </c>
      <c r="T186" s="408">
        <v>209.4</v>
      </c>
      <c r="U186" s="408"/>
      <c r="V186" s="408">
        <v>95133.043120000002</v>
      </c>
      <c r="W186" s="408">
        <v>95133.043120000002</v>
      </c>
      <c r="X186" s="408">
        <v>63235.441200000001</v>
      </c>
      <c r="Y186" s="408">
        <v>0</v>
      </c>
      <c r="Z186" s="408">
        <v>2792.9693148016695</v>
      </c>
      <c r="AA186" s="408">
        <v>0</v>
      </c>
      <c r="AB186" s="408">
        <v>0</v>
      </c>
      <c r="AC186" s="408">
        <v>0</v>
      </c>
      <c r="AD186" s="408">
        <v>16246.053720265636</v>
      </c>
      <c r="AE186" s="408">
        <v>60662.860590914643</v>
      </c>
      <c r="AF186" s="408">
        <v>10780.556106426193</v>
      </c>
      <c r="AG186" s="408">
        <v>143.61667625175645</v>
      </c>
      <c r="AH186" s="408">
        <v>0</v>
      </c>
      <c r="AI186" s="408">
        <v>0</v>
      </c>
      <c r="AJ186" s="408">
        <v>0</v>
      </c>
      <c r="AK186" s="408">
        <v>0</v>
      </c>
      <c r="AL186" s="408">
        <v>496.0968986228612</v>
      </c>
      <c r="AM186" s="408"/>
      <c r="AN186" s="408">
        <v>69.270981886251604</v>
      </c>
      <c r="AO186" s="408">
        <v>1262.2008668463159</v>
      </c>
      <c r="AP186" s="408">
        <v>1880.0671016296299</v>
      </c>
      <c r="AQ186" s="408">
        <v>0</v>
      </c>
      <c r="AR186" s="408">
        <v>0</v>
      </c>
      <c r="AS186" s="408">
        <v>0</v>
      </c>
      <c r="AT186" s="408">
        <v>0</v>
      </c>
      <c r="AU186" s="408">
        <v>0</v>
      </c>
      <c r="AV186" s="408">
        <v>0</v>
      </c>
      <c r="AW186" s="408">
        <v>0</v>
      </c>
      <c r="AX186" s="408">
        <v>0</v>
      </c>
      <c r="AY186" s="408">
        <v>0</v>
      </c>
      <c r="AZ186" s="408">
        <v>0</v>
      </c>
      <c r="BA186" s="408"/>
      <c r="BB186" s="408">
        <v>0</v>
      </c>
      <c r="BC186" s="408">
        <v>0</v>
      </c>
      <c r="BD186" s="408">
        <v>0</v>
      </c>
      <c r="BE186" s="408">
        <v>0</v>
      </c>
      <c r="BF186" s="408">
        <v>0</v>
      </c>
      <c r="BG186" s="408">
        <v>799.44519609215627</v>
      </c>
      <c r="BH186" s="408">
        <v>0</v>
      </c>
      <c r="BI186" s="408">
        <v>0</v>
      </c>
      <c r="BJ186" s="408">
        <v>0</v>
      </c>
      <c r="BK186" s="408">
        <v>0</v>
      </c>
      <c r="BL186" s="408">
        <v>0</v>
      </c>
      <c r="BM186" s="408"/>
      <c r="BN186" s="408"/>
      <c r="BO186" s="408"/>
      <c r="BP186" s="408"/>
      <c r="BQ186" s="408"/>
      <c r="BR186" s="408"/>
      <c r="BS186" s="408"/>
      <c r="BT186" s="408"/>
      <c r="BU186" s="408"/>
      <c r="BV186" s="408">
        <v>11580.001302518349</v>
      </c>
      <c r="BW186" s="408"/>
      <c r="BX186" s="408"/>
      <c r="BY186" s="408"/>
      <c r="BZ186" s="408"/>
      <c r="CA186" s="408"/>
      <c r="CB186" s="408"/>
      <c r="CC186" s="408"/>
      <c r="CD186" s="408"/>
      <c r="CE186" s="408"/>
      <c r="CF186" s="408"/>
      <c r="CG186" s="408"/>
      <c r="CH186" s="408"/>
      <c r="CI186" s="408">
        <v>63237.8655</v>
      </c>
      <c r="CJ186" s="408">
        <v>-31895.207619999986</v>
      </c>
      <c r="CK186" s="408"/>
      <c r="CL186" s="408"/>
      <c r="CM186" s="408"/>
      <c r="CN186" s="408"/>
      <c r="CO186" s="408">
        <v>-33088.597360000007</v>
      </c>
      <c r="CP186" s="408">
        <v>1190.9954399999992</v>
      </c>
      <c r="CQ186" s="408">
        <v>31</v>
      </c>
      <c r="CR186" s="408">
        <v>2133.3254996349206</v>
      </c>
      <c r="CS186" s="408">
        <v>152.3880735543853</v>
      </c>
      <c r="CT186" s="408">
        <v>226.98431865774296</v>
      </c>
      <c r="CU186" s="408">
        <v>0</v>
      </c>
      <c r="CV186" s="408">
        <v>0</v>
      </c>
      <c r="CW186" s="408">
        <v>0</v>
      </c>
      <c r="CX186" s="408">
        <v>0</v>
      </c>
      <c r="CY186" s="408">
        <v>0</v>
      </c>
      <c r="CZ186" s="408">
        <v>532.58524411899452</v>
      </c>
      <c r="DA186" s="408">
        <v>0</v>
      </c>
      <c r="DB186" s="408">
        <v>0</v>
      </c>
      <c r="DC186" s="408">
        <v>1190.6346527039477</v>
      </c>
      <c r="DD186" s="408">
        <v>0</v>
      </c>
      <c r="DE186" s="408">
        <v>0</v>
      </c>
      <c r="DF186" s="408">
        <v>0</v>
      </c>
      <c r="DG186" s="408">
        <v>88.292954835383853</v>
      </c>
      <c r="DH186" s="408">
        <v>0</v>
      </c>
      <c r="DI186" s="408">
        <v>-48.687384169882989</v>
      </c>
      <c r="DJ186" s="408"/>
      <c r="DK186" s="408">
        <v>0</v>
      </c>
      <c r="DL186" s="408">
        <v>0</v>
      </c>
      <c r="DM186" s="408">
        <v>0</v>
      </c>
      <c r="DN186" s="408">
        <v>0</v>
      </c>
      <c r="DO186" s="408">
        <v>-7.2707822860108422</v>
      </c>
      <c r="DP186" s="408">
        <v>-1.601577779639328</v>
      </c>
      <c r="DQ186" s="408">
        <v>0</v>
      </c>
      <c r="DR186" s="408">
        <v>0</v>
      </c>
      <c r="DS186" s="408"/>
      <c r="DT186" s="408"/>
      <c r="DU186" s="408"/>
      <c r="DV186" s="408">
        <v>60662.860590914643</v>
      </c>
      <c r="DW186" s="408">
        <v>0</v>
      </c>
      <c r="DX186" s="408">
        <v>0</v>
      </c>
      <c r="DY186" s="408">
        <v>-33088.59736</v>
      </c>
      <c r="DZ186" s="408">
        <v>1190.9954399999988</v>
      </c>
      <c r="EA186" s="408">
        <v>0</v>
      </c>
      <c r="EB186" s="408">
        <v>0</v>
      </c>
      <c r="EC186" s="408">
        <v>-34031.239915224352</v>
      </c>
      <c r="ED186" s="408">
        <v>0</v>
      </c>
      <c r="EE186" s="408">
        <v>0</v>
      </c>
      <c r="EF186" s="408">
        <v>0</v>
      </c>
      <c r="EG186" s="408">
        <v>0</v>
      </c>
      <c r="EH186" s="408">
        <v>0</v>
      </c>
      <c r="EI186" s="408">
        <v>0</v>
      </c>
      <c r="EJ186" s="408">
        <v>0</v>
      </c>
      <c r="EK186" s="408">
        <v>0</v>
      </c>
      <c r="EL186" s="408">
        <v>0</v>
      </c>
      <c r="EM186" s="408">
        <v>0</v>
      </c>
      <c r="EN186" s="408">
        <v>0</v>
      </c>
      <c r="EO186" s="408">
        <v>0</v>
      </c>
      <c r="EP186" s="408">
        <v>0</v>
      </c>
      <c r="EQ186" s="408">
        <v>0</v>
      </c>
      <c r="ER186" s="408">
        <v>0</v>
      </c>
      <c r="ES186" s="408">
        <v>0</v>
      </c>
      <c r="ET186" s="408">
        <v>0</v>
      </c>
      <c r="EU186" s="408">
        <v>0</v>
      </c>
      <c r="EV186" s="408">
        <v>238</v>
      </c>
      <c r="EW186" s="408">
        <v>0</v>
      </c>
      <c r="EX186" s="408">
        <v>0</v>
      </c>
      <c r="EY186" s="408">
        <v>0</v>
      </c>
      <c r="EZ186" s="408"/>
      <c r="FA186" s="408">
        <v>0</v>
      </c>
      <c r="FB186" s="408"/>
      <c r="FC186" s="408"/>
      <c r="FD186" s="408"/>
      <c r="FE186" s="408"/>
      <c r="FF186" s="408">
        <v>0</v>
      </c>
      <c r="FG186" s="408">
        <v>0</v>
      </c>
      <c r="FH186" s="408">
        <v>0</v>
      </c>
      <c r="FI186" s="408">
        <v>0</v>
      </c>
    </row>
    <row r="187" spans="1:165">
      <c r="A187" s="408">
        <v>191</v>
      </c>
      <c r="B187" s="408" t="s">
        <v>1036</v>
      </c>
      <c r="C187" s="408" t="s">
        <v>2243</v>
      </c>
      <c r="D187" s="408" t="s">
        <v>597</v>
      </c>
      <c r="E187" s="408" t="s">
        <v>998</v>
      </c>
      <c r="F187" s="408" t="s">
        <v>1322</v>
      </c>
      <c r="G187" s="408" t="s">
        <v>1322</v>
      </c>
      <c r="H187" s="408" t="s">
        <v>1322</v>
      </c>
      <c r="I187" s="408" t="s">
        <v>2244</v>
      </c>
      <c r="J187" s="408" t="s">
        <v>2236</v>
      </c>
      <c r="K187" s="824">
        <v>44470</v>
      </c>
      <c r="L187" s="408">
        <v>0</v>
      </c>
      <c r="M187" s="408">
        <v>0</v>
      </c>
      <c r="N187" s="408">
        <v>531.15800000000002</v>
      </c>
      <c r="O187" s="408">
        <v>531.15800000000002</v>
      </c>
      <c r="P187" s="408">
        <v>531.15800000000002</v>
      </c>
      <c r="Q187" s="408">
        <v>531.15800000000002</v>
      </c>
      <c r="R187" s="408"/>
      <c r="S187" s="408">
        <v>79.7</v>
      </c>
      <c r="T187" s="408">
        <v>209.4</v>
      </c>
      <c r="U187" s="408"/>
      <c r="V187" s="408">
        <v>153557.77780000001</v>
      </c>
      <c r="W187" s="408">
        <v>153557.77780000001</v>
      </c>
      <c r="X187" s="408">
        <v>165997.49816000002</v>
      </c>
      <c r="Y187" s="408">
        <v>0</v>
      </c>
      <c r="Z187" s="408">
        <v>28437.126117762331</v>
      </c>
      <c r="AA187" s="408">
        <v>0</v>
      </c>
      <c r="AB187" s="408">
        <v>0</v>
      </c>
      <c r="AC187" s="408">
        <v>0</v>
      </c>
      <c r="AD187" s="408">
        <v>0</v>
      </c>
      <c r="AE187" s="408">
        <v>0</v>
      </c>
      <c r="AF187" s="408">
        <v>109764.19683286926</v>
      </c>
      <c r="AG187" s="408">
        <v>1462.2593644481378</v>
      </c>
      <c r="AH187" s="408">
        <v>0</v>
      </c>
      <c r="AI187" s="408">
        <v>0</v>
      </c>
      <c r="AJ187" s="408">
        <v>0</v>
      </c>
      <c r="AK187" s="408">
        <v>0</v>
      </c>
      <c r="AL187" s="408">
        <v>5051.1009906211029</v>
      </c>
      <c r="AM187" s="408"/>
      <c r="AN187" s="408">
        <v>705.29512721855599</v>
      </c>
      <c r="AO187" s="408">
        <v>0</v>
      </c>
      <c r="AP187" s="408">
        <v>0</v>
      </c>
      <c r="AQ187" s="408">
        <v>0</v>
      </c>
      <c r="AR187" s="408">
        <v>0</v>
      </c>
      <c r="AS187" s="408">
        <v>0</v>
      </c>
      <c r="AT187" s="408">
        <v>0</v>
      </c>
      <c r="AU187" s="408">
        <v>0</v>
      </c>
      <c r="AV187" s="408">
        <v>0</v>
      </c>
      <c r="AW187" s="408">
        <v>0</v>
      </c>
      <c r="AX187" s="408">
        <v>0</v>
      </c>
      <c r="AY187" s="408">
        <v>0</v>
      </c>
      <c r="AZ187" s="408">
        <v>0</v>
      </c>
      <c r="BA187" s="408"/>
      <c r="BB187" s="408">
        <v>0</v>
      </c>
      <c r="BC187" s="408">
        <v>0</v>
      </c>
      <c r="BD187" s="408">
        <v>0</v>
      </c>
      <c r="BE187" s="408">
        <v>0</v>
      </c>
      <c r="BF187" s="408">
        <v>0</v>
      </c>
      <c r="BG187" s="408">
        <v>8139.6969687532119</v>
      </c>
      <c r="BH187" s="408">
        <v>0</v>
      </c>
      <c r="BI187" s="408">
        <v>0</v>
      </c>
      <c r="BJ187" s="408">
        <v>0</v>
      </c>
      <c r="BK187" s="408">
        <v>0</v>
      </c>
      <c r="BL187" s="408">
        <v>0</v>
      </c>
      <c r="BM187" s="408"/>
      <c r="BN187" s="408"/>
      <c r="BO187" s="408"/>
      <c r="BP187" s="408"/>
      <c r="BQ187" s="408"/>
      <c r="BR187" s="408"/>
      <c r="BS187" s="408"/>
      <c r="BT187" s="408"/>
      <c r="BU187" s="408"/>
      <c r="BV187" s="408">
        <v>117903.89380162247</v>
      </c>
      <c r="BW187" s="408"/>
      <c r="BX187" s="408"/>
      <c r="BY187" s="408"/>
      <c r="BZ187" s="408"/>
      <c r="CA187" s="408"/>
      <c r="CB187" s="408"/>
      <c r="CC187" s="408"/>
      <c r="CD187" s="408"/>
      <c r="CE187" s="408"/>
      <c r="CF187" s="408"/>
      <c r="CG187" s="408"/>
      <c r="CH187" s="408"/>
      <c r="CI187" s="408">
        <v>165998.12319999997</v>
      </c>
      <c r="CJ187" s="408">
        <v>12440.315399999963</v>
      </c>
      <c r="CK187" s="408"/>
      <c r="CL187" s="408"/>
      <c r="CM187" s="408"/>
      <c r="CN187" s="408"/>
      <c r="CO187" s="408">
        <v>313.38322000000181</v>
      </c>
      <c r="CP187" s="408">
        <v>12126.337139999992</v>
      </c>
      <c r="CQ187" s="408">
        <v>31</v>
      </c>
      <c r="CR187" s="408">
        <v>12435.579503464192</v>
      </c>
      <c r="CS187" s="408">
        <v>0</v>
      </c>
      <c r="CT187" s="408">
        <v>0</v>
      </c>
      <c r="CU187" s="408">
        <v>0</v>
      </c>
      <c r="CV187" s="408">
        <v>0</v>
      </c>
      <c r="CW187" s="408">
        <v>0</v>
      </c>
      <c r="CX187" s="408">
        <v>0</v>
      </c>
      <c r="CY187" s="408">
        <v>0</v>
      </c>
      <c r="CZ187" s="408">
        <v>0</v>
      </c>
      <c r="DA187" s="408">
        <v>0</v>
      </c>
      <c r="DB187" s="408">
        <v>0</v>
      </c>
      <c r="DC187" s="408">
        <v>12122.663718389114</v>
      </c>
      <c r="DD187" s="408">
        <v>0</v>
      </c>
      <c r="DE187" s="408">
        <v>0</v>
      </c>
      <c r="DF187" s="408">
        <v>0</v>
      </c>
      <c r="DG187" s="408">
        <v>898.97081169400462</v>
      </c>
      <c r="DH187" s="408">
        <v>0</v>
      </c>
      <c r="DI187" s="408">
        <v>-495.71947555794395</v>
      </c>
      <c r="DJ187" s="408"/>
      <c r="DK187" s="408">
        <v>0</v>
      </c>
      <c r="DL187" s="408">
        <v>0</v>
      </c>
      <c r="DM187" s="408">
        <v>0</v>
      </c>
      <c r="DN187" s="408">
        <v>0</v>
      </c>
      <c r="DO187" s="408">
        <v>-74.02879499833125</v>
      </c>
      <c r="DP187" s="408">
        <v>-16.306756062675618</v>
      </c>
      <c r="DQ187" s="408">
        <v>0</v>
      </c>
      <c r="DR187" s="408">
        <v>0</v>
      </c>
      <c r="DS187" s="408"/>
      <c r="DT187" s="408"/>
      <c r="DU187" s="408"/>
      <c r="DV187" s="408">
        <v>0</v>
      </c>
      <c r="DW187" s="408">
        <v>0</v>
      </c>
      <c r="DX187" s="408">
        <v>0</v>
      </c>
      <c r="DY187" s="408">
        <v>313.38322000000335</v>
      </c>
      <c r="DZ187" s="408">
        <v>12126.337139999989</v>
      </c>
      <c r="EA187" s="408">
        <v>0</v>
      </c>
      <c r="EB187" s="408">
        <v>0</v>
      </c>
      <c r="EC187" s="408">
        <v>0</v>
      </c>
      <c r="ED187" s="408">
        <v>0</v>
      </c>
      <c r="EE187" s="408">
        <v>0</v>
      </c>
      <c r="EF187" s="408">
        <v>0</v>
      </c>
      <c r="EG187" s="408">
        <v>0</v>
      </c>
      <c r="EH187" s="408">
        <v>0</v>
      </c>
      <c r="EI187" s="408">
        <v>0</v>
      </c>
      <c r="EJ187" s="408">
        <v>0</v>
      </c>
      <c r="EK187" s="408">
        <v>0</v>
      </c>
      <c r="EL187" s="408">
        <v>0</v>
      </c>
      <c r="EM187" s="408">
        <v>0</v>
      </c>
      <c r="EN187" s="408">
        <v>0</v>
      </c>
      <c r="EO187" s="408">
        <v>0</v>
      </c>
      <c r="EP187" s="408">
        <v>0</v>
      </c>
      <c r="EQ187" s="408">
        <v>0</v>
      </c>
      <c r="ER187" s="408">
        <v>0</v>
      </c>
      <c r="ES187" s="408">
        <v>0</v>
      </c>
      <c r="ET187" s="408">
        <v>0</v>
      </c>
      <c r="EU187" s="408">
        <v>0</v>
      </c>
      <c r="EV187" s="408">
        <v>238</v>
      </c>
      <c r="EW187" s="408">
        <v>0</v>
      </c>
      <c r="EX187" s="408">
        <v>0</v>
      </c>
      <c r="EY187" s="408">
        <v>0</v>
      </c>
      <c r="EZ187" s="408"/>
      <c r="FA187" s="408">
        <v>0</v>
      </c>
      <c r="FB187" s="408"/>
      <c r="FC187" s="408"/>
      <c r="FD187" s="408"/>
      <c r="FE187" s="408"/>
      <c r="FF187" s="408">
        <v>0</v>
      </c>
      <c r="FG187" s="408">
        <v>0</v>
      </c>
      <c r="FH187" s="408">
        <v>0</v>
      </c>
      <c r="FI187" s="408">
        <v>0</v>
      </c>
    </row>
    <row r="188" spans="1:165">
      <c r="A188" s="408">
        <v>192</v>
      </c>
      <c r="B188" s="408" t="s">
        <v>1036</v>
      </c>
      <c r="C188" s="408" t="s">
        <v>2243</v>
      </c>
      <c r="D188" s="408" t="s">
        <v>597</v>
      </c>
      <c r="E188" s="408" t="s">
        <v>998</v>
      </c>
      <c r="F188" s="408" t="s">
        <v>1322</v>
      </c>
      <c r="G188" s="408" t="s">
        <v>1322</v>
      </c>
      <c r="H188" s="408" t="s">
        <v>1322</v>
      </c>
      <c r="I188" s="408" t="s">
        <v>1322</v>
      </c>
      <c r="J188" s="408" t="s">
        <v>2236</v>
      </c>
      <c r="K188" s="824">
        <v>44470</v>
      </c>
      <c r="L188" s="408">
        <v>4629</v>
      </c>
      <c r="M188" s="408">
        <v>4629</v>
      </c>
      <c r="N188" s="408">
        <v>0</v>
      </c>
      <c r="O188" s="408">
        <v>0</v>
      </c>
      <c r="P188" s="408">
        <v>0</v>
      </c>
      <c r="Q188" s="408">
        <v>0</v>
      </c>
      <c r="R188" s="408">
        <v>44.35</v>
      </c>
      <c r="S188" s="408"/>
      <c r="T188" s="408"/>
      <c r="U188" s="408">
        <v>205296.15</v>
      </c>
      <c r="V188" s="408"/>
      <c r="W188" s="408">
        <v>205296.15</v>
      </c>
      <c r="X188" s="408">
        <v>134102.13</v>
      </c>
      <c r="Y188" s="408">
        <v>0</v>
      </c>
      <c r="Z188" s="408">
        <v>0</v>
      </c>
      <c r="AA188" s="408">
        <v>0</v>
      </c>
      <c r="AB188" s="408">
        <v>0</v>
      </c>
      <c r="AC188" s="408">
        <v>0</v>
      </c>
      <c r="AD188" s="408">
        <v>60742.032812146856</v>
      </c>
      <c r="AE188" s="408">
        <v>132934.91045671824</v>
      </c>
      <c r="AF188" s="408"/>
      <c r="AG188" s="408"/>
      <c r="AH188" s="408"/>
      <c r="AI188" s="408">
        <v>0</v>
      </c>
      <c r="AJ188" s="408">
        <v>0</v>
      </c>
      <c r="AK188" s="408">
        <v>0</v>
      </c>
      <c r="AL188" s="408">
        <v>0</v>
      </c>
      <c r="AM188" s="408"/>
      <c r="AN188" s="408">
        <v>0</v>
      </c>
      <c r="AO188" s="408">
        <v>4590.6750816986159</v>
      </c>
      <c r="AP188" s="408">
        <v>7023.5418600863268</v>
      </c>
      <c r="AQ188" s="408">
        <v>0</v>
      </c>
      <c r="AR188" s="408">
        <v>0</v>
      </c>
      <c r="AS188" s="408"/>
      <c r="AT188" s="408"/>
      <c r="AU188" s="408">
        <v>0</v>
      </c>
      <c r="AV188" s="408">
        <v>0</v>
      </c>
      <c r="AW188" s="408">
        <v>0</v>
      </c>
      <c r="AX188" s="408"/>
      <c r="AY188" s="408"/>
      <c r="AZ188" s="408">
        <v>0</v>
      </c>
      <c r="BA188" s="408"/>
      <c r="BB188" s="408">
        <v>0</v>
      </c>
      <c r="BC188" s="408">
        <v>0</v>
      </c>
      <c r="BD188" s="408">
        <v>0</v>
      </c>
      <c r="BE188" s="408">
        <v>0</v>
      </c>
      <c r="BF188" s="408"/>
      <c r="BG188" s="408">
        <v>0</v>
      </c>
      <c r="BH188" s="408">
        <v>0</v>
      </c>
      <c r="BI188" s="408">
        <v>2130.7600000000002</v>
      </c>
      <c r="BJ188" s="408">
        <v>9692.31</v>
      </c>
      <c r="BK188" s="408">
        <v>204087.83</v>
      </c>
      <c r="BL188" s="408">
        <v>36</v>
      </c>
      <c r="BM188" s="408"/>
      <c r="BN188" s="408"/>
      <c r="BO188" s="408"/>
      <c r="BP188" s="408"/>
      <c r="BQ188" s="408"/>
      <c r="BR188" s="408"/>
      <c r="BS188" s="408"/>
      <c r="BT188" s="408"/>
      <c r="BU188" s="408"/>
      <c r="BV188" s="408">
        <v>0</v>
      </c>
      <c r="BW188" s="408"/>
      <c r="BX188" s="408"/>
      <c r="BY188" s="408"/>
      <c r="BZ188" s="408"/>
      <c r="CA188" s="408"/>
      <c r="CB188" s="408"/>
      <c r="CC188" s="408"/>
      <c r="CD188" s="408"/>
      <c r="CE188" s="408"/>
      <c r="CF188" s="408"/>
      <c r="CG188" s="408"/>
      <c r="CH188" s="408"/>
      <c r="CI188" s="408">
        <v>134102.13</v>
      </c>
      <c r="CJ188" s="408">
        <v>-71194.050000000017</v>
      </c>
      <c r="CK188" s="408"/>
      <c r="CL188" s="408"/>
      <c r="CM188" s="408"/>
      <c r="CN188" s="408"/>
      <c r="CO188" s="408">
        <v>-71194.020000000019</v>
      </c>
      <c r="CP188" s="408">
        <v>0</v>
      </c>
      <c r="CQ188" s="408">
        <v>31</v>
      </c>
      <c r="CR188" s="408">
        <v>3393.4799011070863</v>
      </c>
      <c r="CS188" s="408">
        <v>554.24152398348633</v>
      </c>
      <c r="CT188" s="408">
        <v>847.96647007649426</v>
      </c>
      <c r="CU188" s="408">
        <v>0</v>
      </c>
      <c r="CV188" s="408">
        <v>0</v>
      </c>
      <c r="CW188" s="408"/>
      <c r="CX188" s="408"/>
      <c r="CY188" s="408"/>
      <c r="CZ188" s="408">
        <v>1991.2719070471067</v>
      </c>
      <c r="DA188" s="408">
        <v>0</v>
      </c>
      <c r="DB188" s="408">
        <v>0</v>
      </c>
      <c r="DC188" s="408"/>
      <c r="DD188" s="408"/>
      <c r="DE188" s="408">
        <v>0</v>
      </c>
      <c r="DF188" s="408">
        <v>0</v>
      </c>
      <c r="DG188" s="408">
        <v>0</v>
      </c>
      <c r="DH188" s="408">
        <v>0</v>
      </c>
      <c r="DI188" s="408">
        <v>0</v>
      </c>
      <c r="DJ188" s="408"/>
      <c r="DK188" s="408">
        <v>0</v>
      </c>
      <c r="DL188" s="408">
        <v>0</v>
      </c>
      <c r="DM188" s="408"/>
      <c r="DN188" s="408">
        <v>0</v>
      </c>
      <c r="DO188" s="408">
        <v>0</v>
      </c>
      <c r="DP188" s="408">
        <v>0</v>
      </c>
      <c r="DQ188" s="408">
        <v>0</v>
      </c>
      <c r="DR188" s="408">
        <v>0</v>
      </c>
      <c r="DS188" s="408"/>
      <c r="DT188" s="408"/>
      <c r="DU188" s="408">
        <v>132934.91045671824</v>
      </c>
      <c r="DV188" s="408"/>
      <c r="DW188" s="408">
        <v>0</v>
      </c>
      <c r="DX188" s="408">
        <v>0</v>
      </c>
      <c r="DY188" s="408">
        <v>-71194.01999999999</v>
      </c>
      <c r="DZ188" s="408"/>
      <c r="EA188" s="408">
        <v>0</v>
      </c>
      <c r="EB188" s="408"/>
      <c r="EC188" s="408">
        <v>-74575.115429669837</v>
      </c>
      <c r="ED188" s="408"/>
      <c r="EE188" s="408">
        <v>0</v>
      </c>
      <c r="EF188" s="408">
        <v>0</v>
      </c>
      <c r="EG188" s="408"/>
      <c r="EH188" s="408">
        <v>0</v>
      </c>
      <c r="EI188" s="408">
        <v>0</v>
      </c>
      <c r="EJ188" s="408">
        <v>0</v>
      </c>
      <c r="EK188" s="408">
        <v>0</v>
      </c>
      <c r="EL188" s="408">
        <v>0</v>
      </c>
      <c r="EM188" s="408"/>
      <c r="EN188" s="408"/>
      <c r="EO188" s="408">
        <v>0</v>
      </c>
      <c r="EP188" s="408">
        <v>0</v>
      </c>
      <c r="EQ188" s="408"/>
      <c r="ER188" s="408">
        <v>0</v>
      </c>
      <c r="ES188" s="408"/>
      <c r="ET188" s="408">
        <v>0</v>
      </c>
      <c r="EU188" s="408"/>
      <c r="EV188" s="408">
        <v>238</v>
      </c>
      <c r="EW188" s="408"/>
      <c r="EX188" s="408"/>
      <c r="EY188" s="408"/>
      <c r="EZ188" s="408"/>
      <c r="FA188" s="408">
        <v>0</v>
      </c>
      <c r="FB188" s="408"/>
      <c r="FC188" s="408"/>
      <c r="FD188" s="408"/>
      <c r="FE188" s="408"/>
      <c r="FF188" s="408">
        <v>0</v>
      </c>
      <c r="FG188" s="408">
        <v>0</v>
      </c>
      <c r="FH188" s="408">
        <v>0</v>
      </c>
      <c r="FI188" s="408">
        <v>0</v>
      </c>
    </row>
    <row r="189" spans="1:165">
      <c r="A189" s="408">
        <v>193</v>
      </c>
      <c r="B189" s="408" t="s">
        <v>2238</v>
      </c>
      <c r="C189" s="408" t="s">
        <v>2243</v>
      </c>
      <c r="D189" s="408" t="s">
        <v>597</v>
      </c>
      <c r="E189" s="408" t="s">
        <v>998</v>
      </c>
      <c r="F189" s="408" t="s">
        <v>1322</v>
      </c>
      <c r="G189" s="408" t="s">
        <v>1322</v>
      </c>
      <c r="H189" s="408" t="s">
        <v>1322</v>
      </c>
      <c r="I189" s="408" t="s">
        <v>1322</v>
      </c>
      <c r="J189" s="408" t="s">
        <v>2236</v>
      </c>
      <c r="K189" s="824">
        <v>44470</v>
      </c>
      <c r="L189" s="408">
        <v>127</v>
      </c>
      <c r="M189" s="408">
        <v>127</v>
      </c>
      <c r="N189" s="408">
        <v>0</v>
      </c>
      <c r="O189" s="408">
        <v>0</v>
      </c>
      <c r="P189" s="408">
        <v>0</v>
      </c>
      <c r="Q189" s="408">
        <v>0</v>
      </c>
      <c r="R189" s="408">
        <v>44.35</v>
      </c>
      <c r="S189" s="408"/>
      <c r="T189" s="408"/>
      <c r="U189" s="408">
        <v>5632.45</v>
      </c>
      <c r="V189" s="408"/>
      <c r="W189" s="408">
        <v>5632.45</v>
      </c>
      <c r="X189" s="408">
        <v>3679.19</v>
      </c>
      <c r="Y189" s="408">
        <v>0</v>
      </c>
      <c r="Z189" s="408">
        <v>0</v>
      </c>
      <c r="AA189" s="408">
        <v>0</v>
      </c>
      <c r="AB189" s="408">
        <v>0</v>
      </c>
      <c r="AC189" s="408">
        <v>0</v>
      </c>
      <c r="AD189" s="408">
        <v>1666.5020883868331</v>
      </c>
      <c r="AE189" s="408">
        <v>3647.1664782897419</v>
      </c>
      <c r="AF189" s="408"/>
      <c r="AG189" s="408"/>
      <c r="AH189" s="408"/>
      <c r="AI189" s="408">
        <v>0</v>
      </c>
      <c r="AJ189" s="408">
        <v>0</v>
      </c>
      <c r="AK189" s="408">
        <v>0</v>
      </c>
      <c r="AL189" s="408">
        <v>0</v>
      </c>
      <c r="AM189" s="408"/>
      <c r="AN189" s="408">
        <v>0</v>
      </c>
      <c r="AO189" s="408">
        <v>125.9485278409428</v>
      </c>
      <c r="AP189" s="408">
        <v>192.69600696283504</v>
      </c>
      <c r="AQ189" s="408">
        <v>0</v>
      </c>
      <c r="AR189" s="408">
        <v>0</v>
      </c>
      <c r="AS189" s="408"/>
      <c r="AT189" s="408"/>
      <c r="AU189" s="408">
        <v>0</v>
      </c>
      <c r="AV189" s="408">
        <v>0</v>
      </c>
      <c r="AW189" s="408">
        <v>0</v>
      </c>
      <c r="AX189" s="408"/>
      <c r="AY189" s="408"/>
      <c r="AZ189" s="408">
        <v>0</v>
      </c>
      <c r="BA189" s="408"/>
      <c r="BB189" s="408">
        <v>0</v>
      </c>
      <c r="BC189" s="408">
        <v>0</v>
      </c>
      <c r="BD189" s="408">
        <v>0</v>
      </c>
      <c r="BE189" s="408">
        <v>0</v>
      </c>
      <c r="BF189" s="408"/>
      <c r="BG189" s="408">
        <v>0</v>
      </c>
      <c r="BH189" s="408">
        <v>0</v>
      </c>
      <c r="BI189" s="408">
        <v>19.649999999999999</v>
      </c>
      <c r="BJ189" s="408">
        <v>89.42</v>
      </c>
      <c r="BK189" s="408">
        <v>2912.58</v>
      </c>
      <c r="BL189" s="408">
        <v>1</v>
      </c>
      <c r="BM189" s="408"/>
      <c r="BN189" s="408"/>
      <c r="BO189" s="408"/>
      <c r="BP189" s="408"/>
      <c r="BQ189" s="408"/>
      <c r="BR189" s="408"/>
      <c r="BS189" s="408"/>
      <c r="BT189" s="408"/>
      <c r="BU189" s="408"/>
      <c r="BV189" s="408">
        <v>0</v>
      </c>
      <c r="BW189" s="408"/>
      <c r="BX189" s="408"/>
      <c r="BY189" s="408"/>
      <c r="BZ189" s="408"/>
      <c r="CA189" s="408"/>
      <c r="CB189" s="408"/>
      <c r="CC189" s="408"/>
      <c r="CD189" s="408"/>
      <c r="CE189" s="408"/>
      <c r="CF189" s="408"/>
      <c r="CG189" s="408"/>
      <c r="CH189" s="408"/>
      <c r="CI189" s="408">
        <v>3679.19</v>
      </c>
      <c r="CJ189" s="408">
        <v>-1953.2900000000004</v>
      </c>
      <c r="CK189" s="408"/>
      <c r="CL189" s="408"/>
      <c r="CM189" s="408"/>
      <c r="CN189" s="408"/>
      <c r="CO189" s="408">
        <v>-1953.2600000000002</v>
      </c>
      <c r="CP189" s="408">
        <v>0</v>
      </c>
      <c r="CQ189" s="408">
        <v>31</v>
      </c>
      <c r="CR189" s="408">
        <v>93.102602601123408</v>
      </c>
      <c r="CS189" s="408">
        <v>15.206021504839669</v>
      </c>
      <c r="CT189" s="408">
        <v>23.264580190044256</v>
      </c>
      <c r="CU189" s="408">
        <v>0</v>
      </c>
      <c r="CV189" s="408">
        <v>0</v>
      </c>
      <c r="CW189" s="408"/>
      <c r="CX189" s="408"/>
      <c r="CY189" s="408"/>
      <c r="CZ189" s="408">
        <v>54.632000906239455</v>
      </c>
      <c r="DA189" s="408">
        <v>0</v>
      </c>
      <c r="DB189" s="408">
        <v>0</v>
      </c>
      <c r="DC189" s="408"/>
      <c r="DD189" s="408"/>
      <c r="DE189" s="408">
        <v>0</v>
      </c>
      <c r="DF189" s="408">
        <v>0</v>
      </c>
      <c r="DG189" s="408">
        <v>0</v>
      </c>
      <c r="DH189" s="408">
        <v>0</v>
      </c>
      <c r="DI189" s="408">
        <v>0</v>
      </c>
      <c r="DJ189" s="408"/>
      <c r="DK189" s="408">
        <v>0</v>
      </c>
      <c r="DL189" s="408">
        <v>0</v>
      </c>
      <c r="DM189" s="408"/>
      <c r="DN189" s="408">
        <v>0</v>
      </c>
      <c r="DO189" s="408">
        <v>0</v>
      </c>
      <c r="DP189" s="408">
        <v>0</v>
      </c>
      <c r="DQ189" s="408">
        <v>0</v>
      </c>
      <c r="DR189" s="408">
        <v>0</v>
      </c>
      <c r="DS189" s="408"/>
      <c r="DT189" s="408"/>
      <c r="DU189" s="408">
        <v>3647.1664782897419</v>
      </c>
      <c r="DV189" s="408"/>
      <c r="DW189" s="408">
        <v>0</v>
      </c>
      <c r="DX189" s="408">
        <v>0</v>
      </c>
      <c r="DY189" s="408">
        <v>-1953.2599999999998</v>
      </c>
      <c r="DZ189" s="408"/>
      <c r="EA189" s="408">
        <v>0</v>
      </c>
      <c r="EB189" s="408"/>
      <c r="EC189" s="408">
        <v>-2046.0228255709806</v>
      </c>
      <c r="ED189" s="408"/>
      <c r="EE189" s="408">
        <v>0</v>
      </c>
      <c r="EF189" s="408">
        <v>0</v>
      </c>
      <c r="EG189" s="408"/>
      <c r="EH189" s="408">
        <v>0</v>
      </c>
      <c r="EI189" s="408">
        <v>0</v>
      </c>
      <c r="EJ189" s="408">
        <v>0</v>
      </c>
      <c r="EK189" s="408">
        <v>0</v>
      </c>
      <c r="EL189" s="408">
        <v>0</v>
      </c>
      <c r="EM189" s="408"/>
      <c r="EN189" s="408"/>
      <c r="EO189" s="408">
        <v>0</v>
      </c>
      <c r="EP189" s="408">
        <v>0</v>
      </c>
      <c r="EQ189" s="408"/>
      <c r="ER189" s="408">
        <v>0</v>
      </c>
      <c r="ES189" s="408"/>
      <c r="ET189" s="408">
        <v>0</v>
      </c>
      <c r="EU189" s="408"/>
      <c r="EV189" s="408">
        <v>238</v>
      </c>
      <c r="EW189" s="408"/>
      <c r="EX189" s="408"/>
      <c r="EY189" s="408"/>
      <c r="EZ189" s="408"/>
      <c r="FA189" s="408">
        <v>0</v>
      </c>
      <c r="FB189" s="408"/>
      <c r="FC189" s="408"/>
      <c r="FD189" s="408"/>
      <c r="FE189" s="408"/>
      <c r="FF189" s="408">
        <v>0</v>
      </c>
      <c r="FG189" s="408">
        <v>0</v>
      </c>
      <c r="FH189" s="408">
        <v>0</v>
      </c>
      <c r="FI189" s="408">
        <v>0</v>
      </c>
    </row>
    <row r="190" spans="1:165">
      <c r="A190" s="408">
        <v>194</v>
      </c>
      <c r="B190" s="408" t="s">
        <v>1036</v>
      </c>
      <c r="C190" s="408" t="s">
        <v>2235</v>
      </c>
      <c r="D190" s="408" t="s">
        <v>2245</v>
      </c>
      <c r="E190" s="408" t="s">
        <v>974</v>
      </c>
      <c r="F190" s="408" t="s">
        <v>1322</v>
      </c>
      <c r="G190" s="408" t="s">
        <v>1322</v>
      </c>
      <c r="H190" s="408" t="s">
        <v>1322</v>
      </c>
      <c r="I190" s="408" t="s">
        <v>1322</v>
      </c>
      <c r="J190" s="408" t="s">
        <v>2236</v>
      </c>
      <c r="K190" s="824">
        <v>44470</v>
      </c>
      <c r="L190" s="408">
        <v>0</v>
      </c>
      <c r="M190" s="408">
        <v>0</v>
      </c>
      <c r="N190" s="408">
        <v>3795.7730000000001</v>
      </c>
      <c r="O190" s="408">
        <v>3795.7730000000001</v>
      </c>
      <c r="P190" s="408">
        <v>3795.7730000000001</v>
      </c>
      <c r="Q190" s="408">
        <v>3795.7730000000001</v>
      </c>
      <c r="R190" s="408"/>
      <c r="S190" s="408">
        <v>581.32000000000005</v>
      </c>
      <c r="T190" s="408">
        <v>209.4</v>
      </c>
      <c r="U190" s="408"/>
      <c r="V190" s="408">
        <v>3001393.6265600002</v>
      </c>
      <c r="W190" s="408">
        <v>3001393.6265600002</v>
      </c>
      <c r="X190" s="408">
        <v>2292912.5961099998</v>
      </c>
      <c r="Y190" s="408">
        <v>0</v>
      </c>
      <c r="Z190" s="408">
        <v>233583.92767646944</v>
      </c>
      <c r="AA190" s="408">
        <v>0</v>
      </c>
      <c r="AB190" s="408">
        <v>0</v>
      </c>
      <c r="AC190" s="408">
        <v>0</v>
      </c>
      <c r="AD190" s="408">
        <v>281612.74425504316</v>
      </c>
      <c r="AE190" s="408">
        <v>1462911.0769278856</v>
      </c>
      <c r="AF190" s="408">
        <v>784399.32130343642</v>
      </c>
      <c r="AG190" s="408">
        <v>10449.630081010551</v>
      </c>
      <c r="AH190" s="408">
        <v>0</v>
      </c>
      <c r="AI190" s="408">
        <v>0</v>
      </c>
      <c r="AJ190" s="408">
        <v>0</v>
      </c>
      <c r="AK190" s="408">
        <v>0</v>
      </c>
      <c r="AL190" s="408">
        <v>36096.28916531962</v>
      </c>
      <c r="AM190" s="408"/>
      <c r="AN190" s="408">
        <v>6919.5587299866975</v>
      </c>
      <c r="AO190" s="408">
        <v>21633.935239992581</v>
      </c>
      <c r="AP190" s="408">
        <v>32587.432289877841</v>
      </c>
      <c r="AQ190" s="408">
        <v>0</v>
      </c>
      <c r="AR190" s="408">
        <v>0</v>
      </c>
      <c r="AS190" s="408">
        <v>0</v>
      </c>
      <c r="AT190" s="408">
        <v>0</v>
      </c>
      <c r="AU190" s="408">
        <v>0</v>
      </c>
      <c r="AV190" s="408">
        <v>0</v>
      </c>
      <c r="AW190" s="408">
        <v>0</v>
      </c>
      <c r="AX190" s="408">
        <v>0</v>
      </c>
      <c r="AY190" s="408">
        <v>0</v>
      </c>
      <c r="AZ190" s="408">
        <v>0</v>
      </c>
      <c r="BA190" s="408"/>
      <c r="BB190" s="408">
        <v>0</v>
      </c>
      <c r="BC190" s="408">
        <v>0</v>
      </c>
      <c r="BD190" s="408">
        <v>0</v>
      </c>
      <c r="BE190" s="408">
        <v>0</v>
      </c>
      <c r="BF190" s="408">
        <v>0</v>
      </c>
      <c r="BG190" s="408">
        <v>131228.54009609323</v>
      </c>
      <c r="BH190" s="408">
        <v>0</v>
      </c>
      <c r="BI190" s="408">
        <v>8885.34</v>
      </c>
      <c r="BJ190" s="408">
        <v>40712.81</v>
      </c>
      <c r="BK190" s="408">
        <v>282142.31</v>
      </c>
      <c r="BL190" s="408">
        <v>13996</v>
      </c>
      <c r="BM190" s="408"/>
      <c r="BN190" s="408"/>
      <c r="BO190" s="408"/>
      <c r="BP190" s="408"/>
      <c r="BQ190" s="408"/>
      <c r="BR190" s="408">
        <v>275155.58476999972</v>
      </c>
      <c r="BS190" s="408"/>
      <c r="BT190" s="408"/>
      <c r="BU190" s="408"/>
      <c r="BV190" s="408">
        <v>915627.86139952962</v>
      </c>
      <c r="BW190" s="408"/>
      <c r="BX190" s="408"/>
      <c r="BY190" s="408"/>
      <c r="BZ190" s="408"/>
      <c r="CA190" s="408"/>
      <c r="CB190" s="408"/>
      <c r="CC190" s="408"/>
      <c r="CD190" s="408"/>
      <c r="CE190" s="408"/>
      <c r="CF190" s="408"/>
      <c r="CG190" s="408"/>
      <c r="CH190" s="408"/>
      <c r="CI190" s="408">
        <v>2017755.4166000001</v>
      </c>
      <c r="CJ190" s="408">
        <v>-623533.25545000006</v>
      </c>
      <c r="CK190" s="408"/>
      <c r="CL190" s="408"/>
      <c r="CM190" s="408"/>
      <c r="CN190" s="408"/>
      <c r="CO190" s="408">
        <v>-795138.52804000035</v>
      </c>
      <c r="CP190" s="408">
        <v>86657.497589999941</v>
      </c>
      <c r="CQ190" s="408">
        <v>31</v>
      </c>
      <c r="CR190" s="408">
        <v>112141.8267530906</v>
      </c>
      <c r="CS190" s="408">
        <v>2611.9089292499229</v>
      </c>
      <c r="CT190" s="408">
        <v>3934.3468691684538</v>
      </c>
      <c r="CU190" s="408">
        <v>0</v>
      </c>
      <c r="CV190" s="408">
        <v>0</v>
      </c>
      <c r="CW190" s="408">
        <v>0</v>
      </c>
      <c r="CX190" s="408">
        <v>0</v>
      </c>
      <c r="CY190" s="408">
        <v>0</v>
      </c>
      <c r="CZ190" s="408">
        <v>9231.9522469014628</v>
      </c>
      <c r="DA190" s="408">
        <v>0</v>
      </c>
      <c r="DB190" s="408">
        <v>0</v>
      </c>
      <c r="DC190" s="408">
        <v>86631.24650356581</v>
      </c>
      <c r="DD190" s="408">
        <v>0</v>
      </c>
      <c r="DE190" s="408">
        <v>0</v>
      </c>
      <c r="DF190" s="408">
        <v>0</v>
      </c>
      <c r="DG190" s="408">
        <v>14493.245591386105</v>
      </c>
      <c r="DH190" s="408">
        <v>0</v>
      </c>
      <c r="DI190" s="408">
        <v>-4071.8637195273186</v>
      </c>
      <c r="DJ190" s="408"/>
      <c r="DK190" s="408">
        <v>0</v>
      </c>
      <c r="DL190" s="408">
        <v>0</v>
      </c>
      <c r="DM190" s="408">
        <v>0</v>
      </c>
      <c r="DN190" s="408">
        <v>0</v>
      </c>
      <c r="DO190" s="408">
        <v>-529.02620553056477</v>
      </c>
      <c r="DP190" s="408">
        <v>-159.98346212344859</v>
      </c>
      <c r="DQ190" s="408">
        <v>0</v>
      </c>
      <c r="DR190" s="408">
        <v>0</v>
      </c>
      <c r="DS190" s="408"/>
      <c r="DT190" s="408"/>
      <c r="DU190" s="408"/>
      <c r="DV190" s="408">
        <v>1462911.0769278856</v>
      </c>
      <c r="DW190" s="408">
        <v>0</v>
      </c>
      <c r="DX190" s="408">
        <v>0</v>
      </c>
      <c r="DY190" s="408">
        <v>-795138.52804000024</v>
      </c>
      <c r="DZ190" s="408">
        <v>86657.497589999926</v>
      </c>
      <c r="EA190" s="408">
        <v>0</v>
      </c>
      <c r="EB190" s="408">
        <v>0</v>
      </c>
      <c r="EC190" s="408">
        <v>-820678.04499526112</v>
      </c>
      <c r="ED190" s="408">
        <v>0</v>
      </c>
      <c r="EE190" s="408">
        <v>0</v>
      </c>
      <c r="EF190" s="408">
        <v>0</v>
      </c>
      <c r="EG190" s="408">
        <v>0</v>
      </c>
      <c r="EH190" s="408">
        <v>0</v>
      </c>
      <c r="EI190" s="408">
        <v>0</v>
      </c>
      <c r="EJ190" s="408">
        <v>0</v>
      </c>
      <c r="EK190" s="408">
        <v>0</v>
      </c>
      <c r="EL190" s="408">
        <v>0</v>
      </c>
      <c r="EM190" s="408">
        <v>0</v>
      </c>
      <c r="EN190" s="408">
        <v>0</v>
      </c>
      <c r="EO190" s="408">
        <v>0</v>
      </c>
      <c r="EP190" s="408">
        <v>0</v>
      </c>
      <c r="EQ190" s="408">
        <v>0</v>
      </c>
      <c r="ER190" s="408">
        <v>0</v>
      </c>
      <c r="ES190" s="408">
        <v>0</v>
      </c>
      <c r="ET190" s="408">
        <v>0</v>
      </c>
      <c r="EU190" s="408">
        <v>0</v>
      </c>
      <c r="EV190" s="408">
        <v>238</v>
      </c>
      <c r="EW190" s="408">
        <v>0</v>
      </c>
      <c r="EX190" s="408">
        <v>0</v>
      </c>
      <c r="EY190" s="408">
        <v>0</v>
      </c>
      <c r="EZ190" s="408"/>
      <c r="FA190" s="408">
        <v>0</v>
      </c>
      <c r="FB190" s="408"/>
      <c r="FC190" s="408"/>
      <c r="FD190" s="408"/>
      <c r="FE190" s="408"/>
      <c r="FF190" s="408">
        <v>0</v>
      </c>
      <c r="FG190" s="408">
        <v>0</v>
      </c>
      <c r="FH190" s="408">
        <v>0</v>
      </c>
      <c r="FI190" s="408">
        <v>0</v>
      </c>
    </row>
    <row r="191" spans="1:165">
      <c r="A191" s="408">
        <v>195</v>
      </c>
      <c r="B191" s="408" t="s">
        <v>2237</v>
      </c>
      <c r="C191" s="408" t="s">
        <v>2235</v>
      </c>
      <c r="D191" s="408" t="s">
        <v>2245</v>
      </c>
      <c r="E191" s="408" t="s">
        <v>974</v>
      </c>
      <c r="F191" s="408" t="s">
        <v>1322</v>
      </c>
      <c r="G191" s="408" t="s">
        <v>1322</v>
      </c>
      <c r="H191" s="408" t="s">
        <v>1322</v>
      </c>
      <c r="I191" s="408" t="s">
        <v>1322</v>
      </c>
      <c r="J191" s="408" t="s">
        <v>2236</v>
      </c>
      <c r="K191" s="824">
        <v>44470</v>
      </c>
      <c r="L191" s="408">
        <v>0</v>
      </c>
      <c r="M191" s="408">
        <v>0</v>
      </c>
      <c r="N191" s="408">
        <v>-5.1879999999999997</v>
      </c>
      <c r="O191" s="408">
        <v>-5.1879999999999997</v>
      </c>
      <c r="P191" s="408">
        <v>-5.1879999999999997</v>
      </c>
      <c r="Q191" s="408">
        <v>-5.1879999999999997</v>
      </c>
      <c r="R191" s="408"/>
      <c r="S191" s="408">
        <v>581.32000000000005</v>
      </c>
      <c r="T191" s="408">
        <v>209.4</v>
      </c>
      <c r="U191" s="408"/>
      <c r="V191" s="408">
        <v>-4102.2553600000001</v>
      </c>
      <c r="W191" s="408">
        <v>-4102.2553600000001</v>
      </c>
      <c r="X191" s="408">
        <v>-3133.9151599999996</v>
      </c>
      <c r="Y191" s="408">
        <v>0</v>
      </c>
      <c r="Z191" s="408">
        <v>-319.25866398900126</v>
      </c>
      <c r="AA191" s="408">
        <v>0</v>
      </c>
      <c r="AB191" s="408">
        <v>0</v>
      </c>
      <c r="AC191" s="408">
        <v>0</v>
      </c>
      <c r="AD191" s="408">
        <v>-384.90365920068558</v>
      </c>
      <c r="AE191" s="408">
        <v>-1999.4827580842875</v>
      </c>
      <c r="AF191" s="408">
        <v>-1072.1040691638377</v>
      </c>
      <c r="AG191" s="408">
        <v>-14.282382234207033</v>
      </c>
      <c r="AH191" s="408">
        <v>0</v>
      </c>
      <c r="AI191" s="408">
        <v>0</v>
      </c>
      <c r="AJ191" s="408">
        <v>0</v>
      </c>
      <c r="AK191" s="408">
        <v>0</v>
      </c>
      <c r="AL191" s="408">
        <v>-49.335813334906526</v>
      </c>
      <c r="AM191" s="408"/>
      <c r="AN191" s="408">
        <v>-9.4575388705201764</v>
      </c>
      <c r="AO191" s="408">
        <v>-29.568906261012319</v>
      </c>
      <c r="AP191" s="408">
        <v>-44.53996556693096</v>
      </c>
      <c r="AQ191" s="408">
        <v>0</v>
      </c>
      <c r="AR191" s="408">
        <v>0</v>
      </c>
      <c r="AS191" s="408">
        <v>0</v>
      </c>
      <c r="AT191" s="408">
        <v>0</v>
      </c>
      <c r="AU191" s="408">
        <v>0</v>
      </c>
      <c r="AV191" s="408">
        <v>0</v>
      </c>
      <c r="AW191" s="408">
        <v>0</v>
      </c>
      <c r="AX191" s="408">
        <v>0</v>
      </c>
      <c r="AY191" s="408">
        <v>0</v>
      </c>
      <c r="AZ191" s="408">
        <v>0</v>
      </c>
      <c r="BA191" s="408"/>
      <c r="BB191" s="408">
        <v>0</v>
      </c>
      <c r="BC191" s="408">
        <v>0</v>
      </c>
      <c r="BD191" s="408">
        <v>0</v>
      </c>
      <c r="BE191" s="408">
        <v>0</v>
      </c>
      <c r="BF191" s="408">
        <v>0</v>
      </c>
      <c r="BG191" s="408">
        <v>-179.361006577193</v>
      </c>
      <c r="BH191" s="408">
        <v>0</v>
      </c>
      <c r="BI191" s="408">
        <v>-6.11</v>
      </c>
      <c r="BJ191" s="408">
        <v>-28.52</v>
      </c>
      <c r="BK191" s="408">
        <v>-384.76</v>
      </c>
      <c r="BL191" s="408">
        <v>0</v>
      </c>
      <c r="BM191" s="408"/>
      <c r="BN191" s="408"/>
      <c r="BO191" s="408"/>
      <c r="BP191" s="408"/>
      <c r="BQ191" s="408"/>
      <c r="BR191" s="408">
        <v>-376.07811999999956</v>
      </c>
      <c r="BS191" s="408"/>
      <c r="BT191" s="408"/>
      <c r="BU191" s="408"/>
      <c r="BV191" s="408">
        <v>-1251.4650757410307</v>
      </c>
      <c r="BW191" s="408"/>
      <c r="BX191" s="408"/>
      <c r="BY191" s="408"/>
      <c r="BZ191" s="408"/>
      <c r="CA191" s="408"/>
      <c r="CB191" s="408"/>
      <c r="CC191" s="408"/>
      <c r="CD191" s="408"/>
      <c r="CE191" s="408"/>
      <c r="CF191" s="408"/>
      <c r="CG191" s="408"/>
      <c r="CH191" s="408"/>
      <c r="CI191" s="408">
        <v>-2758.9002</v>
      </c>
      <c r="CJ191" s="408">
        <v>851.13959999999906</v>
      </c>
      <c r="CK191" s="408"/>
      <c r="CL191" s="408"/>
      <c r="CM191" s="408"/>
      <c r="CN191" s="408"/>
      <c r="CO191" s="408">
        <v>1086.7822400000002</v>
      </c>
      <c r="CP191" s="408">
        <v>-118.44203999999991</v>
      </c>
      <c r="CQ191" s="408">
        <v>31</v>
      </c>
      <c r="CR191" s="408">
        <v>-153.27360123880817</v>
      </c>
      <c r="CS191" s="408">
        <v>-3.5699140925836694</v>
      </c>
      <c r="CT191" s="408">
        <v>-5.3774004813369842</v>
      </c>
      <c r="CU191" s="408">
        <v>0</v>
      </c>
      <c r="CV191" s="408">
        <v>0</v>
      </c>
      <c r="CW191" s="408">
        <v>0</v>
      </c>
      <c r="CX191" s="408">
        <v>0</v>
      </c>
      <c r="CY191" s="408">
        <v>0</v>
      </c>
      <c r="CZ191" s="408">
        <v>-12.618080232122566</v>
      </c>
      <c r="DA191" s="408">
        <v>0</v>
      </c>
      <c r="DB191" s="408">
        <v>0</v>
      </c>
      <c r="DC191" s="408">
        <v>-118.40616044755552</v>
      </c>
      <c r="DD191" s="408">
        <v>0</v>
      </c>
      <c r="DE191" s="408">
        <v>0</v>
      </c>
      <c r="DF191" s="408">
        <v>0</v>
      </c>
      <c r="DG191" s="408">
        <v>-19.809129294115081</v>
      </c>
      <c r="DH191" s="408">
        <v>0</v>
      </c>
      <c r="DI191" s="408">
        <v>5.565356246779686</v>
      </c>
      <c r="DJ191" s="408"/>
      <c r="DK191" s="408">
        <v>0</v>
      </c>
      <c r="DL191" s="408">
        <v>0</v>
      </c>
      <c r="DM191" s="408">
        <v>0</v>
      </c>
      <c r="DN191" s="408">
        <v>0</v>
      </c>
      <c r="DO191" s="408">
        <v>0.72306430186750958</v>
      </c>
      <c r="DP191" s="408">
        <v>0.21866276025896347</v>
      </c>
      <c r="DQ191" s="408">
        <v>0</v>
      </c>
      <c r="DR191" s="408">
        <v>0</v>
      </c>
      <c r="DS191" s="408"/>
      <c r="DT191" s="408"/>
      <c r="DU191" s="408"/>
      <c r="DV191" s="408">
        <v>-1999.4827580842875</v>
      </c>
      <c r="DW191" s="408">
        <v>0</v>
      </c>
      <c r="DX191" s="408">
        <v>0</v>
      </c>
      <c r="DY191" s="408">
        <v>1086.7822400000002</v>
      </c>
      <c r="DZ191" s="408">
        <v>-118.44203999999991</v>
      </c>
      <c r="EA191" s="408">
        <v>0</v>
      </c>
      <c r="EB191" s="408">
        <v>0</v>
      </c>
      <c r="EC191" s="408">
        <v>1121.6892310039127</v>
      </c>
      <c r="ED191" s="408">
        <v>0</v>
      </c>
      <c r="EE191" s="408">
        <v>0</v>
      </c>
      <c r="EF191" s="408">
        <v>0</v>
      </c>
      <c r="EG191" s="408">
        <v>0</v>
      </c>
      <c r="EH191" s="408">
        <v>0</v>
      </c>
      <c r="EI191" s="408">
        <v>0</v>
      </c>
      <c r="EJ191" s="408">
        <v>0</v>
      </c>
      <c r="EK191" s="408">
        <v>0</v>
      </c>
      <c r="EL191" s="408">
        <v>0</v>
      </c>
      <c r="EM191" s="408">
        <v>0</v>
      </c>
      <c r="EN191" s="408">
        <v>0</v>
      </c>
      <c r="EO191" s="408">
        <v>0</v>
      </c>
      <c r="EP191" s="408">
        <v>0</v>
      </c>
      <c r="EQ191" s="408">
        <v>0</v>
      </c>
      <c r="ER191" s="408">
        <v>0</v>
      </c>
      <c r="ES191" s="408">
        <v>0</v>
      </c>
      <c r="ET191" s="408">
        <v>0</v>
      </c>
      <c r="EU191" s="408">
        <v>0</v>
      </c>
      <c r="EV191" s="408">
        <v>238</v>
      </c>
      <c r="EW191" s="408">
        <v>0</v>
      </c>
      <c r="EX191" s="408">
        <v>0</v>
      </c>
      <c r="EY191" s="408">
        <v>0</v>
      </c>
      <c r="EZ191" s="408"/>
      <c r="FA191" s="408">
        <v>0</v>
      </c>
      <c r="FB191" s="408"/>
      <c r="FC191" s="408"/>
      <c r="FD191" s="408"/>
      <c r="FE191" s="408"/>
      <c r="FF191" s="408">
        <v>0</v>
      </c>
      <c r="FG191" s="408">
        <v>0</v>
      </c>
      <c r="FH191" s="408">
        <v>0</v>
      </c>
      <c r="FI191" s="408">
        <v>0</v>
      </c>
    </row>
    <row r="192" spans="1:165">
      <c r="A192" s="408">
        <v>196</v>
      </c>
      <c r="B192" s="408" t="s">
        <v>2238</v>
      </c>
      <c r="C192" s="408" t="s">
        <v>2235</v>
      </c>
      <c r="D192" s="408" t="s">
        <v>2245</v>
      </c>
      <c r="E192" s="408" t="s">
        <v>974</v>
      </c>
      <c r="F192" s="408" t="s">
        <v>1322</v>
      </c>
      <c r="G192" s="408" t="s">
        <v>1322</v>
      </c>
      <c r="H192" s="408" t="s">
        <v>1322</v>
      </c>
      <c r="I192" s="408" t="s">
        <v>1322</v>
      </c>
      <c r="J192" s="408" t="s">
        <v>2236</v>
      </c>
      <c r="K192" s="824">
        <v>44470</v>
      </c>
      <c r="L192" s="408">
        <v>0</v>
      </c>
      <c r="M192" s="408">
        <v>0</v>
      </c>
      <c r="N192" s="408">
        <v>107.767</v>
      </c>
      <c r="O192" s="408">
        <v>107.767</v>
      </c>
      <c r="P192" s="408">
        <v>107.767</v>
      </c>
      <c r="Q192" s="408">
        <v>107.767</v>
      </c>
      <c r="R192" s="408"/>
      <c r="S192" s="408">
        <v>581.32000000000005</v>
      </c>
      <c r="T192" s="408">
        <v>209.4</v>
      </c>
      <c r="U192" s="408"/>
      <c r="V192" s="408">
        <v>85213.522240000006</v>
      </c>
      <c r="W192" s="408">
        <v>85213.522240000006</v>
      </c>
      <c r="X192" s="408">
        <v>65098.811689999995</v>
      </c>
      <c r="Y192" s="408">
        <v>0</v>
      </c>
      <c r="Z192" s="408">
        <v>6631.7556750390713</v>
      </c>
      <c r="AA192" s="408">
        <v>0</v>
      </c>
      <c r="AB192" s="408">
        <v>0</v>
      </c>
      <c r="AC192" s="408">
        <v>0</v>
      </c>
      <c r="AD192" s="408">
        <v>7995.3571012105403</v>
      </c>
      <c r="AE192" s="408">
        <v>41533.974246428181</v>
      </c>
      <c r="AF192" s="408">
        <v>22270.130921661392</v>
      </c>
      <c r="AG192" s="408">
        <v>296.67877529564174</v>
      </c>
      <c r="AH192" s="408">
        <v>0</v>
      </c>
      <c r="AI192" s="408">
        <v>0</v>
      </c>
      <c r="AJ192" s="408">
        <v>0</v>
      </c>
      <c r="AK192" s="408">
        <v>0</v>
      </c>
      <c r="AL192" s="408">
        <v>1024.8212404901449</v>
      </c>
      <c r="AM192" s="408"/>
      <c r="AN192" s="408">
        <v>196.45539542392982</v>
      </c>
      <c r="AO192" s="408">
        <v>614.21594468591263</v>
      </c>
      <c r="AP192" s="408">
        <v>925.20016755039489</v>
      </c>
      <c r="AQ192" s="408">
        <v>0</v>
      </c>
      <c r="AR192" s="408">
        <v>0</v>
      </c>
      <c r="AS192" s="408">
        <v>0</v>
      </c>
      <c r="AT192" s="408">
        <v>0</v>
      </c>
      <c r="AU192" s="408">
        <v>0</v>
      </c>
      <c r="AV192" s="408">
        <v>0</v>
      </c>
      <c r="AW192" s="408">
        <v>0</v>
      </c>
      <c r="AX192" s="408">
        <v>0</v>
      </c>
      <c r="AY192" s="408">
        <v>0</v>
      </c>
      <c r="AZ192" s="408">
        <v>0</v>
      </c>
      <c r="BA192" s="408"/>
      <c r="BB192" s="408">
        <v>0</v>
      </c>
      <c r="BC192" s="408">
        <v>0</v>
      </c>
      <c r="BD192" s="408">
        <v>0</v>
      </c>
      <c r="BE192" s="408">
        <v>0</v>
      </c>
      <c r="BF192" s="408">
        <v>0</v>
      </c>
      <c r="BG192" s="408">
        <v>3725.7512713578176</v>
      </c>
      <c r="BH192" s="408">
        <v>0</v>
      </c>
      <c r="BI192" s="408">
        <v>245.89</v>
      </c>
      <c r="BJ192" s="408">
        <v>1128.2</v>
      </c>
      <c r="BK192" s="408">
        <v>7359.02</v>
      </c>
      <c r="BL192" s="408">
        <v>585</v>
      </c>
      <c r="BM192" s="408"/>
      <c r="BN192" s="408"/>
      <c r="BO192" s="408"/>
      <c r="BP192" s="408"/>
      <c r="BQ192" s="408"/>
      <c r="BR192" s="408">
        <v>7812.0298299999904</v>
      </c>
      <c r="BS192" s="408"/>
      <c r="BT192" s="408"/>
      <c r="BU192" s="408"/>
      <c r="BV192" s="408">
        <v>25995.88219301921</v>
      </c>
      <c r="BW192" s="408"/>
      <c r="BX192" s="408"/>
      <c r="BY192" s="408"/>
      <c r="BZ192" s="408"/>
      <c r="CA192" s="408"/>
      <c r="CB192" s="408"/>
      <c r="CC192" s="408"/>
      <c r="CD192" s="408"/>
      <c r="CE192" s="408"/>
      <c r="CF192" s="408"/>
      <c r="CG192" s="408"/>
      <c r="CH192" s="408"/>
      <c r="CI192" s="408">
        <v>57288.376600000003</v>
      </c>
      <c r="CJ192" s="408">
        <v>-17701.320349999995</v>
      </c>
      <c r="CK192" s="408"/>
      <c r="CL192" s="408"/>
      <c r="CM192" s="408"/>
      <c r="CN192" s="408"/>
      <c r="CO192" s="408">
        <v>-22575.031160000006</v>
      </c>
      <c r="CP192" s="408">
        <v>2460.3206099999984</v>
      </c>
      <c r="CQ192" s="408">
        <v>31</v>
      </c>
      <c r="CR192" s="408">
        <v>3183.8543147075179</v>
      </c>
      <c r="CS192" s="408">
        <v>74.155538167976829</v>
      </c>
      <c r="CT192" s="408">
        <v>111.70129484815777</v>
      </c>
      <c r="CU192" s="408">
        <v>0</v>
      </c>
      <c r="CV192" s="408">
        <v>0</v>
      </c>
      <c r="CW192" s="408">
        <v>0</v>
      </c>
      <c r="CX192" s="408">
        <v>0</v>
      </c>
      <c r="CY192" s="408">
        <v>0</v>
      </c>
      <c r="CZ192" s="408">
        <v>262.10729614016054</v>
      </c>
      <c r="DA192" s="408">
        <v>0</v>
      </c>
      <c r="DB192" s="408">
        <v>0</v>
      </c>
      <c r="DC192" s="408">
        <v>2459.5753070454339</v>
      </c>
      <c r="DD192" s="408">
        <v>0</v>
      </c>
      <c r="DE192" s="408">
        <v>0</v>
      </c>
      <c r="DF192" s="408">
        <v>0</v>
      </c>
      <c r="DG192" s="408">
        <v>411.48235093271023</v>
      </c>
      <c r="DH192" s="408">
        <v>0</v>
      </c>
      <c r="DI192" s="408">
        <v>-115.60557953868647</v>
      </c>
      <c r="DJ192" s="408"/>
      <c r="DK192" s="408">
        <v>0</v>
      </c>
      <c r="DL192" s="408">
        <v>0</v>
      </c>
      <c r="DM192" s="408">
        <v>0</v>
      </c>
      <c r="DN192" s="408">
        <v>0</v>
      </c>
      <c r="DO192" s="408">
        <v>-15.019751468649929</v>
      </c>
      <c r="DP192" s="408">
        <v>-4.5421414195890009</v>
      </c>
      <c r="DQ192" s="408">
        <v>0</v>
      </c>
      <c r="DR192" s="408">
        <v>0</v>
      </c>
      <c r="DS192" s="408"/>
      <c r="DT192" s="408"/>
      <c r="DU192" s="408"/>
      <c r="DV192" s="408">
        <v>41533.974246428181</v>
      </c>
      <c r="DW192" s="408">
        <v>0</v>
      </c>
      <c r="DX192" s="408">
        <v>0</v>
      </c>
      <c r="DY192" s="408">
        <v>-22575.031160000006</v>
      </c>
      <c r="DZ192" s="408">
        <v>2460.3206099999952</v>
      </c>
      <c r="EA192" s="408">
        <v>0</v>
      </c>
      <c r="EB192" s="408">
        <v>0</v>
      </c>
      <c r="EC192" s="408">
        <v>-23300.131718889486</v>
      </c>
      <c r="ED192" s="408">
        <v>0</v>
      </c>
      <c r="EE192" s="408">
        <v>0</v>
      </c>
      <c r="EF192" s="408">
        <v>0</v>
      </c>
      <c r="EG192" s="408">
        <v>0</v>
      </c>
      <c r="EH192" s="408">
        <v>0</v>
      </c>
      <c r="EI192" s="408">
        <v>0</v>
      </c>
      <c r="EJ192" s="408">
        <v>0</v>
      </c>
      <c r="EK192" s="408">
        <v>0</v>
      </c>
      <c r="EL192" s="408">
        <v>0</v>
      </c>
      <c r="EM192" s="408">
        <v>0</v>
      </c>
      <c r="EN192" s="408">
        <v>0</v>
      </c>
      <c r="EO192" s="408">
        <v>0</v>
      </c>
      <c r="EP192" s="408">
        <v>0</v>
      </c>
      <c r="EQ192" s="408">
        <v>0</v>
      </c>
      <c r="ER192" s="408">
        <v>0</v>
      </c>
      <c r="ES192" s="408">
        <v>0</v>
      </c>
      <c r="ET192" s="408">
        <v>0</v>
      </c>
      <c r="EU192" s="408">
        <v>0</v>
      </c>
      <c r="EV192" s="408">
        <v>238</v>
      </c>
      <c r="EW192" s="408">
        <v>0</v>
      </c>
      <c r="EX192" s="408">
        <v>0</v>
      </c>
      <c r="EY192" s="408">
        <v>0</v>
      </c>
      <c r="EZ192" s="408"/>
      <c r="FA192" s="408">
        <v>0</v>
      </c>
      <c r="FB192" s="408"/>
      <c r="FC192" s="408"/>
      <c r="FD192" s="408"/>
      <c r="FE192" s="408"/>
      <c r="FF192" s="408">
        <v>0</v>
      </c>
      <c r="FG192" s="408">
        <v>0</v>
      </c>
      <c r="FH192" s="408">
        <v>0</v>
      </c>
      <c r="FI192" s="408">
        <v>0</v>
      </c>
    </row>
    <row r="193" spans="1:165">
      <c r="A193" s="408">
        <v>197</v>
      </c>
      <c r="B193" s="408" t="s">
        <v>2238</v>
      </c>
      <c r="C193" s="408" t="s">
        <v>2235</v>
      </c>
      <c r="D193" s="408" t="s">
        <v>2245</v>
      </c>
      <c r="E193" s="408" t="s">
        <v>974</v>
      </c>
      <c r="F193" s="408" t="s">
        <v>1322</v>
      </c>
      <c r="G193" s="408" t="s">
        <v>1322</v>
      </c>
      <c r="H193" s="408" t="s">
        <v>1322</v>
      </c>
      <c r="I193" s="408" t="s">
        <v>1322</v>
      </c>
      <c r="J193" s="408" t="s">
        <v>2236</v>
      </c>
      <c r="K193" s="824">
        <v>44470</v>
      </c>
      <c r="L193" s="408">
        <v>0</v>
      </c>
      <c r="M193" s="408">
        <v>0</v>
      </c>
      <c r="N193" s="408">
        <v>0.03</v>
      </c>
      <c r="O193" s="408">
        <v>0.03</v>
      </c>
      <c r="P193" s="408">
        <v>0.03</v>
      </c>
      <c r="Q193" s="408">
        <v>0.03</v>
      </c>
      <c r="R193" s="408"/>
      <c r="S193" s="408">
        <v>581.32000000000005</v>
      </c>
      <c r="T193" s="408">
        <v>209.4</v>
      </c>
      <c r="U193" s="408"/>
      <c r="V193" s="408">
        <v>23.721600000000002</v>
      </c>
      <c r="W193" s="408">
        <v>23.721600000000002</v>
      </c>
      <c r="X193" s="408">
        <v>18.1221</v>
      </c>
      <c r="Y193" s="408">
        <v>0</v>
      </c>
      <c r="Z193" s="408">
        <v>1.8461372243003158</v>
      </c>
      <c r="AA193" s="408">
        <v>0</v>
      </c>
      <c r="AB193" s="408">
        <v>0</v>
      </c>
      <c r="AC193" s="408">
        <v>0</v>
      </c>
      <c r="AD193" s="408">
        <v>2.2257343438744348</v>
      </c>
      <c r="AE193" s="408">
        <v>11.56215935669403</v>
      </c>
      <c r="AF193" s="408">
        <v>6.1995223737307494</v>
      </c>
      <c r="AG193" s="408">
        <v>8.25889489256382E-2</v>
      </c>
      <c r="AH193" s="408">
        <v>0</v>
      </c>
      <c r="AI193" s="408">
        <v>0</v>
      </c>
      <c r="AJ193" s="408">
        <v>0</v>
      </c>
      <c r="AK193" s="408">
        <v>0</v>
      </c>
      <c r="AL193" s="408">
        <v>0.28528804935373858</v>
      </c>
      <c r="AM193" s="408"/>
      <c r="AN193" s="408">
        <v>5.4688929474866095E-2</v>
      </c>
      <c r="AO193" s="408">
        <v>0.17098442325180602</v>
      </c>
      <c r="AP193" s="408">
        <v>0.25755569911486675</v>
      </c>
      <c r="AQ193" s="408">
        <v>0</v>
      </c>
      <c r="AR193" s="408">
        <v>0</v>
      </c>
      <c r="AS193" s="408">
        <v>0</v>
      </c>
      <c r="AT193" s="408">
        <v>0</v>
      </c>
      <c r="AU193" s="408">
        <v>0</v>
      </c>
      <c r="AV193" s="408">
        <v>0</v>
      </c>
      <c r="AW193" s="408">
        <v>0</v>
      </c>
      <c r="AX193" s="408">
        <v>0</v>
      </c>
      <c r="AY193" s="408">
        <v>0</v>
      </c>
      <c r="AZ193" s="408">
        <v>0</v>
      </c>
      <c r="BA193" s="408"/>
      <c r="BB193" s="408">
        <v>0</v>
      </c>
      <c r="BC193" s="408">
        <v>0</v>
      </c>
      <c r="BD193" s="408">
        <v>0</v>
      </c>
      <c r="BE193" s="408">
        <v>0</v>
      </c>
      <c r="BF193" s="408">
        <v>0</v>
      </c>
      <c r="BG193" s="408">
        <v>1.037168503723167</v>
      </c>
      <c r="BH193" s="408">
        <v>0</v>
      </c>
      <c r="BI193" s="408">
        <v>0.03</v>
      </c>
      <c r="BJ193" s="408">
        <v>0.17</v>
      </c>
      <c r="BK193" s="408">
        <v>6.55</v>
      </c>
      <c r="BL193" s="408">
        <v>1</v>
      </c>
      <c r="BM193" s="408"/>
      <c r="BN193" s="408"/>
      <c r="BO193" s="408"/>
      <c r="BP193" s="408"/>
      <c r="BQ193" s="408"/>
      <c r="BR193" s="408">
        <v>2.1746999999999979</v>
      </c>
      <c r="BS193" s="408"/>
      <c r="BT193" s="408"/>
      <c r="BU193" s="408"/>
      <c r="BV193" s="408">
        <v>7.2366908774539169</v>
      </c>
      <c r="BW193" s="408"/>
      <c r="BX193" s="408"/>
      <c r="BY193" s="408"/>
      <c r="BZ193" s="408"/>
      <c r="CA193" s="408"/>
      <c r="CB193" s="408"/>
      <c r="CC193" s="408"/>
      <c r="CD193" s="408"/>
      <c r="CE193" s="408"/>
      <c r="CF193" s="408"/>
      <c r="CG193" s="408"/>
      <c r="CH193" s="408"/>
      <c r="CI193" s="408">
        <v>15.947400000000002</v>
      </c>
      <c r="CJ193" s="408">
        <v>-4.9580999999999982</v>
      </c>
      <c r="CK193" s="408"/>
      <c r="CL193" s="408"/>
      <c r="CM193" s="408"/>
      <c r="CN193" s="408"/>
      <c r="CO193" s="408">
        <v>-6.2844000000000024</v>
      </c>
      <c r="CP193" s="408">
        <v>0.68489999999999951</v>
      </c>
      <c r="CQ193" s="408">
        <v>31</v>
      </c>
      <c r="CR193" s="408">
        <v>0.88631612127298531</v>
      </c>
      <c r="CS193" s="408">
        <v>2.0643296603220895E-2</v>
      </c>
      <c r="CT193" s="408">
        <v>3.1095222521223931E-2</v>
      </c>
      <c r="CU193" s="408">
        <v>0</v>
      </c>
      <c r="CV193" s="408">
        <v>0</v>
      </c>
      <c r="CW193" s="408">
        <v>0</v>
      </c>
      <c r="CX193" s="408">
        <v>0</v>
      </c>
      <c r="CY193" s="408">
        <v>0</v>
      </c>
      <c r="CZ193" s="408">
        <v>7.2964997487215744E-2</v>
      </c>
      <c r="DA193" s="408">
        <v>0</v>
      </c>
      <c r="DB193" s="408">
        <v>0</v>
      </c>
      <c r="DC193" s="408">
        <v>0.68469252379080014</v>
      </c>
      <c r="DD193" s="408">
        <v>0</v>
      </c>
      <c r="DE193" s="408">
        <v>0</v>
      </c>
      <c r="DF193" s="408">
        <v>0</v>
      </c>
      <c r="DG193" s="408">
        <v>0.11454777926435078</v>
      </c>
      <c r="DH193" s="408">
        <v>0</v>
      </c>
      <c r="DI193" s="408">
        <v>-3.2182090864184776E-2</v>
      </c>
      <c r="DJ193" s="408"/>
      <c r="DK193" s="408">
        <v>0</v>
      </c>
      <c r="DL193" s="408">
        <v>0</v>
      </c>
      <c r="DM193" s="408">
        <v>0</v>
      </c>
      <c r="DN193" s="408">
        <v>0</v>
      </c>
      <c r="DO193" s="408">
        <v>-4.1811736808067268E-3</v>
      </c>
      <c r="DP193" s="408">
        <v>-1.2644338488374957E-3</v>
      </c>
      <c r="DQ193" s="408">
        <v>0</v>
      </c>
      <c r="DR193" s="408">
        <v>0</v>
      </c>
      <c r="DS193" s="408"/>
      <c r="DT193" s="408"/>
      <c r="DU193" s="408"/>
      <c r="DV193" s="408">
        <v>11.56215935669403</v>
      </c>
      <c r="DW193" s="408">
        <v>0</v>
      </c>
      <c r="DX193" s="408">
        <v>0</v>
      </c>
      <c r="DY193" s="408">
        <v>-6.2844000000000033</v>
      </c>
      <c r="DZ193" s="408">
        <v>0.68489999999999984</v>
      </c>
      <c r="EA193" s="408">
        <v>0</v>
      </c>
      <c r="EB193" s="408">
        <v>0</v>
      </c>
      <c r="EC193" s="408">
        <v>-6.4862522995600198</v>
      </c>
      <c r="ED193" s="408">
        <v>0</v>
      </c>
      <c r="EE193" s="408">
        <v>0</v>
      </c>
      <c r="EF193" s="408">
        <v>0</v>
      </c>
      <c r="EG193" s="408">
        <v>0</v>
      </c>
      <c r="EH193" s="408">
        <v>0</v>
      </c>
      <c r="EI193" s="408">
        <v>0</v>
      </c>
      <c r="EJ193" s="408">
        <v>0</v>
      </c>
      <c r="EK193" s="408">
        <v>0</v>
      </c>
      <c r="EL193" s="408">
        <v>0</v>
      </c>
      <c r="EM193" s="408">
        <v>0</v>
      </c>
      <c r="EN193" s="408">
        <v>0</v>
      </c>
      <c r="EO193" s="408">
        <v>0</v>
      </c>
      <c r="EP193" s="408">
        <v>0</v>
      </c>
      <c r="EQ193" s="408">
        <v>0</v>
      </c>
      <c r="ER193" s="408">
        <v>0</v>
      </c>
      <c r="ES193" s="408">
        <v>0</v>
      </c>
      <c r="ET193" s="408">
        <v>0</v>
      </c>
      <c r="EU193" s="408">
        <v>0</v>
      </c>
      <c r="EV193" s="408">
        <v>238</v>
      </c>
      <c r="EW193" s="408">
        <v>0</v>
      </c>
      <c r="EX193" s="408">
        <v>0</v>
      </c>
      <c r="EY193" s="408">
        <v>0</v>
      </c>
      <c r="EZ193" s="408"/>
      <c r="FA193" s="408">
        <v>0</v>
      </c>
      <c r="FB193" s="408"/>
      <c r="FC193" s="408"/>
      <c r="FD193" s="408"/>
      <c r="FE193" s="408"/>
      <c r="FF193" s="408">
        <v>0</v>
      </c>
      <c r="FG193" s="408">
        <v>0</v>
      </c>
      <c r="FH193" s="408">
        <v>0</v>
      </c>
      <c r="FI193" s="408">
        <v>0</v>
      </c>
    </row>
    <row r="194" spans="1:165">
      <c r="A194" s="408">
        <v>198</v>
      </c>
      <c r="B194" s="408" t="s">
        <v>1036</v>
      </c>
      <c r="C194" s="408" t="s">
        <v>2243</v>
      </c>
      <c r="D194" s="408" t="s">
        <v>597</v>
      </c>
      <c r="E194" s="408" t="s">
        <v>974</v>
      </c>
      <c r="F194" s="408" t="s">
        <v>1322</v>
      </c>
      <c r="G194" s="408" t="s">
        <v>1322</v>
      </c>
      <c r="H194" s="408" t="s">
        <v>1322</v>
      </c>
      <c r="I194" s="408" t="s">
        <v>973</v>
      </c>
      <c r="J194" s="408" t="s">
        <v>2236</v>
      </c>
      <c r="K194" s="824">
        <v>44470</v>
      </c>
      <c r="L194" s="408">
        <v>0</v>
      </c>
      <c r="M194" s="408">
        <v>0</v>
      </c>
      <c r="N194" s="408">
        <v>24.757999999999999</v>
      </c>
      <c r="O194" s="408">
        <v>23.767679999999999</v>
      </c>
      <c r="P194" s="408">
        <v>24.757999999999999</v>
      </c>
      <c r="Q194" s="408">
        <v>23.767679999999999</v>
      </c>
      <c r="R194" s="408"/>
      <c r="S194" s="408">
        <v>1614.19</v>
      </c>
      <c r="T194" s="408">
        <v>209.4</v>
      </c>
      <c r="U194" s="408"/>
      <c r="V194" s="408">
        <v>45148.441220000001</v>
      </c>
      <c r="W194" s="408">
        <v>45148.441220000001</v>
      </c>
      <c r="X194" s="408">
        <v>30010.409699999997</v>
      </c>
      <c r="Y194" s="408">
        <v>0</v>
      </c>
      <c r="Z194" s="408">
        <v>1325.4932965775904</v>
      </c>
      <c r="AA194" s="408">
        <v>0</v>
      </c>
      <c r="AB194" s="408">
        <v>0</v>
      </c>
      <c r="AC194" s="408">
        <v>0</v>
      </c>
      <c r="AD194" s="408">
        <v>7710.0866049366778</v>
      </c>
      <c r="AE194" s="408">
        <v>28789.50894245255</v>
      </c>
      <c r="AF194" s="408">
        <v>5116.259164294197</v>
      </c>
      <c r="AG194" s="408">
        <v>68.157906583365019</v>
      </c>
      <c r="AH194" s="408">
        <v>0</v>
      </c>
      <c r="AI194" s="408">
        <v>0</v>
      </c>
      <c r="AJ194" s="408">
        <v>0</v>
      </c>
      <c r="AK194" s="408">
        <v>0</v>
      </c>
      <c r="AL194" s="408">
        <v>235.43871752999533</v>
      </c>
      <c r="AM194" s="408"/>
      <c r="AN194" s="408">
        <v>32.87476939004403</v>
      </c>
      <c r="AO194" s="408">
        <v>599.01796237887379</v>
      </c>
      <c r="AP194" s="408">
        <v>892.24622953048572</v>
      </c>
      <c r="AQ194" s="408">
        <v>0</v>
      </c>
      <c r="AR194" s="408">
        <v>0</v>
      </c>
      <c r="AS194" s="408">
        <v>0</v>
      </c>
      <c r="AT194" s="408">
        <v>0</v>
      </c>
      <c r="AU194" s="408">
        <v>0</v>
      </c>
      <c r="AV194" s="408">
        <v>0</v>
      </c>
      <c r="AW194" s="408">
        <v>0</v>
      </c>
      <c r="AX194" s="408">
        <v>0</v>
      </c>
      <c r="AY194" s="408">
        <v>0</v>
      </c>
      <c r="AZ194" s="408">
        <v>0</v>
      </c>
      <c r="BA194" s="408"/>
      <c r="BB194" s="408">
        <v>0</v>
      </c>
      <c r="BC194" s="408">
        <v>0</v>
      </c>
      <c r="BD194" s="408">
        <v>0</v>
      </c>
      <c r="BE194" s="408">
        <v>0</v>
      </c>
      <c r="BF194" s="408">
        <v>0</v>
      </c>
      <c r="BG194" s="408">
        <v>379.40239543109959</v>
      </c>
      <c r="BH194" s="408">
        <v>0</v>
      </c>
      <c r="BI194" s="408">
        <v>0</v>
      </c>
      <c r="BJ194" s="408">
        <v>0</v>
      </c>
      <c r="BK194" s="408">
        <v>0</v>
      </c>
      <c r="BL194" s="408">
        <v>0</v>
      </c>
      <c r="BM194" s="408"/>
      <c r="BN194" s="408"/>
      <c r="BO194" s="408"/>
      <c r="BP194" s="408"/>
      <c r="BQ194" s="408"/>
      <c r="BR194" s="408">
        <v>1200.4163880000006</v>
      </c>
      <c r="BS194" s="408"/>
      <c r="BT194" s="408"/>
      <c r="BU194" s="408"/>
      <c r="BV194" s="408">
        <v>5495.6615597252967</v>
      </c>
      <c r="BW194" s="408"/>
      <c r="BX194" s="408"/>
      <c r="BY194" s="408"/>
      <c r="BZ194" s="408"/>
      <c r="CA194" s="408"/>
      <c r="CB194" s="408"/>
      <c r="CC194" s="408"/>
      <c r="CD194" s="408"/>
      <c r="CE194" s="408"/>
      <c r="CF194" s="408"/>
      <c r="CG194" s="408"/>
      <c r="CH194" s="408"/>
      <c r="CI194" s="408">
        <v>28812.805499999995</v>
      </c>
      <c r="CJ194" s="408">
        <v>-14529.728071200007</v>
      </c>
      <c r="CK194" s="408"/>
      <c r="CL194" s="408"/>
      <c r="CM194" s="408"/>
      <c r="CN194" s="408"/>
      <c r="CO194" s="408">
        <v>-15703.256660000001</v>
      </c>
      <c r="CP194" s="408">
        <v>565.22513999999956</v>
      </c>
      <c r="CQ194" s="408">
        <v>31</v>
      </c>
      <c r="CR194" s="408">
        <v>1012.4381367880924</v>
      </c>
      <c r="CS194" s="408">
        <v>72.320654904529079</v>
      </c>
      <c r="CT194" s="408">
        <v>107.72269899801404</v>
      </c>
      <c r="CU194" s="408">
        <v>0</v>
      </c>
      <c r="CV194" s="408">
        <v>0</v>
      </c>
      <c r="CW194" s="408">
        <v>0</v>
      </c>
      <c r="CX194" s="408">
        <v>0</v>
      </c>
      <c r="CY194" s="408">
        <v>0</v>
      </c>
      <c r="CZ194" s="408">
        <v>252.75543386555</v>
      </c>
      <c r="DA194" s="408">
        <v>0</v>
      </c>
      <c r="DB194" s="408">
        <v>0</v>
      </c>
      <c r="DC194" s="408">
        <v>565.05391680042067</v>
      </c>
      <c r="DD194" s="408">
        <v>0</v>
      </c>
      <c r="DE194" s="408">
        <v>0</v>
      </c>
      <c r="DF194" s="408">
        <v>0</v>
      </c>
      <c r="DG194" s="408">
        <v>41.902257625640914</v>
      </c>
      <c r="DH194" s="408">
        <v>0</v>
      </c>
      <c r="DI194" s="408">
        <v>-23.106161962850365</v>
      </c>
      <c r="DJ194" s="408"/>
      <c r="DK194" s="408">
        <v>0</v>
      </c>
      <c r="DL194" s="408">
        <v>0</v>
      </c>
      <c r="DM194" s="408">
        <v>0</v>
      </c>
      <c r="DN194" s="408">
        <v>0</v>
      </c>
      <c r="DO194" s="408">
        <v>-3.4505832663137426</v>
      </c>
      <c r="DP194" s="408">
        <v>-0.76008017689599683</v>
      </c>
      <c r="DQ194" s="408">
        <v>0</v>
      </c>
      <c r="DR194" s="408">
        <v>0</v>
      </c>
      <c r="DS194" s="408"/>
      <c r="DT194" s="408"/>
      <c r="DU194" s="408"/>
      <c r="DV194" s="408">
        <v>28789.50894245255</v>
      </c>
      <c r="DW194" s="408">
        <v>0</v>
      </c>
      <c r="DX194" s="408">
        <v>0</v>
      </c>
      <c r="DY194" s="408">
        <v>-15703.256660000003</v>
      </c>
      <c r="DZ194" s="408">
        <v>565.22513999999956</v>
      </c>
      <c r="EA194" s="408">
        <v>0</v>
      </c>
      <c r="EB194" s="408">
        <v>0</v>
      </c>
      <c r="EC194" s="408">
        <v>-16150.617961607202</v>
      </c>
      <c r="ED194" s="408">
        <v>0</v>
      </c>
      <c r="EE194" s="408">
        <v>0</v>
      </c>
      <c r="EF194" s="408">
        <v>0</v>
      </c>
      <c r="EG194" s="408">
        <v>0</v>
      </c>
      <c r="EH194" s="408">
        <v>0</v>
      </c>
      <c r="EI194" s="408">
        <v>0</v>
      </c>
      <c r="EJ194" s="408">
        <v>0</v>
      </c>
      <c r="EK194" s="408">
        <v>0</v>
      </c>
      <c r="EL194" s="408">
        <v>0</v>
      </c>
      <c r="EM194" s="408">
        <v>0</v>
      </c>
      <c r="EN194" s="408">
        <v>0</v>
      </c>
      <c r="EO194" s="408">
        <v>0</v>
      </c>
      <c r="EP194" s="408">
        <v>0</v>
      </c>
      <c r="EQ194" s="408">
        <v>0</v>
      </c>
      <c r="ER194" s="408">
        <v>0</v>
      </c>
      <c r="ES194" s="408">
        <v>0</v>
      </c>
      <c r="ET194" s="408">
        <v>0</v>
      </c>
      <c r="EU194" s="408">
        <v>0</v>
      </c>
      <c r="EV194" s="408">
        <v>238</v>
      </c>
      <c r="EW194" s="408">
        <v>0</v>
      </c>
      <c r="EX194" s="408">
        <v>0</v>
      </c>
      <c r="EY194" s="408">
        <v>0</v>
      </c>
      <c r="EZ194" s="408"/>
      <c r="FA194" s="408">
        <v>0</v>
      </c>
      <c r="FB194" s="408"/>
      <c r="FC194" s="408"/>
      <c r="FD194" s="408"/>
      <c r="FE194" s="408"/>
      <c r="FF194" s="408">
        <v>0</v>
      </c>
      <c r="FG194" s="408">
        <v>0</v>
      </c>
      <c r="FH194" s="408">
        <v>0</v>
      </c>
      <c r="FI194" s="408">
        <v>0</v>
      </c>
    </row>
    <row r="195" spans="1:165">
      <c r="A195" s="408">
        <v>199</v>
      </c>
      <c r="B195" s="408" t="s">
        <v>2237</v>
      </c>
      <c r="C195" s="408" t="s">
        <v>2243</v>
      </c>
      <c r="D195" s="408" t="s">
        <v>597</v>
      </c>
      <c r="E195" s="408" t="s">
        <v>974</v>
      </c>
      <c r="F195" s="408" t="s">
        <v>1322</v>
      </c>
      <c r="G195" s="408" t="s">
        <v>1322</v>
      </c>
      <c r="H195" s="408" t="s">
        <v>1322</v>
      </c>
      <c r="I195" s="408" t="s">
        <v>973</v>
      </c>
      <c r="J195" s="408" t="s">
        <v>2236</v>
      </c>
      <c r="K195" s="824">
        <v>44470</v>
      </c>
      <c r="L195" s="408">
        <v>0</v>
      </c>
      <c r="M195" s="408">
        <v>0</v>
      </c>
      <c r="N195" s="408">
        <v>-0.17499999999999999</v>
      </c>
      <c r="O195" s="408">
        <v>-0.16800000000000001</v>
      </c>
      <c r="P195" s="408">
        <v>-0.17499999999999999</v>
      </c>
      <c r="Q195" s="408">
        <v>-0.16800000000000001</v>
      </c>
      <c r="R195" s="408"/>
      <c r="S195" s="408">
        <v>1614.19</v>
      </c>
      <c r="T195" s="408">
        <v>209.4</v>
      </c>
      <c r="U195" s="408"/>
      <c r="V195" s="408">
        <v>-319.12824999999998</v>
      </c>
      <c r="W195" s="408">
        <v>-319.12824999999998</v>
      </c>
      <c r="X195" s="408">
        <v>-212.12624999999997</v>
      </c>
      <c r="Y195" s="408">
        <v>0</v>
      </c>
      <c r="Z195" s="408">
        <v>-9.3691464133241098</v>
      </c>
      <c r="AA195" s="408">
        <v>0</v>
      </c>
      <c r="AB195" s="408">
        <v>0</v>
      </c>
      <c r="AC195" s="408">
        <v>0</v>
      </c>
      <c r="AD195" s="408">
        <v>-54.498148310199475</v>
      </c>
      <c r="AE195" s="408">
        <v>-203.49640782491301</v>
      </c>
      <c r="AF195" s="408">
        <v>-36.163880513429376</v>
      </c>
      <c r="AG195" s="408">
        <v>-0.48176886873288949</v>
      </c>
      <c r="AH195" s="408">
        <v>0</v>
      </c>
      <c r="AI195" s="408">
        <v>0</v>
      </c>
      <c r="AJ195" s="408">
        <v>0</v>
      </c>
      <c r="AK195" s="408">
        <v>0</v>
      </c>
      <c r="AL195" s="408">
        <v>-1.6641802878968084</v>
      </c>
      <c r="AM195" s="408"/>
      <c r="AN195" s="408">
        <v>-0.23237275398892099</v>
      </c>
      <c r="AO195" s="408">
        <v>-4.2341119402335776</v>
      </c>
      <c r="AP195" s="408">
        <v>-6.3067731710087642</v>
      </c>
      <c r="AQ195" s="408">
        <v>0</v>
      </c>
      <c r="AR195" s="408">
        <v>0</v>
      </c>
      <c r="AS195" s="408">
        <v>0</v>
      </c>
      <c r="AT195" s="408">
        <v>0</v>
      </c>
      <c r="AU195" s="408">
        <v>0</v>
      </c>
      <c r="AV195" s="408">
        <v>0</v>
      </c>
      <c r="AW195" s="408">
        <v>0</v>
      </c>
      <c r="AX195" s="408">
        <v>0</v>
      </c>
      <c r="AY195" s="408">
        <v>0</v>
      </c>
      <c r="AZ195" s="408">
        <v>0</v>
      </c>
      <c r="BA195" s="408"/>
      <c r="BB195" s="408">
        <v>0</v>
      </c>
      <c r="BC195" s="408">
        <v>0</v>
      </c>
      <c r="BD195" s="408">
        <v>0</v>
      </c>
      <c r="BE195" s="408">
        <v>0</v>
      </c>
      <c r="BF195" s="408">
        <v>0</v>
      </c>
      <c r="BG195" s="408">
        <v>-2.6817763632136051</v>
      </c>
      <c r="BH195" s="408">
        <v>0</v>
      </c>
      <c r="BI195" s="408">
        <v>0</v>
      </c>
      <c r="BJ195" s="408">
        <v>0</v>
      </c>
      <c r="BK195" s="408">
        <v>0</v>
      </c>
      <c r="BL195" s="408">
        <v>0</v>
      </c>
      <c r="BM195" s="408"/>
      <c r="BN195" s="408"/>
      <c r="BO195" s="408"/>
      <c r="BP195" s="408"/>
      <c r="BQ195" s="408"/>
      <c r="BR195" s="408">
        <v>-8.4850499999999744</v>
      </c>
      <c r="BS195" s="408"/>
      <c r="BT195" s="408"/>
      <c r="BU195" s="408"/>
      <c r="BV195" s="408">
        <v>-38.845656876642984</v>
      </c>
      <c r="BW195" s="408"/>
      <c r="BX195" s="408"/>
      <c r="BY195" s="408"/>
      <c r="BZ195" s="408"/>
      <c r="CA195" s="408"/>
      <c r="CB195" s="408"/>
      <c r="CC195" s="408"/>
      <c r="CD195" s="408"/>
      <c r="CE195" s="408"/>
      <c r="CF195" s="408"/>
      <c r="CG195" s="408"/>
      <c r="CH195" s="408"/>
      <c r="CI195" s="408">
        <v>-206.06549999999999</v>
      </c>
      <c r="CJ195" s="408">
        <v>100.26762000000002</v>
      </c>
      <c r="CK195" s="408"/>
      <c r="CL195" s="408"/>
      <c r="CM195" s="408"/>
      <c r="CN195" s="408"/>
      <c r="CO195" s="408">
        <v>110.99725000000001</v>
      </c>
      <c r="CP195" s="408">
        <v>-3.9952499999999969</v>
      </c>
      <c r="CQ195" s="408">
        <v>31</v>
      </c>
      <c r="CR195" s="408">
        <v>-7.1563403319297123</v>
      </c>
      <c r="CS195" s="408">
        <v>-0.51119293191261672</v>
      </c>
      <c r="CT195" s="408">
        <v>-0.76142953084467546</v>
      </c>
      <c r="CU195" s="408">
        <v>0</v>
      </c>
      <c r="CV195" s="408">
        <v>0</v>
      </c>
      <c r="CW195" s="408">
        <v>0</v>
      </c>
      <c r="CX195" s="408">
        <v>0</v>
      </c>
      <c r="CY195" s="408">
        <v>0</v>
      </c>
      <c r="CZ195" s="408">
        <v>-1.7865821522930432</v>
      </c>
      <c r="DA195" s="408">
        <v>0</v>
      </c>
      <c r="DB195" s="408">
        <v>0</v>
      </c>
      <c r="DC195" s="408">
        <v>-3.9940397221129942</v>
      </c>
      <c r="DD195" s="408">
        <v>0</v>
      </c>
      <c r="DE195" s="408">
        <v>0</v>
      </c>
      <c r="DF195" s="408">
        <v>0</v>
      </c>
      <c r="DG195" s="408">
        <v>-0.29618285340040185</v>
      </c>
      <c r="DH195" s="408">
        <v>0</v>
      </c>
      <c r="DI195" s="408">
        <v>0.1633241111357453</v>
      </c>
      <c r="DJ195" s="408"/>
      <c r="DK195" s="408">
        <v>0</v>
      </c>
      <c r="DL195" s="408">
        <v>0</v>
      </c>
      <c r="DM195" s="408">
        <v>0</v>
      </c>
      <c r="DN195" s="408">
        <v>0</v>
      </c>
      <c r="DO195" s="408">
        <v>2.4390179804705703E-2</v>
      </c>
      <c r="DP195" s="408">
        <v>5.3725676935455213E-3</v>
      </c>
      <c r="DQ195" s="408">
        <v>0</v>
      </c>
      <c r="DR195" s="408">
        <v>0</v>
      </c>
      <c r="DS195" s="408"/>
      <c r="DT195" s="408"/>
      <c r="DU195" s="408"/>
      <c r="DV195" s="408">
        <v>-203.49640782491301</v>
      </c>
      <c r="DW195" s="408">
        <v>0</v>
      </c>
      <c r="DX195" s="408">
        <v>0</v>
      </c>
      <c r="DY195" s="408">
        <v>110.99725000000001</v>
      </c>
      <c r="DZ195" s="408">
        <v>-3.9952499999999986</v>
      </c>
      <c r="EA195" s="408">
        <v>0</v>
      </c>
      <c r="EB195" s="408">
        <v>0</v>
      </c>
      <c r="EC195" s="408">
        <v>114.15938861302449</v>
      </c>
      <c r="ED195" s="408">
        <v>0</v>
      </c>
      <c r="EE195" s="408">
        <v>0</v>
      </c>
      <c r="EF195" s="408">
        <v>0</v>
      </c>
      <c r="EG195" s="408">
        <v>0</v>
      </c>
      <c r="EH195" s="408">
        <v>0</v>
      </c>
      <c r="EI195" s="408">
        <v>0</v>
      </c>
      <c r="EJ195" s="408">
        <v>0</v>
      </c>
      <c r="EK195" s="408">
        <v>0</v>
      </c>
      <c r="EL195" s="408">
        <v>0</v>
      </c>
      <c r="EM195" s="408">
        <v>0</v>
      </c>
      <c r="EN195" s="408">
        <v>0</v>
      </c>
      <c r="EO195" s="408">
        <v>0</v>
      </c>
      <c r="EP195" s="408">
        <v>0</v>
      </c>
      <c r="EQ195" s="408">
        <v>0</v>
      </c>
      <c r="ER195" s="408">
        <v>0</v>
      </c>
      <c r="ES195" s="408">
        <v>0</v>
      </c>
      <c r="ET195" s="408">
        <v>0</v>
      </c>
      <c r="EU195" s="408">
        <v>0</v>
      </c>
      <c r="EV195" s="408">
        <v>238</v>
      </c>
      <c r="EW195" s="408">
        <v>0</v>
      </c>
      <c r="EX195" s="408">
        <v>0</v>
      </c>
      <c r="EY195" s="408">
        <v>0</v>
      </c>
      <c r="EZ195" s="408"/>
      <c r="FA195" s="408">
        <v>0</v>
      </c>
      <c r="FB195" s="408"/>
      <c r="FC195" s="408"/>
      <c r="FD195" s="408"/>
      <c r="FE195" s="408"/>
      <c r="FF195" s="408">
        <v>0</v>
      </c>
      <c r="FG195" s="408">
        <v>0</v>
      </c>
      <c r="FH195" s="408">
        <v>0</v>
      </c>
      <c r="FI195" s="408">
        <v>0</v>
      </c>
    </row>
    <row r="196" spans="1:165">
      <c r="A196" s="408">
        <v>200</v>
      </c>
      <c r="B196" s="408" t="s">
        <v>2238</v>
      </c>
      <c r="C196" s="408" t="s">
        <v>2243</v>
      </c>
      <c r="D196" s="408" t="s">
        <v>597</v>
      </c>
      <c r="E196" s="408" t="s">
        <v>974</v>
      </c>
      <c r="F196" s="408" t="s">
        <v>1322</v>
      </c>
      <c r="G196" s="408" t="s">
        <v>1322</v>
      </c>
      <c r="H196" s="408" t="s">
        <v>1322</v>
      </c>
      <c r="I196" s="408" t="s">
        <v>973</v>
      </c>
      <c r="J196" s="408" t="s">
        <v>2236</v>
      </c>
      <c r="K196" s="824">
        <v>44470</v>
      </c>
      <c r="L196" s="408">
        <v>0</v>
      </c>
      <c r="M196" s="408">
        <v>0</v>
      </c>
      <c r="N196" s="408">
        <v>1.589</v>
      </c>
      <c r="O196" s="408">
        <v>1.5254399999999999</v>
      </c>
      <c r="P196" s="408">
        <v>1.589</v>
      </c>
      <c r="Q196" s="408">
        <v>1.5254399999999999</v>
      </c>
      <c r="R196" s="408"/>
      <c r="S196" s="408">
        <v>1614.19</v>
      </c>
      <c r="T196" s="408">
        <v>209.4</v>
      </c>
      <c r="U196" s="408"/>
      <c r="V196" s="408">
        <v>2897.68451</v>
      </c>
      <c r="W196" s="408">
        <v>2897.68451</v>
      </c>
      <c r="X196" s="408">
        <v>1926.10635</v>
      </c>
      <c r="Y196" s="408">
        <v>0</v>
      </c>
      <c r="Z196" s="408">
        <v>85.071849432982916</v>
      </c>
      <c r="AA196" s="408">
        <v>0</v>
      </c>
      <c r="AB196" s="408">
        <v>0</v>
      </c>
      <c r="AC196" s="408">
        <v>0</v>
      </c>
      <c r="AD196" s="408">
        <v>494.84318665661124</v>
      </c>
      <c r="AE196" s="408">
        <v>1847.7473830502101</v>
      </c>
      <c r="AF196" s="408">
        <v>328.36803506193871</v>
      </c>
      <c r="AG196" s="408">
        <v>4.3744613280946369</v>
      </c>
      <c r="AH196" s="408">
        <v>0</v>
      </c>
      <c r="AI196" s="408">
        <v>0</v>
      </c>
      <c r="AJ196" s="408">
        <v>0</v>
      </c>
      <c r="AK196" s="408">
        <v>0</v>
      </c>
      <c r="AL196" s="408">
        <v>15.110757014103022</v>
      </c>
      <c r="AM196" s="408"/>
      <c r="AN196" s="408">
        <v>2.1099446062194027</v>
      </c>
      <c r="AO196" s="408">
        <v>38.445736417320887</v>
      </c>
      <c r="AP196" s="408">
        <v>57.265500392759584</v>
      </c>
      <c r="AQ196" s="408">
        <v>0</v>
      </c>
      <c r="AR196" s="408">
        <v>0</v>
      </c>
      <c r="AS196" s="408">
        <v>0</v>
      </c>
      <c r="AT196" s="408">
        <v>0</v>
      </c>
      <c r="AU196" s="408">
        <v>0</v>
      </c>
      <c r="AV196" s="408">
        <v>0</v>
      </c>
      <c r="AW196" s="408">
        <v>0</v>
      </c>
      <c r="AX196" s="408">
        <v>0</v>
      </c>
      <c r="AY196" s="408">
        <v>0</v>
      </c>
      <c r="AZ196" s="408">
        <v>0</v>
      </c>
      <c r="BA196" s="408"/>
      <c r="BB196" s="408">
        <v>0</v>
      </c>
      <c r="BC196" s="408">
        <v>0</v>
      </c>
      <c r="BD196" s="408">
        <v>0</v>
      </c>
      <c r="BE196" s="408">
        <v>0</v>
      </c>
      <c r="BF196" s="408">
        <v>0</v>
      </c>
      <c r="BG196" s="408">
        <v>24.350529377979534</v>
      </c>
      <c r="BH196" s="408">
        <v>0</v>
      </c>
      <c r="BI196" s="408">
        <v>0</v>
      </c>
      <c r="BJ196" s="408">
        <v>0</v>
      </c>
      <c r="BK196" s="408">
        <v>0</v>
      </c>
      <c r="BL196" s="408">
        <v>0</v>
      </c>
      <c r="BM196" s="408"/>
      <c r="BN196" s="408"/>
      <c r="BO196" s="408"/>
      <c r="BP196" s="408"/>
      <c r="BQ196" s="408"/>
      <c r="BR196" s="408">
        <v>77.04425400000008</v>
      </c>
      <c r="BS196" s="408"/>
      <c r="BT196" s="408"/>
      <c r="BU196" s="408"/>
      <c r="BV196" s="408">
        <v>352.71856443991823</v>
      </c>
      <c r="BW196" s="408"/>
      <c r="BX196" s="408"/>
      <c r="BY196" s="408"/>
      <c r="BZ196" s="408"/>
      <c r="CA196" s="408"/>
      <c r="CB196" s="408"/>
      <c r="CC196" s="408"/>
      <c r="CD196" s="408"/>
      <c r="CE196" s="408"/>
      <c r="CF196" s="408"/>
      <c r="CG196" s="408"/>
      <c r="CH196" s="408"/>
      <c r="CI196" s="408">
        <v>1854.5894999999998</v>
      </c>
      <c r="CJ196" s="408">
        <v>-927.21762960000046</v>
      </c>
      <c r="CK196" s="408"/>
      <c r="CL196" s="408"/>
      <c r="CM196" s="408"/>
      <c r="CN196" s="408"/>
      <c r="CO196" s="408">
        <v>-1007.8550300000002</v>
      </c>
      <c r="CP196" s="408">
        <v>36.276869999999974</v>
      </c>
      <c r="CQ196" s="408">
        <v>31</v>
      </c>
      <c r="CR196" s="408">
        <v>64.979570213921988</v>
      </c>
      <c r="CS196" s="408">
        <v>4.6416318217665662</v>
      </c>
      <c r="CT196" s="408">
        <v>6.9137801400696546</v>
      </c>
      <c r="CU196" s="408">
        <v>0</v>
      </c>
      <c r="CV196" s="408">
        <v>0</v>
      </c>
      <c r="CW196" s="408">
        <v>0</v>
      </c>
      <c r="CX196" s="408">
        <v>0</v>
      </c>
      <c r="CY196" s="408">
        <v>0</v>
      </c>
      <c r="CZ196" s="408">
        <v>16.22216594282088</v>
      </c>
      <c r="DA196" s="408">
        <v>0</v>
      </c>
      <c r="DB196" s="408">
        <v>0</v>
      </c>
      <c r="DC196" s="408">
        <v>36.265880676786026</v>
      </c>
      <c r="DD196" s="408">
        <v>0</v>
      </c>
      <c r="DE196" s="408">
        <v>0</v>
      </c>
      <c r="DF196" s="408">
        <v>0</v>
      </c>
      <c r="DG196" s="408">
        <v>2.68934030887565</v>
      </c>
      <c r="DH196" s="408">
        <v>0</v>
      </c>
      <c r="DI196" s="408">
        <v>-1.4829829291125662</v>
      </c>
      <c r="DJ196" s="408"/>
      <c r="DK196" s="408">
        <v>0</v>
      </c>
      <c r="DL196" s="408">
        <v>0</v>
      </c>
      <c r="DM196" s="408">
        <v>0</v>
      </c>
      <c r="DN196" s="408">
        <v>0</v>
      </c>
      <c r="DO196" s="408">
        <v>-0.22146283262673094</v>
      </c>
      <c r="DP196" s="408">
        <v>-4.8782914657393484E-2</v>
      </c>
      <c r="DQ196" s="408">
        <v>0</v>
      </c>
      <c r="DR196" s="408">
        <v>0</v>
      </c>
      <c r="DS196" s="408"/>
      <c r="DT196" s="408"/>
      <c r="DU196" s="408"/>
      <c r="DV196" s="408">
        <v>1847.7473830502101</v>
      </c>
      <c r="DW196" s="408">
        <v>0</v>
      </c>
      <c r="DX196" s="408">
        <v>0</v>
      </c>
      <c r="DY196" s="408">
        <v>-1007.8550299999999</v>
      </c>
      <c r="DZ196" s="408">
        <v>36.276869999999974</v>
      </c>
      <c r="EA196" s="408">
        <v>0</v>
      </c>
      <c r="EB196" s="408">
        <v>0</v>
      </c>
      <c r="EC196" s="408">
        <v>-1036.5672486062622</v>
      </c>
      <c r="ED196" s="408">
        <v>0</v>
      </c>
      <c r="EE196" s="408">
        <v>0</v>
      </c>
      <c r="EF196" s="408">
        <v>0</v>
      </c>
      <c r="EG196" s="408">
        <v>0</v>
      </c>
      <c r="EH196" s="408">
        <v>0</v>
      </c>
      <c r="EI196" s="408">
        <v>0</v>
      </c>
      <c r="EJ196" s="408">
        <v>0</v>
      </c>
      <c r="EK196" s="408">
        <v>0</v>
      </c>
      <c r="EL196" s="408">
        <v>0</v>
      </c>
      <c r="EM196" s="408">
        <v>0</v>
      </c>
      <c r="EN196" s="408">
        <v>0</v>
      </c>
      <c r="EO196" s="408">
        <v>0</v>
      </c>
      <c r="EP196" s="408">
        <v>0</v>
      </c>
      <c r="EQ196" s="408">
        <v>0</v>
      </c>
      <c r="ER196" s="408">
        <v>0</v>
      </c>
      <c r="ES196" s="408">
        <v>0</v>
      </c>
      <c r="ET196" s="408">
        <v>0</v>
      </c>
      <c r="EU196" s="408">
        <v>0</v>
      </c>
      <c r="EV196" s="408">
        <v>238</v>
      </c>
      <c r="EW196" s="408">
        <v>0</v>
      </c>
      <c r="EX196" s="408">
        <v>0</v>
      </c>
      <c r="EY196" s="408">
        <v>0</v>
      </c>
      <c r="EZ196" s="408"/>
      <c r="FA196" s="408">
        <v>0</v>
      </c>
      <c r="FB196" s="408"/>
      <c r="FC196" s="408"/>
      <c r="FD196" s="408"/>
      <c r="FE196" s="408"/>
      <c r="FF196" s="408">
        <v>0</v>
      </c>
      <c r="FG196" s="408">
        <v>0</v>
      </c>
      <c r="FH196" s="408">
        <v>0</v>
      </c>
      <c r="FI196" s="408">
        <v>0</v>
      </c>
    </row>
    <row r="197" spans="1:165">
      <c r="A197" s="408">
        <v>201</v>
      </c>
      <c r="B197" s="408" t="s">
        <v>1036</v>
      </c>
      <c r="C197" s="408" t="s">
        <v>2243</v>
      </c>
      <c r="D197" s="408" t="s">
        <v>597</v>
      </c>
      <c r="E197" s="408" t="s">
        <v>974</v>
      </c>
      <c r="F197" s="408" t="s">
        <v>1322</v>
      </c>
      <c r="G197" s="408" t="s">
        <v>1322</v>
      </c>
      <c r="H197" s="408" t="s">
        <v>1322</v>
      </c>
      <c r="I197" s="408" t="s">
        <v>2244</v>
      </c>
      <c r="J197" s="408" t="s">
        <v>2236</v>
      </c>
      <c r="K197" s="824">
        <v>44470</v>
      </c>
      <c r="L197" s="408">
        <v>0</v>
      </c>
      <c r="M197" s="408">
        <v>0</v>
      </c>
      <c r="N197" s="408">
        <v>243.429</v>
      </c>
      <c r="O197" s="408">
        <v>233.69184000000001</v>
      </c>
      <c r="P197" s="408">
        <v>243.429</v>
      </c>
      <c r="Q197" s="408">
        <v>233.69184000000001</v>
      </c>
      <c r="R197" s="408"/>
      <c r="S197" s="408">
        <v>79.7</v>
      </c>
      <c r="T197" s="408">
        <v>209.4</v>
      </c>
      <c r="U197" s="408"/>
      <c r="V197" s="408">
        <v>70375.323900000003</v>
      </c>
      <c r="W197" s="408">
        <v>70375.323900000003</v>
      </c>
      <c r="X197" s="408">
        <v>76076.431079999995</v>
      </c>
      <c r="Y197" s="408">
        <v>0</v>
      </c>
      <c r="Z197" s="408">
        <v>13032.696812851857</v>
      </c>
      <c r="AA197" s="408">
        <v>0</v>
      </c>
      <c r="AB197" s="408">
        <v>0</v>
      </c>
      <c r="AC197" s="408">
        <v>0</v>
      </c>
      <c r="AD197" s="408">
        <v>0</v>
      </c>
      <c r="AE197" s="408">
        <v>0</v>
      </c>
      <c r="AF197" s="408">
        <v>50304.784397163428</v>
      </c>
      <c r="AG197" s="408">
        <v>670.1515082673061</v>
      </c>
      <c r="AH197" s="408">
        <v>0</v>
      </c>
      <c r="AI197" s="408">
        <v>0</v>
      </c>
      <c r="AJ197" s="408">
        <v>0</v>
      </c>
      <c r="AK197" s="408">
        <v>0</v>
      </c>
      <c r="AL197" s="408">
        <v>2314.9128188710411</v>
      </c>
      <c r="AM197" s="408"/>
      <c r="AN197" s="408">
        <v>323.23581217582313</v>
      </c>
      <c r="AO197" s="408">
        <v>0</v>
      </c>
      <c r="AP197" s="408">
        <v>0</v>
      </c>
      <c r="AQ197" s="408">
        <v>0</v>
      </c>
      <c r="AR197" s="408">
        <v>0</v>
      </c>
      <c r="AS197" s="408">
        <v>0</v>
      </c>
      <c r="AT197" s="408">
        <v>0</v>
      </c>
      <c r="AU197" s="408">
        <v>0</v>
      </c>
      <c r="AV197" s="408">
        <v>0</v>
      </c>
      <c r="AW197" s="408">
        <v>0</v>
      </c>
      <c r="AX197" s="408">
        <v>0</v>
      </c>
      <c r="AY197" s="408">
        <v>0</v>
      </c>
      <c r="AZ197" s="408">
        <v>0</v>
      </c>
      <c r="BA197" s="408"/>
      <c r="BB197" s="408">
        <v>0</v>
      </c>
      <c r="BC197" s="408">
        <v>0</v>
      </c>
      <c r="BD197" s="408">
        <v>0</v>
      </c>
      <c r="BE197" s="408">
        <v>0</v>
      </c>
      <c r="BF197" s="408">
        <v>0</v>
      </c>
      <c r="BG197" s="408">
        <v>3730.4122189755694</v>
      </c>
      <c r="BH197" s="408">
        <v>0</v>
      </c>
      <c r="BI197" s="408">
        <v>0</v>
      </c>
      <c r="BJ197" s="408">
        <v>0</v>
      </c>
      <c r="BK197" s="408">
        <v>0</v>
      </c>
      <c r="BL197" s="408">
        <v>0</v>
      </c>
      <c r="BM197" s="408"/>
      <c r="BN197" s="408"/>
      <c r="BO197" s="408"/>
      <c r="BP197" s="408"/>
      <c r="BQ197" s="408"/>
      <c r="BR197" s="408">
        <v>3043.0572431999963</v>
      </c>
      <c r="BS197" s="408"/>
      <c r="BT197" s="408"/>
      <c r="BU197" s="408"/>
      <c r="BV197" s="408">
        <v>54035.196616139001</v>
      </c>
      <c r="BW197" s="408"/>
      <c r="BX197" s="408"/>
      <c r="BY197" s="408"/>
      <c r="BZ197" s="408"/>
      <c r="CA197" s="408"/>
      <c r="CB197" s="408"/>
      <c r="CC197" s="408"/>
      <c r="CD197" s="408"/>
      <c r="CE197" s="408"/>
      <c r="CF197" s="408"/>
      <c r="CG197" s="408"/>
      <c r="CH197" s="408"/>
      <c r="CI197" s="408">
        <v>73032.798800000004</v>
      </c>
      <c r="CJ197" s="408">
        <v>5472.4578560000082</v>
      </c>
      <c r="CK197" s="408"/>
      <c r="CL197" s="408"/>
      <c r="CM197" s="408"/>
      <c r="CN197" s="408"/>
      <c r="CO197" s="408">
        <v>143.62311000000082</v>
      </c>
      <c r="CP197" s="408">
        <v>5557.4840699999959</v>
      </c>
      <c r="CQ197" s="408">
        <v>31</v>
      </c>
      <c r="CR197" s="408">
        <v>5699.2094309956155</v>
      </c>
      <c r="CS197" s="408">
        <v>0</v>
      </c>
      <c r="CT197" s="408">
        <v>0</v>
      </c>
      <c r="CU197" s="408">
        <v>0</v>
      </c>
      <c r="CV197" s="408">
        <v>0</v>
      </c>
      <c r="CW197" s="408">
        <v>0</v>
      </c>
      <c r="CX197" s="408">
        <v>0</v>
      </c>
      <c r="CY197" s="408">
        <v>0</v>
      </c>
      <c r="CZ197" s="408">
        <v>0</v>
      </c>
      <c r="DA197" s="408">
        <v>0</v>
      </c>
      <c r="DB197" s="408">
        <v>0</v>
      </c>
      <c r="DC197" s="408">
        <v>5555.8005457956824</v>
      </c>
      <c r="DD197" s="408">
        <v>0</v>
      </c>
      <c r="DE197" s="408">
        <v>0</v>
      </c>
      <c r="DF197" s="408">
        <v>0</v>
      </c>
      <c r="DG197" s="408">
        <v>411.99711897375118</v>
      </c>
      <c r="DH197" s="408">
        <v>0</v>
      </c>
      <c r="DI197" s="408">
        <v>-227.18757171236211</v>
      </c>
      <c r="DJ197" s="408"/>
      <c r="DK197" s="408">
        <v>0</v>
      </c>
      <c r="DL197" s="408">
        <v>0</v>
      </c>
      <c r="DM197" s="408">
        <v>0</v>
      </c>
      <c r="DN197" s="408">
        <v>0</v>
      </c>
      <c r="DO197" s="408">
        <v>-33.927297598169844</v>
      </c>
      <c r="DP197" s="408">
        <v>-7.4733644632690357</v>
      </c>
      <c r="DQ197" s="408">
        <v>0</v>
      </c>
      <c r="DR197" s="408">
        <v>0</v>
      </c>
      <c r="DS197" s="408"/>
      <c r="DT197" s="408"/>
      <c r="DU197" s="408"/>
      <c r="DV197" s="408">
        <v>0</v>
      </c>
      <c r="DW197" s="408">
        <v>0</v>
      </c>
      <c r="DX197" s="408">
        <v>0</v>
      </c>
      <c r="DY197" s="408">
        <v>143.62311000000045</v>
      </c>
      <c r="DZ197" s="408">
        <v>5557.4840699999986</v>
      </c>
      <c r="EA197" s="408">
        <v>0</v>
      </c>
      <c r="EB197" s="408">
        <v>0</v>
      </c>
      <c r="EC197" s="408">
        <v>0</v>
      </c>
      <c r="ED197" s="408">
        <v>0</v>
      </c>
      <c r="EE197" s="408">
        <v>0</v>
      </c>
      <c r="EF197" s="408">
        <v>0</v>
      </c>
      <c r="EG197" s="408">
        <v>0</v>
      </c>
      <c r="EH197" s="408">
        <v>0</v>
      </c>
      <c r="EI197" s="408">
        <v>0</v>
      </c>
      <c r="EJ197" s="408">
        <v>0</v>
      </c>
      <c r="EK197" s="408">
        <v>0</v>
      </c>
      <c r="EL197" s="408">
        <v>0</v>
      </c>
      <c r="EM197" s="408">
        <v>0</v>
      </c>
      <c r="EN197" s="408">
        <v>0</v>
      </c>
      <c r="EO197" s="408">
        <v>0</v>
      </c>
      <c r="EP197" s="408">
        <v>0</v>
      </c>
      <c r="EQ197" s="408">
        <v>0</v>
      </c>
      <c r="ER197" s="408">
        <v>0</v>
      </c>
      <c r="ES197" s="408">
        <v>0</v>
      </c>
      <c r="ET197" s="408">
        <v>0</v>
      </c>
      <c r="EU197" s="408">
        <v>0</v>
      </c>
      <c r="EV197" s="408">
        <v>238</v>
      </c>
      <c r="EW197" s="408">
        <v>0</v>
      </c>
      <c r="EX197" s="408">
        <v>0</v>
      </c>
      <c r="EY197" s="408">
        <v>0</v>
      </c>
      <c r="EZ197" s="408"/>
      <c r="FA197" s="408">
        <v>0</v>
      </c>
      <c r="FB197" s="408"/>
      <c r="FC197" s="408"/>
      <c r="FD197" s="408"/>
      <c r="FE197" s="408"/>
      <c r="FF197" s="408">
        <v>0</v>
      </c>
      <c r="FG197" s="408">
        <v>0</v>
      </c>
      <c r="FH197" s="408">
        <v>0</v>
      </c>
      <c r="FI197" s="408">
        <v>0</v>
      </c>
    </row>
    <row r="198" spans="1:165">
      <c r="A198" s="408">
        <v>202</v>
      </c>
      <c r="B198" s="408" t="s">
        <v>2237</v>
      </c>
      <c r="C198" s="408" t="s">
        <v>2243</v>
      </c>
      <c r="D198" s="408" t="s">
        <v>597</v>
      </c>
      <c r="E198" s="408" t="s">
        <v>974</v>
      </c>
      <c r="F198" s="408" t="s">
        <v>1322</v>
      </c>
      <c r="G198" s="408" t="s">
        <v>1322</v>
      </c>
      <c r="H198" s="408" t="s">
        <v>1322</v>
      </c>
      <c r="I198" s="408" t="s">
        <v>2244</v>
      </c>
      <c r="J198" s="408" t="s">
        <v>2236</v>
      </c>
      <c r="K198" s="824">
        <v>44470</v>
      </c>
      <c r="L198" s="408">
        <v>0</v>
      </c>
      <c r="M198" s="408">
        <v>0</v>
      </c>
      <c r="N198" s="408">
        <v>-1.2749999999999999</v>
      </c>
      <c r="O198" s="408">
        <v>-1.224</v>
      </c>
      <c r="P198" s="408">
        <v>-1.2749999999999999</v>
      </c>
      <c r="Q198" s="408">
        <v>-1.224</v>
      </c>
      <c r="R198" s="408"/>
      <c r="S198" s="408">
        <v>79.7</v>
      </c>
      <c r="T198" s="408">
        <v>209.4</v>
      </c>
      <c r="U198" s="408"/>
      <c r="V198" s="408">
        <v>-368.60250000000002</v>
      </c>
      <c r="W198" s="408">
        <v>-368.60250000000002</v>
      </c>
      <c r="X198" s="408">
        <v>-398.46299999999997</v>
      </c>
      <c r="Y198" s="408">
        <v>0</v>
      </c>
      <c r="Z198" s="408">
        <v>-68.260923868504221</v>
      </c>
      <c r="AA198" s="408">
        <v>0</v>
      </c>
      <c r="AB198" s="408">
        <v>0</v>
      </c>
      <c r="AC198" s="408">
        <v>0</v>
      </c>
      <c r="AD198" s="408">
        <v>0</v>
      </c>
      <c r="AE198" s="408">
        <v>0</v>
      </c>
      <c r="AF198" s="408">
        <v>-263.47970088355686</v>
      </c>
      <c r="AG198" s="408">
        <v>-3.5100303293396236</v>
      </c>
      <c r="AH198" s="408">
        <v>0</v>
      </c>
      <c r="AI198" s="408">
        <v>0</v>
      </c>
      <c r="AJ198" s="408">
        <v>0</v>
      </c>
      <c r="AK198" s="408">
        <v>0</v>
      </c>
      <c r="AL198" s="408">
        <v>-12.12474209753389</v>
      </c>
      <c r="AM198" s="408"/>
      <c r="AN198" s="408">
        <v>-1.6930014933478528</v>
      </c>
      <c r="AO198" s="408">
        <v>0</v>
      </c>
      <c r="AP198" s="408">
        <v>0</v>
      </c>
      <c r="AQ198" s="408">
        <v>0</v>
      </c>
      <c r="AR198" s="408">
        <v>0</v>
      </c>
      <c r="AS198" s="408">
        <v>0</v>
      </c>
      <c r="AT198" s="408">
        <v>0</v>
      </c>
      <c r="AU198" s="408">
        <v>0</v>
      </c>
      <c r="AV198" s="408">
        <v>0</v>
      </c>
      <c r="AW198" s="408">
        <v>0</v>
      </c>
      <c r="AX198" s="408">
        <v>0</v>
      </c>
      <c r="AY198" s="408">
        <v>0</v>
      </c>
      <c r="AZ198" s="408">
        <v>0</v>
      </c>
      <c r="BA198" s="408"/>
      <c r="BB198" s="408">
        <v>0</v>
      </c>
      <c r="BC198" s="408">
        <v>0</v>
      </c>
      <c r="BD198" s="408">
        <v>0</v>
      </c>
      <c r="BE198" s="408">
        <v>0</v>
      </c>
      <c r="BF198" s="408">
        <v>0</v>
      </c>
      <c r="BG198" s="408">
        <v>-19.538656360556264</v>
      </c>
      <c r="BH198" s="408">
        <v>0</v>
      </c>
      <c r="BI198" s="408">
        <v>0</v>
      </c>
      <c r="BJ198" s="408">
        <v>0</v>
      </c>
      <c r="BK198" s="408">
        <v>0</v>
      </c>
      <c r="BL198" s="408">
        <v>0</v>
      </c>
      <c r="BM198" s="408"/>
      <c r="BN198" s="408"/>
      <c r="BO198" s="408"/>
      <c r="BP198" s="408"/>
      <c r="BQ198" s="408"/>
      <c r="BR198" s="408">
        <v>-15.938519999999979</v>
      </c>
      <c r="BS198" s="408"/>
      <c r="BT198" s="408"/>
      <c r="BU198" s="408"/>
      <c r="BV198" s="408">
        <v>-283.01835724411313</v>
      </c>
      <c r="BW198" s="408"/>
      <c r="BX198" s="408"/>
      <c r="BY198" s="408"/>
      <c r="BZ198" s="408"/>
      <c r="CA198" s="408"/>
      <c r="CB198" s="408"/>
      <c r="CC198" s="408"/>
      <c r="CD198" s="408"/>
      <c r="CE198" s="408"/>
      <c r="CF198" s="408"/>
      <c r="CG198" s="408"/>
      <c r="CH198" s="408"/>
      <c r="CI198" s="408">
        <v>-381.27439999999996</v>
      </c>
      <c r="CJ198" s="408">
        <v>-27.445999999999913</v>
      </c>
      <c r="CK198" s="408"/>
      <c r="CL198" s="408"/>
      <c r="CM198" s="408"/>
      <c r="CN198" s="408"/>
      <c r="CO198" s="408">
        <v>-0.7522500000000043</v>
      </c>
      <c r="CP198" s="408">
        <v>-29.108249999999977</v>
      </c>
      <c r="CQ198" s="408">
        <v>31</v>
      </c>
      <c r="CR198" s="408">
        <v>-29.850560222978402</v>
      </c>
      <c r="CS198" s="408">
        <v>0</v>
      </c>
      <c r="CT198" s="408">
        <v>0</v>
      </c>
      <c r="CU198" s="408">
        <v>0</v>
      </c>
      <c r="CV198" s="408">
        <v>0</v>
      </c>
      <c r="CW198" s="408">
        <v>0</v>
      </c>
      <c r="CX198" s="408">
        <v>0</v>
      </c>
      <c r="CY198" s="408">
        <v>0</v>
      </c>
      <c r="CZ198" s="408">
        <v>0</v>
      </c>
      <c r="DA198" s="408">
        <v>0</v>
      </c>
      <c r="DB198" s="408">
        <v>0</v>
      </c>
      <c r="DC198" s="408">
        <v>-29.099432261108973</v>
      </c>
      <c r="DD198" s="408">
        <v>0</v>
      </c>
      <c r="DE198" s="408">
        <v>0</v>
      </c>
      <c r="DF198" s="408">
        <v>0</v>
      </c>
      <c r="DG198" s="408">
        <v>-2.1579036462029322</v>
      </c>
      <c r="DH198" s="408">
        <v>0</v>
      </c>
      <c r="DI198" s="408">
        <v>1.1899328097032793</v>
      </c>
      <c r="DJ198" s="408"/>
      <c r="DK198" s="408">
        <v>0</v>
      </c>
      <c r="DL198" s="408">
        <v>0</v>
      </c>
      <c r="DM198" s="408">
        <v>0</v>
      </c>
      <c r="DN198" s="408">
        <v>0</v>
      </c>
      <c r="DO198" s="408">
        <v>0.17769988143428606</v>
      </c>
      <c r="DP198" s="408">
        <v>3.9142993195831366E-2</v>
      </c>
      <c r="DQ198" s="408">
        <v>0</v>
      </c>
      <c r="DR198" s="408">
        <v>0</v>
      </c>
      <c r="DS198" s="408"/>
      <c r="DT198" s="408"/>
      <c r="DU198" s="408"/>
      <c r="DV198" s="408">
        <v>0</v>
      </c>
      <c r="DW198" s="408">
        <v>0</v>
      </c>
      <c r="DX198" s="408">
        <v>0</v>
      </c>
      <c r="DY198" s="408">
        <v>-0.75225000000000364</v>
      </c>
      <c r="DZ198" s="408">
        <v>-29.108249999999941</v>
      </c>
      <c r="EA198" s="408">
        <v>0</v>
      </c>
      <c r="EB198" s="408">
        <v>0</v>
      </c>
      <c r="EC198" s="408">
        <v>0</v>
      </c>
      <c r="ED198" s="408">
        <v>0</v>
      </c>
      <c r="EE198" s="408">
        <v>0</v>
      </c>
      <c r="EF198" s="408">
        <v>0</v>
      </c>
      <c r="EG198" s="408">
        <v>0</v>
      </c>
      <c r="EH198" s="408">
        <v>0</v>
      </c>
      <c r="EI198" s="408">
        <v>0</v>
      </c>
      <c r="EJ198" s="408">
        <v>0</v>
      </c>
      <c r="EK198" s="408">
        <v>0</v>
      </c>
      <c r="EL198" s="408">
        <v>0</v>
      </c>
      <c r="EM198" s="408">
        <v>0</v>
      </c>
      <c r="EN198" s="408">
        <v>0</v>
      </c>
      <c r="EO198" s="408">
        <v>0</v>
      </c>
      <c r="EP198" s="408">
        <v>0</v>
      </c>
      <c r="EQ198" s="408">
        <v>0</v>
      </c>
      <c r="ER198" s="408">
        <v>0</v>
      </c>
      <c r="ES198" s="408">
        <v>0</v>
      </c>
      <c r="ET198" s="408">
        <v>0</v>
      </c>
      <c r="EU198" s="408">
        <v>0</v>
      </c>
      <c r="EV198" s="408">
        <v>238</v>
      </c>
      <c r="EW198" s="408">
        <v>0</v>
      </c>
      <c r="EX198" s="408">
        <v>0</v>
      </c>
      <c r="EY198" s="408">
        <v>0</v>
      </c>
      <c r="EZ198" s="408"/>
      <c r="FA198" s="408">
        <v>0</v>
      </c>
      <c r="FB198" s="408"/>
      <c r="FC198" s="408"/>
      <c r="FD198" s="408"/>
      <c r="FE198" s="408"/>
      <c r="FF198" s="408">
        <v>0</v>
      </c>
      <c r="FG198" s="408">
        <v>0</v>
      </c>
      <c r="FH198" s="408">
        <v>0</v>
      </c>
      <c r="FI198" s="408">
        <v>0</v>
      </c>
    </row>
    <row r="199" spans="1:165">
      <c r="A199" s="408">
        <v>203</v>
      </c>
      <c r="B199" s="408" t="s">
        <v>2238</v>
      </c>
      <c r="C199" s="408" t="s">
        <v>2243</v>
      </c>
      <c r="D199" s="408" t="s">
        <v>597</v>
      </c>
      <c r="E199" s="408" t="s">
        <v>974</v>
      </c>
      <c r="F199" s="408" t="s">
        <v>1322</v>
      </c>
      <c r="G199" s="408" t="s">
        <v>1322</v>
      </c>
      <c r="H199" s="408" t="s">
        <v>1322</v>
      </c>
      <c r="I199" s="408" t="s">
        <v>2244</v>
      </c>
      <c r="J199" s="408" t="s">
        <v>2236</v>
      </c>
      <c r="K199" s="824">
        <v>44470</v>
      </c>
      <c r="L199" s="408">
        <v>0</v>
      </c>
      <c r="M199" s="408">
        <v>0</v>
      </c>
      <c r="N199" s="408">
        <v>3.4660000000000002</v>
      </c>
      <c r="O199" s="408">
        <v>3.3273600000000001</v>
      </c>
      <c r="P199" s="408">
        <v>3.4660000000000002</v>
      </c>
      <c r="Q199" s="408">
        <v>3.3273600000000001</v>
      </c>
      <c r="R199" s="408"/>
      <c r="S199" s="408">
        <v>79.7</v>
      </c>
      <c r="T199" s="408">
        <v>209.4</v>
      </c>
      <c r="U199" s="408"/>
      <c r="V199" s="408">
        <v>1002.0206000000001</v>
      </c>
      <c r="W199" s="408">
        <v>1002.0206000000001</v>
      </c>
      <c r="X199" s="408">
        <v>1083.1943200000001</v>
      </c>
      <c r="Y199" s="408">
        <v>0</v>
      </c>
      <c r="Z199" s="408">
        <v>185.56263696332209</v>
      </c>
      <c r="AA199" s="408">
        <v>0</v>
      </c>
      <c r="AB199" s="408">
        <v>0</v>
      </c>
      <c r="AC199" s="408">
        <v>0</v>
      </c>
      <c r="AD199" s="408">
        <v>0</v>
      </c>
      <c r="AE199" s="408">
        <v>0</v>
      </c>
      <c r="AF199" s="408">
        <v>716.25148491169273</v>
      </c>
      <c r="AG199" s="408">
        <v>9.5417765658754004</v>
      </c>
      <c r="AH199" s="408">
        <v>0</v>
      </c>
      <c r="AI199" s="408">
        <v>0</v>
      </c>
      <c r="AJ199" s="408">
        <v>0</v>
      </c>
      <c r="AK199" s="408">
        <v>0</v>
      </c>
      <c r="AL199" s="408">
        <v>32.960279302001936</v>
      </c>
      <c r="AM199" s="408"/>
      <c r="AN199" s="408">
        <v>4.6023083732891443</v>
      </c>
      <c r="AO199" s="408">
        <v>0</v>
      </c>
      <c r="AP199" s="408">
        <v>0</v>
      </c>
      <c r="AQ199" s="408">
        <v>0</v>
      </c>
      <c r="AR199" s="408">
        <v>0</v>
      </c>
      <c r="AS199" s="408">
        <v>0</v>
      </c>
      <c r="AT199" s="408">
        <v>0</v>
      </c>
      <c r="AU199" s="408">
        <v>0</v>
      </c>
      <c r="AV199" s="408">
        <v>0</v>
      </c>
      <c r="AW199" s="408">
        <v>0</v>
      </c>
      <c r="AX199" s="408">
        <v>0</v>
      </c>
      <c r="AY199" s="408">
        <v>0</v>
      </c>
      <c r="AZ199" s="408">
        <v>0</v>
      </c>
      <c r="BA199" s="408"/>
      <c r="BB199" s="408">
        <v>0</v>
      </c>
      <c r="BC199" s="408">
        <v>0</v>
      </c>
      <c r="BD199" s="408">
        <v>0</v>
      </c>
      <c r="BE199" s="408">
        <v>0</v>
      </c>
      <c r="BF199" s="408">
        <v>0</v>
      </c>
      <c r="BG199" s="408">
        <v>53.114496427990602</v>
      </c>
      <c r="BH199" s="408">
        <v>0</v>
      </c>
      <c r="BI199" s="408">
        <v>0</v>
      </c>
      <c r="BJ199" s="408">
        <v>0</v>
      </c>
      <c r="BK199" s="408">
        <v>0</v>
      </c>
      <c r="BL199" s="408">
        <v>0</v>
      </c>
      <c r="BM199" s="408"/>
      <c r="BN199" s="408"/>
      <c r="BO199" s="408"/>
      <c r="BP199" s="408"/>
      <c r="BQ199" s="408"/>
      <c r="BR199" s="408">
        <v>43.327772800000027</v>
      </c>
      <c r="BS199" s="408"/>
      <c r="BT199" s="408"/>
      <c r="BU199" s="408"/>
      <c r="BV199" s="408">
        <v>769.36598133968334</v>
      </c>
      <c r="BW199" s="408"/>
      <c r="BX199" s="408"/>
      <c r="BY199" s="408"/>
      <c r="BZ199" s="408"/>
      <c r="CA199" s="408"/>
      <c r="CB199" s="408"/>
      <c r="CC199" s="408"/>
      <c r="CD199" s="408"/>
      <c r="CE199" s="408"/>
      <c r="CF199" s="408"/>
      <c r="CG199" s="408"/>
      <c r="CH199" s="408"/>
      <c r="CI199" s="408">
        <v>1040.6915999999999</v>
      </c>
      <c r="CJ199" s="408">
        <v>78.721823999999856</v>
      </c>
      <c r="CK199" s="408"/>
      <c r="CL199" s="408"/>
      <c r="CM199" s="408"/>
      <c r="CN199" s="408"/>
      <c r="CO199" s="408">
        <v>2.044940000000012</v>
      </c>
      <c r="CP199" s="408">
        <v>79.128779999999949</v>
      </c>
      <c r="CQ199" s="408">
        <v>31</v>
      </c>
      <c r="CR199" s="408">
        <v>81.14669939830867</v>
      </c>
      <c r="CS199" s="408">
        <v>0</v>
      </c>
      <c r="CT199" s="408">
        <v>0</v>
      </c>
      <c r="CU199" s="408">
        <v>0</v>
      </c>
      <c r="CV199" s="408">
        <v>0</v>
      </c>
      <c r="CW199" s="408">
        <v>0</v>
      </c>
      <c r="CX199" s="408">
        <v>0</v>
      </c>
      <c r="CY199" s="408">
        <v>0</v>
      </c>
      <c r="CZ199" s="408">
        <v>0</v>
      </c>
      <c r="DA199" s="408">
        <v>0</v>
      </c>
      <c r="DB199" s="408">
        <v>0</v>
      </c>
      <c r="DC199" s="408">
        <v>79.10480958196365</v>
      </c>
      <c r="DD199" s="408">
        <v>0</v>
      </c>
      <c r="DE199" s="408">
        <v>0</v>
      </c>
      <c r="DF199" s="408">
        <v>0</v>
      </c>
      <c r="DG199" s="408">
        <v>5.8661129707759656</v>
      </c>
      <c r="DH199" s="408">
        <v>0</v>
      </c>
      <c r="DI199" s="408">
        <v>-3.2347506811228186</v>
      </c>
      <c r="DJ199" s="408"/>
      <c r="DK199" s="408">
        <v>0</v>
      </c>
      <c r="DL199" s="408">
        <v>0</v>
      </c>
      <c r="DM199" s="408">
        <v>0</v>
      </c>
      <c r="DN199" s="408">
        <v>0</v>
      </c>
      <c r="DO199" s="408">
        <v>-0.48306493258920113</v>
      </c>
      <c r="DP199" s="408">
        <v>-0.10640754071902148</v>
      </c>
      <c r="DQ199" s="408">
        <v>0</v>
      </c>
      <c r="DR199" s="408">
        <v>0</v>
      </c>
      <c r="DS199" s="408"/>
      <c r="DT199" s="408"/>
      <c r="DU199" s="408"/>
      <c r="DV199" s="408">
        <v>0</v>
      </c>
      <c r="DW199" s="408">
        <v>0</v>
      </c>
      <c r="DX199" s="408">
        <v>0</v>
      </c>
      <c r="DY199" s="408">
        <v>2.0449399999999969</v>
      </c>
      <c r="DZ199" s="408">
        <v>79.128779999999892</v>
      </c>
      <c r="EA199" s="408">
        <v>0</v>
      </c>
      <c r="EB199" s="408">
        <v>0</v>
      </c>
      <c r="EC199" s="408">
        <v>0</v>
      </c>
      <c r="ED199" s="408">
        <v>0</v>
      </c>
      <c r="EE199" s="408">
        <v>0</v>
      </c>
      <c r="EF199" s="408">
        <v>0</v>
      </c>
      <c r="EG199" s="408">
        <v>0</v>
      </c>
      <c r="EH199" s="408">
        <v>0</v>
      </c>
      <c r="EI199" s="408">
        <v>0</v>
      </c>
      <c r="EJ199" s="408">
        <v>0</v>
      </c>
      <c r="EK199" s="408">
        <v>0</v>
      </c>
      <c r="EL199" s="408">
        <v>0</v>
      </c>
      <c r="EM199" s="408">
        <v>0</v>
      </c>
      <c r="EN199" s="408">
        <v>0</v>
      </c>
      <c r="EO199" s="408">
        <v>0</v>
      </c>
      <c r="EP199" s="408">
        <v>0</v>
      </c>
      <c r="EQ199" s="408">
        <v>0</v>
      </c>
      <c r="ER199" s="408">
        <v>0</v>
      </c>
      <c r="ES199" s="408">
        <v>0</v>
      </c>
      <c r="ET199" s="408">
        <v>0</v>
      </c>
      <c r="EU199" s="408">
        <v>0</v>
      </c>
      <c r="EV199" s="408">
        <v>238</v>
      </c>
      <c r="EW199" s="408">
        <v>0</v>
      </c>
      <c r="EX199" s="408">
        <v>0</v>
      </c>
      <c r="EY199" s="408">
        <v>0</v>
      </c>
      <c r="EZ199" s="408"/>
      <c r="FA199" s="408">
        <v>0</v>
      </c>
      <c r="FB199" s="408"/>
      <c r="FC199" s="408"/>
      <c r="FD199" s="408"/>
      <c r="FE199" s="408"/>
      <c r="FF199" s="408">
        <v>0</v>
      </c>
      <c r="FG199" s="408">
        <v>0</v>
      </c>
      <c r="FH199" s="408">
        <v>0</v>
      </c>
      <c r="FI199" s="408">
        <v>0</v>
      </c>
    </row>
    <row r="200" spans="1:165">
      <c r="A200" s="408">
        <v>204</v>
      </c>
      <c r="B200" s="408" t="s">
        <v>1036</v>
      </c>
      <c r="C200" s="408" t="s">
        <v>2243</v>
      </c>
      <c r="D200" s="408" t="s">
        <v>597</v>
      </c>
      <c r="E200" s="408" t="s">
        <v>974</v>
      </c>
      <c r="F200" s="408" t="s">
        <v>1322</v>
      </c>
      <c r="G200" s="408" t="s">
        <v>1322</v>
      </c>
      <c r="H200" s="408" t="s">
        <v>1322</v>
      </c>
      <c r="I200" s="408" t="s">
        <v>1322</v>
      </c>
      <c r="J200" s="408" t="s">
        <v>2236</v>
      </c>
      <c r="K200" s="824">
        <v>44470</v>
      </c>
      <c r="L200" s="408">
        <v>1823</v>
      </c>
      <c r="M200" s="408">
        <v>1750.08</v>
      </c>
      <c r="N200" s="408">
        <v>0</v>
      </c>
      <c r="O200" s="408">
        <v>0</v>
      </c>
      <c r="P200" s="408">
        <v>0</v>
      </c>
      <c r="Q200" s="408">
        <v>0</v>
      </c>
      <c r="R200" s="408">
        <v>44.35</v>
      </c>
      <c r="S200" s="408"/>
      <c r="T200" s="408"/>
      <c r="U200" s="408">
        <v>80850.05</v>
      </c>
      <c r="V200" s="408"/>
      <c r="W200" s="408">
        <v>80850.05</v>
      </c>
      <c r="X200" s="408">
        <v>52812.31</v>
      </c>
      <c r="Y200" s="408">
        <v>0</v>
      </c>
      <c r="Z200" s="408">
        <v>0</v>
      </c>
      <c r="AA200" s="408">
        <v>0</v>
      </c>
      <c r="AB200" s="408">
        <v>0</v>
      </c>
      <c r="AC200" s="408">
        <v>0</v>
      </c>
      <c r="AD200" s="408">
        <v>23921.522103379502</v>
      </c>
      <c r="AE200" s="408">
        <v>52352.633778914955</v>
      </c>
      <c r="AF200" s="408"/>
      <c r="AG200" s="408"/>
      <c r="AH200" s="408"/>
      <c r="AI200" s="408">
        <v>0</v>
      </c>
      <c r="AJ200" s="408">
        <v>0</v>
      </c>
      <c r="AK200" s="408">
        <v>0</v>
      </c>
      <c r="AL200" s="408">
        <v>0</v>
      </c>
      <c r="AM200" s="408"/>
      <c r="AN200" s="408">
        <v>0</v>
      </c>
      <c r="AO200" s="408">
        <v>1807.9068208979429</v>
      </c>
      <c r="AP200" s="408">
        <v>2766.0222101830573</v>
      </c>
      <c r="AQ200" s="408">
        <v>0</v>
      </c>
      <c r="AR200" s="408">
        <v>0</v>
      </c>
      <c r="AS200" s="408"/>
      <c r="AT200" s="408"/>
      <c r="AU200" s="408">
        <v>0</v>
      </c>
      <c r="AV200" s="408">
        <v>0</v>
      </c>
      <c r="AW200" s="408">
        <v>0</v>
      </c>
      <c r="AX200" s="408"/>
      <c r="AY200" s="408"/>
      <c r="AZ200" s="408">
        <v>0</v>
      </c>
      <c r="BA200" s="408"/>
      <c r="BB200" s="408">
        <v>0</v>
      </c>
      <c r="BC200" s="408">
        <v>0</v>
      </c>
      <c r="BD200" s="408">
        <v>0</v>
      </c>
      <c r="BE200" s="408">
        <v>0</v>
      </c>
      <c r="BF200" s="408"/>
      <c r="BG200" s="408">
        <v>0</v>
      </c>
      <c r="BH200" s="408">
        <v>0</v>
      </c>
      <c r="BI200" s="408">
        <v>641.74</v>
      </c>
      <c r="BJ200" s="408">
        <v>2919.19</v>
      </c>
      <c r="BK200" s="408">
        <v>111.31</v>
      </c>
      <c r="BL200" s="408">
        <v>15</v>
      </c>
      <c r="BM200" s="408"/>
      <c r="BN200" s="408"/>
      <c r="BO200" s="408"/>
      <c r="BP200" s="408"/>
      <c r="BQ200" s="408"/>
      <c r="BR200" s="408">
        <v>2112.4924000000019</v>
      </c>
      <c r="BS200" s="408"/>
      <c r="BT200" s="408"/>
      <c r="BU200" s="408"/>
      <c r="BV200" s="408">
        <v>0</v>
      </c>
      <c r="BW200" s="408"/>
      <c r="BX200" s="408"/>
      <c r="BY200" s="408"/>
      <c r="BZ200" s="408"/>
      <c r="CA200" s="408"/>
      <c r="CB200" s="408"/>
      <c r="CC200" s="408"/>
      <c r="CD200" s="408"/>
      <c r="CE200" s="408"/>
      <c r="CF200" s="408"/>
      <c r="CG200" s="408"/>
      <c r="CH200" s="408"/>
      <c r="CI200" s="408">
        <v>50699.817599999995</v>
      </c>
      <c r="CJ200" s="408">
        <v>-26916.260399999985</v>
      </c>
      <c r="CK200" s="408"/>
      <c r="CL200" s="408"/>
      <c r="CM200" s="408"/>
      <c r="CN200" s="408"/>
      <c r="CO200" s="408">
        <v>-28037.740000000005</v>
      </c>
      <c r="CP200" s="408">
        <v>0</v>
      </c>
      <c r="CQ200" s="408">
        <v>31</v>
      </c>
      <c r="CR200" s="408">
        <v>1336.4255475736027</v>
      </c>
      <c r="CS200" s="408">
        <v>218.2722614434856</v>
      </c>
      <c r="CT200" s="408">
        <v>333.94747784606852</v>
      </c>
      <c r="CU200" s="408">
        <v>0</v>
      </c>
      <c r="CV200" s="408">
        <v>0</v>
      </c>
      <c r="CW200" s="408"/>
      <c r="CX200" s="408"/>
      <c r="CY200" s="408"/>
      <c r="CZ200" s="408">
        <v>784.20580828405218</v>
      </c>
      <c r="DA200" s="408">
        <v>0</v>
      </c>
      <c r="DB200" s="408">
        <v>0</v>
      </c>
      <c r="DC200" s="408"/>
      <c r="DD200" s="408"/>
      <c r="DE200" s="408">
        <v>0</v>
      </c>
      <c r="DF200" s="408">
        <v>0</v>
      </c>
      <c r="DG200" s="408">
        <v>0</v>
      </c>
      <c r="DH200" s="408">
        <v>0</v>
      </c>
      <c r="DI200" s="408">
        <v>0</v>
      </c>
      <c r="DJ200" s="408"/>
      <c r="DK200" s="408">
        <v>0</v>
      </c>
      <c r="DL200" s="408">
        <v>0</v>
      </c>
      <c r="DM200" s="408"/>
      <c r="DN200" s="408">
        <v>0</v>
      </c>
      <c r="DO200" s="408">
        <v>0</v>
      </c>
      <c r="DP200" s="408">
        <v>0</v>
      </c>
      <c r="DQ200" s="408">
        <v>0</v>
      </c>
      <c r="DR200" s="408">
        <v>0</v>
      </c>
      <c r="DS200" s="408"/>
      <c r="DT200" s="408"/>
      <c r="DU200" s="408">
        <v>52352.633778914955</v>
      </c>
      <c r="DV200" s="408"/>
      <c r="DW200" s="408">
        <v>0</v>
      </c>
      <c r="DX200" s="408">
        <v>0</v>
      </c>
      <c r="DY200" s="408">
        <v>-28037.740000000005</v>
      </c>
      <c r="DZ200" s="408"/>
      <c r="EA200" s="408">
        <v>0</v>
      </c>
      <c r="EB200" s="408"/>
      <c r="EC200" s="408">
        <v>-29369.288275715728</v>
      </c>
      <c r="ED200" s="408"/>
      <c r="EE200" s="408">
        <v>0</v>
      </c>
      <c r="EF200" s="408">
        <v>0</v>
      </c>
      <c r="EG200" s="408"/>
      <c r="EH200" s="408">
        <v>0</v>
      </c>
      <c r="EI200" s="408">
        <v>0</v>
      </c>
      <c r="EJ200" s="408">
        <v>0</v>
      </c>
      <c r="EK200" s="408">
        <v>0</v>
      </c>
      <c r="EL200" s="408">
        <v>0</v>
      </c>
      <c r="EM200" s="408"/>
      <c r="EN200" s="408"/>
      <c r="EO200" s="408">
        <v>0</v>
      </c>
      <c r="EP200" s="408">
        <v>0</v>
      </c>
      <c r="EQ200" s="408"/>
      <c r="ER200" s="408">
        <v>0</v>
      </c>
      <c r="ES200" s="408"/>
      <c r="ET200" s="408">
        <v>0</v>
      </c>
      <c r="EU200" s="408"/>
      <c r="EV200" s="408">
        <v>238</v>
      </c>
      <c r="EW200" s="408"/>
      <c r="EX200" s="408"/>
      <c r="EY200" s="408"/>
      <c r="EZ200" s="408"/>
      <c r="FA200" s="408">
        <v>0</v>
      </c>
      <c r="FB200" s="408"/>
      <c r="FC200" s="408"/>
      <c r="FD200" s="408"/>
      <c r="FE200" s="408"/>
      <c r="FF200" s="408">
        <v>0</v>
      </c>
      <c r="FG200" s="408">
        <v>0</v>
      </c>
      <c r="FH200" s="408">
        <v>0</v>
      </c>
      <c r="FI200" s="408">
        <v>0</v>
      </c>
    </row>
    <row r="201" spans="1:165">
      <c r="A201" s="408">
        <v>205</v>
      </c>
      <c r="B201" s="408" t="s">
        <v>2237</v>
      </c>
      <c r="C201" s="408" t="s">
        <v>2243</v>
      </c>
      <c r="D201" s="408" t="s">
        <v>597</v>
      </c>
      <c r="E201" s="408" t="s">
        <v>974</v>
      </c>
      <c r="F201" s="408" t="s">
        <v>1322</v>
      </c>
      <c r="G201" s="408" t="s">
        <v>1322</v>
      </c>
      <c r="H201" s="408" t="s">
        <v>1322</v>
      </c>
      <c r="I201" s="408" t="s">
        <v>1322</v>
      </c>
      <c r="J201" s="408" t="s">
        <v>2236</v>
      </c>
      <c r="K201" s="824">
        <v>44470</v>
      </c>
      <c r="L201" s="408">
        <v>0</v>
      </c>
      <c r="M201" s="408">
        <v>0</v>
      </c>
      <c r="N201" s="408">
        <v>0</v>
      </c>
      <c r="O201" s="408">
        <v>0</v>
      </c>
      <c r="P201" s="408">
        <v>0</v>
      </c>
      <c r="Q201" s="408">
        <v>0</v>
      </c>
      <c r="R201" s="408"/>
      <c r="S201" s="408"/>
      <c r="T201" s="408"/>
      <c r="U201" s="408"/>
      <c r="V201" s="408"/>
      <c r="W201" s="408"/>
      <c r="X201" s="408"/>
      <c r="Y201" s="408"/>
      <c r="Z201" s="408"/>
      <c r="AA201" s="408">
        <v>0</v>
      </c>
      <c r="AB201" s="408"/>
      <c r="AC201" s="408"/>
      <c r="AD201" s="408"/>
      <c r="AE201" s="408"/>
      <c r="AF201" s="408"/>
      <c r="AG201" s="408"/>
      <c r="AH201" s="408"/>
      <c r="AI201" s="408"/>
      <c r="AJ201" s="408"/>
      <c r="AK201" s="408"/>
      <c r="AL201" s="408"/>
      <c r="AM201" s="408"/>
      <c r="AN201" s="408"/>
      <c r="AO201" s="408"/>
      <c r="AP201" s="408"/>
      <c r="AQ201" s="408"/>
      <c r="AR201" s="408"/>
      <c r="AS201" s="408"/>
      <c r="AT201" s="408"/>
      <c r="AU201" s="408"/>
      <c r="AV201" s="408"/>
      <c r="AW201" s="408"/>
      <c r="AX201" s="408"/>
      <c r="AY201" s="408"/>
      <c r="AZ201" s="408">
        <v>0</v>
      </c>
      <c r="BA201" s="408"/>
      <c r="BB201" s="408"/>
      <c r="BC201" s="408"/>
      <c r="BD201" s="408"/>
      <c r="BE201" s="408"/>
      <c r="BF201" s="408"/>
      <c r="BG201" s="408"/>
      <c r="BH201" s="408"/>
      <c r="BI201" s="408">
        <v>-0.71</v>
      </c>
      <c r="BJ201" s="408">
        <v>-3.45</v>
      </c>
      <c r="BK201" s="408">
        <v>8.15</v>
      </c>
      <c r="BL201" s="408">
        <v>0</v>
      </c>
      <c r="BM201" s="408"/>
      <c r="BN201" s="408"/>
      <c r="BO201" s="408"/>
      <c r="BP201" s="408"/>
      <c r="BQ201" s="408"/>
      <c r="BR201" s="408"/>
      <c r="BS201" s="408"/>
      <c r="BT201" s="408"/>
      <c r="BU201" s="408"/>
      <c r="BV201" s="408"/>
      <c r="BW201" s="408"/>
      <c r="BX201" s="408"/>
      <c r="BY201" s="408"/>
      <c r="BZ201" s="408"/>
      <c r="CA201" s="408"/>
      <c r="CB201" s="408"/>
      <c r="CC201" s="408"/>
      <c r="CD201" s="408"/>
      <c r="CE201" s="408"/>
      <c r="CF201" s="408"/>
      <c r="CG201" s="408"/>
      <c r="CH201" s="408"/>
      <c r="CI201" s="408"/>
      <c r="CJ201" s="408">
        <v>-0.03</v>
      </c>
      <c r="CK201" s="408"/>
      <c r="CL201" s="408"/>
      <c r="CM201" s="408"/>
      <c r="CN201" s="408"/>
      <c r="CO201" s="408">
        <v>0</v>
      </c>
      <c r="CP201" s="408">
        <v>0</v>
      </c>
      <c r="CQ201" s="408">
        <v>31</v>
      </c>
      <c r="CR201" s="408"/>
      <c r="CS201" s="408"/>
      <c r="CT201" s="408"/>
      <c r="CU201" s="408"/>
      <c r="CV201" s="408"/>
      <c r="CW201" s="408"/>
      <c r="CX201" s="408"/>
      <c r="CY201" s="408"/>
      <c r="CZ201" s="408"/>
      <c r="DA201" s="408"/>
      <c r="DB201" s="408"/>
      <c r="DC201" s="408"/>
      <c r="DD201" s="408"/>
      <c r="DE201" s="408"/>
      <c r="DF201" s="408"/>
      <c r="DG201" s="408"/>
      <c r="DH201" s="408"/>
      <c r="DI201" s="408"/>
      <c r="DJ201" s="408"/>
      <c r="DK201" s="408">
        <v>0</v>
      </c>
      <c r="DL201" s="408"/>
      <c r="DM201" s="408"/>
      <c r="DN201" s="408"/>
      <c r="DO201" s="408"/>
      <c r="DP201" s="408"/>
      <c r="DQ201" s="408"/>
      <c r="DR201" s="408"/>
      <c r="DS201" s="408"/>
      <c r="DT201" s="408"/>
      <c r="DU201" s="408"/>
      <c r="DV201" s="408"/>
      <c r="DW201" s="408"/>
      <c r="DX201" s="408"/>
      <c r="DY201" s="408"/>
      <c r="DZ201" s="408"/>
      <c r="EA201" s="408"/>
      <c r="EB201" s="408"/>
      <c r="EC201" s="408"/>
      <c r="ED201" s="408"/>
      <c r="EE201" s="408"/>
      <c r="EF201" s="408"/>
      <c r="EG201" s="408"/>
      <c r="EH201" s="408"/>
      <c r="EI201" s="408"/>
      <c r="EJ201" s="408"/>
      <c r="EK201" s="408"/>
      <c r="EL201" s="408"/>
      <c r="EM201" s="408"/>
      <c r="EN201" s="408"/>
      <c r="EO201" s="408"/>
      <c r="EP201" s="408"/>
      <c r="EQ201" s="408"/>
      <c r="ER201" s="408"/>
      <c r="ES201" s="408"/>
      <c r="ET201" s="408"/>
      <c r="EU201" s="408"/>
      <c r="EV201" s="408">
        <v>238</v>
      </c>
      <c r="EW201" s="408"/>
      <c r="EX201" s="408"/>
      <c r="EY201" s="408"/>
      <c r="EZ201" s="408"/>
      <c r="FA201" s="408">
        <v>0</v>
      </c>
      <c r="FB201" s="408"/>
      <c r="FC201" s="408"/>
      <c r="FD201" s="408"/>
      <c r="FE201" s="408"/>
      <c r="FF201" s="408">
        <v>0</v>
      </c>
      <c r="FG201" s="408">
        <v>0</v>
      </c>
      <c r="FH201" s="408">
        <v>0</v>
      </c>
      <c r="FI201" s="408">
        <v>0</v>
      </c>
    </row>
    <row r="202" spans="1:165">
      <c r="A202" s="408">
        <v>206</v>
      </c>
      <c r="B202" s="408" t="s">
        <v>2238</v>
      </c>
      <c r="C202" s="408" t="s">
        <v>2243</v>
      </c>
      <c r="D202" s="408" t="s">
        <v>597</v>
      </c>
      <c r="E202" s="408" t="s">
        <v>974</v>
      </c>
      <c r="F202" s="408" t="s">
        <v>1322</v>
      </c>
      <c r="G202" s="408" t="s">
        <v>1322</v>
      </c>
      <c r="H202" s="408" t="s">
        <v>1322</v>
      </c>
      <c r="I202" s="408" t="s">
        <v>1322</v>
      </c>
      <c r="J202" s="408" t="s">
        <v>2236</v>
      </c>
      <c r="K202" s="824">
        <v>44470</v>
      </c>
      <c r="L202" s="408">
        <v>811</v>
      </c>
      <c r="M202" s="408">
        <v>778.56</v>
      </c>
      <c r="N202" s="408">
        <v>0</v>
      </c>
      <c r="O202" s="408">
        <v>0</v>
      </c>
      <c r="P202" s="408">
        <v>0</v>
      </c>
      <c r="Q202" s="408">
        <v>0</v>
      </c>
      <c r="R202" s="408">
        <v>44.35</v>
      </c>
      <c r="S202" s="408"/>
      <c r="T202" s="408"/>
      <c r="U202" s="408">
        <v>35967.85</v>
      </c>
      <c r="V202" s="408"/>
      <c r="W202" s="408">
        <v>35967.85</v>
      </c>
      <c r="X202" s="408">
        <v>23494.67</v>
      </c>
      <c r="Y202" s="408">
        <v>0</v>
      </c>
      <c r="Z202" s="408">
        <v>0</v>
      </c>
      <c r="AA202" s="408">
        <v>0</v>
      </c>
      <c r="AB202" s="408">
        <v>0</v>
      </c>
      <c r="AC202" s="408">
        <v>0</v>
      </c>
      <c r="AD202" s="408">
        <v>10641.993651037177</v>
      </c>
      <c r="AE202" s="408">
        <v>23290.173337740005</v>
      </c>
      <c r="AF202" s="408"/>
      <c r="AG202" s="408"/>
      <c r="AH202" s="408"/>
      <c r="AI202" s="408">
        <v>0</v>
      </c>
      <c r="AJ202" s="408">
        <v>0</v>
      </c>
      <c r="AK202" s="408">
        <v>0</v>
      </c>
      <c r="AL202" s="408">
        <v>0</v>
      </c>
      <c r="AM202" s="408"/>
      <c r="AN202" s="408">
        <v>0</v>
      </c>
      <c r="AO202" s="408">
        <v>804.28548093704421</v>
      </c>
      <c r="AP202" s="408">
        <v>1230.5233200540097</v>
      </c>
      <c r="AQ202" s="408">
        <v>0</v>
      </c>
      <c r="AR202" s="408">
        <v>0</v>
      </c>
      <c r="AS202" s="408"/>
      <c r="AT202" s="408"/>
      <c r="AU202" s="408">
        <v>0</v>
      </c>
      <c r="AV202" s="408">
        <v>0</v>
      </c>
      <c r="AW202" s="408">
        <v>0</v>
      </c>
      <c r="AX202" s="408"/>
      <c r="AY202" s="408"/>
      <c r="AZ202" s="408">
        <v>0</v>
      </c>
      <c r="BA202" s="408"/>
      <c r="BB202" s="408">
        <v>0</v>
      </c>
      <c r="BC202" s="408">
        <v>0</v>
      </c>
      <c r="BD202" s="408">
        <v>0</v>
      </c>
      <c r="BE202" s="408">
        <v>0</v>
      </c>
      <c r="BF202" s="408"/>
      <c r="BG202" s="408">
        <v>0</v>
      </c>
      <c r="BH202" s="408">
        <v>0</v>
      </c>
      <c r="BI202" s="408">
        <v>114.03</v>
      </c>
      <c r="BJ202" s="408">
        <v>518.83000000000004</v>
      </c>
      <c r="BK202" s="408">
        <v>38.69</v>
      </c>
      <c r="BL202" s="408">
        <v>8</v>
      </c>
      <c r="BM202" s="408"/>
      <c r="BN202" s="408"/>
      <c r="BO202" s="408"/>
      <c r="BP202" s="408"/>
      <c r="BQ202" s="408"/>
      <c r="BR202" s="408">
        <v>939.78680000000156</v>
      </c>
      <c r="BS202" s="408"/>
      <c r="BT202" s="408"/>
      <c r="BU202" s="408"/>
      <c r="BV202" s="408">
        <v>0</v>
      </c>
      <c r="BW202" s="408"/>
      <c r="BX202" s="408"/>
      <c r="BY202" s="408"/>
      <c r="BZ202" s="408"/>
      <c r="CA202" s="408"/>
      <c r="CB202" s="408"/>
      <c r="CC202" s="408"/>
      <c r="CD202" s="408"/>
      <c r="CE202" s="408"/>
      <c r="CF202" s="408"/>
      <c r="CG202" s="408"/>
      <c r="CH202" s="408"/>
      <c r="CI202" s="408">
        <v>22554.883199999997</v>
      </c>
      <c r="CJ202" s="408">
        <v>-11974.282800000008</v>
      </c>
      <c r="CK202" s="408"/>
      <c r="CL202" s="408"/>
      <c r="CM202" s="408"/>
      <c r="CN202" s="408"/>
      <c r="CO202" s="408">
        <v>-12473.180000000002</v>
      </c>
      <c r="CP202" s="408">
        <v>0</v>
      </c>
      <c r="CQ202" s="408">
        <v>31</v>
      </c>
      <c r="CR202" s="408">
        <v>594.53709220087694</v>
      </c>
      <c r="CS202" s="408">
        <v>97.103019215944528</v>
      </c>
      <c r="CT202" s="408">
        <v>148.56357900886519</v>
      </c>
      <c r="CU202" s="408">
        <v>0</v>
      </c>
      <c r="CV202" s="408">
        <v>0</v>
      </c>
      <c r="CW202" s="408"/>
      <c r="CX202" s="408"/>
      <c r="CY202" s="408"/>
      <c r="CZ202" s="408">
        <v>348.87049397606643</v>
      </c>
      <c r="DA202" s="408">
        <v>0</v>
      </c>
      <c r="DB202" s="408">
        <v>0</v>
      </c>
      <c r="DC202" s="408"/>
      <c r="DD202" s="408"/>
      <c r="DE202" s="408">
        <v>0</v>
      </c>
      <c r="DF202" s="408">
        <v>0</v>
      </c>
      <c r="DG202" s="408">
        <v>0</v>
      </c>
      <c r="DH202" s="408">
        <v>0</v>
      </c>
      <c r="DI202" s="408">
        <v>0</v>
      </c>
      <c r="DJ202" s="408"/>
      <c r="DK202" s="408">
        <v>0</v>
      </c>
      <c r="DL202" s="408">
        <v>0</v>
      </c>
      <c r="DM202" s="408"/>
      <c r="DN202" s="408">
        <v>0</v>
      </c>
      <c r="DO202" s="408">
        <v>0</v>
      </c>
      <c r="DP202" s="408">
        <v>0</v>
      </c>
      <c r="DQ202" s="408">
        <v>0</v>
      </c>
      <c r="DR202" s="408">
        <v>0</v>
      </c>
      <c r="DS202" s="408"/>
      <c r="DT202" s="408"/>
      <c r="DU202" s="408">
        <v>23290.173337740005</v>
      </c>
      <c r="DV202" s="408"/>
      <c r="DW202" s="408">
        <v>0</v>
      </c>
      <c r="DX202" s="408">
        <v>0</v>
      </c>
      <c r="DY202" s="408">
        <v>-12473.18</v>
      </c>
      <c r="DZ202" s="408"/>
      <c r="EA202" s="408">
        <v>0</v>
      </c>
      <c r="EB202" s="408"/>
      <c r="EC202" s="408">
        <v>-13065.547334945395</v>
      </c>
      <c r="ED202" s="408"/>
      <c r="EE202" s="408">
        <v>0</v>
      </c>
      <c r="EF202" s="408">
        <v>0</v>
      </c>
      <c r="EG202" s="408"/>
      <c r="EH202" s="408">
        <v>0</v>
      </c>
      <c r="EI202" s="408">
        <v>0</v>
      </c>
      <c r="EJ202" s="408">
        <v>0</v>
      </c>
      <c r="EK202" s="408">
        <v>0</v>
      </c>
      <c r="EL202" s="408">
        <v>0</v>
      </c>
      <c r="EM202" s="408"/>
      <c r="EN202" s="408"/>
      <c r="EO202" s="408">
        <v>0</v>
      </c>
      <c r="EP202" s="408">
        <v>0</v>
      </c>
      <c r="EQ202" s="408"/>
      <c r="ER202" s="408">
        <v>0</v>
      </c>
      <c r="ES202" s="408"/>
      <c r="ET202" s="408">
        <v>0</v>
      </c>
      <c r="EU202" s="408"/>
      <c r="EV202" s="408">
        <v>238</v>
      </c>
      <c r="EW202" s="408"/>
      <c r="EX202" s="408"/>
      <c r="EY202" s="408"/>
      <c r="EZ202" s="408"/>
      <c r="FA202" s="408">
        <v>0</v>
      </c>
      <c r="FB202" s="408"/>
      <c r="FC202" s="408"/>
      <c r="FD202" s="408"/>
      <c r="FE202" s="408"/>
      <c r="FF202" s="408">
        <v>0</v>
      </c>
      <c r="FG202" s="408">
        <v>0</v>
      </c>
      <c r="FH202" s="408">
        <v>0</v>
      </c>
      <c r="FI202" s="408">
        <v>0</v>
      </c>
    </row>
    <row r="203" spans="1:165">
      <c r="A203" s="408">
        <v>207</v>
      </c>
      <c r="B203" s="408" t="s">
        <v>1036</v>
      </c>
      <c r="C203" s="408" t="s">
        <v>2235</v>
      </c>
      <c r="D203" s="408" t="s">
        <v>1958</v>
      </c>
      <c r="E203" s="408" t="s">
        <v>2246</v>
      </c>
      <c r="F203" s="408" t="s">
        <v>1322</v>
      </c>
      <c r="G203" s="408" t="s">
        <v>1322</v>
      </c>
      <c r="H203" s="408" t="s">
        <v>1322</v>
      </c>
      <c r="I203" s="408" t="s">
        <v>1322</v>
      </c>
      <c r="J203" s="408" t="s">
        <v>2236</v>
      </c>
      <c r="K203" s="824">
        <v>44470</v>
      </c>
      <c r="L203" s="408">
        <v>0</v>
      </c>
      <c r="M203" s="408">
        <v>0</v>
      </c>
      <c r="N203" s="408">
        <v>230.042</v>
      </c>
      <c r="O203" s="408">
        <v>230.042</v>
      </c>
      <c r="P203" s="408">
        <v>230.042</v>
      </c>
      <c r="Q203" s="408">
        <v>230.042</v>
      </c>
      <c r="R203" s="408"/>
      <c r="S203" s="408">
        <v>581.32000000000005</v>
      </c>
      <c r="T203" s="408">
        <v>209.4</v>
      </c>
      <c r="U203" s="408"/>
      <c r="V203" s="408">
        <v>181898.81024000002</v>
      </c>
      <c r="W203" s="408">
        <v>181898.81024000002</v>
      </c>
      <c r="X203" s="408">
        <v>138961.47093999997</v>
      </c>
      <c r="Y203" s="408">
        <v>0</v>
      </c>
      <c r="Z203" s="408">
        <v>14156.303311749776</v>
      </c>
      <c r="AA203" s="408">
        <v>0</v>
      </c>
      <c r="AB203" s="408">
        <v>0</v>
      </c>
      <c r="AC203" s="408">
        <v>0</v>
      </c>
      <c r="AD203" s="408">
        <v>17067.079331118759</v>
      </c>
      <c r="AE203" s="408">
        <v>88659.408757753597</v>
      </c>
      <c r="AF203" s="408">
        <v>47538.350863258973</v>
      </c>
      <c r="AG203" s="408">
        <v>633.29756629172209</v>
      </c>
      <c r="AH203" s="408">
        <v>0</v>
      </c>
      <c r="AI203" s="408">
        <v>0</v>
      </c>
      <c r="AJ203" s="408">
        <v>0</v>
      </c>
      <c r="AK203" s="408">
        <v>0</v>
      </c>
      <c r="AL203" s="408">
        <v>2187.6077816477577</v>
      </c>
      <c r="AM203" s="408"/>
      <c r="AN203" s="408">
        <v>419.35835714190489</v>
      </c>
      <c r="AO203" s="408">
        <v>1311.1199564563985</v>
      </c>
      <c r="AP203" s="408">
        <v>1974.9542711927395</v>
      </c>
      <c r="AQ203" s="408">
        <v>0</v>
      </c>
      <c r="AR203" s="408">
        <v>0</v>
      </c>
      <c r="AS203" s="408">
        <v>0</v>
      </c>
      <c r="AT203" s="408">
        <v>0</v>
      </c>
      <c r="AU203" s="408">
        <v>0</v>
      </c>
      <c r="AV203" s="408">
        <v>0</v>
      </c>
      <c r="AW203" s="408">
        <v>0</v>
      </c>
      <c r="AX203" s="408">
        <v>0</v>
      </c>
      <c r="AY203" s="408">
        <v>0</v>
      </c>
      <c r="AZ203" s="408">
        <v>0</v>
      </c>
      <c r="BA203" s="408"/>
      <c r="BB203" s="408">
        <v>0</v>
      </c>
      <c r="BC203" s="408">
        <v>0</v>
      </c>
      <c r="BD203" s="408">
        <v>0</v>
      </c>
      <c r="BE203" s="408">
        <v>0</v>
      </c>
      <c r="BF203" s="408">
        <v>0</v>
      </c>
      <c r="BG203" s="408">
        <v>7953.0772311161591</v>
      </c>
      <c r="BH203" s="408">
        <v>0</v>
      </c>
      <c r="BI203" s="408">
        <v>750.14</v>
      </c>
      <c r="BJ203" s="408">
        <v>3421.76</v>
      </c>
      <c r="BK203" s="408">
        <v>66890.039999999994</v>
      </c>
      <c r="BL203" s="408">
        <v>478</v>
      </c>
      <c r="BM203" s="408"/>
      <c r="BN203" s="408"/>
      <c r="BO203" s="408"/>
      <c r="BP203" s="408"/>
      <c r="BQ203" s="408"/>
      <c r="BR203" s="408"/>
      <c r="BS203" s="408"/>
      <c r="BT203" s="408"/>
      <c r="BU203" s="408"/>
      <c r="BV203" s="408">
        <v>55491.428094375129</v>
      </c>
      <c r="BW203" s="408"/>
      <c r="BX203" s="408"/>
      <c r="BY203" s="408"/>
      <c r="BZ203" s="408"/>
      <c r="CA203" s="408"/>
      <c r="CB203" s="408"/>
      <c r="CC203" s="408"/>
      <c r="CD203" s="408"/>
      <c r="CE203" s="408"/>
      <c r="CF203" s="408"/>
      <c r="CG203" s="408"/>
      <c r="CH203" s="408"/>
      <c r="CI203" s="408">
        <v>138960.26279999997</v>
      </c>
      <c r="CJ203" s="408">
        <v>-42938.577440000081</v>
      </c>
      <c r="CK203" s="408"/>
      <c r="CL203" s="408"/>
      <c r="CM203" s="408"/>
      <c r="CN203" s="408"/>
      <c r="CO203" s="408">
        <v>-48189.198160000014</v>
      </c>
      <c r="CP203" s="408">
        <v>5251.8588599999966</v>
      </c>
      <c r="CQ203" s="408">
        <v>31</v>
      </c>
      <c r="CR203" s="408">
        <v>6796.3311056626553</v>
      </c>
      <c r="CS203" s="408">
        <v>158.29417457327145</v>
      </c>
      <c r="CT203" s="408">
        <v>238.44023930757953</v>
      </c>
      <c r="CU203" s="408">
        <v>0</v>
      </c>
      <c r="CV203" s="408">
        <v>0</v>
      </c>
      <c r="CW203" s="408">
        <v>0</v>
      </c>
      <c r="CX203" s="408">
        <v>0</v>
      </c>
      <c r="CY203" s="408">
        <v>0</v>
      </c>
      <c r="CZ203" s="408">
        <v>559.500465065139</v>
      </c>
      <c r="DA203" s="408">
        <v>0</v>
      </c>
      <c r="DB203" s="408">
        <v>0</v>
      </c>
      <c r="DC203" s="408">
        <v>5250.2679185961024</v>
      </c>
      <c r="DD203" s="408">
        <v>0</v>
      </c>
      <c r="DE203" s="408">
        <v>0</v>
      </c>
      <c r="DF203" s="408">
        <v>0</v>
      </c>
      <c r="DG203" s="408">
        <v>878.36000791766037</v>
      </c>
      <c r="DH203" s="408">
        <v>0</v>
      </c>
      <c r="DI203" s="408">
        <v>-246.77441821929278</v>
      </c>
      <c r="DJ203" s="408"/>
      <c r="DK203" s="408">
        <v>0</v>
      </c>
      <c r="DL203" s="408">
        <v>0</v>
      </c>
      <c r="DM203" s="408">
        <v>0</v>
      </c>
      <c r="DN203" s="408">
        <v>0</v>
      </c>
      <c r="DO203" s="408">
        <v>-32.061518529337718</v>
      </c>
      <c r="DP203" s="408">
        <v>-9.6957630484758397</v>
      </c>
      <c r="DQ203" s="408">
        <v>0</v>
      </c>
      <c r="DR203" s="408">
        <v>0</v>
      </c>
      <c r="DS203" s="408"/>
      <c r="DT203" s="408"/>
      <c r="DU203" s="408"/>
      <c r="DV203" s="408">
        <v>88659.408757753597</v>
      </c>
      <c r="DW203" s="408">
        <v>0</v>
      </c>
      <c r="DX203" s="408">
        <v>0</v>
      </c>
      <c r="DY203" s="408">
        <v>-48189.198160000029</v>
      </c>
      <c r="DZ203" s="408">
        <v>5251.858859999993</v>
      </c>
      <c r="EA203" s="408">
        <v>0</v>
      </c>
      <c r="EB203" s="408">
        <v>0</v>
      </c>
      <c r="EC203" s="408">
        <v>-49737.015049846195</v>
      </c>
      <c r="ED203" s="408">
        <v>0</v>
      </c>
      <c r="EE203" s="408">
        <v>0</v>
      </c>
      <c r="EF203" s="408">
        <v>0</v>
      </c>
      <c r="EG203" s="408">
        <v>0</v>
      </c>
      <c r="EH203" s="408">
        <v>0</v>
      </c>
      <c r="EI203" s="408">
        <v>0</v>
      </c>
      <c r="EJ203" s="408">
        <v>0</v>
      </c>
      <c r="EK203" s="408">
        <v>0</v>
      </c>
      <c r="EL203" s="408">
        <v>0</v>
      </c>
      <c r="EM203" s="408">
        <v>0</v>
      </c>
      <c r="EN203" s="408">
        <v>0</v>
      </c>
      <c r="EO203" s="408">
        <v>0</v>
      </c>
      <c r="EP203" s="408">
        <v>0</v>
      </c>
      <c r="EQ203" s="408">
        <v>0</v>
      </c>
      <c r="ER203" s="408">
        <v>0</v>
      </c>
      <c r="ES203" s="408">
        <v>0</v>
      </c>
      <c r="ET203" s="408">
        <v>0</v>
      </c>
      <c r="EU203" s="408">
        <v>0</v>
      </c>
      <c r="EV203" s="408">
        <v>238</v>
      </c>
      <c r="EW203" s="408">
        <v>0</v>
      </c>
      <c r="EX203" s="408">
        <v>0</v>
      </c>
      <c r="EY203" s="408">
        <v>0</v>
      </c>
      <c r="EZ203" s="408"/>
      <c r="FA203" s="408">
        <v>0</v>
      </c>
      <c r="FB203" s="408"/>
      <c r="FC203" s="408"/>
      <c r="FD203" s="408"/>
      <c r="FE203" s="408"/>
      <c r="FF203" s="408">
        <v>0</v>
      </c>
      <c r="FG203" s="408">
        <v>0</v>
      </c>
      <c r="FH203" s="408">
        <v>0</v>
      </c>
      <c r="FI203" s="408">
        <v>0</v>
      </c>
    </row>
    <row r="204" spans="1:165">
      <c r="A204" s="408">
        <v>208</v>
      </c>
      <c r="B204" s="408" t="s">
        <v>2238</v>
      </c>
      <c r="C204" s="408" t="s">
        <v>2235</v>
      </c>
      <c r="D204" s="408" t="s">
        <v>1958</v>
      </c>
      <c r="E204" s="408" t="s">
        <v>2246</v>
      </c>
      <c r="F204" s="408" t="s">
        <v>1322</v>
      </c>
      <c r="G204" s="408" t="s">
        <v>1322</v>
      </c>
      <c r="H204" s="408" t="s">
        <v>1322</v>
      </c>
      <c r="I204" s="408" t="s">
        <v>1322</v>
      </c>
      <c r="J204" s="408" t="s">
        <v>2236</v>
      </c>
      <c r="K204" s="824">
        <v>44470</v>
      </c>
      <c r="L204" s="408">
        <v>0</v>
      </c>
      <c r="M204" s="408">
        <v>0</v>
      </c>
      <c r="N204" s="408">
        <v>3.6070000000000002</v>
      </c>
      <c r="O204" s="408">
        <v>3.6070000000000002</v>
      </c>
      <c r="P204" s="408">
        <v>3.6070000000000002</v>
      </c>
      <c r="Q204" s="408">
        <v>3.6070000000000002</v>
      </c>
      <c r="R204" s="408"/>
      <c r="S204" s="408">
        <v>581.32000000000005</v>
      </c>
      <c r="T204" s="408">
        <v>209.4</v>
      </c>
      <c r="U204" s="408"/>
      <c r="V204" s="408">
        <v>2852.1270400000003</v>
      </c>
      <c r="W204" s="408">
        <v>2852.1270400000003</v>
      </c>
      <c r="X204" s="408">
        <v>2178.88049</v>
      </c>
      <c r="Y204" s="408">
        <v>0</v>
      </c>
      <c r="Z204" s="408">
        <v>221.96723226837466</v>
      </c>
      <c r="AA204" s="408">
        <v>0</v>
      </c>
      <c r="AB204" s="408">
        <v>0</v>
      </c>
      <c r="AC204" s="408">
        <v>0</v>
      </c>
      <c r="AD204" s="408">
        <v>267.60745927850292</v>
      </c>
      <c r="AE204" s="408">
        <v>1390.1569599865122</v>
      </c>
      <c r="AF204" s="408">
        <v>745.3892400682272</v>
      </c>
      <c r="AG204" s="408">
        <v>9.9299446258259003</v>
      </c>
      <c r="AH204" s="408">
        <v>0</v>
      </c>
      <c r="AI204" s="408">
        <v>0</v>
      </c>
      <c r="AJ204" s="408">
        <v>0</v>
      </c>
      <c r="AK204" s="408">
        <v>0</v>
      </c>
      <c r="AL204" s="408">
        <v>34.301133133964505</v>
      </c>
      <c r="AM204" s="408"/>
      <c r="AN204" s="408">
        <v>6.5754322871947339</v>
      </c>
      <c r="AO204" s="408">
        <v>20.558027155642144</v>
      </c>
      <c r="AP204" s="408">
        <v>30.966780223577484</v>
      </c>
      <c r="AQ204" s="408">
        <v>0</v>
      </c>
      <c r="AR204" s="408">
        <v>0</v>
      </c>
      <c r="AS204" s="408">
        <v>0</v>
      </c>
      <c r="AT204" s="408">
        <v>0</v>
      </c>
      <c r="AU204" s="408">
        <v>0</v>
      </c>
      <c r="AV204" s="408">
        <v>0</v>
      </c>
      <c r="AW204" s="408">
        <v>0</v>
      </c>
      <c r="AX204" s="408">
        <v>0</v>
      </c>
      <c r="AY204" s="408">
        <v>0</v>
      </c>
      <c r="AZ204" s="408">
        <v>0</v>
      </c>
      <c r="BA204" s="408"/>
      <c r="BB204" s="408">
        <v>0</v>
      </c>
      <c r="BC204" s="408">
        <v>0</v>
      </c>
      <c r="BD204" s="408">
        <v>0</v>
      </c>
      <c r="BE204" s="408">
        <v>0</v>
      </c>
      <c r="BF204" s="408">
        <v>0</v>
      </c>
      <c r="BG204" s="408">
        <v>124.70222643098212</v>
      </c>
      <c r="BH204" s="408">
        <v>0</v>
      </c>
      <c r="BI204" s="408">
        <v>9.93</v>
      </c>
      <c r="BJ204" s="408">
        <v>45.19</v>
      </c>
      <c r="BK204" s="408">
        <v>729.19</v>
      </c>
      <c r="BL204" s="408">
        <v>2</v>
      </c>
      <c r="BM204" s="408"/>
      <c r="BN204" s="408"/>
      <c r="BO204" s="408"/>
      <c r="BP204" s="408"/>
      <c r="BQ204" s="408"/>
      <c r="BR204" s="408"/>
      <c r="BS204" s="408"/>
      <c r="BT204" s="408"/>
      <c r="BU204" s="408"/>
      <c r="BV204" s="408">
        <v>870.09146649920933</v>
      </c>
      <c r="BW204" s="408"/>
      <c r="BX204" s="408"/>
      <c r="BY204" s="408"/>
      <c r="BZ204" s="408"/>
      <c r="CA204" s="408"/>
      <c r="CB204" s="408"/>
      <c r="CC204" s="408"/>
      <c r="CD204" s="408"/>
      <c r="CE204" s="408"/>
      <c r="CF204" s="408"/>
      <c r="CG204" s="408"/>
      <c r="CH204" s="408"/>
      <c r="CI204" s="408">
        <v>2180.6926999999996</v>
      </c>
      <c r="CJ204" s="408">
        <v>-671.46434000000136</v>
      </c>
      <c r="CK204" s="408"/>
      <c r="CL204" s="408"/>
      <c r="CM204" s="408"/>
      <c r="CN204" s="408"/>
      <c r="CO204" s="408">
        <v>-755.59436000000028</v>
      </c>
      <c r="CP204" s="408">
        <v>82.347809999999953</v>
      </c>
      <c r="CQ204" s="408">
        <v>31</v>
      </c>
      <c r="CR204" s="408">
        <v>106.56474164772203</v>
      </c>
      <c r="CS204" s="408">
        <v>2.4820123615939274</v>
      </c>
      <c r="CT204" s="408">
        <v>3.7386822544684897</v>
      </c>
      <c r="CU204" s="408">
        <v>0</v>
      </c>
      <c r="CV204" s="408">
        <v>0</v>
      </c>
      <c r="CW204" s="408">
        <v>0</v>
      </c>
      <c r="CX204" s="408">
        <v>0</v>
      </c>
      <c r="CY204" s="408">
        <v>0</v>
      </c>
      <c r="CZ204" s="408">
        <v>8.7728248645462372</v>
      </c>
      <c r="DA204" s="408">
        <v>0</v>
      </c>
      <c r="DB204" s="408">
        <v>0</v>
      </c>
      <c r="DC204" s="408">
        <v>82.322864443780531</v>
      </c>
      <c r="DD204" s="408">
        <v>0</v>
      </c>
      <c r="DE204" s="408">
        <v>0</v>
      </c>
      <c r="DF204" s="408">
        <v>0</v>
      </c>
      <c r="DG204" s="408">
        <v>13.7724613268838</v>
      </c>
      <c r="DH204" s="408">
        <v>0</v>
      </c>
      <c r="DI204" s="408">
        <v>-3.869360058237163</v>
      </c>
      <c r="DJ204" s="408"/>
      <c r="DK204" s="408">
        <v>0</v>
      </c>
      <c r="DL204" s="408">
        <v>0</v>
      </c>
      <c r="DM204" s="408">
        <v>0</v>
      </c>
      <c r="DN204" s="408">
        <v>0</v>
      </c>
      <c r="DO204" s="408">
        <v>-0.50271644888898948</v>
      </c>
      <c r="DP204" s="408">
        <v>-0.15202709642522816</v>
      </c>
      <c r="DQ204" s="408">
        <v>0</v>
      </c>
      <c r="DR204" s="408">
        <v>0</v>
      </c>
      <c r="DS204" s="408"/>
      <c r="DT204" s="408"/>
      <c r="DU204" s="408"/>
      <c r="DV204" s="408">
        <v>1390.1569599865122</v>
      </c>
      <c r="DW204" s="408">
        <v>0</v>
      </c>
      <c r="DX204" s="408">
        <v>0</v>
      </c>
      <c r="DY204" s="408">
        <v>-755.59436000000028</v>
      </c>
      <c r="DZ204" s="408">
        <v>82.347809999999868</v>
      </c>
      <c r="EA204" s="408">
        <v>0</v>
      </c>
      <c r="EB204" s="408">
        <v>0</v>
      </c>
      <c r="EC204" s="408">
        <v>-779.86373481709973</v>
      </c>
      <c r="ED204" s="408">
        <v>0</v>
      </c>
      <c r="EE204" s="408">
        <v>0</v>
      </c>
      <c r="EF204" s="408">
        <v>0</v>
      </c>
      <c r="EG204" s="408">
        <v>0</v>
      </c>
      <c r="EH204" s="408">
        <v>0</v>
      </c>
      <c r="EI204" s="408">
        <v>0</v>
      </c>
      <c r="EJ204" s="408">
        <v>0</v>
      </c>
      <c r="EK204" s="408">
        <v>0</v>
      </c>
      <c r="EL204" s="408">
        <v>0</v>
      </c>
      <c r="EM204" s="408">
        <v>0</v>
      </c>
      <c r="EN204" s="408">
        <v>0</v>
      </c>
      <c r="EO204" s="408">
        <v>0</v>
      </c>
      <c r="EP204" s="408">
        <v>0</v>
      </c>
      <c r="EQ204" s="408">
        <v>0</v>
      </c>
      <c r="ER204" s="408">
        <v>0</v>
      </c>
      <c r="ES204" s="408">
        <v>0</v>
      </c>
      <c r="ET204" s="408">
        <v>0</v>
      </c>
      <c r="EU204" s="408">
        <v>0</v>
      </c>
      <c r="EV204" s="408">
        <v>238</v>
      </c>
      <c r="EW204" s="408">
        <v>0</v>
      </c>
      <c r="EX204" s="408">
        <v>0</v>
      </c>
      <c r="EY204" s="408">
        <v>0</v>
      </c>
      <c r="EZ204" s="408"/>
      <c r="FA204" s="408">
        <v>0</v>
      </c>
      <c r="FB204" s="408"/>
      <c r="FC204" s="408"/>
      <c r="FD204" s="408"/>
      <c r="FE204" s="408"/>
      <c r="FF204" s="408">
        <v>0</v>
      </c>
      <c r="FG204" s="408">
        <v>0</v>
      </c>
      <c r="FH204" s="408">
        <v>0</v>
      </c>
      <c r="FI204" s="408">
        <v>0</v>
      </c>
    </row>
    <row r="205" spans="1:165">
      <c r="A205" s="408">
        <v>209</v>
      </c>
      <c r="B205" s="408" t="s">
        <v>1036</v>
      </c>
      <c r="C205" s="408" t="s">
        <v>2243</v>
      </c>
      <c r="D205" s="408" t="s">
        <v>597</v>
      </c>
      <c r="E205" s="408" t="s">
        <v>2246</v>
      </c>
      <c r="F205" s="408" t="s">
        <v>1322</v>
      </c>
      <c r="G205" s="408" t="s">
        <v>1322</v>
      </c>
      <c r="H205" s="408" t="s">
        <v>1322</v>
      </c>
      <c r="I205" s="408" t="s">
        <v>973</v>
      </c>
      <c r="J205" s="408" t="s">
        <v>2236</v>
      </c>
      <c r="K205" s="824">
        <v>44470</v>
      </c>
      <c r="L205" s="408">
        <v>0</v>
      </c>
      <c r="M205" s="408">
        <v>0</v>
      </c>
      <c r="N205" s="408">
        <v>0.254</v>
      </c>
      <c r="O205" s="408">
        <v>0.254</v>
      </c>
      <c r="P205" s="408">
        <v>0.254</v>
      </c>
      <c r="Q205" s="408">
        <v>0.254</v>
      </c>
      <c r="R205" s="408"/>
      <c r="S205" s="408">
        <v>1614.19</v>
      </c>
      <c r="T205" s="408">
        <v>209.4</v>
      </c>
      <c r="U205" s="408"/>
      <c r="V205" s="408">
        <v>463.19186000000002</v>
      </c>
      <c r="W205" s="408">
        <v>463.19186000000002</v>
      </c>
      <c r="X205" s="408">
        <v>307.8861</v>
      </c>
      <c r="Y205" s="408">
        <v>0</v>
      </c>
      <c r="Z205" s="408">
        <v>13.598646794196137</v>
      </c>
      <c r="AA205" s="408">
        <v>0</v>
      </c>
      <c r="AB205" s="408">
        <v>0</v>
      </c>
      <c r="AC205" s="408">
        <v>0</v>
      </c>
      <c r="AD205" s="408">
        <v>79.100169547375245</v>
      </c>
      <c r="AE205" s="408">
        <v>295.36050050015945</v>
      </c>
      <c r="AF205" s="408">
        <v>52.489289430920351</v>
      </c>
      <c r="AG205" s="408">
        <v>0.69925310090373682</v>
      </c>
      <c r="AH205" s="408">
        <v>0</v>
      </c>
      <c r="AI205" s="408">
        <v>0</v>
      </c>
      <c r="AJ205" s="408">
        <v>0</v>
      </c>
      <c r="AK205" s="408">
        <v>0</v>
      </c>
      <c r="AL205" s="408">
        <v>2.4154388178616535</v>
      </c>
      <c r="AM205" s="408"/>
      <c r="AN205" s="408">
        <v>0.33727245436106246</v>
      </c>
      <c r="AO205" s="408">
        <v>6.1455110446818786</v>
      </c>
      <c r="AP205" s="408">
        <v>9.1538307739212925</v>
      </c>
      <c r="AQ205" s="408">
        <v>0</v>
      </c>
      <c r="AR205" s="408">
        <v>0</v>
      </c>
      <c r="AS205" s="408">
        <v>0</v>
      </c>
      <c r="AT205" s="408">
        <v>0</v>
      </c>
      <c r="AU205" s="408">
        <v>0</v>
      </c>
      <c r="AV205" s="408">
        <v>0</v>
      </c>
      <c r="AW205" s="408">
        <v>0</v>
      </c>
      <c r="AX205" s="408">
        <v>0</v>
      </c>
      <c r="AY205" s="408">
        <v>0</v>
      </c>
      <c r="AZ205" s="408">
        <v>0</v>
      </c>
      <c r="BA205" s="408"/>
      <c r="BB205" s="408">
        <v>0</v>
      </c>
      <c r="BC205" s="408">
        <v>0</v>
      </c>
      <c r="BD205" s="408">
        <v>0</v>
      </c>
      <c r="BE205" s="408">
        <v>0</v>
      </c>
      <c r="BF205" s="408">
        <v>0</v>
      </c>
      <c r="BG205" s="408">
        <v>3.8924068357500325</v>
      </c>
      <c r="BH205" s="408">
        <v>0</v>
      </c>
      <c r="BI205" s="408">
        <v>0</v>
      </c>
      <c r="BJ205" s="408">
        <v>0</v>
      </c>
      <c r="BK205" s="408">
        <v>0</v>
      </c>
      <c r="BL205" s="408">
        <v>0</v>
      </c>
      <c r="BM205" s="408"/>
      <c r="BN205" s="408"/>
      <c r="BO205" s="408"/>
      <c r="BP205" s="408"/>
      <c r="BQ205" s="408"/>
      <c r="BR205" s="408"/>
      <c r="BS205" s="408"/>
      <c r="BT205" s="408"/>
      <c r="BU205" s="408"/>
      <c r="BV205" s="408">
        <v>56.381696266670382</v>
      </c>
      <c r="BW205" s="408"/>
      <c r="BX205" s="408"/>
      <c r="BY205" s="408"/>
      <c r="BZ205" s="408"/>
      <c r="CA205" s="408"/>
      <c r="CB205" s="408"/>
      <c r="CC205" s="408"/>
      <c r="CD205" s="408"/>
      <c r="CE205" s="408"/>
      <c r="CF205" s="408"/>
      <c r="CG205" s="408"/>
      <c r="CH205" s="408"/>
      <c r="CI205" s="408">
        <v>303.03749999999997</v>
      </c>
      <c r="CJ205" s="408">
        <v>-160.18436000000003</v>
      </c>
      <c r="CK205" s="408"/>
      <c r="CL205" s="408"/>
      <c r="CM205" s="408"/>
      <c r="CN205" s="408"/>
      <c r="CO205" s="408">
        <v>-161.10458000000003</v>
      </c>
      <c r="CP205" s="408">
        <v>5.7988199999999956</v>
      </c>
      <c r="CQ205" s="408">
        <v>31</v>
      </c>
      <c r="CR205" s="408">
        <v>10.386916824629452</v>
      </c>
      <c r="CS205" s="408">
        <v>0.74196002689031282</v>
      </c>
      <c r="CT205" s="408">
        <v>1.1051605761974148</v>
      </c>
      <c r="CU205" s="408">
        <v>0</v>
      </c>
      <c r="CV205" s="408">
        <v>0</v>
      </c>
      <c r="CW205" s="408">
        <v>0</v>
      </c>
      <c r="CX205" s="408">
        <v>0</v>
      </c>
      <c r="CY205" s="408">
        <v>0</v>
      </c>
      <c r="CZ205" s="408">
        <v>2.5930963810424856</v>
      </c>
      <c r="DA205" s="408">
        <v>0</v>
      </c>
      <c r="DB205" s="408">
        <v>0</v>
      </c>
      <c r="DC205" s="408">
        <v>5.7970633680954364</v>
      </c>
      <c r="DD205" s="408">
        <v>0</v>
      </c>
      <c r="DE205" s="408">
        <v>0</v>
      </c>
      <c r="DF205" s="408">
        <v>0</v>
      </c>
      <c r="DG205" s="408">
        <v>0.42988825579258405</v>
      </c>
      <c r="DH205" s="408">
        <v>0</v>
      </c>
      <c r="DI205" s="408">
        <v>-0.23705328130559522</v>
      </c>
      <c r="DJ205" s="408"/>
      <c r="DK205" s="408">
        <v>0</v>
      </c>
      <c r="DL205" s="408">
        <v>0</v>
      </c>
      <c r="DM205" s="408">
        <v>0</v>
      </c>
      <c r="DN205" s="408">
        <v>0</v>
      </c>
      <c r="DO205" s="408">
        <v>-3.5400603830830324E-2</v>
      </c>
      <c r="DP205" s="408">
        <v>-7.7978982523460028E-3</v>
      </c>
      <c r="DQ205" s="408">
        <v>0</v>
      </c>
      <c r="DR205" s="408">
        <v>0</v>
      </c>
      <c r="DS205" s="408"/>
      <c r="DT205" s="408"/>
      <c r="DU205" s="408"/>
      <c r="DV205" s="408">
        <v>295.36050050015945</v>
      </c>
      <c r="DW205" s="408">
        <v>0</v>
      </c>
      <c r="DX205" s="408">
        <v>0</v>
      </c>
      <c r="DY205" s="408">
        <v>-161.10458000000006</v>
      </c>
      <c r="DZ205" s="408">
        <v>5.7988199999999921</v>
      </c>
      <c r="EA205" s="408">
        <v>0</v>
      </c>
      <c r="EB205" s="408">
        <v>0</v>
      </c>
      <c r="EC205" s="408">
        <v>-165.69419832976124</v>
      </c>
      <c r="ED205" s="408">
        <v>0</v>
      </c>
      <c r="EE205" s="408">
        <v>0</v>
      </c>
      <c r="EF205" s="408">
        <v>0</v>
      </c>
      <c r="EG205" s="408">
        <v>0</v>
      </c>
      <c r="EH205" s="408">
        <v>0</v>
      </c>
      <c r="EI205" s="408">
        <v>0</v>
      </c>
      <c r="EJ205" s="408">
        <v>0</v>
      </c>
      <c r="EK205" s="408">
        <v>0</v>
      </c>
      <c r="EL205" s="408">
        <v>0</v>
      </c>
      <c r="EM205" s="408">
        <v>0</v>
      </c>
      <c r="EN205" s="408">
        <v>0</v>
      </c>
      <c r="EO205" s="408">
        <v>0</v>
      </c>
      <c r="EP205" s="408">
        <v>0</v>
      </c>
      <c r="EQ205" s="408">
        <v>0</v>
      </c>
      <c r="ER205" s="408">
        <v>0</v>
      </c>
      <c r="ES205" s="408">
        <v>0</v>
      </c>
      <c r="ET205" s="408">
        <v>0</v>
      </c>
      <c r="EU205" s="408">
        <v>0</v>
      </c>
      <c r="EV205" s="408">
        <v>238</v>
      </c>
      <c r="EW205" s="408">
        <v>0</v>
      </c>
      <c r="EX205" s="408">
        <v>0</v>
      </c>
      <c r="EY205" s="408">
        <v>0</v>
      </c>
      <c r="EZ205" s="408"/>
      <c r="FA205" s="408">
        <v>0</v>
      </c>
      <c r="FB205" s="408"/>
      <c r="FC205" s="408"/>
      <c r="FD205" s="408"/>
      <c r="FE205" s="408"/>
      <c r="FF205" s="408">
        <v>0</v>
      </c>
      <c r="FG205" s="408">
        <v>0</v>
      </c>
      <c r="FH205" s="408">
        <v>0</v>
      </c>
      <c r="FI205" s="408">
        <v>0</v>
      </c>
    </row>
    <row r="206" spans="1:165">
      <c r="A206" s="408">
        <v>210</v>
      </c>
      <c r="B206" s="408" t="s">
        <v>1036</v>
      </c>
      <c r="C206" s="408" t="s">
        <v>2243</v>
      </c>
      <c r="D206" s="408" t="s">
        <v>597</v>
      </c>
      <c r="E206" s="408" t="s">
        <v>2246</v>
      </c>
      <c r="F206" s="408" t="s">
        <v>1322</v>
      </c>
      <c r="G206" s="408" t="s">
        <v>1322</v>
      </c>
      <c r="H206" s="408" t="s">
        <v>1322</v>
      </c>
      <c r="I206" s="408" t="s">
        <v>2244</v>
      </c>
      <c r="J206" s="408" t="s">
        <v>2236</v>
      </c>
      <c r="K206" s="824">
        <v>44470</v>
      </c>
      <c r="L206" s="408">
        <v>0</v>
      </c>
      <c r="M206" s="408">
        <v>0</v>
      </c>
      <c r="N206" s="408">
        <v>6.1980000000000004</v>
      </c>
      <c r="O206" s="408">
        <v>6.1980000000000004</v>
      </c>
      <c r="P206" s="408">
        <v>6.1980000000000004</v>
      </c>
      <c r="Q206" s="408">
        <v>6.1980000000000004</v>
      </c>
      <c r="R206" s="408"/>
      <c r="S206" s="408">
        <v>79.7</v>
      </c>
      <c r="T206" s="408">
        <v>209.4</v>
      </c>
      <c r="U206" s="408"/>
      <c r="V206" s="408">
        <v>1791.8418000000001</v>
      </c>
      <c r="W206" s="408">
        <v>1791.8418000000001</v>
      </c>
      <c r="X206" s="408">
        <v>1936.9989600000001</v>
      </c>
      <c r="Y206" s="408">
        <v>0</v>
      </c>
      <c r="Z206" s="408">
        <v>331.82839697018761</v>
      </c>
      <c r="AA206" s="408">
        <v>0</v>
      </c>
      <c r="AB206" s="408">
        <v>0</v>
      </c>
      <c r="AC206" s="408">
        <v>0</v>
      </c>
      <c r="AD206" s="408">
        <v>0</v>
      </c>
      <c r="AE206" s="408">
        <v>0</v>
      </c>
      <c r="AF206" s="408">
        <v>1280.821322412773</v>
      </c>
      <c r="AG206" s="408">
        <v>17.062876848036854</v>
      </c>
      <c r="AH206" s="408">
        <v>0</v>
      </c>
      <c r="AI206" s="408">
        <v>0</v>
      </c>
      <c r="AJ206" s="408">
        <v>0</v>
      </c>
      <c r="AK206" s="408">
        <v>0</v>
      </c>
      <c r="AL206" s="408">
        <v>58.940510996482402</v>
      </c>
      <c r="AM206" s="408"/>
      <c r="AN206" s="408">
        <v>8.2299790241333284</v>
      </c>
      <c r="AO206" s="408">
        <v>0</v>
      </c>
      <c r="AP206" s="408">
        <v>0</v>
      </c>
      <c r="AQ206" s="408">
        <v>0</v>
      </c>
      <c r="AR206" s="408">
        <v>0</v>
      </c>
      <c r="AS206" s="408">
        <v>0</v>
      </c>
      <c r="AT206" s="408">
        <v>0</v>
      </c>
      <c r="AU206" s="408">
        <v>0</v>
      </c>
      <c r="AV206" s="408">
        <v>0</v>
      </c>
      <c r="AW206" s="408">
        <v>0</v>
      </c>
      <c r="AX206" s="408">
        <v>0</v>
      </c>
      <c r="AY206" s="408">
        <v>0</v>
      </c>
      <c r="AZ206" s="408">
        <v>0</v>
      </c>
      <c r="BA206" s="408"/>
      <c r="BB206" s="408">
        <v>0</v>
      </c>
      <c r="BC206" s="408">
        <v>0</v>
      </c>
      <c r="BD206" s="408">
        <v>0</v>
      </c>
      <c r="BE206" s="408">
        <v>0</v>
      </c>
      <c r="BF206" s="408">
        <v>0</v>
      </c>
      <c r="BG206" s="408">
        <v>94.98085656684529</v>
      </c>
      <c r="BH206" s="408">
        <v>0</v>
      </c>
      <c r="BI206" s="408">
        <v>0</v>
      </c>
      <c r="BJ206" s="408">
        <v>0</v>
      </c>
      <c r="BK206" s="408">
        <v>0</v>
      </c>
      <c r="BL206" s="408">
        <v>0</v>
      </c>
      <c r="BM206" s="408"/>
      <c r="BN206" s="408"/>
      <c r="BO206" s="408"/>
      <c r="BP206" s="408"/>
      <c r="BQ206" s="408"/>
      <c r="BR206" s="408"/>
      <c r="BS206" s="408"/>
      <c r="BT206" s="408"/>
      <c r="BU206" s="408"/>
      <c r="BV206" s="408">
        <v>1375.8021789796182</v>
      </c>
      <c r="BW206" s="408"/>
      <c r="BX206" s="408"/>
      <c r="BY206" s="408"/>
      <c r="BZ206" s="408"/>
      <c r="CA206" s="408"/>
      <c r="CB206" s="408"/>
      <c r="CC206" s="408"/>
      <c r="CD206" s="408"/>
      <c r="CE206" s="408"/>
      <c r="CF206" s="408"/>
      <c r="CG206" s="408"/>
      <c r="CH206" s="408"/>
      <c r="CI206" s="408">
        <v>1937.624</v>
      </c>
      <c r="CJ206" s="408">
        <v>145.7521999999999</v>
      </c>
      <c r="CK206" s="408"/>
      <c r="CL206" s="408"/>
      <c r="CM206" s="408"/>
      <c r="CN206" s="408"/>
      <c r="CO206" s="408">
        <v>3.6568200000000215</v>
      </c>
      <c r="CP206" s="408">
        <v>141.50033999999991</v>
      </c>
      <c r="CQ206" s="408">
        <v>31</v>
      </c>
      <c r="CR206" s="408">
        <v>145.10884098982046</v>
      </c>
      <c r="CS206" s="408">
        <v>0</v>
      </c>
      <c r="CT206" s="408">
        <v>0</v>
      </c>
      <c r="CU206" s="408">
        <v>0</v>
      </c>
      <c r="CV206" s="408">
        <v>0</v>
      </c>
      <c r="CW206" s="408">
        <v>0</v>
      </c>
      <c r="CX206" s="408">
        <v>0</v>
      </c>
      <c r="CY206" s="408">
        <v>0</v>
      </c>
      <c r="CZ206" s="408">
        <v>0</v>
      </c>
      <c r="DA206" s="408">
        <v>0</v>
      </c>
      <c r="DB206" s="408">
        <v>0</v>
      </c>
      <c r="DC206" s="408">
        <v>141.45747541517926</v>
      </c>
      <c r="DD206" s="408">
        <v>0</v>
      </c>
      <c r="DE206" s="408">
        <v>0</v>
      </c>
      <c r="DF206" s="408">
        <v>0</v>
      </c>
      <c r="DG206" s="408">
        <v>10.489950430718238</v>
      </c>
      <c r="DH206" s="408">
        <v>0</v>
      </c>
      <c r="DI206" s="408">
        <v>-5.7844733761105545</v>
      </c>
      <c r="DJ206" s="408"/>
      <c r="DK206" s="408">
        <v>0</v>
      </c>
      <c r="DL206" s="408">
        <v>0</v>
      </c>
      <c r="DM206" s="408">
        <v>0</v>
      </c>
      <c r="DN206" s="408">
        <v>0</v>
      </c>
      <c r="DO206" s="408">
        <v>-0.86383048245467364</v>
      </c>
      <c r="DP206" s="408">
        <v>-0.19028099751197125</v>
      </c>
      <c r="DQ206" s="408">
        <v>0</v>
      </c>
      <c r="DR206" s="408">
        <v>0</v>
      </c>
      <c r="DS206" s="408"/>
      <c r="DT206" s="408"/>
      <c r="DU206" s="408"/>
      <c r="DV206" s="408">
        <v>0</v>
      </c>
      <c r="DW206" s="408">
        <v>0</v>
      </c>
      <c r="DX206" s="408">
        <v>0</v>
      </c>
      <c r="DY206" s="408">
        <v>3.6568200000000388</v>
      </c>
      <c r="DZ206" s="408">
        <v>141.50034000000005</v>
      </c>
      <c r="EA206" s="408">
        <v>0</v>
      </c>
      <c r="EB206" s="408">
        <v>0</v>
      </c>
      <c r="EC206" s="408">
        <v>0</v>
      </c>
      <c r="ED206" s="408">
        <v>0</v>
      </c>
      <c r="EE206" s="408">
        <v>0</v>
      </c>
      <c r="EF206" s="408">
        <v>0</v>
      </c>
      <c r="EG206" s="408">
        <v>0</v>
      </c>
      <c r="EH206" s="408">
        <v>0</v>
      </c>
      <c r="EI206" s="408">
        <v>0</v>
      </c>
      <c r="EJ206" s="408">
        <v>0</v>
      </c>
      <c r="EK206" s="408">
        <v>0</v>
      </c>
      <c r="EL206" s="408">
        <v>0</v>
      </c>
      <c r="EM206" s="408">
        <v>0</v>
      </c>
      <c r="EN206" s="408">
        <v>0</v>
      </c>
      <c r="EO206" s="408">
        <v>0</v>
      </c>
      <c r="EP206" s="408">
        <v>0</v>
      </c>
      <c r="EQ206" s="408">
        <v>0</v>
      </c>
      <c r="ER206" s="408">
        <v>0</v>
      </c>
      <c r="ES206" s="408">
        <v>0</v>
      </c>
      <c r="ET206" s="408">
        <v>0</v>
      </c>
      <c r="EU206" s="408">
        <v>0</v>
      </c>
      <c r="EV206" s="408">
        <v>238</v>
      </c>
      <c r="EW206" s="408">
        <v>0</v>
      </c>
      <c r="EX206" s="408">
        <v>0</v>
      </c>
      <c r="EY206" s="408">
        <v>0</v>
      </c>
      <c r="EZ206" s="408"/>
      <c r="FA206" s="408">
        <v>0</v>
      </c>
      <c r="FB206" s="408"/>
      <c r="FC206" s="408"/>
      <c r="FD206" s="408"/>
      <c r="FE206" s="408"/>
      <c r="FF206" s="408">
        <v>0</v>
      </c>
      <c r="FG206" s="408">
        <v>0</v>
      </c>
      <c r="FH206" s="408">
        <v>0</v>
      </c>
      <c r="FI206" s="408">
        <v>0</v>
      </c>
    </row>
    <row r="207" spans="1:165">
      <c r="A207" s="408">
        <v>211</v>
      </c>
      <c r="B207" s="408" t="s">
        <v>1036</v>
      </c>
      <c r="C207" s="408" t="s">
        <v>2243</v>
      </c>
      <c r="D207" s="408" t="s">
        <v>597</v>
      </c>
      <c r="E207" s="408" t="s">
        <v>2246</v>
      </c>
      <c r="F207" s="408" t="s">
        <v>1322</v>
      </c>
      <c r="G207" s="408" t="s">
        <v>1322</v>
      </c>
      <c r="H207" s="408" t="s">
        <v>1322</v>
      </c>
      <c r="I207" s="408" t="s">
        <v>1322</v>
      </c>
      <c r="J207" s="408" t="s">
        <v>2236</v>
      </c>
      <c r="K207" s="824">
        <v>44470</v>
      </c>
      <c r="L207" s="408">
        <v>143</v>
      </c>
      <c r="M207" s="408">
        <v>143</v>
      </c>
      <c r="N207" s="408">
        <v>0</v>
      </c>
      <c r="O207" s="408">
        <v>0</v>
      </c>
      <c r="P207" s="408">
        <v>0</v>
      </c>
      <c r="Q207" s="408">
        <v>0</v>
      </c>
      <c r="R207" s="408">
        <v>44.35</v>
      </c>
      <c r="S207" s="408"/>
      <c r="T207" s="408"/>
      <c r="U207" s="408">
        <v>6342.05</v>
      </c>
      <c r="V207" s="408"/>
      <c r="W207" s="408">
        <v>6342.05</v>
      </c>
      <c r="X207" s="408">
        <v>4142.71</v>
      </c>
      <c r="Y207" s="408">
        <v>0</v>
      </c>
      <c r="Z207" s="408">
        <v>0</v>
      </c>
      <c r="AA207" s="408">
        <v>0</v>
      </c>
      <c r="AB207" s="408">
        <v>0</v>
      </c>
      <c r="AC207" s="408">
        <v>0</v>
      </c>
      <c r="AD207" s="408">
        <v>1876.4551073961979</v>
      </c>
      <c r="AE207" s="408">
        <v>4106.6520188616778</v>
      </c>
      <c r="AF207" s="408"/>
      <c r="AG207" s="408"/>
      <c r="AH207" s="408"/>
      <c r="AI207" s="408">
        <v>0</v>
      </c>
      <c r="AJ207" s="408">
        <v>0</v>
      </c>
      <c r="AK207" s="408">
        <v>0</v>
      </c>
      <c r="AL207" s="408">
        <v>0</v>
      </c>
      <c r="AM207" s="408"/>
      <c r="AN207" s="408">
        <v>0</v>
      </c>
      <c r="AO207" s="408">
        <v>141.81605890751828</v>
      </c>
      <c r="AP207" s="408">
        <v>216.97266925736545</v>
      </c>
      <c r="AQ207" s="408">
        <v>0</v>
      </c>
      <c r="AR207" s="408">
        <v>0</v>
      </c>
      <c r="AS207" s="408"/>
      <c r="AT207" s="408"/>
      <c r="AU207" s="408">
        <v>0</v>
      </c>
      <c r="AV207" s="408">
        <v>0</v>
      </c>
      <c r="AW207" s="408">
        <v>0</v>
      </c>
      <c r="AX207" s="408"/>
      <c r="AY207" s="408"/>
      <c r="AZ207" s="408">
        <v>0</v>
      </c>
      <c r="BA207" s="408"/>
      <c r="BB207" s="408">
        <v>0</v>
      </c>
      <c r="BC207" s="408">
        <v>0</v>
      </c>
      <c r="BD207" s="408">
        <v>0</v>
      </c>
      <c r="BE207" s="408">
        <v>0</v>
      </c>
      <c r="BF207" s="408"/>
      <c r="BG207" s="408">
        <v>0</v>
      </c>
      <c r="BH207" s="408">
        <v>0</v>
      </c>
      <c r="BI207" s="408">
        <v>30.5</v>
      </c>
      <c r="BJ207" s="408">
        <v>138.78</v>
      </c>
      <c r="BK207" s="408">
        <v>2368.9299999999998</v>
      </c>
      <c r="BL207" s="408">
        <v>2</v>
      </c>
      <c r="BM207" s="408"/>
      <c r="BN207" s="408"/>
      <c r="BO207" s="408"/>
      <c r="BP207" s="408"/>
      <c r="BQ207" s="408"/>
      <c r="BR207" s="408"/>
      <c r="BS207" s="408"/>
      <c r="BT207" s="408"/>
      <c r="BU207" s="408"/>
      <c r="BV207" s="408">
        <v>0</v>
      </c>
      <c r="BW207" s="408"/>
      <c r="BX207" s="408"/>
      <c r="BY207" s="408"/>
      <c r="BZ207" s="408"/>
      <c r="CA207" s="408"/>
      <c r="CB207" s="408"/>
      <c r="CC207" s="408"/>
      <c r="CD207" s="408"/>
      <c r="CE207" s="408"/>
      <c r="CF207" s="408"/>
      <c r="CG207" s="408"/>
      <c r="CH207" s="408"/>
      <c r="CI207" s="408">
        <v>4142.71</v>
      </c>
      <c r="CJ207" s="408">
        <v>-2199.3700000000008</v>
      </c>
      <c r="CK207" s="408"/>
      <c r="CL207" s="408"/>
      <c r="CM207" s="408"/>
      <c r="CN207" s="408"/>
      <c r="CO207" s="408">
        <v>-2199.34</v>
      </c>
      <c r="CP207" s="408">
        <v>0</v>
      </c>
      <c r="CQ207" s="408">
        <v>31</v>
      </c>
      <c r="CR207" s="408">
        <v>104.83206434614658</v>
      </c>
      <c r="CS207" s="408">
        <v>17.121740749543847</v>
      </c>
      <c r="CT207" s="408">
        <v>26.195550922648238</v>
      </c>
      <c r="CU207" s="408">
        <v>0</v>
      </c>
      <c r="CV207" s="408">
        <v>0</v>
      </c>
      <c r="CW207" s="408"/>
      <c r="CX207" s="408"/>
      <c r="CY207" s="408"/>
      <c r="CZ207" s="408">
        <v>61.514772673954667</v>
      </c>
      <c r="DA207" s="408">
        <v>0</v>
      </c>
      <c r="DB207" s="408">
        <v>0</v>
      </c>
      <c r="DC207" s="408"/>
      <c r="DD207" s="408"/>
      <c r="DE207" s="408">
        <v>0</v>
      </c>
      <c r="DF207" s="408">
        <v>0</v>
      </c>
      <c r="DG207" s="408">
        <v>0</v>
      </c>
      <c r="DH207" s="408">
        <v>0</v>
      </c>
      <c r="DI207" s="408">
        <v>0</v>
      </c>
      <c r="DJ207" s="408"/>
      <c r="DK207" s="408">
        <v>0</v>
      </c>
      <c r="DL207" s="408">
        <v>0</v>
      </c>
      <c r="DM207" s="408"/>
      <c r="DN207" s="408">
        <v>0</v>
      </c>
      <c r="DO207" s="408">
        <v>0</v>
      </c>
      <c r="DP207" s="408">
        <v>0</v>
      </c>
      <c r="DQ207" s="408">
        <v>0</v>
      </c>
      <c r="DR207" s="408">
        <v>0</v>
      </c>
      <c r="DS207" s="408"/>
      <c r="DT207" s="408"/>
      <c r="DU207" s="408">
        <v>4106.6520188616778</v>
      </c>
      <c r="DV207" s="408"/>
      <c r="DW207" s="408">
        <v>0</v>
      </c>
      <c r="DX207" s="408">
        <v>0</v>
      </c>
      <c r="DY207" s="408">
        <v>-2199.34</v>
      </c>
      <c r="DZ207" s="408"/>
      <c r="EA207" s="408">
        <v>0</v>
      </c>
      <c r="EB207" s="408"/>
      <c r="EC207" s="408">
        <v>-2303.7894807610255</v>
      </c>
      <c r="ED207" s="408"/>
      <c r="EE207" s="408">
        <v>0</v>
      </c>
      <c r="EF207" s="408">
        <v>0</v>
      </c>
      <c r="EG207" s="408"/>
      <c r="EH207" s="408">
        <v>0</v>
      </c>
      <c r="EI207" s="408">
        <v>0</v>
      </c>
      <c r="EJ207" s="408">
        <v>0</v>
      </c>
      <c r="EK207" s="408">
        <v>0</v>
      </c>
      <c r="EL207" s="408">
        <v>0</v>
      </c>
      <c r="EM207" s="408"/>
      <c r="EN207" s="408"/>
      <c r="EO207" s="408">
        <v>0</v>
      </c>
      <c r="EP207" s="408">
        <v>0</v>
      </c>
      <c r="EQ207" s="408"/>
      <c r="ER207" s="408">
        <v>0</v>
      </c>
      <c r="ES207" s="408"/>
      <c r="ET207" s="408">
        <v>0</v>
      </c>
      <c r="EU207" s="408"/>
      <c r="EV207" s="408">
        <v>238</v>
      </c>
      <c r="EW207" s="408"/>
      <c r="EX207" s="408"/>
      <c r="EY207" s="408"/>
      <c r="EZ207" s="408"/>
      <c r="FA207" s="408">
        <v>0</v>
      </c>
      <c r="FB207" s="408"/>
      <c r="FC207" s="408"/>
      <c r="FD207" s="408"/>
      <c r="FE207" s="408"/>
      <c r="FF207" s="408">
        <v>0</v>
      </c>
      <c r="FG207" s="408">
        <v>0</v>
      </c>
      <c r="FH207" s="408">
        <v>0</v>
      </c>
      <c r="FI207" s="408">
        <v>0</v>
      </c>
    </row>
    <row r="208" spans="1:165">
      <c r="A208" s="408">
        <v>212</v>
      </c>
      <c r="B208" s="408" t="s">
        <v>1036</v>
      </c>
      <c r="C208" s="408" t="s">
        <v>2235</v>
      </c>
      <c r="D208" s="408" t="s">
        <v>2247</v>
      </c>
      <c r="E208" s="408" t="s">
        <v>2248</v>
      </c>
      <c r="F208" s="408" t="s">
        <v>2249</v>
      </c>
      <c r="G208" s="408" t="s">
        <v>1322</v>
      </c>
      <c r="H208" s="408" t="s">
        <v>1322</v>
      </c>
      <c r="I208" s="408" t="s">
        <v>1322</v>
      </c>
      <c r="J208" s="408" t="s">
        <v>2236</v>
      </c>
      <c r="K208" s="824">
        <v>44470</v>
      </c>
      <c r="L208" s="408">
        <v>0</v>
      </c>
      <c r="M208" s="408">
        <v>0</v>
      </c>
      <c r="N208" s="408">
        <v>470.59</v>
      </c>
      <c r="O208" s="408">
        <v>470.59</v>
      </c>
      <c r="P208" s="408">
        <v>470.59</v>
      </c>
      <c r="Q208" s="408">
        <v>470.59</v>
      </c>
      <c r="R208" s="408"/>
      <c r="S208" s="408">
        <v>319.73</v>
      </c>
      <c r="T208" s="408">
        <v>115.17</v>
      </c>
      <c r="U208" s="408"/>
      <c r="V208" s="408">
        <v>204659.59099999999</v>
      </c>
      <c r="W208" s="408">
        <v>204659.59099999999</v>
      </c>
      <c r="X208" s="408">
        <v>156344.11569999997</v>
      </c>
      <c r="Y208" s="408">
        <v>0</v>
      </c>
      <c r="Z208" s="408">
        <v>15927.518133697256</v>
      </c>
      <c r="AA208" s="408">
        <v>0</v>
      </c>
      <c r="AB208" s="408">
        <v>0</v>
      </c>
      <c r="AC208" s="408">
        <v>0</v>
      </c>
      <c r="AD208" s="408">
        <v>19202.485956204302</v>
      </c>
      <c r="AE208" s="408">
        <v>99752.337147222002</v>
      </c>
      <c r="AF208" s="408">
        <v>53486.275953989265</v>
      </c>
      <c r="AG208" s="408">
        <v>712.53478037345815</v>
      </c>
      <c r="AH208" s="408">
        <v>0</v>
      </c>
      <c r="AI208" s="408">
        <v>0</v>
      </c>
      <c r="AJ208" s="408">
        <v>0</v>
      </c>
      <c r="AK208" s="408">
        <v>0</v>
      </c>
      <c r="AL208" s="408">
        <v>2461.3178909985563</v>
      </c>
      <c r="AM208" s="408"/>
      <c r="AN208" s="408">
        <v>471.82782756225004</v>
      </c>
      <c r="AO208" s="408">
        <v>1475.1652618645687</v>
      </c>
      <c r="AP208" s="408">
        <v>2222.0575015185291</v>
      </c>
      <c r="AQ208" s="408">
        <v>0</v>
      </c>
      <c r="AR208" s="408">
        <v>0</v>
      </c>
      <c r="AS208" s="408">
        <v>0</v>
      </c>
      <c r="AT208" s="408">
        <v>0</v>
      </c>
      <c r="AU208" s="408">
        <v>0</v>
      </c>
      <c r="AV208" s="408">
        <v>0</v>
      </c>
      <c r="AW208" s="408">
        <v>0</v>
      </c>
      <c r="AX208" s="408">
        <v>0</v>
      </c>
      <c r="AY208" s="408">
        <v>0</v>
      </c>
      <c r="AZ208" s="408">
        <v>0</v>
      </c>
      <c r="BA208" s="408"/>
      <c r="BB208" s="408">
        <v>0</v>
      </c>
      <c r="BC208" s="408">
        <v>0</v>
      </c>
      <c r="BD208" s="408">
        <v>0</v>
      </c>
      <c r="BE208" s="408">
        <v>0</v>
      </c>
      <c r="BF208" s="408">
        <v>0</v>
      </c>
      <c r="BG208" s="408">
        <v>8948.1539797298956</v>
      </c>
      <c r="BH208" s="408">
        <v>0</v>
      </c>
      <c r="BI208" s="408">
        <v>883.55</v>
      </c>
      <c r="BJ208" s="408">
        <v>4019.78</v>
      </c>
      <c r="BK208" s="408">
        <v>57017.52</v>
      </c>
      <c r="BL208" s="408">
        <v>41</v>
      </c>
      <c r="BM208" s="408"/>
      <c r="BN208" s="408"/>
      <c r="BO208" s="408"/>
      <c r="BP208" s="408"/>
      <c r="BQ208" s="408"/>
      <c r="BR208" s="408"/>
      <c r="BS208" s="408"/>
      <c r="BT208" s="408"/>
      <c r="BU208" s="408"/>
      <c r="BV208" s="408">
        <v>62434.429933719162</v>
      </c>
      <c r="BW208" s="408"/>
      <c r="BX208" s="408"/>
      <c r="BY208" s="408"/>
      <c r="BZ208" s="408"/>
      <c r="CA208" s="408"/>
      <c r="CB208" s="408"/>
      <c r="CC208" s="408"/>
      <c r="CD208" s="408"/>
      <c r="CE208" s="408"/>
      <c r="CF208" s="408"/>
      <c r="CG208" s="408"/>
      <c r="CH208" s="408"/>
      <c r="CI208" s="408">
        <v>156344.11569999997</v>
      </c>
      <c r="CJ208" s="408">
        <v>-48315.505300000048</v>
      </c>
      <c r="CK208" s="408"/>
      <c r="CL208" s="408"/>
      <c r="CM208" s="408"/>
      <c r="CN208" s="408"/>
      <c r="CO208" s="408">
        <v>-54221.37980000001</v>
      </c>
      <c r="CP208" s="408">
        <v>5905.9044999999987</v>
      </c>
      <c r="CQ208" s="408">
        <v>31</v>
      </c>
      <c r="CR208" s="408">
        <v>7646.6775643472211</v>
      </c>
      <c r="CS208" s="408">
        <v>178.0996973893466</v>
      </c>
      <c r="CT208" s="408">
        <v>268.27351404814954</v>
      </c>
      <c r="CU208" s="408">
        <v>0</v>
      </c>
      <c r="CV208" s="408">
        <v>0</v>
      </c>
      <c r="CW208" s="408">
        <v>0</v>
      </c>
      <c r="CX208" s="408">
        <v>0</v>
      </c>
      <c r="CY208" s="408">
        <v>0</v>
      </c>
      <c r="CZ208" s="408">
        <v>629.50429973763312</v>
      </c>
      <c r="DA208" s="408">
        <v>0</v>
      </c>
      <c r="DB208" s="408">
        <v>0</v>
      </c>
      <c r="DC208" s="408">
        <v>5907.1733374630639</v>
      </c>
      <c r="DD208" s="408">
        <v>0</v>
      </c>
      <c r="DE208" s="408">
        <v>0</v>
      </c>
      <c r="DF208" s="408">
        <v>0</v>
      </c>
      <c r="DG208" s="408">
        <v>988.25905647351647</v>
      </c>
      <c r="DH208" s="408">
        <v>0</v>
      </c>
      <c r="DI208" s="408">
        <v>-277.65045256260964</v>
      </c>
      <c r="DJ208" s="408"/>
      <c r="DK208" s="408">
        <v>0</v>
      </c>
      <c r="DL208" s="408">
        <v>0</v>
      </c>
      <c r="DM208" s="408">
        <v>0</v>
      </c>
      <c r="DN208" s="408">
        <v>0</v>
      </c>
      <c r="DO208" s="408">
        <v>-36.073006244931548</v>
      </c>
      <c r="DP208" s="408">
        <v>-10.908881956947823</v>
      </c>
      <c r="DQ208" s="408">
        <v>0</v>
      </c>
      <c r="DR208" s="408">
        <v>0</v>
      </c>
      <c r="DS208" s="408"/>
      <c r="DT208" s="408"/>
      <c r="DU208" s="408"/>
      <c r="DV208" s="408">
        <v>99752.337147222002</v>
      </c>
      <c r="DW208" s="408">
        <v>0</v>
      </c>
      <c r="DX208" s="408">
        <v>0</v>
      </c>
      <c r="DY208" s="408">
        <v>-54221.37980000001</v>
      </c>
      <c r="DZ208" s="408">
        <v>5905.9044999999969</v>
      </c>
      <c r="EA208" s="408">
        <v>0</v>
      </c>
      <c r="EB208" s="408">
        <v>0</v>
      </c>
      <c r="EC208" s="408">
        <v>-55960.033610249309</v>
      </c>
      <c r="ED208" s="408">
        <v>0</v>
      </c>
      <c r="EE208" s="408">
        <v>0</v>
      </c>
      <c r="EF208" s="408">
        <v>0</v>
      </c>
      <c r="EG208" s="408">
        <v>0</v>
      </c>
      <c r="EH208" s="408">
        <v>0</v>
      </c>
      <c r="EI208" s="408">
        <v>0</v>
      </c>
      <c r="EJ208" s="408">
        <v>0</v>
      </c>
      <c r="EK208" s="408">
        <v>0</v>
      </c>
      <c r="EL208" s="408">
        <v>0</v>
      </c>
      <c r="EM208" s="408">
        <v>0</v>
      </c>
      <c r="EN208" s="408">
        <v>0</v>
      </c>
      <c r="EO208" s="408">
        <v>0</v>
      </c>
      <c r="EP208" s="408">
        <v>0</v>
      </c>
      <c r="EQ208" s="408">
        <v>0</v>
      </c>
      <c r="ER208" s="408">
        <v>0</v>
      </c>
      <c r="ES208" s="408">
        <v>0</v>
      </c>
      <c r="ET208" s="408">
        <v>0</v>
      </c>
      <c r="EU208" s="408">
        <v>0</v>
      </c>
      <c r="EV208" s="408">
        <v>238</v>
      </c>
      <c r="EW208" s="408">
        <v>0</v>
      </c>
      <c r="EX208" s="408">
        <v>0</v>
      </c>
      <c r="EY208" s="408">
        <v>0</v>
      </c>
      <c r="EZ208" s="408"/>
      <c r="FA208" s="408">
        <v>0</v>
      </c>
      <c r="FB208" s="408"/>
      <c r="FC208" s="408"/>
      <c r="FD208" s="408"/>
      <c r="FE208" s="408"/>
      <c r="FF208" s="408">
        <v>0</v>
      </c>
      <c r="FG208" s="408">
        <v>0</v>
      </c>
      <c r="FH208" s="408">
        <v>0</v>
      </c>
      <c r="FI208" s="408">
        <v>0</v>
      </c>
    </row>
    <row r="209" spans="1:165">
      <c r="A209" s="408">
        <v>213</v>
      </c>
      <c r="B209" s="408" t="s">
        <v>1036</v>
      </c>
      <c r="C209" s="408" t="s">
        <v>2235</v>
      </c>
      <c r="D209" s="408" t="s">
        <v>1958</v>
      </c>
      <c r="E209" s="408" t="s">
        <v>1001</v>
      </c>
      <c r="F209" s="408" t="s">
        <v>2250</v>
      </c>
      <c r="G209" s="408" t="s">
        <v>1322</v>
      </c>
      <c r="H209" s="408" t="s">
        <v>1322</v>
      </c>
      <c r="I209" s="408" t="s">
        <v>1322</v>
      </c>
      <c r="J209" s="408" t="s">
        <v>2236</v>
      </c>
      <c r="K209" s="824">
        <v>44470</v>
      </c>
      <c r="L209" s="408">
        <v>0</v>
      </c>
      <c r="M209" s="408">
        <v>0</v>
      </c>
      <c r="N209" s="408">
        <v>80.733999999999995</v>
      </c>
      <c r="O209" s="408">
        <v>75.889960000000002</v>
      </c>
      <c r="P209" s="408">
        <v>80.733999999999995</v>
      </c>
      <c r="Q209" s="408">
        <v>75.889960000000002</v>
      </c>
      <c r="R209" s="408"/>
      <c r="S209" s="408">
        <v>581.32000000000005</v>
      </c>
      <c r="T209" s="408">
        <v>209.4</v>
      </c>
      <c r="U209" s="408"/>
      <c r="V209" s="408">
        <v>63837.98848</v>
      </c>
      <c r="W209" s="408">
        <v>63837.98848</v>
      </c>
      <c r="X209" s="408">
        <v>48768.987379999991</v>
      </c>
      <c r="Y209" s="408">
        <v>0</v>
      </c>
      <c r="Z209" s="408">
        <v>4968.2014222220569</v>
      </c>
      <c r="AA209" s="408">
        <v>0</v>
      </c>
      <c r="AB209" s="408">
        <v>0</v>
      </c>
      <c r="AC209" s="408">
        <v>0</v>
      </c>
      <c r="AD209" s="408">
        <v>5989.747883945287</v>
      </c>
      <c r="AE209" s="408">
        <v>31115.312450111192</v>
      </c>
      <c r="AF209" s="408">
        <v>16683.741310692611</v>
      </c>
      <c r="AG209" s="408">
        <v>222.25787341874914</v>
      </c>
      <c r="AH209" s="408">
        <v>0</v>
      </c>
      <c r="AI209" s="408">
        <v>0</v>
      </c>
      <c r="AJ209" s="408">
        <v>0</v>
      </c>
      <c r="AK209" s="408">
        <v>0</v>
      </c>
      <c r="AL209" s="408">
        <v>767.74817921749104</v>
      </c>
      <c r="AM209" s="408"/>
      <c r="AN209" s="408">
        <v>147.17520107412798</v>
      </c>
      <c r="AO209" s="408">
        <v>460.14188089371021</v>
      </c>
      <c r="AP209" s="408">
        <v>693.11672707798846</v>
      </c>
      <c r="AQ209" s="408">
        <v>0</v>
      </c>
      <c r="AR209" s="408">
        <v>0</v>
      </c>
      <c r="AS209" s="408">
        <v>0</v>
      </c>
      <c r="AT209" s="408">
        <v>0</v>
      </c>
      <c r="AU209" s="408">
        <v>0</v>
      </c>
      <c r="AV209" s="408">
        <v>0</v>
      </c>
      <c r="AW209" s="408">
        <v>0</v>
      </c>
      <c r="AX209" s="408">
        <v>0</v>
      </c>
      <c r="AY209" s="408">
        <v>0</v>
      </c>
      <c r="AZ209" s="408">
        <v>0</v>
      </c>
      <c r="BA209" s="408"/>
      <c r="BB209" s="408">
        <v>0</v>
      </c>
      <c r="BC209" s="408">
        <v>0</v>
      </c>
      <c r="BD209" s="408">
        <v>0</v>
      </c>
      <c r="BE209" s="408">
        <v>0</v>
      </c>
      <c r="BF209" s="408">
        <v>0</v>
      </c>
      <c r="BG209" s="408">
        <v>2791.158732652872</v>
      </c>
      <c r="BH209" s="408">
        <v>0</v>
      </c>
      <c r="BI209" s="408">
        <v>264.11</v>
      </c>
      <c r="BJ209" s="408">
        <v>1201.8499999999999</v>
      </c>
      <c r="BK209" s="408">
        <v>26464.28</v>
      </c>
      <c r="BL209" s="408">
        <v>21</v>
      </c>
      <c r="BM209" s="408"/>
      <c r="BN209" s="408"/>
      <c r="BO209" s="408"/>
      <c r="BP209" s="408"/>
      <c r="BQ209" s="408">
        <v>2926.1392427999954</v>
      </c>
      <c r="BR209" s="408"/>
      <c r="BS209" s="408"/>
      <c r="BT209" s="408"/>
      <c r="BU209" s="408"/>
      <c r="BV209" s="408">
        <v>19474.900043345482</v>
      </c>
      <c r="BW209" s="408"/>
      <c r="BX209" s="408"/>
      <c r="BY209" s="408"/>
      <c r="BZ209" s="408"/>
      <c r="CA209" s="408"/>
      <c r="CB209" s="408"/>
      <c r="CC209" s="408"/>
      <c r="CD209" s="408"/>
      <c r="CE209" s="408"/>
      <c r="CF209" s="408"/>
      <c r="CG209" s="408"/>
      <c r="CH209" s="408"/>
      <c r="CI209" s="408">
        <v>45842.872299999995</v>
      </c>
      <c r="CJ209" s="408">
        <v>-14164.866871200022</v>
      </c>
      <c r="CK209" s="408"/>
      <c r="CL209" s="408"/>
      <c r="CM209" s="408"/>
      <c r="CN209" s="408"/>
      <c r="CO209" s="408">
        <v>-16912.158320000006</v>
      </c>
      <c r="CP209" s="408">
        <v>1843.1572199999987</v>
      </c>
      <c r="CQ209" s="408">
        <v>31</v>
      </c>
      <c r="CR209" s="408">
        <v>2385.1948578284391</v>
      </c>
      <c r="CS209" s="408">
        <v>55.553863598814473</v>
      </c>
      <c r="CT209" s="408">
        <v>83.681389834282982</v>
      </c>
      <c r="CU209" s="408">
        <v>0</v>
      </c>
      <c r="CV209" s="408">
        <v>0</v>
      </c>
      <c r="CW209" s="408">
        <v>0</v>
      </c>
      <c r="CX209" s="408">
        <v>0</v>
      </c>
      <c r="CY209" s="408">
        <v>0</v>
      </c>
      <c r="CZ209" s="408">
        <v>196.35853690443037</v>
      </c>
      <c r="DA209" s="408">
        <v>0</v>
      </c>
      <c r="DB209" s="408">
        <v>0</v>
      </c>
      <c r="DC209" s="408">
        <v>1842.598873857547</v>
      </c>
      <c r="DD209" s="408">
        <v>0</v>
      </c>
      <c r="DE209" s="408">
        <v>0</v>
      </c>
      <c r="DF209" s="408">
        <v>0</v>
      </c>
      <c r="DG209" s="408">
        <v>308.26334703760358</v>
      </c>
      <c r="DH209" s="408">
        <v>0</v>
      </c>
      <c r="DI209" s="408">
        <v>-86.606297460970382</v>
      </c>
      <c r="DJ209" s="408"/>
      <c r="DK209" s="408">
        <v>0</v>
      </c>
      <c r="DL209" s="408">
        <v>0</v>
      </c>
      <c r="DM209" s="408">
        <v>0</v>
      </c>
      <c r="DN209" s="408">
        <v>0</v>
      </c>
      <c r="DO209" s="408">
        <v>-11.252095864874946</v>
      </c>
      <c r="DP209" s="408">
        <v>-3.4027600784015419</v>
      </c>
      <c r="DQ209" s="408">
        <v>0</v>
      </c>
      <c r="DR209" s="408">
        <v>0</v>
      </c>
      <c r="DS209" s="408"/>
      <c r="DT209" s="408"/>
      <c r="DU209" s="408"/>
      <c r="DV209" s="408">
        <v>31115.312450111192</v>
      </c>
      <c r="DW209" s="408">
        <v>0</v>
      </c>
      <c r="DX209" s="408">
        <v>0</v>
      </c>
      <c r="DY209" s="408">
        <v>-16912.158320000002</v>
      </c>
      <c r="DZ209" s="408">
        <v>1843.1572199999973</v>
      </c>
      <c r="EA209" s="408">
        <v>0</v>
      </c>
      <c r="EB209" s="408">
        <v>0</v>
      </c>
      <c r="EC209" s="408">
        <v>-17455.369771755955</v>
      </c>
      <c r="ED209" s="408">
        <v>0</v>
      </c>
      <c r="EE209" s="408">
        <v>0</v>
      </c>
      <c r="EF209" s="408">
        <v>0</v>
      </c>
      <c r="EG209" s="408">
        <v>0</v>
      </c>
      <c r="EH209" s="408">
        <v>0</v>
      </c>
      <c r="EI209" s="408">
        <v>0</v>
      </c>
      <c r="EJ209" s="408">
        <v>0</v>
      </c>
      <c r="EK209" s="408">
        <v>0</v>
      </c>
      <c r="EL209" s="408">
        <v>0</v>
      </c>
      <c r="EM209" s="408">
        <v>0</v>
      </c>
      <c r="EN209" s="408">
        <v>0</v>
      </c>
      <c r="EO209" s="408">
        <v>0</v>
      </c>
      <c r="EP209" s="408">
        <v>0</v>
      </c>
      <c r="EQ209" s="408">
        <v>0</v>
      </c>
      <c r="ER209" s="408">
        <v>0</v>
      </c>
      <c r="ES209" s="408">
        <v>0</v>
      </c>
      <c r="ET209" s="408">
        <v>0</v>
      </c>
      <c r="EU209" s="408">
        <v>0</v>
      </c>
      <c r="EV209" s="408">
        <v>238</v>
      </c>
      <c r="EW209" s="408">
        <v>0</v>
      </c>
      <c r="EX209" s="408">
        <v>0</v>
      </c>
      <c r="EY209" s="408">
        <v>0</v>
      </c>
      <c r="EZ209" s="408"/>
      <c r="FA209" s="408">
        <v>0</v>
      </c>
      <c r="FB209" s="408"/>
      <c r="FC209" s="408"/>
      <c r="FD209" s="408"/>
      <c r="FE209" s="408"/>
      <c r="FF209" s="408">
        <v>0</v>
      </c>
      <c r="FG209" s="408">
        <v>0</v>
      </c>
      <c r="FH209" s="408">
        <v>0</v>
      </c>
      <c r="FI209" s="408">
        <v>0</v>
      </c>
    </row>
    <row r="210" spans="1:165">
      <c r="A210" s="408">
        <v>214</v>
      </c>
      <c r="B210" s="408" t="s">
        <v>1036</v>
      </c>
      <c r="C210" s="408" t="s">
        <v>2235</v>
      </c>
      <c r="D210" s="408" t="s">
        <v>1958</v>
      </c>
      <c r="E210" s="408" t="s">
        <v>2251</v>
      </c>
      <c r="F210" s="408" t="s">
        <v>1322</v>
      </c>
      <c r="G210" s="408" t="s">
        <v>1322</v>
      </c>
      <c r="H210" s="408" t="s">
        <v>1322</v>
      </c>
      <c r="I210" s="408" t="s">
        <v>1322</v>
      </c>
      <c r="J210" s="408" t="s">
        <v>2236</v>
      </c>
      <c r="K210" s="824">
        <v>44470</v>
      </c>
      <c r="L210" s="408">
        <v>0</v>
      </c>
      <c r="M210" s="408">
        <v>0</v>
      </c>
      <c r="N210" s="408">
        <v>25.518000000000001</v>
      </c>
      <c r="O210" s="408">
        <v>25.518000000000001</v>
      </c>
      <c r="P210" s="408">
        <v>25.518000000000001</v>
      </c>
      <c r="Q210" s="408">
        <v>25.518000000000001</v>
      </c>
      <c r="R210" s="408"/>
      <c r="S210" s="408">
        <v>581.32000000000005</v>
      </c>
      <c r="T210" s="408">
        <v>209.4</v>
      </c>
      <c r="U210" s="408"/>
      <c r="V210" s="408">
        <v>20177.592960000002</v>
      </c>
      <c r="W210" s="408">
        <v>20177.592960000002</v>
      </c>
      <c r="X210" s="408">
        <v>15414.65826</v>
      </c>
      <c r="Y210" s="408">
        <v>0</v>
      </c>
      <c r="Z210" s="408">
        <v>1570.3243229898487</v>
      </c>
      <c r="AA210" s="408">
        <v>0</v>
      </c>
      <c r="AB210" s="408">
        <v>0</v>
      </c>
      <c r="AC210" s="408">
        <v>0</v>
      </c>
      <c r="AD210" s="408">
        <v>1893.2096328995942</v>
      </c>
      <c r="AE210" s="408">
        <v>9834.7727488039418</v>
      </c>
      <c r="AF210" s="408">
        <v>5273.3137310953762</v>
      </c>
      <c r="AG210" s="408">
        <v>70.250159956147854</v>
      </c>
      <c r="AH210" s="408">
        <v>0</v>
      </c>
      <c r="AI210" s="408">
        <v>0</v>
      </c>
      <c r="AJ210" s="408">
        <v>0</v>
      </c>
      <c r="AK210" s="408">
        <v>0</v>
      </c>
      <c r="AL210" s="408">
        <v>242.66601478029006</v>
      </c>
      <c r="AM210" s="408"/>
      <c r="AN210" s="408">
        <v>46.518403411321103</v>
      </c>
      <c r="AO210" s="408">
        <v>145.43935041798619</v>
      </c>
      <c r="AP210" s="408">
        <v>219.07687766710569</v>
      </c>
      <c r="AQ210" s="408">
        <v>0</v>
      </c>
      <c r="AR210" s="408">
        <v>0</v>
      </c>
      <c r="AS210" s="408">
        <v>0</v>
      </c>
      <c r="AT210" s="408">
        <v>0</v>
      </c>
      <c r="AU210" s="408">
        <v>0</v>
      </c>
      <c r="AV210" s="408">
        <v>0</v>
      </c>
      <c r="AW210" s="408">
        <v>0</v>
      </c>
      <c r="AX210" s="408">
        <v>0</v>
      </c>
      <c r="AY210" s="408">
        <v>0</v>
      </c>
      <c r="AZ210" s="408">
        <v>0</v>
      </c>
      <c r="BA210" s="408"/>
      <c r="BB210" s="408">
        <v>0</v>
      </c>
      <c r="BC210" s="408">
        <v>0</v>
      </c>
      <c r="BD210" s="408">
        <v>0</v>
      </c>
      <c r="BE210" s="408">
        <v>0</v>
      </c>
      <c r="BF210" s="408">
        <v>0</v>
      </c>
      <c r="BG210" s="408">
        <v>882.21552926692584</v>
      </c>
      <c r="BH210" s="408">
        <v>0</v>
      </c>
      <c r="BI210" s="408">
        <v>86.36</v>
      </c>
      <c r="BJ210" s="408">
        <v>393.12</v>
      </c>
      <c r="BK210" s="408">
        <v>8364.57</v>
      </c>
      <c r="BL210" s="408">
        <v>17</v>
      </c>
      <c r="BM210" s="408"/>
      <c r="BN210" s="408"/>
      <c r="BO210" s="408"/>
      <c r="BP210" s="408"/>
      <c r="BQ210" s="408"/>
      <c r="BR210" s="408"/>
      <c r="BS210" s="408"/>
      <c r="BT210" s="408"/>
      <c r="BU210" s="408"/>
      <c r="BV210" s="408">
        <v>6155.529260362302</v>
      </c>
      <c r="BW210" s="408"/>
      <c r="BX210" s="408"/>
      <c r="BY210" s="408"/>
      <c r="BZ210" s="408"/>
      <c r="CA210" s="408"/>
      <c r="CB210" s="408"/>
      <c r="CC210" s="408"/>
      <c r="CD210" s="408"/>
      <c r="CE210" s="408"/>
      <c r="CF210" s="408"/>
      <c r="CG210" s="408"/>
      <c r="CH210" s="408"/>
      <c r="CI210" s="408">
        <v>15415.866399999999</v>
      </c>
      <c r="CJ210" s="408">
        <v>-4761.7565600000016</v>
      </c>
      <c r="CK210" s="408"/>
      <c r="CL210" s="408"/>
      <c r="CM210" s="408"/>
      <c r="CN210" s="408"/>
      <c r="CO210" s="408">
        <v>-5345.5106400000022</v>
      </c>
      <c r="CP210" s="408">
        <v>582.5759399999996</v>
      </c>
      <c r="CQ210" s="408">
        <v>31</v>
      </c>
      <c r="CR210" s="408">
        <v>753.9004927547976</v>
      </c>
      <c r="CS210" s="408">
        <v>17.559188090699706</v>
      </c>
      <c r="CT210" s="408">
        <v>26.449596276553052</v>
      </c>
      <c r="CU210" s="408">
        <v>0</v>
      </c>
      <c r="CV210" s="408">
        <v>0</v>
      </c>
      <c r="CW210" s="408">
        <v>0</v>
      </c>
      <c r="CX210" s="408">
        <v>0</v>
      </c>
      <c r="CY210" s="408">
        <v>0</v>
      </c>
      <c r="CZ210" s="408">
        <v>62.064026862625951</v>
      </c>
      <c r="DA210" s="408">
        <v>0</v>
      </c>
      <c r="DB210" s="408">
        <v>0</v>
      </c>
      <c r="DC210" s="408">
        <v>582.39946073645388</v>
      </c>
      <c r="DD210" s="408">
        <v>0</v>
      </c>
      <c r="DE210" s="408">
        <v>0</v>
      </c>
      <c r="DF210" s="408">
        <v>0</v>
      </c>
      <c r="DG210" s="408">
        <v>97.43434104225696</v>
      </c>
      <c r="DH210" s="408">
        <v>0</v>
      </c>
      <c r="DI210" s="408">
        <v>-27.37408648907558</v>
      </c>
      <c r="DJ210" s="408"/>
      <c r="DK210" s="408">
        <v>0</v>
      </c>
      <c r="DL210" s="408">
        <v>0</v>
      </c>
      <c r="DM210" s="408">
        <v>0</v>
      </c>
      <c r="DN210" s="408">
        <v>0</v>
      </c>
      <c r="DO210" s="408">
        <v>-3.5565063328941733</v>
      </c>
      <c r="DP210" s="408">
        <v>-1.0755274318211718</v>
      </c>
      <c r="DQ210" s="408">
        <v>0</v>
      </c>
      <c r="DR210" s="408">
        <v>0</v>
      </c>
      <c r="DS210" s="408"/>
      <c r="DT210" s="408"/>
      <c r="DU210" s="408"/>
      <c r="DV210" s="408">
        <v>9834.7727488039418</v>
      </c>
      <c r="DW210" s="408">
        <v>0</v>
      </c>
      <c r="DX210" s="408">
        <v>0</v>
      </c>
      <c r="DY210" s="408">
        <v>-5345.5106400000022</v>
      </c>
      <c r="DZ210" s="408">
        <v>582.57593999999972</v>
      </c>
      <c r="EA210" s="408">
        <v>0</v>
      </c>
      <c r="EB210" s="408">
        <v>0</v>
      </c>
      <c r="EC210" s="408">
        <v>-5517.2062060057524</v>
      </c>
      <c r="ED210" s="408">
        <v>0</v>
      </c>
      <c r="EE210" s="408">
        <v>0</v>
      </c>
      <c r="EF210" s="408">
        <v>0</v>
      </c>
      <c r="EG210" s="408">
        <v>0</v>
      </c>
      <c r="EH210" s="408">
        <v>0</v>
      </c>
      <c r="EI210" s="408">
        <v>0</v>
      </c>
      <c r="EJ210" s="408">
        <v>0</v>
      </c>
      <c r="EK210" s="408">
        <v>0</v>
      </c>
      <c r="EL210" s="408">
        <v>0</v>
      </c>
      <c r="EM210" s="408">
        <v>0</v>
      </c>
      <c r="EN210" s="408">
        <v>0</v>
      </c>
      <c r="EO210" s="408">
        <v>0</v>
      </c>
      <c r="EP210" s="408">
        <v>0</v>
      </c>
      <c r="EQ210" s="408">
        <v>0</v>
      </c>
      <c r="ER210" s="408">
        <v>0</v>
      </c>
      <c r="ES210" s="408">
        <v>0</v>
      </c>
      <c r="ET210" s="408">
        <v>0</v>
      </c>
      <c r="EU210" s="408">
        <v>0</v>
      </c>
      <c r="EV210" s="408">
        <v>238</v>
      </c>
      <c r="EW210" s="408">
        <v>0</v>
      </c>
      <c r="EX210" s="408">
        <v>0</v>
      </c>
      <c r="EY210" s="408">
        <v>0</v>
      </c>
      <c r="EZ210" s="408"/>
      <c r="FA210" s="408">
        <v>0</v>
      </c>
      <c r="FB210" s="408"/>
      <c r="FC210" s="408"/>
      <c r="FD210" s="408"/>
      <c r="FE210" s="408"/>
      <c r="FF210" s="408">
        <v>0</v>
      </c>
      <c r="FG210" s="408">
        <v>0</v>
      </c>
      <c r="FH210" s="408">
        <v>0</v>
      </c>
      <c r="FI210" s="408">
        <v>0</v>
      </c>
    </row>
    <row r="211" spans="1:165">
      <c r="A211" s="408">
        <v>215</v>
      </c>
      <c r="B211" s="408" t="s">
        <v>1036</v>
      </c>
      <c r="C211" s="408" t="s">
        <v>2235</v>
      </c>
      <c r="D211" s="408" t="s">
        <v>2245</v>
      </c>
      <c r="E211" s="408" t="s">
        <v>974</v>
      </c>
      <c r="F211" s="408" t="s">
        <v>2252</v>
      </c>
      <c r="G211" s="408" t="s">
        <v>2253</v>
      </c>
      <c r="H211" s="408" t="s">
        <v>1322</v>
      </c>
      <c r="I211" s="408" t="s">
        <v>1322</v>
      </c>
      <c r="J211" s="408" t="s">
        <v>2236</v>
      </c>
      <c r="K211" s="824">
        <v>44470</v>
      </c>
      <c r="L211" s="408">
        <v>0</v>
      </c>
      <c r="M211" s="408">
        <v>0</v>
      </c>
      <c r="N211" s="408">
        <v>0</v>
      </c>
      <c r="O211" s="408">
        <v>0</v>
      </c>
      <c r="P211" s="408">
        <v>0</v>
      </c>
      <c r="Q211" s="408">
        <v>0</v>
      </c>
      <c r="R211" s="408"/>
      <c r="S211" s="408"/>
      <c r="T211" s="408"/>
      <c r="U211" s="408"/>
      <c r="V211" s="408"/>
      <c r="W211" s="408"/>
      <c r="X211" s="408"/>
      <c r="Y211" s="408"/>
      <c r="Z211" s="408"/>
      <c r="AA211" s="408">
        <v>0</v>
      </c>
      <c r="AB211" s="408"/>
      <c r="AC211" s="408"/>
      <c r="AD211" s="408"/>
      <c r="AE211" s="408"/>
      <c r="AF211" s="408"/>
      <c r="AG211" s="408"/>
      <c r="AH211" s="408"/>
      <c r="AI211" s="408"/>
      <c r="AJ211" s="408"/>
      <c r="AK211" s="408"/>
      <c r="AL211" s="408"/>
      <c r="AM211" s="408"/>
      <c r="AN211" s="408"/>
      <c r="AO211" s="408"/>
      <c r="AP211" s="408"/>
      <c r="AQ211" s="408"/>
      <c r="AR211" s="408"/>
      <c r="AS211" s="408"/>
      <c r="AT211" s="408"/>
      <c r="AU211" s="408"/>
      <c r="AV211" s="408"/>
      <c r="AW211" s="408"/>
      <c r="AX211" s="408"/>
      <c r="AY211" s="408"/>
      <c r="AZ211" s="408">
        <v>0</v>
      </c>
      <c r="BA211" s="408"/>
      <c r="BB211" s="408"/>
      <c r="BC211" s="408"/>
      <c r="BD211" s="408"/>
      <c r="BE211" s="408"/>
      <c r="BF211" s="408"/>
      <c r="BG211" s="408"/>
      <c r="BH211" s="408"/>
      <c r="BI211" s="408">
        <v>292.25</v>
      </c>
      <c r="BJ211" s="408">
        <v>1331.89</v>
      </c>
      <c r="BK211" s="408">
        <v>1220.94</v>
      </c>
      <c r="BL211" s="408">
        <v>130</v>
      </c>
      <c r="BM211" s="408"/>
      <c r="BN211" s="408"/>
      <c r="BO211" s="408"/>
      <c r="BP211" s="408"/>
      <c r="BQ211" s="408"/>
      <c r="BR211" s="408"/>
      <c r="BS211" s="408"/>
      <c r="BT211" s="408"/>
      <c r="BU211" s="408"/>
      <c r="BV211" s="408"/>
      <c r="BW211" s="408"/>
      <c r="BX211" s="408"/>
      <c r="BY211" s="408"/>
      <c r="BZ211" s="408"/>
      <c r="CA211" s="408"/>
      <c r="CB211" s="408"/>
      <c r="CC211" s="408"/>
      <c r="CD211" s="408"/>
      <c r="CE211" s="408"/>
      <c r="CF211" s="408"/>
      <c r="CG211" s="408"/>
      <c r="CH211" s="408"/>
      <c r="CI211" s="408"/>
      <c r="CJ211" s="408">
        <v>-0.03</v>
      </c>
      <c r="CK211" s="408"/>
      <c r="CL211" s="408"/>
      <c r="CM211" s="408"/>
      <c r="CN211" s="408"/>
      <c r="CO211" s="408">
        <v>0</v>
      </c>
      <c r="CP211" s="408">
        <v>0</v>
      </c>
      <c r="CQ211" s="408">
        <v>31</v>
      </c>
      <c r="CR211" s="408"/>
      <c r="CS211" s="408"/>
      <c r="CT211" s="408"/>
      <c r="CU211" s="408"/>
      <c r="CV211" s="408"/>
      <c r="CW211" s="408"/>
      <c r="CX211" s="408"/>
      <c r="CY211" s="408"/>
      <c r="CZ211" s="408"/>
      <c r="DA211" s="408"/>
      <c r="DB211" s="408"/>
      <c r="DC211" s="408"/>
      <c r="DD211" s="408"/>
      <c r="DE211" s="408"/>
      <c r="DF211" s="408"/>
      <c r="DG211" s="408"/>
      <c r="DH211" s="408"/>
      <c r="DI211" s="408"/>
      <c r="DJ211" s="408"/>
      <c r="DK211" s="408">
        <v>0</v>
      </c>
      <c r="DL211" s="408"/>
      <c r="DM211" s="408"/>
      <c r="DN211" s="408"/>
      <c r="DO211" s="408"/>
      <c r="DP211" s="408"/>
      <c r="DQ211" s="408"/>
      <c r="DR211" s="408"/>
      <c r="DS211" s="408"/>
      <c r="DT211" s="408"/>
      <c r="DU211" s="408"/>
      <c r="DV211" s="408"/>
      <c r="DW211" s="408"/>
      <c r="DX211" s="408"/>
      <c r="DY211" s="408"/>
      <c r="DZ211" s="408"/>
      <c r="EA211" s="408"/>
      <c r="EB211" s="408"/>
      <c r="EC211" s="408"/>
      <c r="ED211" s="408"/>
      <c r="EE211" s="408"/>
      <c r="EF211" s="408"/>
      <c r="EG211" s="408"/>
      <c r="EH211" s="408"/>
      <c r="EI211" s="408"/>
      <c r="EJ211" s="408"/>
      <c r="EK211" s="408"/>
      <c r="EL211" s="408"/>
      <c r="EM211" s="408"/>
      <c r="EN211" s="408"/>
      <c r="EO211" s="408"/>
      <c r="EP211" s="408"/>
      <c r="EQ211" s="408"/>
      <c r="ER211" s="408"/>
      <c r="ES211" s="408"/>
      <c r="ET211" s="408"/>
      <c r="EU211" s="408"/>
      <c r="EV211" s="408">
        <v>238</v>
      </c>
      <c r="EW211" s="408"/>
      <c r="EX211" s="408"/>
      <c r="EY211" s="408"/>
      <c r="EZ211" s="408"/>
      <c r="FA211" s="408">
        <v>0</v>
      </c>
      <c r="FB211" s="408"/>
      <c r="FC211" s="408"/>
      <c r="FD211" s="408"/>
      <c r="FE211" s="408"/>
      <c r="FF211" s="408">
        <v>0</v>
      </c>
      <c r="FG211" s="408">
        <v>0</v>
      </c>
      <c r="FH211" s="408">
        <v>0</v>
      </c>
      <c r="FI211" s="408">
        <v>0</v>
      </c>
    </row>
    <row r="212" spans="1:165">
      <c r="A212" s="408">
        <v>216</v>
      </c>
      <c r="B212" s="408" t="s">
        <v>2238</v>
      </c>
      <c r="C212" s="408" t="s">
        <v>2235</v>
      </c>
      <c r="D212" s="408" t="s">
        <v>2245</v>
      </c>
      <c r="E212" s="408" t="s">
        <v>974</v>
      </c>
      <c r="F212" s="408" t="s">
        <v>2252</v>
      </c>
      <c r="G212" s="408" t="s">
        <v>2253</v>
      </c>
      <c r="H212" s="408" t="s">
        <v>1322</v>
      </c>
      <c r="I212" s="408" t="s">
        <v>1322</v>
      </c>
      <c r="J212" s="408" t="s">
        <v>2236</v>
      </c>
      <c r="K212" s="824">
        <v>44470</v>
      </c>
      <c r="L212" s="408">
        <v>0</v>
      </c>
      <c r="M212" s="408">
        <v>0</v>
      </c>
      <c r="N212" s="408">
        <v>0</v>
      </c>
      <c r="O212" s="408">
        <v>0</v>
      </c>
      <c r="P212" s="408">
        <v>0</v>
      </c>
      <c r="Q212" s="408">
        <v>0</v>
      </c>
      <c r="R212" s="408"/>
      <c r="S212" s="408"/>
      <c r="T212" s="408"/>
      <c r="U212" s="408"/>
      <c r="V212" s="408"/>
      <c r="W212" s="408"/>
      <c r="X212" s="408"/>
      <c r="Y212" s="408"/>
      <c r="Z212" s="408"/>
      <c r="AA212" s="408">
        <v>0</v>
      </c>
      <c r="AB212" s="408"/>
      <c r="AC212" s="408"/>
      <c r="AD212" s="408"/>
      <c r="AE212" s="408"/>
      <c r="AF212" s="408"/>
      <c r="AG212" s="408"/>
      <c r="AH212" s="408"/>
      <c r="AI212" s="408"/>
      <c r="AJ212" s="408"/>
      <c r="AK212" s="408"/>
      <c r="AL212" s="408"/>
      <c r="AM212" s="408"/>
      <c r="AN212" s="408"/>
      <c r="AO212" s="408"/>
      <c r="AP212" s="408"/>
      <c r="AQ212" s="408"/>
      <c r="AR212" s="408"/>
      <c r="AS212" s="408"/>
      <c r="AT212" s="408"/>
      <c r="AU212" s="408"/>
      <c r="AV212" s="408"/>
      <c r="AW212" s="408"/>
      <c r="AX212" s="408"/>
      <c r="AY212" s="408"/>
      <c r="AZ212" s="408">
        <v>0</v>
      </c>
      <c r="BA212" s="408"/>
      <c r="BB212" s="408"/>
      <c r="BC212" s="408"/>
      <c r="BD212" s="408"/>
      <c r="BE212" s="408"/>
      <c r="BF212" s="408"/>
      <c r="BG212" s="408"/>
      <c r="BH212" s="408"/>
      <c r="BI212" s="408">
        <v>13.42</v>
      </c>
      <c r="BJ212" s="408">
        <v>61.55</v>
      </c>
      <c r="BK212" s="408">
        <v>216.53</v>
      </c>
      <c r="BL212" s="408">
        <v>21</v>
      </c>
      <c r="BM212" s="408"/>
      <c r="BN212" s="408"/>
      <c r="BO212" s="408"/>
      <c r="BP212" s="408"/>
      <c r="BQ212" s="408"/>
      <c r="BR212" s="408"/>
      <c r="BS212" s="408"/>
      <c r="BT212" s="408"/>
      <c r="BU212" s="408"/>
      <c r="BV212" s="408"/>
      <c r="BW212" s="408"/>
      <c r="BX212" s="408"/>
      <c r="BY212" s="408"/>
      <c r="BZ212" s="408"/>
      <c r="CA212" s="408"/>
      <c r="CB212" s="408"/>
      <c r="CC212" s="408"/>
      <c r="CD212" s="408"/>
      <c r="CE212" s="408"/>
      <c r="CF212" s="408"/>
      <c r="CG212" s="408"/>
      <c r="CH212" s="408"/>
      <c r="CI212" s="408"/>
      <c r="CJ212" s="408">
        <v>-0.03</v>
      </c>
      <c r="CK212" s="408"/>
      <c r="CL212" s="408"/>
      <c r="CM212" s="408"/>
      <c r="CN212" s="408"/>
      <c r="CO212" s="408">
        <v>0</v>
      </c>
      <c r="CP212" s="408">
        <v>0</v>
      </c>
      <c r="CQ212" s="408">
        <v>31</v>
      </c>
      <c r="CR212" s="408"/>
      <c r="CS212" s="408"/>
      <c r="CT212" s="408"/>
      <c r="CU212" s="408"/>
      <c r="CV212" s="408"/>
      <c r="CW212" s="408"/>
      <c r="CX212" s="408"/>
      <c r="CY212" s="408"/>
      <c r="CZ212" s="408"/>
      <c r="DA212" s="408"/>
      <c r="DB212" s="408"/>
      <c r="DC212" s="408"/>
      <c r="DD212" s="408"/>
      <c r="DE212" s="408"/>
      <c r="DF212" s="408"/>
      <c r="DG212" s="408"/>
      <c r="DH212" s="408"/>
      <c r="DI212" s="408"/>
      <c r="DJ212" s="408"/>
      <c r="DK212" s="408">
        <v>0</v>
      </c>
      <c r="DL212" s="408"/>
      <c r="DM212" s="408"/>
      <c r="DN212" s="408"/>
      <c r="DO212" s="408"/>
      <c r="DP212" s="408"/>
      <c r="DQ212" s="408"/>
      <c r="DR212" s="408"/>
      <c r="DS212" s="408"/>
      <c r="DT212" s="408"/>
      <c r="DU212" s="408"/>
      <c r="DV212" s="408"/>
      <c r="DW212" s="408"/>
      <c r="DX212" s="408"/>
      <c r="DY212" s="408"/>
      <c r="DZ212" s="408"/>
      <c r="EA212" s="408"/>
      <c r="EB212" s="408"/>
      <c r="EC212" s="408"/>
      <c r="ED212" s="408"/>
      <c r="EE212" s="408"/>
      <c r="EF212" s="408"/>
      <c r="EG212" s="408"/>
      <c r="EH212" s="408"/>
      <c r="EI212" s="408"/>
      <c r="EJ212" s="408"/>
      <c r="EK212" s="408"/>
      <c r="EL212" s="408"/>
      <c r="EM212" s="408"/>
      <c r="EN212" s="408"/>
      <c r="EO212" s="408"/>
      <c r="EP212" s="408"/>
      <c r="EQ212" s="408"/>
      <c r="ER212" s="408"/>
      <c r="ES212" s="408"/>
      <c r="ET212" s="408"/>
      <c r="EU212" s="408"/>
      <c r="EV212" s="408">
        <v>238</v>
      </c>
      <c r="EW212" s="408"/>
      <c r="EX212" s="408"/>
      <c r="EY212" s="408"/>
      <c r="EZ212" s="408"/>
      <c r="FA212" s="408">
        <v>0</v>
      </c>
      <c r="FB212" s="408"/>
      <c r="FC212" s="408"/>
      <c r="FD212" s="408"/>
      <c r="FE212" s="408"/>
      <c r="FF212" s="408">
        <v>0</v>
      </c>
      <c r="FG212" s="408">
        <v>0</v>
      </c>
      <c r="FH212" s="408">
        <v>0</v>
      </c>
      <c r="FI212" s="408">
        <v>0</v>
      </c>
    </row>
    <row r="213" spans="1:165">
      <c r="A213" s="408">
        <v>217</v>
      </c>
      <c r="B213" s="408" t="s">
        <v>1036</v>
      </c>
      <c r="C213" s="408" t="s">
        <v>2235</v>
      </c>
      <c r="D213" s="408" t="s">
        <v>2245</v>
      </c>
      <c r="E213" s="408" t="s">
        <v>974</v>
      </c>
      <c r="F213" s="408" t="s">
        <v>2252</v>
      </c>
      <c r="G213" s="408" t="s">
        <v>2253</v>
      </c>
      <c r="H213" s="408" t="s">
        <v>1322</v>
      </c>
      <c r="I213" s="408" t="s">
        <v>1322</v>
      </c>
      <c r="J213" s="408" t="s">
        <v>2236</v>
      </c>
      <c r="K213" s="824">
        <v>44470</v>
      </c>
      <c r="L213" s="408">
        <v>0</v>
      </c>
      <c r="M213" s="408">
        <v>0</v>
      </c>
      <c r="N213" s="408">
        <v>97.298000000000002</v>
      </c>
      <c r="O213" s="408">
        <v>97.298000000000002</v>
      </c>
      <c r="P213" s="408">
        <v>97.298000000000002</v>
      </c>
      <c r="Q213" s="408">
        <v>97.298000000000002</v>
      </c>
      <c r="R213" s="408"/>
      <c r="S213" s="408">
        <v>581.32000000000005</v>
      </c>
      <c r="T213" s="408">
        <v>209.4</v>
      </c>
      <c r="U213" s="408"/>
      <c r="V213" s="408">
        <v>76935.474560000002</v>
      </c>
      <c r="W213" s="408">
        <v>76935.474560000002</v>
      </c>
      <c r="X213" s="408">
        <v>58774.802859999996</v>
      </c>
      <c r="Y213" s="408">
        <v>0</v>
      </c>
      <c r="Z213" s="408">
        <v>5987.5153216657382</v>
      </c>
      <c r="AA213" s="408">
        <v>0</v>
      </c>
      <c r="AB213" s="408">
        <v>0</v>
      </c>
      <c r="AC213" s="408">
        <v>0</v>
      </c>
      <c r="AD213" s="408">
        <v>7218.6500063431586</v>
      </c>
      <c r="AE213" s="408">
        <v>37499.166036253861</v>
      </c>
      <c r="AF213" s="408">
        <v>20106.704263975153</v>
      </c>
      <c r="AG213" s="408">
        <v>267.8579850855582</v>
      </c>
      <c r="AH213" s="408">
        <v>0</v>
      </c>
      <c r="AI213" s="408">
        <v>0</v>
      </c>
      <c r="AJ213" s="408">
        <v>0</v>
      </c>
      <c r="AK213" s="408">
        <v>0</v>
      </c>
      <c r="AL213" s="408">
        <v>925.2652208673353</v>
      </c>
      <c r="AM213" s="408"/>
      <c r="AN213" s="408">
        <v>177.3707820015174</v>
      </c>
      <c r="AO213" s="408">
        <v>554.54808045180744</v>
      </c>
      <c r="AP213" s="408">
        <v>835.32181374927688</v>
      </c>
      <c r="AQ213" s="408">
        <v>0</v>
      </c>
      <c r="AR213" s="408">
        <v>0</v>
      </c>
      <c r="AS213" s="408">
        <v>0</v>
      </c>
      <c r="AT213" s="408">
        <v>0</v>
      </c>
      <c r="AU213" s="408">
        <v>0</v>
      </c>
      <c r="AV213" s="408">
        <v>0</v>
      </c>
      <c r="AW213" s="408">
        <v>0</v>
      </c>
      <c r="AX213" s="408">
        <v>0</v>
      </c>
      <c r="AY213" s="408">
        <v>0</v>
      </c>
      <c r="AZ213" s="408">
        <v>0</v>
      </c>
      <c r="BA213" s="408"/>
      <c r="BB213" s="408">
        <v>0</v>
      </c>
      <c r="BC213" s="408">
        <v>0</v>
      </c>
      <c r="BD213" s="408">
        <v>0</v>
      </c>
      <c r="BE213" s="408">
        <v>0</v>
      </c>
      <c r="BF213" s="408">
        <v>0</v>
      </c>
      <c r="BG213" s="408">
        <v>3363.81403584189</v>
      </c>
      <c r="BH213" s="408">
        <v>0</v>
      </c>
      <c r="BI213" s="408">
        <v>0</v>
      </c>
      <c r="BJ213" s="408">
        <v>0</v>
      </c>
      <c r="BK213" s="408">
        <v>0</v>
      </c>
      <c r="BL213" s="408">
        <v>0</v>
      </c>
      <c r="BM213" s="408"/>
      <c r="BN213" s="408"/>
      <c r="BO213" s="408"/>
      <c r="BP213" s="408"/>
      <c r="BQ213" s="408"/>
      <c r="BR213" s="408">
        <v>7053.1320199999927</v>
      </c>
      <c r="BS213" s="408"/>
      <c r="BT213" s="408"/>
      <c r="BU213" s="408"/>
      <c r="BV213" s="408">
        <v>23470.518299817042</v>
      </c>
      <c r="BW213" s="408"/>
      <c r="BX213" s="408"/>
      <c r="BY213" s="408"/>
      <c r="BZ213" s="408"/>
      <c r="CA213" s="408"/>
      <c r="CB213" s="408"/>
      <c r="CC213" s="408"/>
      <c r="CD213" s="408"/>
      <c r="CE213" s="408"/>
      <c r="CF213" s="408"/>
      <c r="CG213" s="408"/>
      <c r="CH213" s="408"/>
      <c r="CI213" s="408">
        <v>51722.733999999997</v>
      </c>
      <c r="CJ213" s="408">
        <v>-15982.109299999996</v>
      </c>
      <c r="CK213" s="408"/>
      <c r="CL213" s="408"/>
      <c r="CM213" s="408"/>
      <c r="CN213" s="408"/>
      <c r="CO213" s="408">
        <v>-20381.985040000007</v>
      </c>
      <c r="CP213" s="408">
        <v>2221.3133399999983</v>
      </c>
      <c r="CQ213" s="408">
        <v>31</v>
      </c>
      <c r="CR213" s="408">
        <v>2874.5595322539448</v>
      </c>
      <c r="CS213" s="408">
        <v>66.951715763339507</v>
      </c>
      <c r="CT213" s="408">
        <v>100.85009869566818</v>
      </c>
      <c r="CU213" s="408">
        <v>0</v>
      </c>
      <c r="CV213" s="408">
        <v>0</v>
      </c>
      <c r="CW213" s="408">
        <v>0</v>
      </c>
      <c r="CX213" s="408">
        <v>0</v>
      </c>
      <c r="CY213" s="408">
        <v>0</v>
      </c>
      <c r="CZ213" s="408">
        <v>236.64494418370487</v>
      </c>
      <c r="DA213" s="408">
        <v>0</v>
      </c>
      <c r="DB213" s="408">
        <v>0</v>
      </c>
      <c r="DC213" s="408">
        <v>2220.640439326573</v>
      </c>
      <c r="DD213" s="408">
        <v>0</v>
      </c>
      <c r="DE213" s="408">
        <v>0</v>
      </c>
      <c r="DF213" s="408">
        <v>0</v>
      </c>
      <c r="DG213" s="408">
        <v>371.50899422876046</v>
      </c>
      <c r="DH213" s="408">
        <v>0</v>
      </c>
      <c r="DI213" s="408">
        <v>-104.37510256344831</v>
      </c>
      <c r="DJ213" s="408"/>
      <c r="DK213" s="408">
        <v>0</v>
      </c>
      <c r="DL213" s="408">
        <v>0</v>
      </c>
      <c r="DM213" s="408">
        <v>0</v>
      </c>
      <c r="DN213" s="408">
        <v>0</v>
      </c>
      <c r="DO213" s="408">
        <v>-13.560661226504408</v>
      </c>
      <c r="DP213" s="408">
        <v>-4.10089615413969</v>
      </c>
      <c r="DQ213" s="408">
        <v>0</v>
      </c>
      <c r="DR213" s="408">
        <v>0</v>
      </c>
      <c r="DS213" s="408"/>
      <c r="DT213" s="408"/>
      <c r="DU213" s="408"/>
      <c r="DV213" s="408">
        <v>37499.166036253861</v>
      </c>
      <c r="DW213" s="408">
        <v>0</v>
      </c>
      <c r="DX213" s="408">
        <v>0</v>
      </c>
      <c r="DY213" s="408">
        <v>-20381.985040000007</v>
      </c>
      <c r="DZ213" s="408">
        <v>2221.3133400000006</v>
      </c>
      <c r="EA213" s="408">
        <v>0</v>
      </c>
      <c r="EB213" s="408">
        <v>0</v>
      </c>
      <c r="EC213" s="408">
        <v>-21036.645874753031</v>
      </c>
      <c r="ED213" s="408">
        <v>0</v>
      </c>
      <c r="EE213" s="408">
        <v>0</v>
      </c>
      <c r="EF213" s="408">
        <v>0</v>
      </c>
      <c r="EG213" s="408">
        <v>0</v>
      </c>
      <c r="EH213" s="408">
        <v>0</v>
      </c>
      <c r="EI213" s="408">
        <v>0</v>
      </c>
      <c r="EJ213" s="408">
        <v>0</v>
      </c>
      <c r="EK213" s="408">
        <v>0</v>
      </c>
      <c r="EL213" s="408">
        <v>0</v>
      </c>
      <c r="EM213" s="408">
        <v>0</v>
      </c>
      <c r="EN213" s="408">
        <v>0</v>
      </c>
      <c r="EO213" s="408">
        <v>0</v>
      </c>
      <c r="EP213" s="408">
        <v>0</v>
      </c>
      <c r="EQ213" s="408">
        <v>0</v>
      </c>
      <c r="ER213" s="408">
        <v>0</v>
      </c>
      <c r="ES213" s="408">
        <v>0</v>
      </c>
      <c r="ET213" s="408">
        <v>0</v>
      </c>
      <c r="EU213" s="408">
        <v>0</v>
      </c>
      <c r="EV213" s="408">
        <v>238</v>
      </c>
      <c r="EW213" s="408">
        <v>0</v>
      </c>
      <c r="EX213" s="408">
        <v>0</v>
      </c>
      <c r="EY213" s="408">
        <v>0</v>
      </c>
      <c r="EZ213" s="408"/>
      <c r="FA213" s="408">
        <v>0</v>
      </c>
      <c r="FB213" s="408"/>
      <c r="FC213" s="408"/>
      <c r="FD213" s="408"/>
      <c r="FE213" s="408"/>
      <c r="FF213" s="408">
        <v>0</v>
      </c>
      <c r="FG213" s="408">
        <v>0</v>
      </c>
      <c r="FH213" s="408">
        <v>0</v>
      </c>
      <c r="FI213" s="408">
        <v>0</v>
      </c>
    </row>
    <row r="214" spans="1:165">
      <c r="A214" s="408">
        <v>218</v>
      </c>
      <c r="B214" s="408" t="s">
        <v>2238</v>
      </c>
      <c r="C214" s="408" t="s">
        <v>2235</v>
      </c>
      <c r="D214" s="408" t="s">
        <v>2245</v>
      </c>
      <c r="E214" s="408" t="s">
        <v>974</v>
      </c>
      <c r="F214" s="408" t="s">
        <v>2252</v>
      </c>
      <c r="G214" s="408" t="s">
        <v>2253</v>
      </c>
      <c r="H214" s="408" t="s">
        <v>1322</v>
      </c>
      <c r="I214" s="408" t="s">
        <v>1322</v>
      </c>
      <c r="J214" s="408" t="s">
        <v>2236</v>
      </c>
      <c r="K214" s="824">
        <v>44470</v>
      </c>
      <c r="L214" s="408">
        <v>0</v>
      </c>
      <c r="M214" s="408">
        <v>0</v>
      </c>
      <c r="N214" s="408">
        <v>3.4820000000000002</v>
      </c>
      <c r="O214" s="408">
        <v>3.4820000000000002</v>
      </c>
      <c r="P214" s="408">
        <v>3.4820000000000002</v>
      </c>
      <c r="Q214" s="408">
        <v>3.4820000000000002</v>
      </c>
      <c r="R214" s="408"/>
      <c r="S214" s="408">
        <v>581.32000000000005</v>
      </c>
      <c r="T214" s="408">
        <v>209.4</v>
      </c>
      <c r="U214" s="408"/>
      <c r="V214" s="408">
        <v>2753.2870400000002</v>
      </c>
      <c r="W214" s="408">
        <v>2753.2870400000002</v>
      </c>
      <c r="X214" s="408">
        <v>2103.37174</v>
      </c>
      <c r="Y214" s="408">
        <v>0</v>
      </c>
      <c r="Z214" s="408">
        <v>214.27499383379001</v>
      </c>
      <c r="AA214" s="408">
        <v>0</v>
      </c>
      <c r="AB214" s="408">
        <v>0</v>
      </c>
      <c r="AC214" s="408">
        <v>0</v>
      </c>
      <c r="AD214" s="408">
        <v>258.33356617902609</v>
      </c>
      <c r="AE214" s="408">
        <v>1341.9812960002871</v>
      </c>
      <c r="AF214" s="408">
        <v>719.5578968443491</v>
      </c>
      <c r="AG214" s="408">
        <v>9.585824005302408</v>
      </c>
      <c r="AH214" s="408">
        <v>0</v>
      </c>
      <c r="AI214" s="408">
        <v>0</v>
      </c>
      <c r="AJ214" s="408">
        <v>0</v>
      </c>
      <c r="AK214" s="408">
        <v>0</v>
      </c>
      <c r="AL214" s="408">
        <v>33.112432928323933</v>
      </c>
      <c r="AM214" s="408"/>
      <c r="AN214" s="408">
        <v>6.3475617477161252</v>
      </c>
      <c r="AO214" s="408">
        <v>19.845592058759618</v>
      </c>
      <c r="AP214" s="408">
        <v>29.89363147726554</v>
      </c>
      <c r="AQ214" s="408">
        <v>0</v>
      </c>
      <c r="AR214" s="408">
        <v>0</v>
      </c>
      <c r="AS214" s="408">
        <v>0</v>
      </c>
      <c r="AT214" s="408">
        <v>0</v>
      </c>
      <c r="AU214" s="408">
        <v>0</v>
      </c>
      <c r="AV214" s="408">
        <v>0</v>
      </c>
      <c r="AW214" s="408">
        <v>0</v>
      </c>
      <c r="AX214" s="408">
        <v>0</v>
      </c>
      <c r="AY214" s="408">
        <v>0</v>
      </c>
      <c r="AZ214" s="408">
        <v>0</v>
      </c>
      <c r="BA214" s="408"/>
      <c r="BB214" s="408">
        <v>0</v>
      </c>
      <c r="BC214" s="408">
        <v>0</v>
      </c>
      <c r="BD214" s="408">
        <v>0</v>
      </c>
      <c r="BE214" s="408">
        <v>0</v>
      </c>
      <c r="BF214" s="408">
        <v>0</v>
      </c>
      <c r="BG214" s="408">
        <v>120.38069099880225</v>
      </c>
      <c r="BH214" s="408">
        <v>0</v>
      </c>
      <c r="BI214" s="408">
        <v>0</v>
      </c>
      <c r="BJ214" s="408">
        <v>0</v>
      </c>
      <c r="BK214" s="408">
        <v>0</v>
      </c>
      <c r="BL214" s="408">
        <v>0</v>
      </c>
      <c r="BM214" s="408"/>
      <c r="BN214" s="408"/>
      <c r="BO214" s="408"/>
      <c r="BP214" s="408"/>
      <c r="BQ214" s="408"/>
      <c r="BR214" s="408">
        <v>252.41017999999974</v>
      </c>
      <c r="BS214" s="408"/>
      <c r="BT214" s="408"/>
      <c r="BU214" s="408"/>
      <c r="BV214" s="408">
        <v>839.93858784315137</v>
      </c>
      <c r="BW214" s="408"/>
      <c r="BX214" s="408"/>
      <c r="BY214" s="408"/>
      <c r="BZ214" s="408"/>
      <c r="CA214" s="408"/>
      <c r="CB214" s="408"/>
      <c r="CC214" s="408"/>
      <c r="CD214" s="408"/>
      <c r="CE214" s="408"/>
      <c r="CF214" s="408"/>
      <c r="CG214" s="408"/>
      <c r="CH214" s="408"/>
      <c r="CI214" s="408">
        <v>1849.8984</v>
      </c>
      <c r="CJ214" s="408">
        <v>-573.08130000000028</v>
      </c>
      <c r="CK214" s="408"/>
      <c r="CL214" s="408"/>
      <c r="CM214" s="408"/>
      <c r="CN214" s="408"/>
      <c r="CO214" s="408">
        <v>-729.40936000000033</v>
      </c>
      <c r="CP214" s="408">
        <v>79.494059999999948</v>
      </c>
      <c r="CQ214" s="408">
        <v>31</v>
      </c>
      <c r="CR214" s="408">
        <v>102.87175780908433</v>
      </c>
      <c r="CS214" s="408">
        <v>2.3959986257471755</v>
      </c>
      <c r="CT214" s="408">
        <v>3.6091188272967223</v>
      </c>
      <c r="CU214" s="408">
        <v>0</v>
      </c>
      <c r="CV214" s="408">
        <v>0</v>
      </c>
      <c r="CW214" s="408">
        <v>0</v>
      </c>
      <c r="CX214" s="408">
        <v>0</v>
      </c>
      <c r="CY214" s="408">
        <v>0</v>
      </c>
      <c r="CZ214" s="408">
        <v>8.4688040416828585</v>
      </c>
      <c r="DA214" s="408">
        <v>0</v>
      </c>
      <c r="DB214" s="408">
        <v>0</v>
      </c>
      <c r="DC214" s="408">
        <v>79.469978927985494</v>
      </c>
      <c r="DD214" s="408">
        <v>0</v>
      </c>
      <c r="DE214" s="408">
        <v>0</v>
      </c>
      <c r="DF214" s="408">
        <v>0</v>
      </c>
      <c r="DG214" s="408">
        <v>13.295178913282328</v>
      </c>
      <c r="DH214" s="408">
        <v>0</v>
      </c>
      <c r="DI214" s="408">
        <v>-3.7352680129696978</v>
      </c>
      <c r="DJ214" s="408"/>
      <c r="DK214" s="408">
        <v>0</v>
      </c>
      <c r="DL214" s="408">
        <v>0</v>
      </c>
      <c r="DM214" s="408">
        <v>0</v>
      </c>
      <c r="DN214" s="408">
        <v>0</v>
      </c>
      <c r="DO214" s="408">
        <v>-0.48529489188563701</v>
      </c>
      <c r="DP214" s="408">
        <v>-0.14675862205507162</v>
      </c>
      <c r="DQ214" s="408">
        <v>0</v>
      </c>
      <c r="DR214" s="408">
        <v>0</v>
      </c>
      <c r="DS214" s="408"/>
      <c r="DT214" s="408"/>
      <c r="DU214" s="408"/>
      <c r="DV214" s="408">
        <v>1341.9812960002871</v>
      </c>
      <c r="DW214" s="408">
        <v>0</v>
      </c>
      <c r="DX214" s="408">
        <v>0</v>
      </c>
      <c r="DY214" s="408">
        <v>-729.40936000000033</v>
      </c>
      <c r="DZ214" s="408">
        <v>79.49405999999999</v>
      </c>
      <c r="EA214" s="408">
        <v>0</v>
      </c>
      <c r="EB214" s="408">
        <v>0</v>
      </c>
      <c r="EC214" s="408">
        <v>-752.8376835689329</v>
      </c>
      <c r="ED214" s="408">
        <v>0</v>
      </c>
      <c r="EE214" s="408">
        <v>0</v>
      </c>
      <c r="EF214" s="408">
        <v>0</v>
      </c>
      <c r="EG214" s="408">
        <v>0</v>
      </c>
      <c r="EH214" s="408">
        <v>0</v>
      </c>
      <c r="EI214" s="408">
        <v>0</v>
      </c>
      <c r="EJ214" s="408">
        <v>0</v>
      </c>
      <c r="EK214" s="408">
        <v>0</v>
      </c>
      <c r="EL214" s="408">
        <v>0</v>
      </c>
      <c r="EM214" s="408">
        <v>0</v>
      </c>
      <c r="EN214" s="408">
        <v>0</v>
      </c>
      <c r="EO214" s="408">
        <v>0</v>
      </c>
      <c r="EP214" s="408">
        <v>0</v>
      </c>
      <c r="EQ214" s="408">
        <v>0</v>
      </c>
      <c r="ER214" s="408">
        <v>0</v>
      </c>
      <c r="ES214" s="408">
        <v>0</v>
      </c>
      <c r="ET214" s="408">
        <v>0</v>
      </c>
      <c r="EU214" s="408">
        <v>0</v>
      </c>
      <c r="EV214" s="408">
        <v>238</v>
      </c>
      <c r="EW214" s="408">
        <v>0</v>
      </c>
      <c r="EX214" s="408">
        <v>0</v>
      </c>
      <c r="EY214" s="408">
        <v>0</v>
      </c>
      <c r="EZ214" s="408"/>
      <c r="FA214" s="408">
        <v>0</v>
      </c>
      <c r="FB214" s="408"/>
      <c r="FC214" s="408"/>
      <c r="FD214" s="408"/>
      <c r="FE214" s="408"/>
      <c r="FF214" s="408">
        <v>0</v>
      </c>
      <c r="FG214" s="408">
        <v>0</v>
      </c>
      <c r="FH214" s="408">
        <v>0</v>
      </c>
      <c r="FI214" s="408">
        <v>0</v>
      </c>
    </row>
    <row r="215" spans="1:165">
      <c r="A215" s="408">
        <v>219</v>
      </c>
      <c r="B215" s="408" t="s">
        <v>1036</v>
      </c>
      <c r="C215" s="408" t="s">
        <v>2235</v>
      </c>
      <c r="D215" s="408" t="s">
        <v>2245</v>
      </c>
      <c r="E215" s="408" t="s">
        <v>974</v>
      </c>
      <c r="F215" s="408" t="s">
        <v>2252</v>
      </c>
      <c r="G215" s="408" t="s">
        <v>2254</v>
      </c>
      <c r="H215" s="408" t="s">
        <v>1322</v>
      </c>
      <c r="I215" s="408" t="s">
        <v>1322</v>
      </c>
      <c r="J215" s="408" t="s">
        <v>2236</v>
      </c>
      <c r="K215" s="824">
        <v>44470</v>
      </c>
      <c r="L215" s="408">
        <v>0</v>
      </c>
      <c r="M215" s="408">
        <v>0</v>
      </c>
      <c r="N215" s="408">
        <v>96.813000000000002</v>
      </c>
      <c r="O215" s="408">
        <v>38.725200000000001</v>
      </c>
      <c r="P215" s="408">
        <v>96.813000000000002</v>
      </c>
      <c r="Q215" s="408">
        <v>38.725200000000001</v>
      </c>
      <c r="R215" s="408"/>
      <c r="S215" s="408">
        <v>581.32000000000005</v>
      </c>
      <c r="T215" s="408">
        <v>209.4</v>
      </c>
      <c r="U215" s="408"/>
      <c r="V215" s="408">
        <v>76551.975360000011</v>
      </c>
      <c r="W215" s="408">
        <v>76551.975360000011</v>
      </c>
      <c r="X215" s="408">
        <v>58481.828909999997</v>
      </c>
      <c r="Y215" s="408">
        <v>0</v>
      </c>
      <c r="Z215" s="408">
        <v>5957.6694365395497</v>
      </c>
      <c r="AA215" s="408">
        <v>0</v>
      </c>
      <c r="AB215" s="408">
        <v>0</v>
      </c>
      <c r="AC215" s="408">
        <v>0</v>
      </c>
      <c r="AD215" s="408">
        <v>7182.6673011171888</v>
      </c>
      <c r="AE215" s="408">
        <v>37312.244459987305</v>
      </c>
      <c r="AF215" s="408">
        <v>20006.478652266505</v>
      </c>
      <c r="AG215" s="408">
        <v>266.52279707792707</v>
      </c>
      <c r="AH215" s="408">
        <v>0</v>
      </c>
      <c r="AI215" s="408">
        <v>0</v>
      </c>
      <c r="AJ215" s="408">
        <v>0</v>
      </c>
      <c r="AK215" s="408">
        <v>0</v>
      </c>
      <c r="AL215" s="408">
        <v>920.6530640694499</v>
      </c>
      <c r="AM215" s="408"/>
      <c r="AN215" s="408">
        <v>176.4866443083404</v>
      </c>
      <c r="AO215" s="408">
        <v>551.78383227590314</v>
      </c>
      <c r="AP215" s="408">
        <v>831.15799661358665</v>
      </c>
      <c r="AQ215" s="408">
        <v>0</v>
      </c>
      <c r="AR215" s="408">
        <v>0</v>
      </c>
      <c r="AS215" s="408">
        <v>0</v>
      </c>
      <c r="AT215" s="408">
        <v>0</v>
      </c>
      <c r="AU215" s="408">
        <v>0</v>
      </c>
      <c r="AV215" s="408">
        <v>0</v>
      </c>
      <c r="AW215" s="408">
        <v>0</v>
      </c>
      <c r="AX215" s="408">
        <v>0</v>
      </c>
      <c r="AY215" s="408">
        <v>0</v>
      </c>
      <c r="AZ215" s="408">
        <v>0</v>
      </c>
      <c r="BA215" s="408"/>
      <c r="BB215" s="408">
        <v>0</v>
      </c>
      <c r="BC215" s="408">
        <v>0</v>
      </c>
      <c r="BD215" s="408">
        <v>0</v>
      </c>
      <c r="BE215" s="408">
        <v>0</v>
      </c>
      <c r="BF215" s="408">
        <v>0</v>
      </c>
      <c r="BG215" s="408">
        <v>3347.0464783650323</v>
      </c>
      <c r="BH215" s="408">
        <v>0</v>
      </c>
      <c r="BI215" s="408">
        <v>0</v>
      </c>
      <c r="BJ215" s="408">
        <v>0</v>
      </c>
      <c r="BK215" s="408">
        <v>0</v>
      </c>
      <c r="BL215" s="408">
        <v>0</v>
      </c>
      <c r="BM215" s="408"/>
      <c r="BN215" s="408"/>
      <c r="BO215" s="408"/>
      <c r="BP215" s="408"/>
      <c r="BQ215" s="408"/>
      <c r="BR215" s="408"/>
      <c r="BS215" s="408">
        <v>37896.287093999992</v>
      </c>
      <c r="BT215" s="408"/>
      <c r="BU215" s="408"/>
      <c r="BV215" s="408">
        <v>23353.525130631537</v>
      </c>
      <c r="BW215" s="408"/>
      <c r="BX215" s="408"/>
      <c r="BY215" s="408"/>
      <c r="BZ215" s="408"/>
      <c r="CA215" s="408"/>
      <c r="CB215" s="408"/>
      <c r="CC215" s="408"/>
      <c r="CD215" s="408"/>
      <c r="CE215" s="408"/>
      <c r="CF215" s="408"/>
      <c r="CG215" s="408"/>
      <c r="CH215" s="408"/>
      <c r="CI215" s="408">
        <v>20588.093400000002</v>
      </c>
      <c r="CJ215" s="408">
        <v>-6358.8670199999942</v>
      </c>
      <c r="CK215" s="408"/>
      <c r="CL215" s="408"/>
      <c r="CM215" s="408"/>
      <c r="CN215" s="408"/>
      <c r="CO215" s="408">
        <v>-20280.387240000007</v>
      </c>
      <c r="CP215" s="408">
        <v>2210.2407899999985</v>
      </c>
      <c r="CQ215" s="408">
        <v>31</v>
      </c>
      <c r="CR215" s="408">
        <v>2860.2307549600519</v>
      </c>
      <c r="CS215" s="408">
        <v>66.61798246825424</v>
      </c>
      <c r="CT215" s="408">
        <v>100.34739259824164</v>
      </c>
      <c r="CU215" s="408">
        <v>0</v>
      </c>
      <c r="CV215" s="408">
        <v>0</v>
      </c>
      <c r="CW215" s="408">
        <v>0</v>
      </c>
      <c r="CX215" s="408">
        <v>0</v>
      </c>
      <c r="CY215" s="408">
        <v>0</v>
      </c>
      <c r="CZ215" s="408">
        <v>235.46534339099526</v>
      </c>
      <c r="DA215" s="408">
        <v>0</v>
      </c>
      <c r="DB215" s="408">
        <v>0</v>
      </c>
      <c r="DC215" s="408">
        <v>2209.5712435252899</v>
      </c>
      <c r="DD215" s="408">
        <v>0</v>
      </c>
      <c r="DE215" s="408">
        <v>0</v>
      </c>
      <c r="DF215" s="408">
        <v>0</v>
      </c>
      <c r="DG215" s="408">
        <v>369.65713846398694</v>
      </c>
      <c r="DH215" s="408">
        <v>0</v>
      </c>
      <c r="DI215" s="408">
        <v>-103.85482542781119</v>
      </c>
      <c r="DJ215" s="408"/>
      <c r="DK215" s="408">
        <v>0</v>
      </c>
      <c r="DL215" s="408">
        <v>0</v>
      </c>
      <c r="DM215" s="408">
        <v>0</v>
      </c>
      <c r="DN215" s="408">
        <v>0</v>
      </c>
      <c r="DO215" s="408">
        <v>-13.493065585331351</v>
      </c>
      <c r="DP215" s="408">
        <v>-4.0804544735835009</v>
      </c>
      <c r="DQ215" s="408">
        <v>0</v>
      </c>
      <c r="DR215" s="408">
        <v>0</v>
      </c>
      <c r="DS215" s="408"/>
      <c r="DT215" s="408"/>
      <c r="DU215" s="408"/>
      <c r="DV215" s="408">
        <v>37312.244459987305</v>
      </c>
      <c r="DW215" s="408">
        <v>0</v>
      </c>
      <c r="DX215" s="408">
        <v>0</v>
      </c>
      <c r="DY215" s="408">
        <v>-20280.387240000011</v>
      </c>
      <c r="DZ215" s="408">
        <v>2210.2407899999962</v>
      </c>
      <c r="EA215" s="408">
        <v>0</v>
      </c>
      <c r="EB215" s="408">
        <v>0</v>
      </c>
      <c r="EC215" s="408">
        <v>-20931.784795910142</v>
      </c>
      <c r="ED215" s="408">
        <v>0</v>
      </c>
      <c r="EE215" s="408">
        <v>0</v>
      </c>
      <c r="EF215" s="408">
        <v>0</v>
      </c>
      <c r="EG215" s="408">
        <v>0</v>
      </c>
      <c r="EH215" s="408">
        <v>0</v>
      </c>
      <c r="EI215" s="408">
        <v>0</v>
      </c>
      <c r="EJ215" s="408">
        <v>0</v>
      </c>
      <c r="EK215" s="408">
        <v>0</v>
      </c>
      <c r="EL215" s="408">
        <v>0</v>
      </c>
      <c r="EM215" s="408">
        <v>0</v>
      </c>
      <c r="EN215" s="408">
        <v>0</v>
      </c>
      <c r="EO215" s="408">
        <v>0</v>
      </c>
      <c r="EP215" s="408">
        <v>0</v>
      </c>
      <c r="EQ215" s="408">
        <v>0</v>
      </c>
      <c r="ER215" s="408">
        <v>0</v>
      </c>
      <c r="ES215" s="408">
        <v>0</v>
      </c>
      <c r="ET215" s="408">
        <v>0</v>
      </c>
      <c r="EU215" s="408">
        <v>0</v>
      </c>
      <c r="EV215" s="408">
        <v>238</v>
      </c>
      <c r="EW215" s="408">
        <v>0</v>
      </c>
      <c r="EX215" s="408">
        <v>0</v>
      </c>
      <c r="EY215" s="408">
        <v>0</v>
      </c>
      <c r="EZ215" s="408"/>
      <c r="FA215" s="408">
        <v>0</v>
      </c>
      <c r="FB215" s="408"/>
      <c r="FC215" s="408"/>
      <c r="FD215" s="408"/>
      <c r="FE215" s="408"/>
      <c r="FF215" s="408">
        <v>0</v>
      </c>
      <c r="FG215" s="408">
        <v>0</v>
      </c>
      <c r="FH215" s="408">
        <v>0</v>
      </c>
      <c r="FI215" s="408">
        <v>0</v>
      </c>
    </row>
    <row r="216" spans="1:165">
      <c r="A216" s="408">
        <v>220</v>
      </c>
      <c r="B216" s="408" t="s">
        <v>2238</v>
      </c>
      <c r="C216" s="408" t="s">
        <v>2235</v>
      </c>
      <c r="D216" s="408" t="s">
        <v>2245</v>
      </c>
      <c r="E216" s="408" t="s">
        <v>974</v>
      </c>
      <c r="F216" s="408" t="s">
        <v>2252</v>
      </c>
      <c r="G216" s="408" t="s">
        <v>2254</v>
      </c>
      <c r="H216" s="408" t="s">
        <v>1322</v>
      </c>
      <c r="I216" s="408" t="s">
        <v>1322</v>
      </c>
      <c r="J216" s="408" t="s">
        <v>2236</v>
      </c>
      <c r="K216" s="824">
        <v>44470</v>
      </c>
      <c r="L216" s="408">
        <v>0</v>
      </c>
      <c r="M216" s="408">
        <v>0</v>
      </c>
      <c r="N216" s="408">
        <v>3.4580000000000002</v>
      </c>
      <c r="O216" s="408">
        <v>1.3832</v>
      </c>
      <c r="P216" s="408">
        <v>3.4580000000000002</v>
      </c>
      <c r="Q216" s="408">
        <v>1.3832</v>
      </c>
      <c r="R216" s="408"/>
      <c r="S216" s="408">
        <v>581.32000000000005</v>
      </c>
      <c r="T216" s="408">
        <v>209.4</v>
      </c>
      <c r="U216" s="408"/>
      <c r="V216" s="408">
        <v>2734.3097600000006</v>
      </c>
      <c r="W216" s="408">
        <v>2734.3097600000006</v>
      </c>
      <c r="X216" s="408">
        <v>2088.8740600000001</v>
      </c>
      <c r="Y216" s="408">
        <v>0</v>
      </c>
      <c r="Z216" s="408">
        <v>212.79808405434977</v>
      </c>
      <c r="AA216" s="408">
        <v>0</v>
      </c>
      <c r="AB216" s="408">
        <v>0</v>
      </c>
      <c r="AC216" s="408">
        <v>0</v>
      </c>
      <c r="AD216" s="408">
        <v>256.55297870392656</v>
      </c>
      <c r="AE216" s="408">
        <v>1332.731568514932</v>
      </c>
      <c r="AF216" s="408">
        <v>714.59827894536454</v>
      </c>
      <c r="AG216" s="408">
        <v>9.5197528461618983</v>
      </c>
      <c r="AH216" s="408">
        <v>0</v>
      </c>
      <c r="AI216" s="408">
        <v>0</v>
      </c>
      <c r="AJ216" s="408">
        <v>0</v>
      </c>
      <c r="AK216" s="408">
        <v>0</v>
      </c>
      <c r="AL216" s="408">
        <v>32.884202488840941</v>
      </c>
      <c r="AM216" s="408"/>
      <c r="AN216" s="408">
        <v>6.303810604136233</v>
      </c>
      <c r="AO216" s="408">
        <v>19.708804520158175</v>
      </c>
      <c r="AP216" s="408">
        <v>29.687586917973647</v>
      </c>
      <c r="AQ216" s="408">
        <v>0</v>
      </c>
      <c r="AR216" s="408">
        <v>0</v>
      </c>
      <c r="AS216" s="408">
        <v>0</v>
      </c>
      <c r="AT216" s="408">
        <v>0</v>
      </c>
      <c r="AU216" s="408">
        <v>0</v>
      </c>
      <c r="AV216" s="408">
        <v>0</v>
      </c>
      <c r="AW216" s="408">
        <v>0</v>
      </c>
      <c r="AX216" s="408">
        <v>0</v>
      </c>
      <c r="AY216" s="408">
        <v>0</v>
      </c>
      <c r="AZ216" s="408">
        <v>0</v>
      </c>
      <c r="BA216" s="408"/>
      <c r="BB216" s="408">
        <v>0</v>
      </c>
      <c r="BC216" s="408">
        <v>0</v>
      </c>
      <c r="BD216" s="408">
        <v>0</v>
      </c>
      <c r="BE216" s="408">
        <v>0</v>
      </c>
      <c r="BF216" s="408">
        <v>0</v>
      </c>
      <c r="BG216" s="408">
        <v>119.55095619582372</v>
      </c>
      <c r="BH216" s="408">
        <v>0</v>
      </c>
      <c r="BI216" s="408">
        <v>0</v>
      </c>
      <c r="BJ216" s="408">
        <v>0</v>
      </c>
      <c r="BK216" s="408">
        <v>0</v>
      </c>
      <c r="BL216" s="408">
        <v>0</v>
      </c>
      <c r="BM216" s="408"/>
      <c r="BN216" s="408"/>
      <c r="BO216" s="408"/>
      <c r="BP216" s="408"/>
      <c r="BQ216" s="408"/>
      <c r="BR216" s="408"/>
      <c r="BS216" s="408">
        <v>1353.5926040000002</v>
      </c>
      <c r="BT216" s="408"/>
      <c r="BU216" s="408"/>
      <c r="BV216" s="408">
        <v>834.14923514118823</v>
      </c>
      <c r="BW216" s="408"/>
      <c r="BX216" s="408"/>
      <c r="BY216" s="408"/>
      <c r="BZ216" s="408"/>
      <c r="CA216" s="408"/>
      <c r="CB216" s="408"/>
      <c r="CC216" s="408"/>
      <c r="CD216" s="408"/>
      <c r="CE216" s="408"/>
      <c r="CF216" s="408"/>
      <c r="CG216" s="408"/>
      <c r="CH216" s="408"/>
      <c r="CI216" s="408">
        <v>733.58040000000005</v>
      </c>
      <c r="CJ216" s="408">
        <v>-228.94931999999994</v>
      </c>
      <c r="CK216" s="408"/>
      <c r="CL216" s="408"/>
      <c r="CM216" s="408"/>
      <c r="CN216" s="408"/>
      <c r="CO216" s="408">
        <v>-724.38184000000035</v>
      </c>
      <c r="CP216" s="408">
        <v>78.946139999999943</v>
      </c>
      <c r="CQ216" s="408">
        <v>31</v>
      </c>
      <c r="CR216" s="408">
        <v>102.16270491206569</v>
      </c>
      <c r="CS216" s="408">
        <v>2.379483988464596</v>
      </c>
      <c r="CT216" s="408">
        <v>3.5842426492797443</v>
      </c>
      <c r="CU216" s="408">
        <v>0</v>
      </c>
      <c r="CV216" s="408">
        <v>0</v>
      </c>
      <c r="CW216" s="408">
        <v>0</v>
      </c>
      <c r="CX216" s="408">
        <v>0</v>
      </c>
      <c r="CY216" s="408">
        <v>0</v>
      </c>
      <c r="CZ216" s="408">
        <v>8.4104320436931062</v>
      </c>
      <c r="DA216" s="408">
        <v>0</v>
      </c>
      <c r="DB216" s="408">
        <v>0</v>
      </c>
      <c r="DC216" s="408">
        <v>78.922224908952785</v>
      </c>
      <c r="DD216" s="408">
        <v>0</v>
      </c>
      <c r="DE216" s="408">
        <v>0</v>
      </c>
      <c r="DF216" s="408">
        <v>0</v>
      </c>
      <c r="DG216" s="408">
        <v>13.203540689870863</v>
      </c>
      <c r="DH216" s="408">
        <v>0</v>
      </c>
      <c r="DI216" s="408">
        <v>-3.7095223402783688</v>
      </c>
      <c r="DJ216" s="408"/>
      <c r="DK216" s="408">
        <v>0</v>
      </c>
      <c r="DL216" s="408">
        <v>0</v>
      </c>
      <c r="DM216" s="408">
        <v>0</v>
      </c>
      <c r="DN216" s="408">
        <v>0</v>
      </c>
      <c r="DO216" s="408">
        <v>-0.48194995294099385</v>
      </c>
      <c r="DP216" s="408">
        <v>-0.14574707497600237</v>
      </c>
      <c r="DQ216" s="408">
        <v>0</v>
      </c>
      <c r="DR216" s="408">
        <v>0</v>
      </c>
      <c r="DS216" s="408"/>
      <c r="DT216" s="408"/>
      <c r="DU216" s="408"/>
      <c r="DV216" s="408">
        <v>1332.731568514932</v>
      </c>
      <c r="DW216" s="408">
        <v>0</v>
      </c>
      <c r="DX216" s="408">
        <v>0</v>
      </c>
      <c r="DY216" s="408">
        <v>-724.38184000000047</v>
      </c>
      <c r="DZ216" s="408">
        <v>78.9461399999999</v>
      </c>
      <c r="EA216" s="408">
        <v>0</v>
      </c>
      <c r="EB216" s="408">
        <v>0</v>
      </c>
      <c r="EC216" s="408">
        <v>-747.64868172928504</v>
      </c>
      <c r="ED216" s="408">
        <v>0</v>
      </c>
      <c r="EE216" s="408">
        <v>0</v>
      </c>
      <c r="EF216" s="408">
        <v>0</v>
      </c>
      <c r="EG216" s="408">
        <v>0</v>
      </c>
      <c r="EH216" s="408">
        <v>0</v>
      </c>
      <c r="EI216" s="408">
        <v>0</v>
      </c>
      <c r="EJ216" s="408">
        <v>0</v>
      </c>
      <c r="EK216" s="408">
        <v>0</v>
      </c>
      <c r="EL216" s="408">
        <v>0</v>
      </c>
      <c r="EM216" s="408">
        <v>0</v>
      </c>
      <c r="EN216" s="408">
        <v>0</v>
      </c>
      <c r="EO216" s="408">
        <v>0</v>
      </c>
      <c r="EP216" s="408">
        <v>0</v>
      </c>
      <c r="EQ216" s="408">
        <v>0</v>
      </c>
      <c r="ER216" s="408">
        <v>0</v>
      </c>
      <c r="ES216" s="408">
        <v>0</v>
      </c>
      <c r="ET216" s="408">
        <v>0</v>
      </c>
      <c r="EU216" s="408">
        <v>0</v>
      </c>
      <c r="EV216" s="408">
        <v>238</v>
      </c>
      <c r="EW216" s="408">
        <v>0</v>
      </c>
      <c r="EX216" s="408">
        <v>0</v>
      </c>
      <c r="EY216" s="408">
        <v>0</v>
      </c>
      <c r="EZ216" s="408"/>
      <c r="FA216" s="408">
        <v>0</v>
      </c>
      <c r="FB216" s="408"/>
      <c r="FC216" s="408"/>
      <c r="FD216" s="408"/>
      <c r="FE216" s="408"/>
      <c r="FF216" s="408">
        <v>0</v>
      </c>
      <c r="FG216" s="408">
        <v>0</v>
      </c>
      <c r="FH216" s="408">
        <v>0</v>
      </c>
      <c r="FI216" s="408">
        <v>0</v>
      </c>
    </row>
    <row r="217" spans="1:165">
      <c r="A217" s="408">
        <v>221</v>
      </c>
      <c r="B217" s="408" t="s">
        <v>1036</v>
      </c>
      <c r="C217" s="408" t="s">
        <v>2243</v>
      </c>
      <c r="D217" s="408" t="s">
        <v>597</v>
      </c>
      <c r="E217" s="408" t="s">
        <v>974</v>
      </c>
      <c r="F217" s="408" t="s">
        <v>2252</v>
      </c>
      <c r="G217" s="408" t="s">
        <v>1322</v>
      </c>
      <c r="H217" s="408" t="s">
        <v>1322</v>
      </c>
      <c r="I217" s="408" t="s">
        <v>973</v>
      </c>
      <c r="J217" s="408" t="s">
        <v>2236</v>
      </c>
      <c r="K217" s="824">
        <v>44470</v>
      </c>
      <c r="L217" s="408">
        <v>0</v>
      </c>
      <c r="M217" s="408">
        <v>0</v>
      </c>
      <c r="N217" s="408">
        <v>16.465</v>
      </c>
      <c r="O217" s="408">
        <v>15.8064</v>
      </c>
      <c r="P217" s="408">
        <v>16.465</v>
      </c>
      <c r="Q217" s="408">
        <v>15.8064</v>
      </c>
      <c r="R217" s="408"/>
      <c r="S217" s="408">
        <v>1614.19</v>
      </c>
      <c r="T217" s="408">
        <v>209.4</v>
      </c>
      <c r="U217" s="408"/>
      <c r="V217" s="408">
        <v>30025.409350000002</v>
      </c>
      <c r="W217" s="408">
        <v>30025.409350000002</v>
      </c>
      <c r="X217" s="408">
        <v>19958.049749999998</v>
      </c>
      <c r="Y217" s="408">
        <v>0</v>
      </c>
      <c r="Z217" s="408">
        <v>881.50283254503699</v>
      </c>
      <c r="AA217" s="408">
        <v>0</v>
      </c>
      <c r="AB217" s="408">
        <v>0</v>
      </c>
      <c r="AC217" s="408">
        <v>0</v>
      </c>
      <c r="AD217" s="408">
        <v>5127.4972110139106</v>
      </c>
      <c r="AE217" s="408">
        <v>19146.104884783959</v>
      </c>
      <c r="AF217" s="408">
        <v>3402.5045294492265</v>
      </c>
      <c r="AG217" s="408">
        <v>45.327568135354433</v>
      </c>
      <c r="AH217" s="408">
        <v>0</v>
      </c>
      <c r="AI217" s="408">
        <v>0</v>
      </c>
      <c r="AJ217" s="408">
        <v>0</v>
      </c>
      <c r="AK217" s="408">
        <v>0</v>
      </c>
      <c r="AL217" s="408">
        <v>156.57559108697689</v>
      </c>
      <c r="AM217" s="408"/>
      <c r="AN217" s="408">
        <v>21.862956539586197</v>
      </c>
      <c r="AO217" s="408">
        <v>398.36944626254774</v>
      </c>
      <c r="AP217" s="408">
        <v>593.37725863233891</v>
      </c>
      <c r="AQ217" s="408">
        <v>0</v>
      </c>
      <c r="AR217" s="408">
        <v>0</v>
      </c>
      <c r="AS217" s="408">
        <v>0</v>
      </c>
      <c r="AT217" s="408">
        <v>0</v>
      </c>
      <c r="AU217" s="408">
        <v>0</v>
      </c>
      <c r="AV217" s="408">
        <v>0</v>
      </c>
      <c r="AW217" s="408">
        <v>0</v>
      </c>
      <c r="AX217" s="408">
        <v>0</v>
      </c>
      <c r="AY217" s="408">
        <v>0</v>
      </c>
      <c r="AZ217" s="408">
        <v>0</v>
      </c>
      <c r="BA217" s="408"/>
      <c r="BB217" s="408">
        <v>0</v>
      </c>
      <c r="BC217" s="408">
        <v>0</v>
      </c>
      <c r="BD217" s="408">
        <v>0</v>
      </c>
      <c r="BE217" s="408">
        <v>0</v>
      </c>
      <c r="BF217" s="408">
        <v>0</v>
      </c>
      <c r="BG217" s="408">
        <v>252.31684468749719</v>
      </c>
      <c r="BH217" s="408">
        <v>0</v>
      </c>
      <c r="BI217" s="408">
        <v>0</v>
      </c>
      <c r="BJ217" s="408">
        <v>0</v>
      </c>
      <c r="BK217" s="408">
        <v>0</v>
      </c>
      <c r="BL217" s="408">
        <v>0</v>
      </c>
      <c r="BM217" s="408"/>
      <c r="BN217" s="408"/>
      <c r="BO217" s="408"/>
      <c r="BP217" s="408"/>
      <c r="BQ217" s="408"/>
      <c r="BR217" s="408">
        <v>798.32198999999969</v>
      </c>
      <c r="BS217" s="408"/>
      <c r="BT217" s="408"/>
      <c r="BU217" s="408"/>
      <c r="BV217" s="408">
        <v>3654.8213741367235</v>
      </c>
      <c r="BW217" s="408"/>
      <c r="BX217" s="408"/>
      <c r="BY217" s="408"/>
      <c r="BZ217" s="408"/>
      <c r="CA217" s="408"/>
      <c r="CB217" s="408"/>
      <c r="CC217" s="408"/>
      <c r="CD217" s="408"/>
      <c r="CE217" s="408"/>
      <c r="CF217" s="408"/>
      <c r="CG217" s="408"/>
      <c r="CH217" s="408"/>
      <c r="CI217" s="408">
        <v>19164.091499999999</v>
      </c>
      <c r="CJ217" s="408">
        <v>-9660.3314759999994</v>
      </c>
      <c r="CK217" s="408"/>
      <c r="CL217" s="408"/>
      <c r="CM217" s="408"/>
      <c r="CN217" s="408"/>
      <c r="CO217" s="408">
        <v>-10443.255550000002</v>
      </c>
      <c r="CP217" s="408">
        <v>375.89594999999974</v>
      </c>
      <c r="CQ217" s="408">
        <v>31</v>
      </c>
      <c r="CR217" s="408">
        <v>673.30939180127461</v>
      </c>
      <c r="CS217" s="408">
        <v>48.095952136807114</v>
      </c>
      <c r="CT217" s="408">
        <v>71.639641287757627</v>
      </c>
      <c r="CU217" s="408">
        <v>0</v>
      </c>
      <c r="CV217" s="408">
        <v>0</v>
      </c>
      <c r="CW217" s="408">
        <v>0</v>
      </c>
      <c r="CX217" s="408">
        <v>0</v>
      </c>
      <c r="CY217" s="408">
        <v>0</v>
      </c>
      <c r="CZ217" s="408">
        <v>168.0918579286008</v>
      </c>
      <c r="DA217" s="408">
        <v>0</v>
      </c>
      <c r="DB217" s="408">
        <v>0</v>
      </c>
      <c r="DC217" s="408">
        <v>375.78208014051734</v>
      </c>
      <c r="DD217" s="408">
        <v>0</v>
      </c>
      <c r="DE217" s="408">
        <v>0</v>
      </c>
      <c r="DF217" s="408">
        <v>0</v>
      </c>
      <c r="DG217" s="408">
        <v>27.866575321357828</v>
      </c>
      <c r="DH217" s="408">
        <v>0</v>
      </c>
      <c r="DI217" s="408">
        <v>-15.366465656285982</v>
      </c>
      <c r="DJ217" s="408"/>
      <c r="DK217" s="408">
        <v>0</v>
      </c>
      <c r="DL217" s="408">
        <v>0</v>
      </c>
      <c r="DM217" s="408">
        <v>0</v>
      </c>
      <c r="DN217" s="408">
        <v>0</v>
      </c>
      <c r="DO217" s="408">
        <v>-2.294767488482762</v>
      </c>
      <c r="DP217" s="408">
        <v>-0.5054818689955809</v>
      </c>
      <c r="DQ217" s="408">
        <v>0</v>
      </c>
      <c r="DR217" s="408">
        <v>0</v>
      </c>
      <c r="DS217" s="408"/>
      <c r="DT217" s="408"/>
      <c r="DU217" s="408"/>
      <c r="DV217" s="408">
        <v>19146.104884783959</v>
      </c>
      <c r="DW217" s="408">
        <v>0</v>
      </c>
      <c r="DX217" s="408">
        <v>0</v>
      </c>
      <c r="DY217" s="408">
        <v>-10443.255550000002</v>
      </c>
      <c r="DZ217" s="408">
        <v>375.89594999999963</v>
      </c>
      <c r="EA217" s="408">
        <v>0</v>
      </c>
      <c r="EB217" s="408">
        <v>0</v>
      </c>
      <c r="EC217" s="408">
        <v>-10740.767620076847</v>
      </c>
      <c r="ED217" s="408">
        <v>0</v>
      </c>
      <c r="EE217" s="408">
        <v>0</v>
      </c>
      <c r="EF217" s="408">
        <v>0</v>
      </c>
      <c r="EG217" s="408">
        <v>0</v>
      </c>
      <c r="EH217" s="408">
        <v>0</v>
      </c>
      <c r="EI217" s="408">
        <v>0</v>
      </c>
      <c r="EJ217" s="408">
        <v>0</v>
      </c>
      <c r="EK217" s="408">
        <v>0</v>
      </c>
      <c r="EL217" s="408">
        <v>0</v>
      </c>
      <c r="EM217" s="408">
        <v>0</v>
      </c>
      <c r="EN217" s="408">
        <v>0</v>
      </c>
      <c r="EO217" s="408">
        <v>0</v>
      </c>
      <c r="EP217" s="408">
        <v>0</v>
      </c>
      <c r="EQ217" s="408">
        <v>0</v>
      </c>
      <c r="ER217" s="408">
        <v>0</v>
      </c>
      <c r="ES217" s="408">
        <v>0</v>
      </c>
      <c r="ET217" s="408">
        <v>0</v>
      </c>
      <c r="EU217" s="408">
        <v>0</v>
      </c>
      <c r="EV217" s="408">
        <v>238</v>
      </c>
      <c r="EW217" s="408">
        <v>0</v>
      </c>
      <c r="EX217" s="408">
        <v>0</v>
      </c>
      <c r="EY217" s="408">
        <v>0</v>
      </c>
      <c r="EZ217" s="408"/>
      <c r="FA217" s="408">
        <v>0</v>
      </c>
      <c r="FB217" s="408"/>
      <c r="FC217" s="408"/>
      <c r="FD217" s="408"/>
      <c r="FE217" s="408"/>
      <c r="FF217" s="408">
        <v>0</v>
      </c>
      <c r="FG217" s="408">
        <v>0</v>
      </c>
      <c r="FH217" s="408">
        <v>0</v>
      </c>
      <c r="FI217" s="408">
        <v>0</v>
      </c>
    </row>
    <row r="218" spans="1:165">
      <c r="A218" s="408">
        <v>222</v>
      </c>
      <c r="B218" s="408" t="s">
        <v>2237</v>
      </c>
      <c r="C218" s="408" t="s">
        <v>2243</v>
      </c>
      <c r="D218" s="408" t="s">
        <v>597</v>
      </c>
      <c r="E218" s="408" t="s">
        <v>974</v>
      </c>
      <c r="F218" s="408" t="s">
        <v>2252</v>
      </c>
      <c r="G218" s="408" t="s">
        <v>1322</v>
      </c>
      <c r="H218" s="408" t="s">
        <v>1322</v>
      </c>
      <c r="I218" s="408" t="s">
        <v>973</v>
      </c>
      <c r="J218" s="408" t="s">
        <v>2236</v>
      </c>
      <c r="K218" s="824">
        <v>44470</v>
      </c>
      <c r="L218" s="408">
        <v>0</v>
      </c>
      <c r="M218" s="408">
        <v>0</v>
      </c>
      <c r="N218" s="408">
        <v>5.0000000000000001E-3</v>
      </c>
      <c r="O218" s="408">
        <v>4.7999999999999996E-3</v>
      </c>
      <c r="P218" s="408">
        <v>5.0000000000000001E-3</v>
      </c>
      <c r="Q218" s="408">
        <v>4.7999999999999996E-3</v>
      </c>
      <c r="R218" s="408"/>
      <c r="S218" s="408">
        <v>1614.19</v>
      </c>
      <c r="T218" s="408">
        <v>209.4</v>
      </c>
      <c r="U218" s="408"/>
      <c r="V218" s="408">
        <v>9.1179500000000004</v>
      </c>
      <c r="W218" s="408">
        <v>9.1179500000000004</v>
      </c>
      <c r="X218" s="408">
        <v>6.0607499999999996</v>
      </c>
      <c r="Y218" s="408">
        <v>0</v>
      </c>
      <c r="Z218" s="408">
        <v>0.26768989752354599</v>
      </c>
      <c r="AA218" s="408">
        <v>0</v>
      </c>
      <c r="AB218" s="408">
        <v>0</v>
      </c>
      <c r="AC218" s="408">
        <v>0</v>
      </c>
      <c r="AD218" s="408">
        <v>1.5570899517199852</v>
      </c>
      <c r="AE218" s="408">
        <v>5.8141830807118007</v>
      </c>
      <c r="AF218" s="408">
        <v>1.0332537289551251</v>
      </c>
      <c r="AG218" s="408">
        <v>1.37648248209397E-2</v>
      </c>
      <c r="AH218" s="408">
        <v>0</v>
      </c>
      <c r="AI218" s="408">
        <v>0</v>
      </c>
      <c r="AJ218" s="408">
        <v>0</v>
      </c>
      <c r="AK218" s="408">
        <v>0</v>
      </c>
      <c r="AL218" s="408">
        <v>4.7548008225623106E-2</v>
      </c>
      <c r="AM218" s="408"/>
      <c r="AN218" s="408">
        <v>6.6392215425406E-3</v>
      </c>
      <c r="AO218" s="408">
        <v>0.12097462686381651</v>
      </c>
      <c r="AP218" s="408">
        <v>0.180193519171679</v>
      </c>
      <c r="AQ218" s="408">
        <v>0</v>
      </c>
      <c r="AR218" s="408">
        <v>0</v>
      </c>
      <c r="AS218" s="408">
        <v>0</v>
      </c>
      <c r="AT218" s="408">
        <v>0</v>
      </c>
      <c r="AU218" s="408">
        <v>0</v>
      </c>
      <c r="AV218" s="408">
        <v>0</v>
      </c>
      <c r="AW218" s="408">
        <v>0</v>
      </c>
      <c r="AX218" s="408">
        <v>0</v>
      </c>
      <c r="AY218" s="408">
        <v>0</v>
      </c>
      <c r="AZ218" s="408">
        <v>0</v>
      </c>
      <c r="BA218" s="408"/>
      <c r="BB218" s="408">
        <v>0</v>
      </c>
      <c r="BC218" s="408">
        <v>0</v>
      </c>
      <c r="BD218" s="408">
        <v>0</v>
      </c>
      <c r="BE218" s="408">
        <v>0</v>
      </c>
      <c r="BF218" s="408">
        <v>0</v>
      </c>
      <c r="BG218" s="408">
        <v>7.6622181806103001E-2</v>
      </c>
      <c r="BH218" s="408">
        <v>0</v>
      </c>
      <c r="BI218" s="408">
        <v>0</v>
      </c>
      <c r="BJ218" s="408">
        <v>0</v>
      </c>
      <c r="BK218" s="408">
        <v>0</v>
      </c>
      <c r="BL218" s="408">
        <v>0</v>
      </c>
      <c r="BM218" s="408"/>
      <c r="BN218" s="408"/>
      <c r="BO218" s="408"/>
      <c r="BP218" s="408"/>
      <c r="BQ218" s="408"/>
      <c r="BR218" s="408">
        <v>0.24243000000000064</v>
      </c>
      <c r="BS218" s="408"/>
      <c r="BT218" s="408"/>
      <c r="BU218" s="408"/>
      <c r="BV218" s="408">
        <v>1.1098759107612282</v>
      </c>
      <c r="BW218" s="408"/>
      <c r="BX218" s="408"/>
      <c r="BY218" s="408"/>
      <c r="BZ218" s="408"/>
      <c r="CA218" s="408"/>
      <c r="CB218" s="408"/>
      <c r="CC218" s="408"/>
      <c r="CD218" s="408"/>
      <c r="CE218" s="408"/>
      <c r="CF218" s="408"/>
      <c r="CG218" s="408"/>
      <c r="CH218" s="408"/>
      <c r="CI218" s="408">
        <v>0</v>
      </c>
      <c r="CJ218" s="408">
        <v>-8.7832319999999999</v>
      </c>
      <c r="CK218" s="408"/>
      <c r="CL218" s="408"/>
      <c r="CM218" s="408"/>
      <c r="CN218" s="408"/>
      <c r="CO218" s="408">
        <v>-3.1713500000000003</v>
      </c>
      <c r="CP218" s="408">
        <v>0.11414999999999992</v>
      </c>
      <c r="CQ218" s="408">
        <v>31</v>
      </c>
      <c r="CR218" s="408">
        <v>0.20446686662656433</v>
      </c>
      <c r="CS218" s="408">
        <v>1.4605512340360491E-2</v>
      </c>
      <c r="CT218" s="408">
        <v>2.1755129452704997E-2</v>
      </c>
      <c r="CU218" s="408">
        <v>0</v>
      </c>
      <c r="CV218" s="408">
        <v>0</v>
      </c>
      <c r="CW218" s="408">
        <v>0</v>
      </c>
      <c r="CX218" s="408">
        <v>0</v>
      </c>
      <c r="CY218" s="408">
        <v>0</v>
      </c>
      <c r="CZ218" s="408">
        <v>5.1045204351229945E-2</v>
      </c>
      <c r="DA218" s="408">
        <v>0</v>
      </c>
      <c r="DB218" s="408">
        <v>0</v>
      </c>
      <c r="DC218" s="408">
        <v>0.1141154206317998</v>
      </c>
      <c r="DD218" s="408">
        <v>0</v>
      </c>
      <c r="DE218" s="408">
        <v>0</v>
      </c>
      <c r="DF218" s="408">
        <v>0</v>
      </c>
      <c r="DG218" s="408">
        <v>8.4623672400114952E-3</v>
      </c>
      <c r="DH218" s="408">
        <v>0</v>
      </c>
      <c r="DI218" s="408">
        <v>-4.6664031753069768E-3</v>
      </c>
      <c r="DJ218" s="408"/>
      <c r="DK218" s="408">
        <v>0</v>
      </c>
      <c r="DL218" s="408">
        <v>0</v>
      </c>
      <c r="DM218" s="408">
        <v>0</v>
      </c>
      <c r="DN218" s="408">
        <v>0</v>
      </c>
      <c r="DO218" s="408">
        <v>-6.9686228013445678E-4</v>
      </c>
      <c r="DP218" s="408">
        <v>-1.5350193410130011E-4</v>
      </c>
      <c r="DQ218" s="408">
        <v>0</v>
      </c>
      <c r="DR218" s="408">
        <v>0</v>
      </c>
      <c r="DS218" s="408"/>
      <c r="DT218" s="408"/>
      <c r="DU218" s="408"/>
      <c r="DV218" s="408">
        <v>5.8141830807118007</v>
      </c>
      <c r="DW218" s="408">
        <v>0</v>
      </c>
      <c r="DX218" s="408">
        <v>0</v>
      </c>
      <c r="DY218" s="408">
        <v>-3.1713500000000003</v>
      </c>
      <c r="DZ218" s="408">
        <v>0.11414999999999975</v>
      </c>
      <c r="EA218" s="408">
        <v>0</v>
      </c>
      <c r="EB218" s="408">
        <v>0</v>
      </c>
      <c r="EC218" s="408">
        <v>-3.2616968175149856</v>
      </c>
      <c r="ED218" s="408">
        <v>0</v>
      </c>
      <c r="EE218" s="408">
        <v>0</v>
      </c>
      <c r="EF218" s="408">
        <v>0</v>
      </c>
      <c r="EG218" s="408">
        <v>0</v>
      </c>
      <c r="EH218" s="408">
        <v>0</v>
      </c>
      <c r="EI218" s="408">
        <v>0</v>
      </c>
      <c r="EJ218" s="408">
        <v>0</v>
      </c>
      <c r="EK218" s="408">
        <v>0</v>
      </c>
      <c r="EL218" s="408">
        <v>0</v>
      </c>
      <c r="EM218" s="408">
        <v>0</v>
      </c>
      <c r="EN218" s="408">
        <v>0</v>
      </c>
      <c r="EO218" s="408">
        <v>0</v>
      </c>
      <c r="EP218" s="408">
        <v>0</v>
      </c>
      <c r="EQ218" s="408">
        <v>0</v>
      </c>
      <c r="ER218" s="408">
        <v>0</v>
      </c>
      <c r="ES218" s="408">
        <v>0</v>
      </c>
      <c r="ET218" s="408">
        <v>0</v>
      </c>
      <c r="EU218" s="408">
        <v>0</v>
      </c>
      <c r="EV218" s="408">
        <v>238</v>
      </c>
      <c r="EW218" s="408">
        <v>0</v>
      </c>
      <c r="EX218" s="408">
        <v>0</v>
      </c>
      <c r="EY218" s="408">
        <v>0</v>
      </c>
      <c r="EZ218" s="408"/>
      <c r="FA218" s="408">
        <v>0</v>
      </c>
      <c r="FB218" s="408"/>
      <c r="FC218" s="408"/>
      <c r="FD218" s="408"/>
      <c r="FE218" s="408"/>
      <c r="FF218" s="408">
        <v>0</v>
      </c>
      <c r="FG218" s="408">
        <v>0</v>
      </c>
      <c r="FH218" s="408">
        <v>0</v>
      </c>
      <c r="FI218" s="408">
        <v>0</v>
      </c>
    </row>
    <row r="219" spans="1:165">
      <c r="A219" s="408">
        <v>223</v>
      </c>
      <c r="B219" s="408" t="s">
        <v>2238</v>
      </c>
      <c r="C219" s="408" t="s">
        <v>2243</v>
      </c>
      <c r="D219" s="408" t="s">
        <v>597</v>
      </c>
      <c r="E219" s="408" t="s">
        <v>974</v>
      </c>
      <c r="F219" s="408" t="s">
        <v>2252</v>
      </c>
      <c r="G219" s="408" t="s">
        <v>1322</v>
      </c>
      <c r="H219" s="408" t="s">
        <v>1322</v>
      </c>
      <c r="I219" s="408" t="s">
        <v>973</v>
      </c>
      <c r="J219" s="408" t="s">
        <v>2236</v>
      </c>
      <c r="K219" s="824">
        <v>44470</v>
      </c>
      <c r="L219" s="408">
        <v>0</v>
      </c>
      <c r="M219" s="408">
        <v>0</v>
      </c>
      <c r="N219" s="408">
        <v>0.41599999999999998</v>
      </c>
      <c r="O219" s="408">
        <v>0.39935999999999999</v>
      </c>
      <c r="P219" s="408">
        <v>0.41599999999999998</v>
      </c>
      <c r="Q219" s="408">
        <v>0.39935999999999999</v>
      </c>
      <c r="R219" s="408"/>
      <c r="S219" s="408">
        <v>1614.19</v>
      </c>
      <c r="T219" s="408">
        <v>209.4</v>
      </c>
      <c r="U219" s="408"/>
      <c r="V219" s="408">
        <v>758.61343999999997</v>
      </c>
      <c r="W219" s="408">
        <v>758.61343999999997</v>
      </c>
      <c r="X219" s="408">
        <v>504.25439999999992</v>
      </c>
      <c r="Y219" s="408">
        <v>0</v>
      </c>
      <c r="Z219" s="408">
        <v>22.271799473959025</v>
      </c>
      <c r="AA219" s="408">
        <v>0</v>
      </c>
      <c r="AB219" s="408">
        <v>0</v>
      </c>
      <c r="AC219" s="408">
        <v>0</v>
      </c>
      <c r="AD219" s="408">
        <v>129.54988398310275</v>
      </c>
      <c r="AE219" s="408">
        <v>483.74003231522175</v>
      </c>
      <c r="AF219" s="408">
        <v>85.966710249066395</v>
      </c>
      <c r="AG219" s="408">
        <v>1.145233425102183</v>
      </c>
      <c r="AH219" s="408">
        <v>0</v>
      </c>
      <c r="AI219" s="408">
        <v>0</v>
      </c>
      <c r="AJ219" s="408">
        <v>0</v>
      </c>
      <c r="AK219" s="408">
        <v>0</v>
      </c>
      <c r="AL219" s="408">
        <v>3.9559942843718421</v>
      </c>
      <c r="AM219" s="408"/>
      <c r="AN219" s="408">
        <v>0.55238323233937792</v>
      </c>
      <c r="AO219" s="408">
        <v>10.065088955069532</v>
      </c>
      <c r="AP219" s="408">
        <v>14.992100795083692</v>
      </c>
      <c r="AQ219" s="408">
        <v>0</v>
      </c>
      <c r="AR219" s="408">
        <v>0</v>
      </c>
      <c r="AS219" s="408">
        <v>0</v>
      </c>
      <c r="AT219" s="408">
        <v>0</v>
      </c>
      <c r="AU219" s="408">
        <v>0</v>
      </c>
      <c r="AV219" s="408">
        <v>0</v>
      </c>
      <c r="AW219" s="408">
        <v>0</v>
      </c>
      <c r="AX219" s="408">
        <v>0</v>
      </c>
      <c r="AY219" s="408">
        <v>0</v>
      </c>
      <c r="AZ219" s="408">
        <v>0</v>
      </c>
      <c r="BA219" s="408"/>
      <c r="BB219" s="408">
        <v>0</v>
      </c>
      <c r="BC219" s="408">
        <v>0</v>
      </c>
      <c r="BD219" s="408">
        <v>0</v>
      </c>
      <c r="BE219" s="408">
        <v>0</v>
      </c>
      <c r="BF219" s="408">
        <v>0</v>
      </c>
      <c r="BG219" s="408">
        <v>6.3749655262677694</v>
      </c>
      <c r="BH219" s="408">
        <v>0</v>
      </c>
      <c r="BI219" s="408">
        <v>0</v>
      </c>
      <c r="BJ219" s="408">
        <v>0</v>
      </c>
      <c r="BK219" s="408">
        <v>0</v>
      </c>
      <c r="BL219" s="408">
        <v>0</v>
      </c>
      <c r="BM219" s="408"/>
      <c r="BN219" s="408"/>
      <c r="BO219" s="408"/>
      <c r="BP219" s="408"/>
      <c r="BQ219" s="408"/>
      <c r="BR219" s="408">
        <v>20.170175999999984</v>
      </c>
      <c r="BS219" s="408"/>
      <c r="BT219" s="408"/>
      <c r="BU219" s="408"/>
      <c r="BV219" s="408">
        <v>92.341675775334167</v>
      </c>
      <c r="BW219" s="408"/>
      <c r="BX219" s="408"/>
      <c r="BY219" s="408"/>
      <c r="BZ219" s="408"/>
      <c r="CA219" s="408"/>
      <c r="CB219" s="408"/>
      <c r="CC219" s="408"/>
      <c r="CD219" s="408"/>
      <c r="CE219" s="408"/>
      <c r="CF219" s="408"/>
      <c r="CG219" s="408"/>
      <c r="CH219" s="408"/>
      <c r="CI219" s="408">
        <v>484.86</v>
      </c>
      <c r="CJ219" s="408">
        <v>-243.43890239999996</v>
      </c>
      <c r="CK219" s="408"/>
      <c r="CL219" s="408"/>
      <c r="CM219" s="408"/>
      <c r="CN219" s="408"/>
      <c r="CO219" s="408">
        <v>-263.85632000000004</v>
      </c>
      <c r="CP219" s="408">
        <v>9.4972799999999928</v>
      </c>
      <c r="CQ219" s="408">
        <v>31</v>
      </c>
      <c r="CR219" s="408">
        <v>17.011643303330231</v>
      </c>
      <c r="CS219" s="408">
        <v>1.2151786267179947</v>
      </c>
      <c r="CT219" s="408">
        <v>1.8100267704650559</v>
      </c>
      <c r="CU219" s="408">
        <v>0</v>
      </c>
      <c r="CV219" s="408">
        <v>0</v>
      </c>
      <c r="CW219" s="408">
        <v>0</v>
      </c>
      <c r="CX219" s="408">
        <v>0</v>
      </c>
      <c r="CY219" s="408">
        <v>0</v>
      </c>
      <c r="CZ219" s="408">
        <v>4.2469610020223456</v>
      </c>
      <c r="DA219" s="408">
        <v>0</v>
      </c>
      <c r="DB219" s="408">
        <v>0</v>
      </c>
      <c r="DC219" s="408">
        <v>9.4944029965657535</v>
      </c>
      <c r="DD219" s="408">
        <v>0</v>
      </c>
      <c r="DE219" s="408">
        <v>0</v>
      </c>
      <c r="DF219" s="408">
        <v>0</v>
      </c>
      <c r="DG219" s="408">
        <v>0.70406895436895578</v>
      </c>
      <c r="DH219" s="408">
        <v>0</v>
      </c>
      <c r="DI219" s="408">
        <v>-0.38824474418554189</v>
      </c>
      <c r="DJ219" s="408"/>
      <c r="DK219" s="408">
        <v>0</v>
      </c>
      <c r="DL219" s="408">
        <v>0</v>
      </c>
      <c r="DM219" s="408">
        <v>0</v>
      </c>
      <c r="DN219" s="408">
        <v>0</v>
      </c>
      <c r="DO219" s="408">
        <v>-5.797894170718676E-2</v>
      </c>
      <c r="DP219" s="408">
        <v>-1.2771360917228192E-2</v>
      </c>
      <c r="DQ219" s="408">
        <v>0</v>
      </c>
      <c r="DR219" s="408">
        <v>0</v>
      </c>
      <c r="DS219" s="408"/>
      <c r="DT219" s="408"/>
      <c r="DU219" s="408"/>
      <c r="DV219" s="408">
        <v>483.74003231522175</v>
      </c>
      <c r="DW219" s="408">
        <v>0</v>
      </c>
      <c r="DX219" s="408">
        <v>0</v>
      </c>
      <c r="DY219" s="408">
        <v>-263.85631999999998</v>
      </c>
      <c r="DZ219" s="408">
        <v>9.4972799999999893</v>
      </c>
      <c r="EA219" s="408">
        <v>0</v>
      </c>
      <c r="EB219" s="408">
        <v>0</v>
      </c>
      <c r="EC219" s="408">
        <v>-271.37317521724674</v>
      </c>
      <c r="ED219" s="408">
        <v>0</v>
      </c>
      <c r="EE219" s="408">
        <v>0</v>
      </c>
      <c r="EF219" s="408">
        <v>0</v>
      </c>
      <c r="EG219" s="408">
        <v>0</v>
      </c>
      <c r="EH219" s="408">
        <v>0</v>
      </c>
      <c r="EI219" s="408">
        <v>0</v>
      </c>
      <c r="EJ219" s="408">
        <v>0</v>
      </c>
      <c r="EK219" s="408">
        <v>0</v>
      </c>
      <c r="EL219" s="408">
        <v>0</v>
      </c>
      <c r="EM219" s="408">
        <v>0</v>
      </c>
      <c r="EN219" s="408">
        <v>0</v>
      </c>
      <c r="EO219" s="408">
        <v>0</v>
      </c>
      <c r="EP219" s="408">
        <v>0</v>
      </c>
      <c r="EQ219" s="408">
        <v>0</v>
      </c>
      <c r="ER219" s="408">
        <v>0</v>
      </c>
      <c r="ES219" s="408">
        <v>0</v>
      </c>
      <c r="ET219" s="408">
        <v>0</v>
      </c>
      <c r="EU219" s="408">
        <v>0</v>
      </c>
      <c r="EV219" s="408">
        <v>238</v>
      </c>
      <c r="EW219" s="408">
        <v>0</v>
      </c>
      <c r="EX219" s="408">
        <v>0</v>
      </c>
      <c r="EY219" s="408">
        <v>0</v>
      </c>
      <c r="EZ219" s="408"/>
      <c r="FA219" s="408">
        <v>0</v>
      </c>
      <c r="FB219" s="408"/>
      <c r="FC219" s="408"/>
      <c r="FD219" s="408"/>
      <c r="FE219" s="408"/>
      <c r="FF219" s="408">
        <v>0</v>
      </c>
      <c r="FG219" s="408">
        <v>0</v>
      </c>
      <c r="FH219" s="408">
        <v>0</v>
      </c>
      <c r="FI219" s="408">
        <v>0</v>
      </c>
    </row>
    <row r="220" spans="1:165">
      <c r="A220" s="408">
        <v>224</v>
      </c>
      <c r="B220" s="408" t="s">
        <v>1036</v>
      </c>
      <c r="C220" s="408" t="s">
        <v>2243</v>
      </c>
      <c r="D220" s="408" t="s">
        <v>597</v>
      </c>
      <c r="E220" s="408" t="s">
        <v>974</v>
      </c>
      <c r="F220" s="408" t="s">
        <v>2252</v>
      </c>
      <c r="G220" s="408" t="s">
        <v>1322</v>
      </c>
      <c r="H220" s="408" t="s">
        <v>1322</v>
      </c>
      <c r="I220" s="408" t="s">
        <v>2244</v>
      </c>
      <c r="J220" s="408" t="s">
        <v>2236</v>
      </c>
      <c r="K220" s="824">
        <v>44470</v>
      </c>
      <c r="L220" s="408">
        <v>0</v>
      </c>
      <c r="M220" s="408">
        <v>0</v>
      </c>
      <c r="N220" s="408">
        <v>983.31600000000003</v>
      </c>
      <c r="O220" s="408">
        <v>943.98335999999995</v>
      </c>
      <c r="P220" s="408">
        <v>983.31600000000003</v>
      </c>
      <c r="Q220" s="408">
        <v>943.98335999999995</v>
      </c>
      <c r="R220" s="408"/>
      <c r="S220" s="408">
        <v>79.7</v>
      </c>
      <c r="T220" s="408">
        <v>209.4</v>
      </c>
      <c r="U220" s="408"/>
      <c r="V220" s="408">
        <v>284276.6556</v>
      </c>
      <c r="W220" s="408">
        <v>284276.6556</v>
      </c>
      <c r="X220" s="408">
        <v>307305.91631999996</v>
      </c>
      <c r="Y220" s="408">
        <v>0</v>
      </c>
      <c r="Z220" s="408">
        <v>52644.751854652633</v>
      </c>
      <c r="AA220" s="408">
        <v>0</v>
      </c>
      <c r="AB220" s="408">
        <v>0</v>
      </c>
      <c r="AC220" s="408">
        <v>0</v>
      </c>
      <c r="AD220" s="408">
        <v>0</v>
      </c>
      <c r="AE220" s="408">
        <v>0</v>
      </c>
      <c r="AF220" s="408">
        <v>203202.98474824755</v>
      </c>
      <c r="AG220" s="408">
        <v>2707.0344967254287</v>
      </c>
      <c r="AH220" s="408">
        <v>0</v>
      </c>
      <c r="AI220" s="408">
        <v>0</v>
      </c>
      <c r="AJ220" s="408">
        <v>0</v>
      </c>
      <c r="AK220" s="408">
        <v>0</v>
      </c>
      <c r="AL220" s="408">
        <v>9350.9434512773623</v>
      </c>
      <c r="AM220" s="408"/>
      <c r="AN220" s="408">
        <v>1305.6905540649705</v>
      </c>
      <c r="AO220" s="408">
        <v>0</v>
      </c>
      <c r="AP220" s="408">
        <v>0</v>
      </c>
      <c r="AQ220" s="408">
        <v>0</v>
      </c>
      <c r="AR220" s="408">
        <v>0</v>
      </c>
      <c r="AS220" s="408">
        <v>0</v>
      </c>
      <c r="AT220" s="408">
        <v>0</v>
      </c>
      <c r="AU220" s="408">
        <v>0</v>
      </c>
      <c r="AV220" s="408">
        <v>0</v>
      </c>
      <c r="AW220" s="408">
        <v>0</v>
      </c>
      <c r="AX220" s="408">
        <v>0</v>
      </c>
      <c r="AY220" s="408">
        <v>0</v>
      </c>
      <c r="AZ220" s="408">
        <v>0</v>
      </c>
      <c r="BA220" s="408"/>
      <c r="BB220" s="408">
        <v>0</v>
      </c>
      <c r="BC220" s="408">
        <v>0</v>
      </c>
      <c r="BD220" s="408">
        <v>0</v>
      </c>
      <c r="BE220" s="408">
        <v>0</v>
      </c>
      <c r="BF220" s="408">
        <v>0</v>
      </c>
      <c r="BG220" s="408">
        <v>15068.763464969996</v>
      </c>
      <c r="BH220" s="408">
        <v>0</v>
      </c>
      <c r="BI220" s="408">
        <v>0</v>
      </c>
      <c r="BJ220" s="408">
        <v>0</v>
      </c>
      <c r="BK220" s="408">
        <v>0</v>
      </c>
      <c r="BL220" s="408">
        <v>0</v>
      </c>
      <c r="BM220" s="408"/>
      <c r="BN220" s="408"/>
      <c r="BO220" s="408"/>
      <c r="BP220" s="408"/>
      <c r="BQ220" s="408"/>
      <c r="BR220" s="408">
        <v>12292.236652800024</v>
      </c>
      <c r="BS220" s="408"/>
      <c r="BT220" s="408"/>
      <c r="BU220" s="408"/>
      <c r="BV220" s="408">
        <v>218271.74821321754</v>
      </c>
      <c r="BW220" s="408"/>
      <c r="BX220" s="408"/>
      <c r="BY220" s="408"/>
      <c r="BZ220" s="408"/>
      <c r="CA220" s="408"/>
      <c r="CB220" s="408"/>
      <c r="CC220" s="408"/>
      <c r="CD220" s="408"/>
      <c r="CE220" s="408"/>
      <c r="CF220" s="408"/>
      <c r="CG220" s="408"/>
      <c r="CH220" s="408"/>
      <c r="CI220" s="408">
        <v>295012.62959999999</v>
      </c>
      <c r="CJ220" s="408">
        <v>22107.010223999969</v>
      </c>
      <c r="CK220" s="408"/>
      <c r="CL220" s="408"/>
      <c r="CM220" s="408"/>
      <c r="CN220" s="408"/>
      <c r="CO220" s="408">
        <v>580.15644000000339</v>
      </c>
      <c r="CP220" s="408">
        <v>22449.104279999985</v>
      </c>
      <c r="CQ220" s="408">
        <v>31</v>
      </c>
      <c r="CR220" s="408">
        <v>23021.594883308397</v>
      </c>
      <c r="CS220" s="408">
        <v>0</v>
      </c>
      <c r="CT220" s="408">
        <v>0</v>
      </c>
      <c r="CU220" s="408">
        <v>0</v>
      </c>
      <c r="CV220" s="408">
        <v>0</v>
      </c>
      <c r="CW220" s="408">
        <v>0</v>
      </c>
      <c r="CX220" s="408">
        <v>0</v>
      </c>
      <c r="CY220" s="408">
        <v>0</v>
      </c>
      <c r="CZ220" s="408">
        <v>0</v>
      </c>
      <c r="DA220" s="408">
        <v>0</v>
      </c>
      <c r="DB220" s="408">
        <v>0</v>
      </c>
      <c r="DC220" s="408">
        <v>22442.303790795791</v>
      </c>
      <c r="DD220" s="408">
        <v>0</v>
      </c>
      <c r="DE220" s="408">
        <v>0</v>
      </c>
      <c r="DF220" s="408">
        <v>0</v>
      </c>
      <c r="DG220" s="408">
        <v>1664.2362209958283</v>
      </c>
      <c r="DH220" s="408">
        <v>0</v>
      </c>
      <c r="DI220" s="408">
        <v>-917.70978094603925</v>
      </c>
      <c r="DJ220" s="408"/>
      <c r="DK220" s="408">
        <v>0</v>
      </c>
      <c r="DL220" s="408">
        <v>0</v>
      </c>
      <c r="DM220" s="408">
        <v>0</v>
      </c>
      <c r="DN220" s="408">
        <v>0</v>
      </c>
      <c r="DO220" s="408">
        <v>-137.04716597053812</v>
      </c>
      <c r="DP220" s="408">
        <v>-30.188181566550611</v>
      </c>
      <c r="DQ220" s="408">
        <v>0</v>
      </c>
      <c r="DR220" s="408">
        <v>0</v>
      </c>
      <c r="DS220" s="408"/>
      <c r="DT220" s="408"/>
      <c r="DU220" s="408"/>
      <c r="DV220" s="408">
        <v>0</v>
      </c>
      <c r="DW220" s="408">
        <v>0</v>
      </c>
      <c r="DX220" s="408">
        <v>0</v>
      </c>
      <c r="DY220" s="408">
        <v>580.15644000000611</v>
      </c>
      <c r="DZ220" s="408">
        <v>22449.10427999997</v>
      </c>
      <c r="EA220" s="408">
        <v>0</v>
      </c>
      <c r="EB220" s="408">
        <v>0</v>
      </c>
      <c r="EC220" s="408">
        <v>0</v>
      </c>
      <c r="ED220" s="408">
        <v>0</v>
      </c>
      <c r="EE220" s="408">
        <v>0</v>
      </c>
      <c r="EF220" s="408">
        <v>0</v>
      </c>
      <c r="EG220" s="408">
        <v>0</v>
      </c>
      <c r="EH220" s="408">
        <v>0</v>
      </c>
      <c r="EI220" s="408">
        <v>0</v>
      </c>
      <c r="EJ220" s="408">
        <v>0</v>
      </c>
      <c r="EK220" s="408">
        <v>0</v>
      </c>
      <c r="EL220" s="408">
        <v>0</v>
      </c>
      <c r="EM220" s="408">
        <v>0</v>
      </c>
      <c r="EN220" s="408">
        <v>0</v>
      </c>
      <c r="EO220" s="408">
        <v>0</v>
      </c>
      <c r="EP220" s="408">
        <v>0</v>
      </c>
      <c r="EQ220" s="408">
        <v>0</v>
      </c>
      <c r="ER220" s="408">
        <v>0</v>
      </c>
      <c r="ES220" s="408">
        <v>0</v>
      </c>
      <c r="ET220" s="408">
        <v>0</v>
      </c>
      <c r="EU220" s="408">
        <v>0</v>
      </c>
      <c r="EV220" s="408">
        <v>238</v>
      </c>
      <c r="EW220" s="408">
        <v>0</v>
      </c>
      <c r="EX220" s="408">
        <v>0</v>
      </c>
      <c r="EY220" s="408">
        <v>0</v>
      </c>
      <c r="EZ220" s="408"/>
      <c r="FA220" s="408">
        <v>0</v>
      </c>
      <c r="FB220" s="408"/>
      <c r="FC220" s="408"/>
      <c r="FD220" s="408"/>
      <c r="FE220" s="408"/>
      <c r="FF220" s="408">
        <v>0</v>
      </c>
      <c r="FG220" s="408">
        <v>0</v>
      </c>
      <c r="FH220" s="408">
        <v>0</v>
      </c>
      <c r="FI220" s="408">
        <v>0</v>
      </c>
    </row>
    <row r="221" spans="1:165">
      <c r="A221" s="408">
        <v>225</v>
      </c>
      <c r="B221" s="408" t="s">
        <v>2237</v>
      </c>
      <c r="C221" s="408" t="s">
        <v>2243</v>
      </c>
      <c r="D221" s="408" t="s">
        <v>597</v>
      </c>
      <c r="E221" s="408" t="s">
        <v>974</v>
      </c>
      <c r="F221" s="408" t="s">
        <v>2252</v>
      </c>
      <c r="G221" s="408" t="s">
        <v>1322</v>
      </c>
      <c r="H221" s="408" t="s">
        <v>1322</v>
      </c>
      <c r="I221" s="408" t="s">
        <v>2244</v>
      </c>
      <c r="J221" s="408" t="s">
        <v>2236</v>
      </c>
      <c r="K221" s="824">
        <v>44470</v>
      </c>
      <c r="L221" s="408">
        <v>0</v>
      </c>
      <c r="M221" s="408">
        <v>0</v>
      </c>
      <c r="N221" s="408">
        <v>0.96</v>
      </c>
      <c r="O221" s="408">
        <v>0.92159999999999997</v>
      </c>
      <c r="P221" s="408">
        <v>0.96</v>
      </c>
      <c r="Q221" s="408">
        <v>0.92159999999999997</v>
      </c>
      <c r="R221" s="408"/>
      <c r="S221" s="408">
        <v>79.7</v>
      </c>
      <c r="T221" s="408">
        <v>209.4</v>
      </c>
      <c r="U221" s="408"/>
      <c r="V221" s="408">
        <v>277.536</v>
      </c>
      <c r="W221" s="408">
        <v>277.536</v>
      </c>
      <c r="X221" s="408">
        <v>300.01920000000001</v>
      </c>
      <c r="Y221" s="408">
        <v>0</v>
      </c>
      <c r="Z221" s="408">
        <v>51.396460324520831</v>
      </c>
      <c r="AA221" s="408">
        <v>0</v>
      </c>
      <c r="AB221" s="408">
        <v>0</v>
      </c>
      <c r="AC221" s="408">
        <v>0</v>
      </c>
      <c r="AD221" s="408">
        <v>0</v>
      </c>
      <c r="AE221" s="408">
        <v>0</v>
      </c>
      <c r="AF221" s="408">
        <v>198.38471595938398</v>
      </c>
      <c r="AG221" s="408">
        <v>2.6428463656204224</v>
      </c>
      <c r="AH221" s="408">
        <v>0</v>
      </c>
      <c r="AI221" s="408">
        <v>0</v>
      </c>
      <c r="AJ221" s="408">
        <v>0</v>
      </c>
      <c r="AK221" s="408">
        <v>0</v>
      </c>
      <c r="AL221" s="408">
        <v>9.1292175793196346</v>
      </c>
      <c r="AM221" s="408"/>
      <c r="AN221" s="408">
        <v>1.2747305361677952</v>
      </c>
      <c r="AO221" s="408">
        <v>0</v>
      </c>
      <c r="AP221" s="408">
        <v>0</v>
      </c>
      <c r="AQ221" s="408">
        <v>0</v>
      </c>
      <c r="AR221" s="408">
        <v>0</v>
      </c>
      <c r="AS221" s="408">
        <v>0</v>
      </c>
      <c r="AT221" s="408">
        <v>0</v>
      </c>
      <c r="AU221" s="408">
        <v>0</v>
      </c>
      <c r="AV221" s="408">
        <v>0</v>
      </c>
      <c r="AW221" s="408">
        <v>0</v>
      </c>
      <c r="AX221" s="408">
        <v>0</v>
      </c>
      <c r="AY221" s="408">
        <v>0</v>
      </c>
      <c r="AZ221" s="408">
        <v>0</v>
      </c>
      <c r="BA221" s="408"/>
      <c r="BB221" s="408">
        <v>0</v>
      </c>
      <c r="BC221" s="408">
        <v>0</v>
      </c>
      <c r="BD221" s="408">
        <v>0</v>
      </c>
      <c r="BE221" s="408">
        <v>0</v>
      </c>
      <c r="BF221" s="408">
        <v>0</v>
      </c>
      <c r="BG221" s="408">
        <v>14.711458906771776</v>
      </c>
      <c r="BH221" s="408">
        <v>0</v>
      </c>
      <c r="BI221" s="408">
        <v>0</v>
      </c>
      <c r="BJ221" s="408">
        <v>0</v>
      </c>
      <c r="BK221" s="408">
        <v>0</v>
      </c>
      <c r="BL221" s="408">
        <v>0</v>
      </c>
      <c r="BM221" s="408"/>
      <c r="BN221" s="408"/>
      <c r="BO221" s="408"/>
      <c r="BP221" s="408"/>
      <c r="BQ221" s="408"/>
      <c r="BR221" s="408">
        <v>12.000767999999997</v>
      </c>
      <c r="BS221" s="408"/>
      <c r="BT221" s="408"/>
      <c r="BU221" s="408"/>
      <c r="BV221" s="408">
        <v>213.09617486615576</v>
      </c>
      <c r="BW221" s="408"/>
      <c r="BX221" s="408"/>
      <c r="BY221" s="408"/>
      <c r="BZ221" s="408"/>
      <c r="CA221" s="408"/>
      <c r="CB221" s="408"/>
      <c r="CC221" s="408"/>
      <c r="CD221" s="408"/>
      <c r="CE221" s="408"/>
      <c r="CF221" s="408"/>
      <c r="CG221" s="408"/>
      <c r="CH221" s="408"/>
      <c r="CI221" s="408">
        <v>287.51840000000004</v>
      </c>
      <c r="CJ221" s="408">
        <v>21.053840000000037</v>
      </c>
      <c r="CK221" s="408"/>
      <c r="CL221" s="408"/>
      <c r="CM221" s="408"/>
      <c r="CN221" s="408"/>
      <c r="CO221" s="408">
        <v>0.56640000000000323</v>
      </c>
      <c r="CP221" s="408">
        <v>21.916799999999984</v>
      </c>
      <c r="CQ221" s="408">
        <v>31</v>
      </c>
      <c r="CR221" s="408">
        <v>22.475715932595676</v>
      </c>
      <c r="CS221" s="408">
        <v>0</v>
      </c>
      <c r="CT221" s="408">
        <v>0</v>
      </c>
      <c r="CU221" s="408">
        <v>0</v>
      </c>
      <c r="CV221" s="408">
        <v>0</v>
      </c>
      <c r="CW221" s="408">
        <v>0</v>
      </c>
      <c r="CX221" s="408">
        <v>0</v>
      </c>
      <c r="CY221" s="408">
        <v>0</v>
      </c>
      <c r="CZ221" s="408">
        <v>0</v>
      </c>
      <c r="DA221" s="408">
        <v>0</v>
      </c>
      <c r="DB221" s="408">
        <v>0</v>
      </c>
      <c r="DC221" s="408">
        <v>21.910160761305605</v>
      </c>
      <c r="DD221" s="408">
        <v>0</v>
      </c>
      <c r="DE221" s="408">
        <v>0</v>
      </c>
      <c r="DF221" s="408">
        <v>0</v>
      </c>
      <c r="DG221" s="408">
        <v>1.6247745100822062</v>
      </c>
      <c r="DH221" s="408">
        <v>0</v>
      </c>
      <c r="DI221" s="408">
        <v>-0.89594940965894665</v>
      </c>
      <c r="DJ221" s="408"/>
      <c r="DK221" s="408">
        <v>0</v>
      </c>
      <c r="DL221" s="408">
        <v>0</v>
      </c>
      <c r="DM221" s="408">
        <v>0</v>
      </c>
      <c r="DN221" s="408">
        <v>0</v>
      </c>
      <c r="DO221" s="408">
        <v>-0.13379755778581526</v>
      </c>
      <c r="DP221" s="408">
        <v>-2.9472371347449622E-2</v>
      </c>
      <c r="DQ221" s="408">
        <v>0</v>
      </c>
      <c r="DR221" s="408">
        <v>0</v>
      </c>
      <c r="DS221" s="408"/>
      <c r="DT221" s="408"/>
      <c r="DU221" s="408"/>
      <c r="DV221" s="408">
        <v>0</v>
      </c>
      <c r="DW221" s="408">
        <v>0</v>
      </c>
      <c r="DX221" s="408">
        <v>0</v>
      </c>
      <c r="DY221" s="408">
        <v>0.56640000000000157</v>
      </c>
      <c r="DZ221" s="408">
        <v>21.916799999999995</v>
      </c>
      <c r="EA221" s="408">
        <v>0</v>
      </c>
      <c r="EB221" s="408">
        <v>0</v>
      </c>
      <c r="EC221" s="408">
        <v>0</v>
      </c>
      <c r="ED221" s="408">
        <v>0</v>
      </c>
      <c r="EE221" s="408">
        <v>0</v>
      </c>
      <c r="EF221" s="408">
        <v>0</v>
      </c>
      <c r="EG221" s="408">
        <v>0</v>
      </c>
      <c r="EH221" s="408">
        <v>0</v>
      </c>
      <c r="EI221" s="408">
        <v>0</v>
      </c>
      <c r="EJ221" s="408">
        <v>0</v>
      </c>
      <c r="EK221" s="408">
        <v>0</v>
      </c>
      <c r="EL221" s="408">
        <v>0</v>
      </c>
      <c r="EM221" s="408">
        <v>0</v>
      </c>
      <c r="EN221" s="408">
        <v>0</v>
      </c>
      <c r="EO221" s="408">
        <v>0</v>
      </c>
      <c r="EP221" s="408">
        <v>0</v>
      </c>
      <c r="EQ221" s="408">
        <v>0</v>
      </c>
      <c r="ER221" s="408">
        <v>0</v>
      </c>
      <c r="ES221" s="408">
        <v>0</v>
      </c>
      <c r="ET221" s="408">
        <v>0</v>
      </c>
      <c r="EU221" s="408">
        <v>0</v>
      </c>
      <c r="EV221" s="408">
        <v>238</v>
      </c>
      <c r="EW221" s="408">
        <v>0</v>
      </c>
      <c r="EX221" s="408">
        <v>0</v>
      </c>
      <c r="EY221" s="408">
        <v>0</v>
      </c>
      <c r="EZ221" s="408"/>
      <c r="FA221" s="408">
        <v>0</v>
      </c>
      <c r="FB221" s="408"/>
      <c r="FC221" s="408"/>
      <c r="FD221" s="408"/>
      <c r="FE221" s="408"/>
      <c r="FF221" s="408">
        <v>0</v>
      </c>
      <c r="FG221" s="408">
        <v>0</v>
      </c>
      <c r="FH221" s="408">
        <v>0</v>
      </c>
      <c r="FI221" s="408">
        <v>0</v>
      </c>
    </row>
    <row r="222" spans="1:165">
      <c r="A222" s="408">
        <v>226</v>
      </c>
      <c r="B222" s="408" t="s">
        <v>2238</v>
      </c>
      <c r="C222" s="408" t="s">
        <v>2243</v>
      </c>
      <c r="D222" s="408" t="s">
        <v>597</v>
      </c>
      <c r="E222" s="408" t="s">
        <v>974</v>
      </c>
      <c r="F222" s="408" t="s">
        <v>2252</v>
      </c>
      <c r="G222" s="408" t="s">
        <v>1322</v>
      </c>
      <c r="H222" s="408" t="s">
        <v>1322</v>
      </c>
      <c r="I222" s="408" t="s">
        <v>2244</v>
      </c>
      <c r="J222" s="408" t="s">
        <v>2236</v>
      </c>
      <c r="K222" s="824">
        <v>44470</v>
      </c>
      <c r="L222" s="408">
        <v>0</v>
      </c>
      <c r="M222" s="408">
        <v>0</v>
      </c>
      <c r="N222" s="408">
        <v>36.027999999999999</v>
      </c>
      <c r="O222" s="408">
        <v>34.586880000000001</v>
      </c>
      <c r="P222" s="408">
        <v>36.027999999999999</v>
      </c>
      <c r="Q222" s="408">
        <v>34.586880000000001</v>
      </c>
      <c r="R222" s="408"/>
      <c r="S222" s="408">
        <v>79.7</v>
      </c>
      <c r="T222" s="408">
        <v>209.4</v>
      </c>
      <c r="U222" s="408"/>
      <c r="V222" s="408">
        <v>10415.694800000001</v>
      </c>
      <c r="W222" s="408">
        <v>10415.694800000001</v>
      </c>
      <c r="X222" s="408">
        <v>11259.47056</v>
      </c>
      <c r="Y222" s="408">
        <v>0</v>
      </c>
      <c r="Z222" s="408">
        <v>1928.8663255956631</v>
      </c>
      <c r="AA222" s="408">
        <v>0</v>
      </c>
      <c r="AB222" s="408">
        <v>0</v>
      </c>
      <c r="AC222" s="408">
        <v>0</v>
      </c>
      <c r="AD222" s="408">
        <v>0</v>
      </c>
      <c r="AE222" s="408">
        <v>0</v>
      </c>
      <c r="AF222" s="408">
        <v>7445.2130693590489</v>
      </c>
      <c r="AG222" s="408">
        <v>99.183821729763096</v>
      </c>
      <c r="AH222" s="408">
        <v>0</v>
      </c>
      <c r="AI222" s="408">
        <v>0</v>
      </c>
      <c r="AJ222" s="408">
        <v>0</v>
      </c>
      <c r="AK222" s="408">
        <v>0</v>
      </c>
      <c r="AL222" s="408">
        <v>342.61192807054982</v>
      </c>
      <c r="AM222" s="408"/>
      <c r="AN222" s="408">
        <v>47.839574746930545</v>
      </c>
      <c r="AO222" s="408">
        <v>0</v>
      </c>
      <c r="AP222" s="408">
        <v>0</v>
      </c>
      <c r="AQ222" s="408">
        <v>0</v>
      </c>
      <c r="AR222" s="408">
        <v>0</v>
      </c>
      <c r="AS222" s="408">
        <v>0</v>
      </c>
      <c r="AT222" s="408">
        <v>0</v>
      </c>
      <c r="AU222" s="408">
        <v>0</v>
      </c>
      <c r="AV222" s="408">
        <v>0</v>
      </c>
      <c r="AW222" s="408">
        <v>0</v>
      </c>
      <c r="AX222" s="408">
        <v>0</v>
      </c>
      <c r="AY222" s="408">
        <v>0</v>
      </c>
      <c r="AZ222" s="408">
        <v>0</v>
      </c>
      <c r="BA222" s="408"/>
      <c r="BB222" s="408">
        <v>0</v>
      </c>
      <c r="BC222" s="408">
        <v>0</v>
      </c>
      <c r="BD222" s="408">
        <v>0</v>
      </c>
      <c r="BE222" s="408">
        <v>0</v>
      </c>
      <c r="BF222" s="408">
        <v>0</v>
      </c>
      <c r="BG222" s="408">
        <v>552.10879322205574</v>
      </c>
      <c r="BH222" s="408">
        <v>0</v>
      </c>
      <c r="BI222" s="408">
        <v>0</v>
      </c>
      <c r="BJ222" s="408">
        <v>0</v>
      </c>
      <c r="BK222" s="408">
        <v>0</v>
      </c>
      <c r="BL222" s="408">
        <v>0</v>
      </c>
      <c r="BM222" s="408"/>
      <c r="BN222" s="408"/>
      <c r="BO222" s="408"/>
      <c r="BP222" s="408"/>
      <c r="BQ222" s="408"/>
      <c r="BR222" s="408">
        <v>450.37882239999931</v>
      </c>
      <c r="BS222" s="408"/>
      <c r="BT222" s="408"/>
      <c r="BU222" s="408"/>
      <c r="BV222" s="408">
        <v>7997.3218625811041</v>
      </c>
      <c r="BW222" s="408"/>
      <c r="BX222" s="408"/>
      <c r="BY222" s="408"/>
      <c r="BZ222" s="408"/>
      <c r="CA222" s="408"/>
      <c r="CB222" s="408"/>
      <c r="CC222" s="408"/>
      <c r="CD222" s="408"/>
      <c r="CE222" s="408"/>
      <c r="CF222" s="408"/>
      <c r="CG222" s="408"/>
      <c r="CH222" s="408"/>
      <c r="CI222" s="408">
        <v>10810.066800000001</v>
      </c>
      <c r="CJ222" s="408">
        <v>810.96979199999987</v>
      </c>
      <c r="CK222" s="408"/>
      <c r="CL222" s="408"/>
      <c r="CM222" s="408"/>
      <c r="CN222" s="408"/>
      <c r="CO222" s="408">
        <v>21.256520000000123</v>
      </c>
      <c r="CP222" s="408">
        <v>822.5192399999994</v>
      </c>
      <c r="CQ222" s="408">
        <v>31</v>
      </c>
      <c r="CR222" s="408">
        <v>843.49488918703355</v>
      </c>
      <c r="CS222" s="408">
        <v>0</v>
      </c>
      <c r="CT222" s="408">
        <v>0</v>
      </c>
      <c r="CU222" s="408">
        <v>0</v>
      </c>
      <c r="CV222" s="408">
        <v>0</v>
      </c>
      <c r="CW222" s="408">
        <v>0</v>
      </c>
      <c r="CX222" s="408">
        <v>0</v>
      </c>
      <c r="CY222" s="408">
        <v>0</v>
      </c>
      <c r="CZ222" s="408">
        <v>0</v>
      </c>
      <c r="DA222" s="408">
        <v>0</v>
      </c>
      <c r="DB222" s="408">
        <v>0</v>
      </c>
      <c r="DC222" s="408">
        <v>822.27007490449705</v>
      </c>
      <c r="DD222" s="408">
        <v>0</v>
      </c>
      <c r="DE222" s="408">
        <v>0</v>
      </c>
      <c r="DF222" s="408">
        <v>0</v>
      </c>
      <c r="DG222" s="408">
        <v>60.97643338462683</v>
      </c>
      <c r="DH222" s="408">
        <v>0</v>
      </c>
      <c r="DI222" s="408">
        <v>-33.624234719992273</v>
      </c>
      <c r="DJ222" s="408"/>
      <c r="DK222" s="408">
        <v>0</v>
      </c>
      <c r="DL222" s="408">
        <v>0</v>
      </c>
      <c r="DM222" s="408">
        <v>0</v>
      </c>
      <c r="DN222" s="408">
        <v>0</v>
      </c>
      <c r="DO222" s="408">
        <v>-5.0213108457368207</v>
      </c>
      <c r="DP222" s="408">
        <v>-1.1060735363603271</v>
      </c>
      <c r="DQ222" s="408">
        <v>0</v>
      </c>
      <c r="DR222" s="408">
        <v>0</v>
      </c>
      <c r="DS222" s="408"/>
      <c r="DT222" s="408"/>
      <c r="DU222" s="408"/>
      <c r="DV222" s="408">
        <v>0</v>
      </c>
      <c r="DW222" s="408">
        <v>0</v>
      </c>
      <c r="DX222" s="408">
        <v>0</v>
      </c>
      <c r="DY222" s="408">
        <v>21.256520000000364</v>
      </c>
      <c r="DZ222" s="408">
        <v>822.51923999999872</v>
      </c>
      <c r="EA222" s="408">
        <v>0</v>
      </c>
      <c r="EB222" s="408">
        <v>0</v>
      </c>
      <c r="EC222" s="408">
        <v>0</v>
      </c>
      <c r="ED222" s="408">
        <v>0</v>
      </c>
      <c r="EE222" s="408">
        <v>0</v>
      </c>
      <c r="EF222" s="408">
        <v>0</v>
      </c>
      <c r="EG222" s="408">
        <v>0</v>
      </c>
      <c r="EH222" s="408">
        <v>0</v>
      </c>
      <c r="EI222" s="408">
        <v>0</v>
      </c>
      <c r="EJ222" s="408">
        <v>0</v>
      </c>
      <c r="EK222" s="408">
        <v>0</v>
      </c>
      <c r="EL222" s="408">
        <v>0</v>
      </c>
      <c r="EM222" s="408">
        <v>0</v>
      </c>
      <c r="EN222" s="408">
        <v>0</v>
      </c>
      <c r="EO222" s="408">
        <v>0</v>
      </c>
      <c r="EP222" s="408">
        <v>0</v>
      </c>
      <c r="EQ222" s="408">
        <v>0</v>
      </c>
      <c r="ER222" s="408">
        <v>0</v>
      </c>
      <c r="ES222" s="408">
        <v>0</v>
      </c>
      <c r="ET222" s="408">
        <v>0</v>
      </c>
      <c r="EU222" s="408">
        <v>0</v>
      </c>
      <c r="EV222" s="408">
        <v>238</v>
      </c>
      <c r="EW222" s="408">
        <v>0</v>
      </c>
      <c r="EX222" s="408">
        <v>0</v>
      </c>
      <c r="EY222" s="408">
        <v>0</v>
      </c>
      <c r="EZ222" s="408"/>
      <c r="FA222" s="408">
        <v>0</v>
      </c>
      <c r="FB222" s="408"/>
      <c r="FC222" s="408"/>
      <c r="FD222" s="408"/>
      <c r="FE222" s="408"/>
      <c r="FF222" s="408">
        <v>0</v>
      </c>
      <c r="FG222" s="408">
        <v>0</v>
      </c>
      <c r="FH222" s="408">
        <v>0</v>
      </c>
      <c r="FI222" s="408">
        <v>0</v>
      </c>
    </row>
    <row r="223" spans="1:165">
      <c r="A223" s="408">
        <v>227</v>
      </c>
      <c r="B223" s="408" t="s">
        <v>1036</v>
      </c>
      <c r="C223" s="408" t="s">
        <v>2243</v>
      </c>
      <c r="D223" s="408" t="s">
        <v>597</v>
      </c>
      <c r="E223" s="408" t="s">
        <v>974</v>
      </c>
      <c r="F223" s="408" t="s">
        <v>2252</v>
      </c>
      <c r="G223" s="408" t="s">
        <v>1322</v>
      </c>
      <c r="H223" s="408" t="s">
        <v>1322</v>
      </c>
      <c r="I223" s="408" t="s">
        <v>1322</v>
      </c>
      <c r="J223" s="408" t="s">
        <v>2236</v>
      </c>
      <c r="K223" s="824">
        <v>44470</v>
      </c>
      <c r="L223" s="408">
        <v>25012</v>
      </c>
      <c r="M223" s="408">
        <v>24011.52</v>
      </c>
      <c r="N223" s="408">
        <v>0</v>
      </c>
      <c r="O223" s="408">
        <v>0</v>
      </c>
      <c r="P223" s="408">
        <v>0</v>
      </c>
      <c r="Q223" s="408">
        <v>0</v>
      </c>
      <c r="R223" s="408">
        <v>44.35</v>
      </c>
      <c r="S223" s="408"/>
      <c r="T223" s="408"/>
      <c r="U223" s="408">
        <v>1109282.2</v>
      </c>
      <c r="V223" s="408"/>
      <c r="W223" s="408">
        <v>1109282.2</v>
      </c>
      <c r="X223" s="408">
        <v>724597.64</v>
      </c>
      <c r="Y223" s="408">
        <v>0</v>
      </c>
      <c r="Z223" s="408">
        <v>0</v>
      </c>
      <c r="AA223" s="408">
        <v>0</v>
      </c>
      <c r="AB223" s="408">
        <v>0</v>
      </c>
      <c r="AC223" s="408">
        <v>0</v>
      </c>
      <c r="AD223" s="408">
        <v>328209.05696638953</v>
      </c>
      <c r="AE223" s="408">
        <v>718290.77129907894</v>
      </c>
      <c r="AF223" s="408"/>
      <c r="AG223" s="408"/>
      <c r="AH223" s="408"/>
      <c r="AI223" s="408">
        <v>0</v>
      </c>
      <c r="AJ223" s="408">
        <v>0</v>
      </c>
      <c r="AK223" s="408">
        <v>0</v>
      </c>
      <c r="AL223" s="408">
        <v>0</v>
      </c>
      <c r="AM223" s="408"/>
      <c r="AN223" s="408">
        <v>0</v>
      </c>
      <c r="AO223" s="408">
        <v>24804.917939824107</v>
      </c>
      <c r="AP223" s="408">
        <v>37950.492331924645</v>
      </c>
      <c r="AQ223" s="408">
        <v>0</v>
      </c>
      <c r="AR223" s="408">
        <v>0</v>
      </c>
      <c r="AS223" s="408"/>
      <c r="AT223" s="408"/>
      <c r="AU223" s="408">
        <v>0</v>
      </c>
      <c r="AV223" s="408">
        <v>0</v>
      </c>
      <c r="AW223" s="408">
        <v>0</v>
      </c>
      <c r="AX223" s="408"/>
      <c r="AY223" s="408"/>
      <c r="AZ223" s="408">
        <v>0</v>
      </c>
      <c r="BA223" s="408"/>
      <c r="BB223" s="408">
        <v>0</v>
      </c>
      <c r="BC223" s="408">
        <v>0</v>
      </c>
      <c r="BD223" s="408">
        <v>0</v>
      </c>
      <c r="BE223" s="408">
        <v>0</v>
      </c>
      <c r="BF223" s="408"/>
      <c r="BG223" s="408">
        <v>0</v>
      </c>
      <c r="BH223" s="408">
        <v>0</v>
      </c>
      <c r="BI223" s="408">
        <v>4225.6000000000004</v>
      </c>
      <c r="BJ223" s="408">
        <v>19222.490000000002</v>
      </c>
      <c r="BK223" s="408">
        <v>815.75</v>
      </c>
      <c r="BL223" s="408">
        <v>122</v>
      </c>
      <c r="BM223" s="408"/>
      <c r="BN223" s="408"/>
      <c r="BO223" s="408"/>
      <c r="BP223" s="408"/>
      <c r="BQ223" s="408"/>
      <c r="BR223" s="408">
        <v>28983.905599999987</v>
      </c>
      <c r="BS223" s="408"/>
      <c r="BT223" s="408"/>
      <c r="BU223" s="408"/>
      <c r="BV223" s="408">
        <v>0</v>
      </c>
      <c r="BW223" s="408"/>
      <c r="BX223" s="408"/>
      <c r="BY223" s="408"/>
      <c r="BZ223" s="408"/>
      <c r="CA223" s="408"/>
      <c r="CB223" s="408"/>
      <c r="CC223" s="408"/>
      <c r="CD223" s="408"/>
      <c r="CE223" s="408"/>
      <c r="CF223" s="408"/>
      <c r="CG223" s="408"/>
      <c r="CH223" s="408"/>
      <c r="CI223" s="408">
        <v>695613.73439999996</v>
      </c>
      <c r="CJ223" s="408">
        <v>-369297.20760000008</v>
      </c>
      <c r="CK223" s="408"/>
      <c r="CL223" s="408"/>
      <c r="CM223" s="408"/>
      <c r="CN223" s="408"/>
      <c r="CO223" s="408">
        <v>-384684.56000000006</v>
      </c>
      <c r="CP223" s="408">
        <v>0</v>
      </c>
      <c r="CQ223" s="408">
        <v>31</v>
      </c>
      <c r="CR223" s="408">
        <v>18336.081072907837</v>
      </c>
      <c r="CS223" s="408">
        <v>2994.7481092838534</v>
      </c>
      <c r="CT223" s="408">
        <v>4581.8399977432055</v>
      </c>
      <c r="CU223" s="408">
        <v>0</v>
      </c>
      <c r="CV223" s="408">
        <v>0</v>
      </c>
      <c r="CW223" s="408"/>
      <c r="CX223" s="408"/>
      <c r="CY223" s="408"/>
      <c r="CZ223" s="408">
        <v>10759.492965880781</v>
      </c>
      <c r="DA223" s="408">
        <v>0</v>
      </c>
      <c r="DB223" s="408">
        <v>0</v>
      </c>
      <c r="DC223" s="408"/>
      <c r="DD223" s="408"/>
      <c r="DE223" s="408">
        <v>0</v>
      </c>
      <c r="DF223" s="408">
        <v>0</v>
      </c>
      <c r="DG223" s="408">
        <v>0</v>
      </c>
      <c r="DH223" s="408">
        <v>0</v>
      </c>
      <c r="DI223" s="408">
        <v>0</v>
      </c>
      <c r="DJ223" s="408"/>
      <c r="DK223" s="408">
        <v>0</v>
      </c>
      <c r="DL223" s="408">
        <v>0</v>
      </c>
      <c r="DM223" s="408"/>
      <c r="DN223" s="408">
        <v>0</v>
      </c>
      <c r="DO223" s="408">
        <v>0</v>
      </c>
      <c r="DP223" s="408">
        <v>0</v>
      </c>
      <c r="DQ223" s="408">
        <v>0</v>
      </c>
      <c r="DR223" s="408">
        <v>0</v>
      </c>
      <c r="DS223" s="408"/>
      <c r="DT223" s="408"/>
      <c r="DU223" s="408">
        <v>718290.77129907894</v>
      </c>
      <c r="DV223" s="408"/>
      <c r="DW223" s="408">
        <v>0</v>
      </c>
      <c r="DX223" s="408">
        <v>0</v>
      </c>
      <c r="DY223" s="408">
        <v>-384684.55999999994</v>
      </c>
      <c r="DZ223" s="408"/>
      <c r="EA223" s="408">
        <v>0</v>
      </c>
      <c r="EB223" s="408"/>
      <c r="EC223" s="408">
        <v>-402953.72372583754</v>
      </c>
      <c r="ED223" s="408"/>
      <c r="EE223" s="408">
        <v>0</v>
      </c>
      <c r="EF223" s="408">
        <v>0</v>
      </c>
      <c r="EG223" s="408"/>
      <c r="EH223" s="408">
        <v>0</v>
      </c>
      <c r="EI223" s="408">
        <v>0</v>
      </c>
      <c r="EJ223" s="408">
        <v>0</v>
      </c>
      <c r="EK223" s="408">
        <v>0</v>
      </c>
      <c r="EL223" s="408">
        <v>0</v>
      </c>
      <c r="EM223" s="408"/>
      <c r="EN223" s="408"/>
      <c r="EO223" s="408">
        <v>0</v>
      </c>
      <c r="EP223" s="408">
        <v>0</v>
      </c>
      <c r="EQ223" s="408"/>
      <c r="ER223" s="408">
        <v>0</v>
      </c>
      <c r="ES223" s="408"/>
      <c r="ET223" s="408">
        <v>0</v>
      </c>
      <c r="EU223" s="408"/>
      <c r="EV223" s="408">
        <v>238</v>
      </c>
      <c r="EW223" s="408"/>
      <c r="EX223" s="408"/>
      <c r="EY223" s="408"/>
      <c r="EZ223" s="408"/>
      <c r="FA223" s="408">
        <v>0</v>
      </c>
      <c r="FB223" s="408"/>
      <c r="FC223" s="408"/>
      <c r="FD223" s="408"/>
      <c r="FE223" s="408"/>
      <c r="FF223" s="408">
        <v>0</v>
      </c>
      <c r="FG223" s="408">
        <v>0</v>
      </c>
      <c r="FH223" s="408">
        <v>0</v>
      </c>
      <c r="FI223" s="408">
        <v>0</v>
      </c>
    </row>
    <row r="224" spans="1:165">
      <c r="A224" s="408">
        <v>228</v>
      </c>
      <c r="B224" s="408" t="s">
        <v>2237</v>
      </c>
      <c r="C224" s="408" t="s">
        <v>2243</v>
      </c>
      <c r="D224" s="408" t="s">
        <v>597</v>
      </c>
      <c r="E224" s="408" t="s">
        <v>974</v>
      </c>
      <c r="F224" s="408" t="s">
        <v>2252</v>
      </c>
      <c r="G224" s="408" t="s">
        <v>1322</v>
      </c>
      <c r="H224" s="408" t="s">
        <v>1322</v>
      </c>
      <c r="I224" s="408" t="s">
        <v>1322</v>
      </c>
      <c r="J224" s="408" t="s">
        <v>2236</v>
      </c>
      <c r="K224" s="824">
        <v>44470</v>
      </c>
      <c r="L224" s="408">
        <v>-562</v>
      </c>
      <c r="M224" s="408">
        <v>-539.52</v>
      </c>
      <c r="N224" s="408">
        <v>0</v>
      </c>
      <c r="O224" s="408">
        <v>0</v>
      </c>
      <c r="P224" s="408">
        <v>0</v>
      </c>
      <c r="Q224" s="408">
        <v>0</v>
      </c>
      <c r="R224" s="408">
        <v>44.35</v>
      </c>
      <c r="S224" s="408"/>
      <c r="T224" s="408"/>
      <c r="U224" s="408">
        <v>-24924.7</v>
      </c>
      <c r="V224" s="408"/>
      <c r="W224" s="408">
        <v>-24924.7</v>
      </c>
      <c r="X224" s="408">
        <v>-16281.14</v>
      </c>
      <c r="Y224" s="408">
        <v>0</v>
      </c>
      <c r="Z224" s="408">
        <v>0</v>
      </c>
      <c r="AA224" s="408">
        <v>0</v>
      </c>
      <c r="AB224" s="408">
        <v>0</v>
      </c>
      <c r="AC224" s="408">
        <v>0</v>
      </c>
      <c r="AD224" s="408">
        <v>-7374.599792703938</v>
      </c>
      <c r="AE224" s="408">
        <v>-16139.429612589251</v>
      </c>
      <c r="AF224" s="408"/>
      <c r="AG224" s="408"/>
      <c r="AH224" s="408"/>
      <c r="AI224" s="408">
        <v>0</v>
      </c>
      <c r="AJ224" s="408">
        <v>0</v>
      </c>
      <c r="AK224" s="408">
        <v>0</v>
      </c>
      <c r="AL224" s="408">
        <v>0</v>
      </c>
      <c r="AM224" s="408"/>
      <c r="AN224" s="408">
        <v>0</v>
      </c>
      <c r="AO224" s="408">
        <v>-557.34702871346349</v>
      </c>
      <c r="AP224" s="408">
        <v>-852.71776309538029</v>
      </c>
      <c r="AQ224" s="408">
        <v>0</v>
      </c>
      <c r="AR224" s="408">
        <v>0</v>
      </c>
      <c r="AS224" s="408"/>
      <c r="AT224" s="408"/>
      <c r="AU224" s="408">
        <v>0</v>
      </c>
      <c r="AV224" s="408">
        <v>0</v>
      </c>
      <c r="AW224" s="408">
        <v>0</v>
      </c>
      <c r="AX224" s="408"/>
      <c r="AY224" s="408"/>
      <c r="AZ224" s="408">
        <v>0</v>
      </c>
      <c r="BA224" s="408"/>
      <c r="BB224" s="408">
        <v>0</v>
      </c>
      <c r="BC224" s="408">
        <v>0</v>
      </c>
      <c r="BD224" s="408">
        <v>0</v>
      </c>
      <c r="BE224" s="408">
        <v>0</v>
      </c>
      <c r="BF224" s="408"/>
      <c r="BG224" s="408">
        <v>0</v>
      </c>
      <c r="BH224" s="408">
        <v>0</v>
      </c>
      <c r="BI224" s="408">
        <v>-51</v>
      </c>
      <c r="BJ224" s="408">
        <v>-244.47</v>
      </c>
      <c r="BK224" s="408">
        <v>5.3</v>
      </c>
      <c r="BL224" s="408">
        <v>0</v>
      </c>
      <c r="BM224" s="408"/>
      <c r="BN224" s="408"/>
      <c r="BO224" s="408"/>
      <c r="BP224" s="408"/>
      <c r="BQ224" s="408"/>
      <c r="BR224" s="408">
        <v>-651.24560000000054</v>
      </c>
      <c r="BS224" s="408"/>
      <c r="BT224" s="408"/>
      <c r="BU224" s="408"/>
      <c r="BV224" s="408">
        <v>0</v>
      </c>
      <c r="BW224" s="408"/>
      <c r="BX224" s="408"/>
      <c r="BY224" s="408"/>
      <c r="BZ224" s="408"/>
      <c r="CA224" s="408"/>
      <c r="CB224" s="408"/>
      <c r="CC224" s="408"/>
      <c r="CD224" s="408"/>
      <c r="CE224" s="408"/>
      <c r="CF224" s="408"/>
      <c r="CG224" s="408"/>
      <c r="CH224" s="408"/>
      <c r="CI224" s="408">
        <v>-15629.894399999999</v>
      </c>
      <c r="CJ224" s="408">
        <v>8297.7876000000051</v>
      </c>
      <c r="CK224" s="408"/>
      <c r="CL224" s="408"/>
      <c r="CM224" s="408"/>
      <c r="CN224" s="408"/>
      <c r="CO224" s="408">
        <v>8643.5600000000013</v>
      </c>
      <c r="CP224" s="408">
        <v>0</v>
      </c>
      <c r="CQ224" s="408">
        <v>31</v>
      </c>
      <c r="CR224" s="408">
        <v>-411.99734379394795</v>
      </c>
      <c r="CS224" s="408">
        <v>-67.289638470235218</v>
      </c>
      <c r="CT224" s="408">
        <v>-102.95034698271547</v>
      </c>
      <c r="CU224" s="408">
        <v>0</v>
      </c>
      <c r="CV224" s="408">
        <v>0</v>
      </c>
      <c r="CW224" s="408"/>
      <c r="CX224" s="408"/>
      <c r="CY224" s="408"/>
      <c r="CZ224" s="408">
        <v>-241.7573583409976</v>
      </c>
      <c r="DA224" s="408">
        <v>0</v>
      </c>
      <c r="DB224" s="408">
        <v>0</v>
      </c>
      <c r="DC224" s="408"/>
      <c r="DD224" s="408"/>
      <c r="DE224" s="408">
        <v>0</v>
      </c>
      <c r="DF224" s="408">
        <v>0</v>
      </c>
      <c r="DG224" s="408">
        <v>0</v>
      </c>
      <c r="DH224" s="408">
        <v>0</v>
      </c>
      <c r="DI224" s="408">
        <v>0</v>
      </c>
      <c r="DJ224" s="408"/>
      <c r="DK224" s="408">
        <v>0</v>
      </c>
      <c r="DL224" s="408">
        <v>0</v>
      </c>
      <c r="DM224" s="408"/>
      <c r="DN224" s="408">
        <v>0</v>
      </c>
      <c r="DO224" s="408">
        <v>0</v>
      </c>
      <c r="DP224" s="408">
        <v>0</v>
      </c>
      <c r="DQ224" s="408">
        <v>0</v>
      </c>
      <c r="DR224" s="408">
        <v>0</v>
      </c>
      <c r="DS224" s="408"/>
      <c r="DT224" s="408"/>
      <c r="DU224" s="408">
        <v>-16139.429612589251</v>
      </c>
      <c r="DV224" s="408"/>
      <c r="DW224" s="408">
        <v>0</v>
      </c>
      <c r="DX224" s="408">
        <v>0</v>
      </c>
      <c r="DY224" s="408">
        <v>8643.5600000000013</v>
      </c>
      <c r="DZ224" s="408"/>
      <c r="EA224" s="408">
        <v>0</v>
      </c>
      <c r="EB224" s="408"/>
      <c r="EC224" s="408">
        <v>9054.0537635503224</v>
      </c>
      <c r="ED224" s="408"/>
      <c r="EE224" s="408">
        <v>0</v>
      </c>
      <c r="EF224" s="408">
        <v>0</v>
      </c>
      <c r="EG224" s="408"/>
      <c r="EH224" s="408">
        <v>0</v>
      </c>
      <c r="EI224" s="408">
        <v>0</v>
      </c>
      <c r="EJ224" s="408">
        <v>0</v>
      </c>
      <c r="EK224" s="408">
        <v>0</v>
      </c>
      <c r="EL224" s="408">
        <v>0</v>
      </c>
      <c r="EM224" s="408"/>
      <c r="EN224" s="408"/>
      <c r="EO224" s="408">
        <v>0</v>
      </c>
      <c r="EP224" s="408">
        <v>0</v>
      </c>
      <c r="EQ224" s="408"/>
      <c r="ER224" s="408">
        <v>0</v>
      </c>
      <c r="ES224" s="408"/>
      <c r="ET224" s="408">
        <v>0</v>
      </c>
      <c r="EU224" s="408"/>
      <c r="EV224" s="408">
        <v>238</v>
      </c>
      <c r="EW224" s="408"/>
      <c r="EX224" s="408"/>
      <c r="EY224" s="408"/>
      <c r="EZ224" s="408"/>
      <c r="FA224" s="408">
        <v>0</v>
      </c>
      <c r="FB224" s="408"/>
      <c r="FC224" s="408"/>
      <c r="FD224" s="408"/>
      <c r="FE224" s="408"/>
      <c r="FF224" s="408">
        <v>0</v>
      </c>
      <c r="FG224" s="408">
        <v>0</v>
      </c>
      <c r="FH224" s="408">
        <v>0</v>
      </c>
      <c r="FI224" s="408">
        <v>0</v>
      </c>
    </row>
    <row r="225" spans="1:165">
      <c r="A225" s="408">
        <v>229</v>
      </c>
      <c r="B225" s="408" t="s">
        <v>2238</v>
      </c>
      <c r="C225" s="408" t="s">
        <v>2243</v>
      </c>
      <c r="D225" s="408" t="s">
        <v>597</v>
      </c>
      <c r="E225" s="408" t="s">
        <v>974</v>
      </c>
      <c r="F225" s="408" t="s">
        <v>2252</v>
      </c>
      <c r="G225" s="408" t="s">
        <v>1322</v>
      </c>
      <c r="H225" s="408" t="s">
        <v>1322</v>
      </c>
      <c r="I225" s="408" t="s">
        <v>1322</v>
      </c>
      <c r="J225" s="408" t="s">
        <v>2236</v>
      </c>
      <c r="K225" s="824">
        <v>44470</v>
      </c>
      <c r="L225" s="408">
        <v>2051</v>
      </c>
      <c r="M225" s="408">
        <v>1968.96</v>
      </c>
      <c r="N225" s="408">
        <v>0</v>
      </c>
      <c r="O225" s="408">
        <v>0</v>
      </c>
      <c r="P225" s="408">
        <v>0</v>
      </c>
      <c r="Q225" s="408">
        <v>0</v>
      </c>
      <c r="R225" s="408">
        <v>44.35</v>
      </c>
      <c r="S225" s="408"/>
      <c r="T225" s="408"/>
      <c r="U225" s="408">
        <v>90961.85</v>
      </c>
      <c r="V225" s="408"/>
      <c r="W225" s="408">
        <v>90961.85</v>
      </c>
      <c r="X225" s="408">
        <v>59417.47</v>
      </c>
      <c r="Y225" s="408">
        <v>0</v>
      </c>
      <c r="Z225" s="408">
        <v>0</v>
      </c>
      <c r="AA225" s="408">
        <v>0</v>
      </c>
      <c r="AB225" s="408">
        <v>0</v>
      </c>
      <c r="AC225" s="408">
        <v>0</v>
      </c>
      <c r="AD225" s="408">
        <v>26913.352624262949</v>
      </c>
      <c r="AE225" s="408">
        <v>58900.302732065044</v>
      </c>
      <c r="AF225" s="408"/>
      <c r="AG225" s="408"/>
      <c r="AH225" s="408"/>
      <c r="AI225" s="408">
        <v>0</v>
      </c>
      <c r="AJ225" s="408">
        <v>0</v>
      </c>
      <c r="AK225" s="408">
        <v>0</v>
      </c>
      <c r="AL225" s="408">
        <v>0</v>
      </c>
      <c r="AM225" s="408"/>
      <c r="AN225" s="408">
        <v>0</v>
      </c>
      <c r="AO225" s="408">
        <v>2034.0191385966432</v>
      </c>
      <c r="AP225" s="408">
        <v>3111.9646478801155</v>
      </c>
      <c r="AQ225" s="408">
        <v>0</v>
      </c>
      <c r="AR225" s="408">
        <v>0</v>
      </c>
      <c r="AS225" s="408"/>
      <c r="AT225" s="408"/>
      <c r="AU225" s="408">
        <v>0</v>
      </c>
      <c r="AV225" s="408">
        <v>0</v>
      </c>
      <c r="AW225" s="408">
        <v>0</v>
      </c>
      <c r="AX225" s="408"/>
      <c r="AY225" s="408"/>
      <c r="AZ225" s="408">
        <v>0</v>
      </c>
      <c r="BA225" s="408"/>
      <c r="BB225" s="408">
        <v>0</v>
      </c>
      <c r="BC225" s="408">
        <v>0</v>
      </c>
      <c r="BD225" s="408">
        <v>0</v>
      </c>
      <c r="BE225" s="408">
        <v>0</v>
      </c>
      <c r="BF225" s="408"/>
      <c r="BG225" s="408">
        <v>0</v>
      </c>
      <c r="BH225" s="408">
        <v>0</v>
      </c>
      <c r="BI225" s="408">
        <v>226.85</v>
      </c>
      <c r="BJ225" s="408">
        <v>1032.06</v>
      </c>
      <c r="BK225" s="408">
        <v>337.62</v>
      </c>
      <c r="BL225" s="408">
        <v>13</v>
      </c>
      <c r="BM225" s="408"/>
      <c r="BN225" s="408"/>
      <c r="BO225" s="408"/>
      <c r="BP225" s="408"/>
      <c r="BQ225" s="408"/>
      <c r="BR225" s="408">
        <v>2376.6987999999988</v>
      </c>
      <c r="BS225" s="408"/>
      <c r="BT225" s="408"/>
      <c r="BU225" s="408"/>
      <c r="BV225" s="408">
        <v>0</v>
      </c>
      <c r="BW225" s="408"/>
      <c r="BX225" s="408"/>
      <c r="BY225" s="408"/>
      <c r="BZ225" s="408"/>
      <c r="CA225" s="408"/>
      <c r="CB225" s="408"/>
      <c r="CC225" s="408"/>
      <c r="CD225" s="408"/>
      <c r="CE225" s="408"/>
      <c r="CF225" s="408"/>
      <c r="CG225" s="408"/>
      <c r="CH225" s="408"/>
      <c r="CI225" s="408">
        <v>57040.771199999996</v>
      </c>
      <c r="CJ225" s="408">
        <v>-30282.634799999993</v>
      </c>
      <c r="CK225" s="408"/>
      <c r="CL225" s="408"/>
      <c r="CM225" s="408"/>
      <c r="CN225" s="408"/>
      <c r="CO225" s="408">
        <v>-31544.380000000005</v>
      </c>
      <c r="CP225" s="408">
        <v>0</v>
      </c>
      <c r="CQ225" s="408">
        <v>31</v>
      </c>
      <c r="CR225" s="408">
        <v>1503.5703774401918</v>
      </c>
      <c r="CS225" s="408">
        <v>245.57126068052094</v>
      </c>
      <c r="CT225" s="408">
        <v>375.71381078567538</v>
      </c>
      <c r="CU225" s="408">
        <v>0</v>
      </c>
      <c r="CV225" s="408">
        <v>0</v>
      </c>
      <c r="CW225" s="408"/>
      <c r="CX225" s="408"/>
      <c r="CY225" s="408"/>
      <c r="CZ225" s="408">
        <v>882.28530597399367</v>
      </c>
      <c r="DA225" s="408">
        <v>0</v>
      </c>
      <c r="DB225" s="408">
        <v>0</v>
      </c>
      <c r="DC225" s="408"/>
      <c r="DD225" s="408"/>
      <c r="DE225" s="408">
        <v>0</v>
      </c>
      <c r="DF225" s="408">
        <v>0</v>
      </c>
      <c r="DG225" s="408">
        <v>0</v>
      </c>
      <c r="DH225" s="408">
        <v>0</v>
      </c>
      <c r="DI225" s="408">
        <v>0</v>
      </c>
      <c r="DJ225" s="408"/>
      <c r="DK225" s="408">
        <v>0</v>
      </c>
      <c r="DL225" s="408">
        <v>0</v>
      </c>
      <c r="DM225" s="408"/>
      <c r="DN225" s="408">
        <v>0</v>
      </c>
      <c r="DO225" s="408">
        <v>0</v>
      </c>
      <c r="DP225" s="408">
        <v>0</v>
      </c>
      <c r="DQ225" s="408">
        <v>0</v>
      </c>
      <c r="DR225" s="408">
        <v>0</v>
      </c>
      <c r="DS225" s="408"/>
      <c r="DT225" s="408"/>
      <c r="DU225" s="408">
        <v>58900.302732065044</v>
      </c>
      <c r="DV225" s="408"/>
      <c r="DW225" s="408">
        <v>0</v>
      </c>
      <c r="DX225" s="408">
        <v>0</v>
      </c>
      <c r="DY225" s="408">
        <v>-31544.380000000005</v>
      </c>
      <c r="DZ225" s="408"/>
      <c r="EA225" s="408">
        <v>0</v>
      </c>
      <c r="EB225" s="408"/>
      <c r="EC225" s="408">
        <v>-33042.463112173864</v>
      </c>
      <c r="ED225" s="408"/>
      <c r="EE225" s="408">
        <v>0</v>
      </c>
      <c r="EF225" s="408">
        <v>0</v>
      </c>
      <c r="EG225" s="408"/>
      <c r="EH225" s="408">
        <v>0</v>
      </c>
      <c r="EI225" s="408">
        <v>0</v>
      </c>
      <c r="EJ225" s="408">
        <v>0</v>
      </c>
      <c r="EK225" s="408">
        <v>0</v>
      </c>
      <c r="EL225" s="408">
        <v>0</v>
      </c>
      <c r="EM225" s="408"/>
      <c r="EN225" s="408"/>
      <c r="EO225" s="408">
        <v>0</v>
      </c>
      <c r="EP225" s="408">
        <v>0</v>
      </c>
      <c r="EQ225" s="408"/>
      <c r="ER225" s="408">
        <v>0</v>
      </c>
      <c r="ES225" s="408"/>
      <c r="ET225" s="408">
        <v>0</v>
      </c>
      <c r="EU225" s="408"/>
      <c r="EV225" s="408">
        <v>238</v>
      </c>
      <c r="EW225" s="408"/>
      <c r="EX225" s="408"/>
      <c r="EY225" s="408"/>
      <c r="EZ225" s="408"/>
      <c r="FA225" s="408">
        <v>0</v>
      </c>
      <c r="FB225" s="408"/>
      <c r="FC225" s="408"/>
      <c r="FD225" s="408"/>
      <c r="FE225" s="408"/>
      <c r="FF225" s="408">
        <v>0</v>
      </c>
      <c r="FG225" s="408">
        <v>0</v>
      </c>
      <c r="FH225" s="408">
        <v>0</v>
      </c>
      <c r="FI225" s="408">
        <v>0</v>
      </c>
    </row>
    <row r="226" spans="1:165">
      <c r="A226" s="408">
        <v>230</v>
      </c>
      <c r="B226" s="408" t="s">
        <v>1036</v>
      </c>
      <c r="C226" s="408" t="s">
        <v>2243</v>
      </c>
      <c r="D226" s="408" t="s">
        <v>597</v>
      </c>
      <c r="E226" s="408" t="s">
        <v>974</v>
      </c>
      <c r="F226" s="408" t="s">
        <v>2252</v>
      </c>
      <c r="G226" s="408" t="s">
        <v>2254</v>
      </c>
      <c r="H226" s="408" t="s">
        <v>1322</v>
      </c>
      <c r="I226" s="408" t="s">
        <v>2244</v>
      </c>
      <c r="J226" s="408" t="s">
        <v>2236</v>
      </c>
      <c r="K226" s="824">
        <v>44470</v>
      </c>
      <c r="L226" s="408">
        <v>0</v>
      </c>
      <c r="M226" s="408">
        <v>0</v>
      </c>
      <c r="N226" s="408">
        <v>1059.308</v>
      </c>
      <c r="O226" s="408">
        <v>317.79239999999999</v>
      </c>
      <c r="P226" s="408">
        <v>1059.308</v>
      </c>
      <c r="Q226" s="408">
        <v>317.79239999999999</v>
      </c>
      <c r="R226" s="408"/>
      <c r="S226" s="408">
        <v>79.7</v>
      </c>
      <c r="T226" s="408">
        <v>209.4</v>
      </c>
      <c r="U226" s="408"/>
      <c r="V226" s="408">
        <v>306245.94280000002</v>
      </c>
      <c r="W226" s="408">
        <v>306245.94280000002</v>
      </c>
      <c r="X226" s="408">
        <v>331054.93615999998</v>
      </c>
      <c r="Y226" s="408">
        <v>0</v>
      </c>
      <c r="Z226" s="408">
        <v>56713.209993174489</v>
      </c>
      <c r="AA226" s="408">
        <v>0</v>
      </c>
      <c r="AB226" s="408">
        <v>0</v>
      </c>
      <c r="AC226" s="408">
        <v>0</v>
      </c>
      <c r="AD226" s="408">
        <v>0</v>
      </c>
      <c r="AE226" s="408">
        <v>0</v>
      </c>
      <c r="AF226" s="408">
        <v>218906.7882223991</v>
      </c>
      <c r="AG226" s="408">
        <v>2916.2378102839984</v>
      </c>
      <c r="AH226" s="408">
        <v>0</v>
      </c>
      <c r="AI226" s="408">
        <v>0</v>
      </c>
      <c r="AJ226" s="408">
        <v>0</v>
      </c>
      <c r="AK226" s="408">
        <v>0</v>
      </c>
      <c r="AL226" s="408">
        <v>10073.597099493671</v>
      </c>
      <c r="AM226" s="408"/>
      <c r="AN226" s="408">
        <v>1406.5960987571195</v>
      </c>
      <c r="AO226" s="408">
        <v>0</v>
      </c>
      <c r="AP226" s="408">
        <v>0</v>
      </c>
      <c r="AQ226" s="408">
        <v>0</v>
      </c>
      <c r="AR226" s="408">
        <v>0</v>
      </c>
      <c r="AS226" s="408">
        <v>0</v>
      </c>
      <c r="AT226" s="408">
        <v>0</v>
      </c>
      <c r="AU226" s="408">
        <v>0</v>
      </c>
      <c r="AV226" s="408">
        <v>0</v>
      </c>
      <c r="AW226" s="408">
        <v>0</v>
      </c>
      <c r="AX226" s="408">
        <v>0</v>
      </c>
      <c r="AY226" s="408">
        <v>0</v>
      </c>
      <c r="AZ226" s="408">
        <v>0</v>
      </c>
      <c r="BA226" s="408"/>
      <c r="BB226" s="408">
        <v>0</v>
      </c>
      <c r="BC226" s="408">
        <v>0</v>
      </c>
      <c r="BD226" s="408">
        <v>0</v>
      </c>
      <c r="BE226" s="408">
        <v>0</v>
      </c>
      <c r="BF226" s="408">
        <v>0</v>
      </c>
      <c r="BG226" s="408">
        <v>16233.298032931873</v>
      </c>
      <c r="BH226" s="408">
        <v>0</v>
      </c>
      <c r="BI226" s="408">
        <v>0</v>
      </c>
      <c r="BJ226" s="408">
        <v>0</v>
      </c>
      <c r="BK226" s="408">
        <v>0</v>
      </c>
      <c r="BL226" s="408">
        <v>0</v>
      </c>
      <c r="BM226" s="408"/>
      <c r="BN226" s="408"/>
      <c r="BO226" s="408"/>
      <c r="BP226" s="408"/>
      <c r="BQ226" s="408"/>
      <c r="BR226" s="408"/>
      <c r="BS226" s="408">
        <v>231738.45531200001</v>
      </c>
      <c r="BT226" s="408"/>
      <c r="BU226" s="408"/>
      <c r="BV226" s="408">
        <v>235140.08625533097</v>
      </c>
      <c r="BW226" s="408"/>
      <c r="BX226" s="408"/>
      <c r="BY226" s="408"/>
      <c r="BZ226" s="408"/>
      <c r="CA226" s="408"/>
      <c r="CB226" s="408"/>
      <c r="CC226" s="408"/>
      <c r="CD226" s="408"/>
      <c r="CE226" s="408"/>
      <c r="CF226" s="408"/>
      <c r="CG226" s="408"/>
      <c r="CH226" s="408"/>
      <c r="CI226" s="408">
        <v>99315.730800000005</v>
      </c>
      <c r="CJ226" s="408">
        <v>7441.9179600000061</v>
      </c>
      <c r="CK226" s="408"/>
      <c r="CL226" s="408"/>
      <c r="CM226" s="408"/>
      <c r="CN226" s="408"/>
      <c r="CO226" s="408">
        <v>624.99172000000362</v>
      </c>
      <c r="CP226" s="408">
        <v>24184.001639999984</v>
      </c>
      <c r="CQ226" s="408">
        <v>31</v>
      </c>
      <c r="CR226" s="408">
        <v>24800.735097006196</v>
      </c>
      <c r="CS226" s="408">
        <v>0</v>
      </c>
      <c r="CT226" s="408">
        <v>0</v>
      </c>
      <c r="CU226" s="408">
        <v>0</v>
      </c>
      <c r="CV226" s="408">
        <v>0</v>
      </c>
      <c r="CW226" s="408">
        <v>0</v>
      </c>
      <c r="CX226" s="408">
        <v>0</v>
      </c>
      <c r="CY226" s="408">
        <v>0</v>
      </c>
      <c r="CZ226" s="408">
        <v>0</v>
      </c>
      <c r="DA226" s="408">
        <v>0</v>
      </c>
      <c r="DB226" s="408">
        <v>0</v>
      </c>
      <c r="DC226" s="408">
        <v>24176.67559972615</v>
      </c>
      <c r="DD226" s="408">
        <v>0</v>
      </c>
      <c r="DE226" s="408">
        <v>0</v>
      </c>
      <c r="DF226" s="408">
        <v>0</v>
      </c>
      <c r="DG226" s="408">
        <v>1792.8506632564186</v>
      </c>
      <c r="DH226" s="408">
        <v>0</v>
      </c>
      <c r="DI226" s="408">
        <v>-988.63164296562172</v>
      </c>
      <c r="DJ226" s="408"/>
      <c r="DK226" s="408">
        <v>0</v>
      </c>
      <c r="DL226" s="408">
        <v>0</v>
      </c>
      <c r="DM226" s="408">
        <v>0</v>
      </c>
      <c r="DN226" s="408">
        <v>0</v>
      </c>
      <c r="DO226" s="408">
        <v>-147.63835764893338</v>
      </c>
      <c r="DP226" s="408">
        <v>-32.521165361795966</v>
      </c>
      <c r="DQ226" s="408">
        <v>0</v>
      </c>
      <c r="DR226" s="408">
        <v>0</v>
      </c>
      <c r="DS226" s="408"/>
      <c r="DT226" s="408"/>
      <c r="DU226" s="408"/>
      <c r="DV226" s="408">
        <v>0</v>
      </c>
      <c r="DW226" s="408">
        <v>0</v>
      </c>
      <c r="DX226" s="408">
        <v>0</v>
      </c>
      <c r="DY226" s="408">
        <v>624.99171999999089</v>
      </c>
      <c r="DZ226" s="408">
        <v>24184.001639999973</v>
      </c>
      <c r="EA226" s="408">
        <v>0</v>
      </c>
      <c r="EB226" s="408">
        <v>0</v>
      </c>
      <c r="EC226" s="408">
        <v>0</v>
      </c>
      <c r="ED226" s="408">
        <v>0</v>
      </c>
      <c r="EE226" s="408">
        <v>0</v>
      </c>
      <c r="EF226" s="408">
        <v>0</v>
      </c>
      <c r="EG226" s="408">
        <v>0</v>
      </c>
      <c r="EH226" s="408">
        <v>0</v>
      </c>
      <c r="EI226" s="408">
        <v>0</v>
      </c>
      <c r="EJ226" s="408">
        <v>0</v>
      </c>
      <c r="EK226" s="408">
        <v>0</v>
      </c>
      <c r="EL226" s="408">
        <v>0</v>
      </c>
      <c r="EM226" s="408">
        <v>0</v>
      </c>
      <c r="EN226" s="408">
        <v>0</v>
      </c>
      <c r="EO226" s="408">
        <v>0</v>
      </c>
      <c r="EP226" s="408">
        <v>0</v>
      </c>
      <c r="EQ226" s="408">
        <v>0</v>
      </c>
      <c r="ER226" s="408">
        <v>0</v>
      </c>
      <c r="ES226" s="408">
        <v>0</v>
      </c>
      <c r="ET226" s="408">
        <v>0</v>
      </c>
      <c r="EU226" s="408">
        <v>0</v>
      </c>
      <c r="EV226" s="408">
        <v>238</v>
      </c>
      <c r="EW226" s="408">
        <v>0</v>
      </c>
      <c r="EX226" s="408">
        <v>0</v>
      </c>
      <c r="EY226" s="408">
        <v>0</v>
      </c>
      <c r="EZ226" s="408"/>
      <c r="FA226" s="408">
        <v>0</v>
      </c>
      <c r="FB226" s="408"/>
      <c r="FC226" s="408"/>
      <c r="FD226" s="408"/>
      <c r="FE226" s="408"/>
      <c r="FF226" s="408">
        <v>0</v>
      </c>
      <c r="FG226" s="408">
        <v>0</v>
      </c>
      <c r="FH226" s="408">
        <v>0</v>
      </c>
      <c r="FI226" s="408">
        <v>0</v>
      </c>
    </row>
    <row r="227" spans="1:165">
      <c r="A227" s="408">
        <v>231</v>
      </c>
      <c r="B227" s="408" t="s">
        <v>2237</v>
      </c>
      <c r="C227" s="408" t="s">
        <v>2243</v>
      </c>
      <c r="D227" s="408" t="s">
        <v>597</v>
      </c>
      <c r="E227" s="408" t="s">
        <v>974</v>
      </c>
      <c r="F227" s="408" t="s">
        <v>2252</v>
      </c>
      <c r="G227" s="408" t="s">
        <v>2254</v>
      </c>
      <c r="H227" s="408" t="s">
        <v>1322</v>
      </c>
      <c r="I227" s="408" t="s">
        <v>2244</v>
      </c>
      <c r="J227" s="408" t="s">
        <v>2236</v>
      </c>
      <c r="K227" s="824">
        <v>44470</v>
      </c>
      <c r="L227" s="408">
        <v>0</v>
      </c>
      <c r="M227" s="408">
        <v>0</v>
      </c>
      <c r="N227" s="408">
        <v>2.1880000000000002</v>
      </c>
      <c r="O227" s="408">
        <v>0.65639999999999998</v>
      </c>
      <c r="P227" s="408">
        <v>2.1880000000000002</v>
      </c>
      <c r="Q227" s="408">
        <v>0.65639999999999998</v>
      </c>
      <c r="R227" s="408"/>
      <c r="S227" s="408">
        <v>79.7</v>
      </c>
      <c r="T227" s="408">
        <v>209.4</v>
      </c>
      <c r="U227" s="408"/>
      <c r="V227" s="408">
        <v>632.55080000000009</v>
      </c>
      <c r="W227" s="408">
        <v>632.55080000000009</v>
      </c>
      <c r="X227" s="408">
        <v>683.79376000000002</v>
      </c>
      <c r="Y227" s="408">
        <v>0</v>
      </c>
      <c r="Z227" s="408">
        <v>117.14109915630374</v>
      </c>
      <c r="AA227" s="408">
        <v>0</v>
      </c>
      <c r="AB227" s="408">
        <v>0</v>
      </c>
      <c r="AC227" s="408">
        <v>0</v>
      </c>
      <c r="AD227" s="408">
        <v>0</v>
      </c>
      <c r="AE227" s="408">
        <v>0</v>
      </c>
      <c r="AF227" s="408">
        <v>452.15183179076274</v>
      </c>
      <c r="AG227" s="408">
        <v>6.0234873416432135</v>
      </c>
      <c r="AH227" s="408">
        <v>0</v>
      </c>
      <c r="AI227" s="408">
        <v>0</v>
      </c>
      <c r="AJ227" s="408">
        <v>0</v>
      </c>
      <c r="AK227" s="408">
        <v>0</v>
      </c>
      <c r="AL227" s="408">
        <v>20.80700839953267</v>
      </c>
      <c r="AM227" s="408"/>
      <c r="AN227" s="408">
        <v>2.9053233470157669</v>
      </c>
      <c r="AO227" s="408">
        <v>0</v>
      </c>
      <c r="AP227" s="408">
        <v>0</v>
      </c>
      <c r="AQ227" s="408">
        <v>0</v>
      </c>
      <c r="AR227" s="408">
        <v>0</v>
      </c>
      <c r="AS227" s="408">
        <v>0</v>
      </c>
      <c r="AT227" s="408">
        <v>0</v>
      </c>
      <c r="AU227" s="408">
        <v>0</v>
      </c>
      <c r="AV227" s="408">
        <v>0</v>
      </c>
      <c r="AW227" s="408">
        <v>0</v>
      </c>
      <c r="AX227" s="408">
        <v>0</v>
      </c>
      <c r="AY227" s="408">
        <v>0</v>
      </c>
      <c r="AZ227" s="408">
        <v>0</v>
      </c>
      <c r="BA227" s="408"/>
      <c r="BB227" s="408">
        <v>0</v>
      </c>
      <c r="BC227" s="408">
        <v>0</v>
      </c>
      <c r="BD227" s="408">
        <v>0</v>
      </c>
      <c r="BE227" s="408">
        <v>0</v>
      </c>
      <c r="BF227" s="408">
        <v>0</v>
      </c>
      <c r="BG227" s="408">
        <v>33.529866758350678</v>
      </c>
      <c r="BH227" s="408">
        <v>0</v>
      </c>
      <c r="BI227" s="408">
        <v>0</v>
      </c>
      <c r="BJ227" s="408">
        <v>0</v>
      </c>
      <c r="BK227" s="408">
        <v>0</v>
      </c>
      <c r="BL227" s="408">
        <v>0</v>
      </c>
      <c r="BM227" s="408"/>
      <c r="BN227" s="408"/>
      <c r="BO227" s="408"/>
      <c r="BP227" s="408"/>
      <c r="BQ227" s="408"/>
      <c r="BR227" s="408"/>
      <c r="BS227" s="408">
        <v>478.65563200000003</v>
      </c>
      <c r="BT227" s="408"/>
      <c r="BU227" s="408"/>
      <c r="BV227" s="408">
        <v>485.68169854911343</v>
      </c>
      <c r="BW227" s="408"/>
      <c r="BX227" s="408"/>
      <c r="BY227" s="408"/>
      <c r="BZ227" s="408"/>
      <c r="CA227" s="408"/>
      <c r="CB227" s="408"/>
      <c r="CC227" s="408"/>
      <c r="CD227" s="408"/>
      <c r="CE227" s="408"/>
      <c r="CF227" s="408"/>
      <c r="CG227" s="408"/>
      <c r="CH227" s="408"/>
      <c r="CI227" s="408">
        <v>206.26320000000001</v>
      </c>
      <c r="CJ227" s="408">
        <v>16.467960000000005</v>
      </c>
      <c r="CK227" s="408"/>
      <c r="CL227" s="408"/>
      <c r="CM227" s="408"/>
      <c r="CN227" s="408"/>
      <c r="CO227" s="408">
        <v>1.2909200000000076</v>
      </c>
      <c r="CP227" s="408">
        <v>49.952039999999968</v>
      </c>
      <c r="CQ227" s="408">
        <v>31</v>
      </c>
      <c r="CR227" s="408">
        <v>51.22590256304079</v>
      </c>
      <c r="CS227" s="408">
        <v>0</v>
      </c>
      <c r="CT227" s="408">
        <v>0</v>
      </c>
      <c r="CU227" s="408">
        <v>0</v>
      </c>
      <c r="CV227" s="408">
        <v>0</v>
      </c>
      <c r="CW227" s="408">
        <v>0</v>
      </c>
      <c r="CX227" s="408">
        <v>0</v>
      </c>
      <c r="CY227" s="408">
        <v>0</v>
      </c>
      <c r="CZ227" s="408">
        <v>0</v>
      </c>
      <c r="DA227" s="408">
        <v>0</v>
      </c>
      <c r="DB227" s="408">
        <v>0</v>
      </c>
      <c r="DC227" s="408">
        <v>49.936908068475645</v>
      </c>
      <c r="DD227" s="408">
        <v>0</v>
      </c>
      <c r="DE227" s="408">
        <v>0</v>
      </c>
      <c r="DF227" s="408">
        <v>0</v>
      </c>
      <c r="DG227" s="408">
        <v>3.7031319042290249</v>
      </c>
      <c r="DH227" s="408">
        <v>0</v>
      </c>
      <c r="DI227" s="408">
        <v>-2.0420180295143524</v>
      </c>
      <c r="DJ227" s="408"/>
      <c r="DK227" s="408">
        <v>0</v>
      </c>
      <c r="DL227" s="408">
        <v>0</v>
      </c>
      <c r="DM227" s="408">
        <v>0</v>
      </c>
      <c r="DN227" s="408">
        <v>0</v>
      </c>
      <c r="DO227" s="408">
        <v>-0.30494693378683735</v>
      </c>
      <c r="DP227" s="408">
        <v>-6.7172446362729232E-2</v>
      </c>
      <c r="DQ227" s="408">
        <v>0</v>
      </c>
      <c r="DR227" s="408">
        <v>0</v>
      </c>
      <c r="DS227" s="408"/>
      <c r="DT227" s="408"/>
      <c r="DU227" s="408"/>
      <c r="DV227" s="408">
        <v>0</v>
      </c>
      <c r="DW227" s="408">
        <v>0</v>
      </c>
      <c r="DX227" s="408">
        <v>0</v>
      </c>
      <c r="DY227" s="408">
        <v>1.2909199999999998</v>
      </c>
      <c r="DZ227" s="408">
        <v>49.952039999999954</v>
      </c>
      <c r="EA227" s="408">
        <v>0</v>
      </c>
      <c r="EB227" s="408">
        <v>0</v>
      </c>
      <c r="EC227" s="408">
        <v>0</v>
      </c>
      <c r="ED227" s="408">
        <v>0</v>
      </c>
      <c r="EE227" s="408">
        <v>0</v>
      </c>
      <c r="EF227" s="408">
        <v>0</v>
      </c>
      <c r="EG227" s="408">
        <v>0</v>
      </c>
      <c r="EH227" s="408">
        <v>0</v>
      </c>
      <c r="EI227" s="408">
        <v>0</v>
      </c>
      <c r="EJ227" s="408">
        <v>0</v>
      </c>
      <c r="EK227" s="408">
        <v>0</v>
      </c>
      <c r="EL227" s="408">
        <v>0</v>
      </c>
      <c r="EM227" s="408">
        <v>0</v>
      </c>
      <c r="EN227" s="408">
        <v>0</v>
      </c>
      <c r="EO227" s="408">
        <v>0</v>
      </c>
      <c r="EP227" s="408">
        <v>0</v>
      </c>
      <c r="EQ227" s="408">
        <v>0</v>
      </c>
      <c r="ER227" s="408">
        <v>0</v>
      </c>
      <c r="ES227" s="408">
        <v>0</v>
      </c>
      <c r="ET227" s="408">
        <v>0</v>
      </c>
      <c r="EU227" s="408">
        <v>0</v>
      </c>
      <c r="EV227" s="408">
        <v>238</v>
      </c>
      <c r="EW227" s="408">
        <v>0</v>
      </c>
      <c r="EX227" s="408">
        <v>0</v>
      </c>
      <c r="EY227" s="408">
        <v>0</v>
      </c>
      <c r="EZ227" s="408"/>
      <c r="FA227" s="408">
        <v>0</v>
      </c>
      <c r="FB227" s="408"/>
      <c r="FC227" s="408"/>
      <c r="FD227" s="408"/>
      <c r="FE227" s="408"/>
      <c r="FF227" s="408">
        <v>0</v>
      </c>
      <c r="FG227" s="408">
        <v>0</v>
      </c>
      <c r="FH227" s="408">
        <v>0</v>
      </c>
      <c r="FI227" s="408">
        <v>0</v>
      </c>
    </row>
    <row r="228" spans="1:165">
      <c r="A228" s="408">
        <v>232</v>
      </c>
      <c r="B228" s="408" t="s">
        <v>1036</v>
      </c>
      <c r="C228" s="408" t="s">
        <v>2235</v>
      </c>
      <c r="D228" s="408" t="s">
        <v>1955</v>
      </c>
      <c r="E228" s="408" t="s">
        <v>969</v>
      </c>
      <c r="F228" s="408" t="s">
        <v>969</v>
      </c>
      <c r="G228" s="408" t="s">
        <v>1322</v>
      </c>
      <c r="H228" s="408" t="s">
        <v>1322</v>
      </c>
      <c r="I228" s="408" t="s">
        <v>1322</v>
      </c>
      <c r="J228" s="408" t="s">
        <v>2236</v>
      </c>
      <c r="K228" s="824">
        <v>44501</v>
      </c>
      <c r="L228" s="408">
        <v>0</v>
      </c>
      <c r="M228" s="408">
        <v>0</v>
      </c>
      <c r="N228" s="408">
        <v>1628.123</v>
      </c>
      <c r="O228" s="408">
        <v>1628.123</v>
      </c>
      <c r="P228" s="408">
        <v>1628.123</v>
      </c>
      <c r="Q228" s="408">
        <v>1628.123</v>
      </c>
      <c r="R228" s="408"/>
      <c r="S228" s="408">
        <v>581.32000000000005</v>
      </c>
      <c r="T228" s="408">
        <v>209.4</v>
      </c>
      <c r="U228" s="408"/>
      <c r="V228" s="408">
        <v>1287389.4185600001</v>
      </c>
      <c r="W228" s="408">
        <v>1287389.4185600001</v>
      </c>
      <c r="X228" s="408">
        <v>983500.26061</v>
      </c>
      <c r="Y228" s="408">
        <v>0</v>
      </c>
      <c r="Z228" s="408">
        <v>100191.28253465012</v>
      </c>
      <c r="AA228" s="408">
        <v>0</v>
      </c>
      <c r="AB228" s="408">
        <v>0</v>
      </c>
      <c r="AC228" s="408">
        <v>0</v>
      </c>
      <c r="AD228" s="408">
        <v>120792.30923839589</v>
      </c>
      <c r="AE228" s="408">
        <v>627487.25260995852</v>
      </c>
      <c r="AF228" s="408">
        <v>336452.832189521</v>
      </c>
      <c r="AG228" s="408">
        <v>4482.1655763885619</v>
      </c>
      <c r="AH228" s="408">
        <v>0</v>
      </c>
      <c r="AI228" s="408">
        <v>0</v>
      </c>
      <c r="AJ228" s="408">
        <v>0</v>
      </c>
      <c r="AK228" s="408">
        <v>0</v>
      </c>
      <c r="AL228" s="408">
        <v>15482.801159265233</v>
      </c>
      <c r="AM228" s="408"/>
      <c r="AN228" s="408">
        <v>2968.0101307802474</v>
      </c>
      <c r="AO228" s="408">
        <v>9279.4557379333382</v>
      </c>
      <c r="AP228" s="408">
        <v>13977.745250333142</v>
      </c>
      <c r="AQ228" s="408">
        <v>0</v>
      </c>
      <c r="AR228" s="408">
        <v>0</v>
      </c>
      <c r="AS228" s="408">
        <v>0</v>
      </c>
      <c r="AT228" s="408">
        <v>0</v>
      </c>
      <c r="AU228" s="408">
        <v>0</v>
      </c>
      <c r="AV228" s="408">
        <v>0</v>
      </c>
      <c r="AW228" s="408">
        <v>0</v>
      </c>
      <c r="AX228" s="408">
        <v>0</v>
      </c>
      <c r="AY228" s="408">
        <v>0</v>
      </c>
      <c r="AZ228" s="408">
        <v>0</v>
      </c>
      <c r="BA228" s="408"/>
      <c r="BB228" s="408">
        <v>0</v>
      </c>
      <c r="BC228" s="408">
        <v>0</v>
      </c>
      <c r="BD228" s="408">
        <v>0</v>
      </c>
      <c r="BE228" s="408">
        <v>0</v>
      </c>
      <c r="BF228" s="408">
        <v>0</v>
      </c>
      <c r="BG228" s="408">
        <v>56287.929859575794</v>
      </c>
      <c r="BH228" s="408">
        <v>0</v>
      </c>
      <c r="BI228" s="408">
        <v>3410.5</v>
      </c>
      <c r="BJ228" s="408">
        <v>16169.04</v>
      </c>
      <c r="BK228" s="408">
        <v>517258.36</v>
      </c>
      <c r="BL228" s="408">
        <v>9297</v>
      </c>
      <c r="BM228" s="408"/>
      <c r="BN228" s="408"/>
      <c r="BO228" s="408"/>
      <c r="BP228" s="408"/>
      <c r="BQ228" s="408"/>
      <c r="BR228" s="408"/>
      <c r="BS228" s="408"/>
      <c r="BT228" s="408"/>
      <c r="BU228" s="408"/>
      <c r="BV228" s="408">
        <v>392740.76204909681</v>
      </c>
      <c r="BW228" s="408"/>
      <c r="BX228" s="408"/>
      <c r="BY228" s="408"/>
      <c r="BZ228" s="408"/>
      <c r="CA228" s="408"/>
      <c r="CB228" s="408"/>
      <c r="CC228" s="408"/>
      <c r="CD228" s="408"/>
      <c r="CE228" s="408"/>
      <c r="CF228" s="408"/>
      <c r="CG228" s="408"/>
      <c r="CH228" s="408"/>
      <c r="CI228" s="408">
        <v>983498.44839999988</v>
      </c>
      <c r="CJ228" s="408">
        <v>-303891.00016000029</v>
      </c>
      <c r="CK228" s="408"/>
      <c r="CL228" s="408"/>
      <c r="CM228" s="408"/>
      <c r="CN228" s="408"/>
      <c r="CO228" s="408">
        <v>-341059.20604000014</v>
      </c>
      <c r="CP228" s="408">
        <v>37170.048089999975</v>
      </c>
      <c r="CQ228" s="408">
        <v>30</v>
      </c>
      <c r="CR228" s="408">
        <v>48101.055410511093</v>
      </c>
      <c r="CS228" s="408">
        <v>1120.3275331841942</v>
      </c>
      <c r="CT228" s="408">
        <v>1687.5615658974202</v>
      </c>
      <c r="CU228" s="408">
        <v>0</v>
      </c>
      <c r="CV228" s="408">
        <v>0</v>
      </c>
      <c r="CW228" s="408">
        <v>0</v>
      </c>
      <c r="CX228" s="408">
        <v>0</v>
      </c>
      <c r="CY228" s="408">
        <v>0</v>
      </c>
      <c r="CZ228" s="408">
        <v>3959.8663534626248</v>
      </c>
      <c r="DA228" s="408">
        <v>0</v>
      </c>
      <c r="DB228" s="408">
        <v>0</v>
      </c>
      <c r="DC228" s="408">
        <v>37158.788197061629</v>
      </c>
      <c r="DD228" s="408">
        <v>0</v>
      </c>
      <c r="DE228" s="408">
        <v>0</v>
      </c>
      <c r="DF228" s="408">
        <v>0</v>
      </c>
      <c r="DG228" s="408">
        <v>6216.5958006404326</v>
      </c>
      <c r="DH228" s="408">
        <v>0</v>
      </c>
      <c r="DI228" s="408">
        <v>-1746.546744135645</v>
      </c>
      <c r="DJ228" s="408"/>
      <c r="DK228" s="408">
        <v>0</v>
      </c>
      <c r="DL228" s="408">
        <v>0</v>
      </c>
      <c r="DM228" s="408">
        <v>0</v>
      </c>
      <c r="DN228" s="408">
        <v>0</v>
      </c>
      <c r="DO228" s="408">
        <v>-226.9155012238698</v>
      </c>
      <c r="DP228" s="408">
        <v>-68.621794375695117</v>
      </c>
      <c r="DQ228" s="408">
        <v>0</v>
      </c>
      <c r="DR228" s="408">
        <v>0</v>
      </c>
      <c r="DS228" s="408"/>
      <c r="DT228" s="408"/>
      <c r="DU228" s="408"/>
      <c r="DV228" s="408">
        <v>627487.25260995852</v>
      </c>
      <c r="DW228" s="408">
        <v>0</v>
      </c>
      <c r="DX228" s="408">
        <v>0</v>
      </c>
      <c r="DY228" s="408">
        <v>-341059.20604000019</v>
      </c>
      <c r="DZ228" s="408">
        <v>37170.048089999997</v>
      </c>
      <c r="EA228" s="408">
        <v>0</v>
      </c>
      <c r="EB228" s="408">
        <v>0</v>
      </c>
      <c r="EC228" s="408">
        <v>-352013.88509055198</v>
      </c>
      <c r="ED228" s="408">
        <v>0</v>
      </c>
      <c r="EE228" s="408">
        <v>0</v>
      </c>
      <c r="EF228" s="408">
        <v>0</v>
      </c>
      <c r="EG228" s="408">
        <v>0</v>
      </c>
      <c r="EH228" s="408">
        <v>0</v>
      </c>
      <c r="EI228" s="408">
        <v>0</v>
      </c>
      <c r="EJ228" s="408">
        <v>0</v>
      </c>
      <c r="EK228" s="408">
        <v>0</v>
      </c>
      <c r="EL228" s="408">
        <v>0</v>
      </c>
      <c r="EM228" s="408">
        <v>0</v>
      </c>
      <c r="EN228" s="408">
        <v>0</v>
      </c>
      <c r="EO228" s="408">
        <v>0</v>
      </c>
      <c r="EP228" s="408">
        <v>0</v>
      </c>
      <c r="EQ228" s="408">
        <v>0</v>
      </c>
      <c r="ER228" s="408">
        <v>0</v>
      </c>
      <c r="ES228" s="408">
        <v>0</v>
      </c>
      <c r="ET228" s="408">
        <v>0</v>
      </c>
      <c r="EU228" s="408">
        <v>0</v>
      </c>
      <c r="EV228" s="408">
        <v>238</v>
      </c>
      <c r="EW228" s="408">
        <v>0</v>
      </c>
      <c r="EX228" s="408">
        <v>0</v>
      </c>
      <c r="EY228" s="408">
        <v>0</v>
      </c>
      <c r="EZ228" s="408"/>
      <c r="FA228" s="408">
        <v>0</v>
      </c>
      <c r="FB228" s="408"/>
      <c r="FC228" s="408"/>
      <c r="FD228" s="408"/>
      <c r="FE228" s="408"/>
      <c r="FF228" s="408">
        <v>0</v>
      </c>
      <c r="FG228" s="408">
        <v>0</v>
      </c>
      <c r="FH228" s="408">
        <v>0</v>
      </c>
      <c r="FI228" s="408">
        <v>0</v>
      </c>
    </row>
    <row r="229" spans="1:165">
      <c r="A229" s="408">
        <v>233</v>
      </c>
      <c r="B229" s="408" t="s">
        <v>2237</v>
      </c>
      <c r="C229" s="408" t="s">
        <v>2235</v>
      </c>
      <c r="D229" s="408" t="s">
        <v>1955</v>
      </c>
      <c r="E229" s="408" t="s">
        <v>969</v>
      </c>
      <c r="F229" s="408" t="s">
        <v>969</v>
      </c>
      <c r="G229" s="408" t="s">
        <v>1322</v>
      </c>
      <c r="H229" s="408" t="s">
        <v>1322</v>
      </c>
      <c r="I229" s="408" t="s">
        <v>1322</v>
      </c>
      <c r="J229" s="408" t="s">
        <v>2236</v>
      </c>
      <c r="K229" s="824">
        <v>44501</v>
      </c>
      <c r="L229" s="408">
        <v>0</v>
      </c>
      <c r="M229" s="408">
        <v>0</v>
      </c>
      <c r="N229" s="408">
        <v>-1.169</v>
      </c>
      <c r="O229" s="408">
        <v>-1.169</v>
      </c>
      <c r="P229" s="408">
        <v>-1.169</v>
      </c>
      <c r="Q229" s="408">
        <v>-1.169</v>
      </c>
      <c r="R229" s="408"/>
      <c r="S229" s="408">
        <v>581.32000000000005</v>
      </c>
      <c r="T229" s="408">
        <v>209.4</v>
      </c>
      <c r="U229" s="408"/>
      <c r="V229" s="408">
        <v>-924.3516800000001</v>
      </c>
      <c r="W229" s="408">
        <v>-924.3516800000001</v>
      </c>
      <c r="X229" s="408">
        <v>-706.15782999999999</v>
      </c>
      <c r="Y229" s="408">
        <v>0</v>
      </c>
      <c r="Z229" s="408">
        <v>-71.937813840235648</v>
      </c>
      <c r="AA229" s="408">
        <v>0</v>
      </c>
      <c r="AB229" s="408">
        <v>0</v>
      </c>
      <c r="AC229" s="408">
        <v>0</v>
      </c>
      <c r="AD229" s="408">
        <v>-86.729448266307145</v>
      </c>
      <c r="AE229" s="408">
        <v>-450.5388095991774</v>
      </c>
      <c r="AF229" s="408">
        <v>-241.57472182970824</v>
      </c>
      <c r="AG229" s="408">
        <v>-3.2182160431357021</v>
      </c>
      <c r="AH229" s="408">
        <v>0</v>
      </c>
      <c r="AI229" s="408">
        <v>0</v>
      </c>
      <c r="AJ229" s="408">
        <v>0</v>
      </c>
      <c r="AK229" s="408">
        <v>0</v>
      </c>
      <c r="AL229" s="408">
        <v>-11.116724323150681</v>
      </c>
      <c r="AM229" s="408"/>
      <c r="AN229" s="408">
        <v>-2.1310452852039492</v>
      </c>
      <c r="AO229" s="408">
        <v>-6.6626930260453747</v>
      </c>
      <c r="AP229" s="408">
        <v>-10.036087075509309</v>
      </c>
      <c r="AQ229" s="408">
        <v>0</v>
      </c>
      <c r="AR229" s="408">
        <v>0</v>
      </c>
      <c r="AS229" s="408">
        <v>0</v>
      </c>
      <c r="AT229" s="408">
        <v>0</v>
      </c>
      <c r="AU229" s="408">
        <v>0</v>
      </c>
      <c r="AV229" s="408">
        <v>0</v>
      </c>
      <c r="AW229" s="408">
        <v>0</v>
      </c>
      <c r="AX229" s="408">
        <v>0</v>
      </c>
      <c r="AY229" s="408">
        <v>0</v>
      </c>
      <c r="AZ229" s="408">
        <v>0</v>
      </c>
      <c r="BA229" s="408"/>
      <c r="BB229" s="408">
        <v>0</v>
      </c>
      <c r="BC229" s="408">
        <v>0</v>
      </c>
      <c r="BD229" s="408">
        <v>0</v>
      </c>
      <c r="BE229" s="408">
        <v>0</v>
      </c>
      <c r="BF229" s="408">
        <v>0</v>
      </c>
      <c r="BG229" s="408">
        <v>-40.414999361746077</v>
      </c>
      <c r="BH229" s="408">
        <v>0</v>
      </c>
      <c r="BI229" s="408">
        <v>-3.53</v>
      </c>
      <c r="BJ229" s="408">
        <v>-16.2</v>
      </c>
      <c r="BK229" s="408">
        <v>-412.24</v>
      </c>
      <c r="BL229" s="408">
        <v>0</v>
      </c>
      <c r="BM229" s="408"/>
      <c r="BN229" s="408"/>
      <c r="BO229" s="408"/>
      <c r="BP229" s="408"/>
      <c r="BQ229" s="408"/>
      <c r="BR229" s="408"/>
      <c r="BS229" s="408"/>
      <c r="BT229" s="408"/>
      <c r="BU229" s="408"/>
      <c r="BV229" s="408">
        <v>-281.98972119145429</v>
      </c>
      <c r="BW229" s="408"/>
      <c r="BX229" s="408"/>
      <c r="BY229" s="408"/>
      <c r="BZ229" s="408"/>
      <c r="CA229" s="408"/>
      <c r="CB229" s="408"/>
      <c r="CC229" s="408"/>
      <c r="CD229" s="408"/>
      <c r="CE229" s="408"/>
      <c r="CF229" s="408"/>
      <c r="CG229" s="408"/>
      <c r="CH229" s="408"/>
      <c r="CI229" s="408">
        <v>-706.76189999999997</v>
      </c>
      <c r="CJ229" s="408">
        <v>217.55978000000016</v>
      </c>
      <c r="CK229" s="408"/>
      <c r="CL229" s="408"/>
      <c r="CM229" s="408"/>
      <c r="CN229" s="408"/>
      <c r="CO229" s="408">
        <v>244.8821200000001</v>
      </c>
      <c r="CP229" s="408">
        <v>-26.688269999999982</v>
      </c>
      <c r="CQ229" s="408">
        <v>30</v>
      </c>
      <c r="CR229" s="408">
        <v>-34.536784858937267</v>
      </c>
      <c r="CS229" s="408">
        <v>-0.80440045763884083</v>
      </c>
      <c r="CT229" s="408">
        <v>-1.2116771709103578</v>
      </c>
      <c r="CU229" s="408">
        <v>0</v>
      </c>
      <c r="CV229" s="408">
        <v>0</v>
      </c>
      <c r="CW229" s="408">
        <v>0</v>
      </c>
      <c r="CX229" s="408">
        <v>0</v>
      </c>
      <c r="CY229" s="408">
        <v>0</v>
      </c>
      <c r="CZ229" s="408">
        <v>-2.8432027354185152</v>
      </c>
      <c r="DA229" s="408">
        <v>0</v>
      </c>
      <c r="DB229" s="408">
        <v>0</v>
      </c>
      <c r="DC229" s="408">
        <v>-26.68018534371484</v>
      </c>
      <c r="DD229" s="408">
        <v>0</v>
      </c>
      <c r="DE229" s="408">
        <v>0</v>
      </c>
      <c r="DF229" s="408">
        <v>0</v>
      </c>
      <c r="DG229" s="408">
        <v>-4.4635451320008741</v>
      </c>
      <c r="DH229" s="408">
        <v>0</v>
      </c>
      <c r="DI229" s="408">
        <v>1.2540288073410721</v>
      </c>
      <c r="DJ229" s="408"/>
      <c r="DK229" s="408">
        <v>0</v>
      </c>
      <c r="DL229" s="408">
        <v>0</v>
      </c>
      <c r="DM229" s="408">
        <v>0</v>
      </c>
      <c r="DN229" s="408">
        <v>0</v>
      </c>
      <c r="DO229" s="408">
        <v>0.16292640109543477</v>
      </c>
      <c r="DP229" s="408">
        <v>4.9270772309701449E-2</v>
      </c>
      <c r="DQ229" s="408">
        <v>0</v>
      </c>
      <c r="DR229" s="408">
        <v>0</v>
      </c>
      <c r="DS229" s="408"/>
      <c r="DT229" s="408"/>
      <c r="DU229" s="408"/>
      <c r="DV229" s="408">
        <v>-450.5388095991774</v>
      </c>
      <c r="DW229" s="408">
        <v>0</v>
      </c>
      <c r="DX229" s="408">
        <v>0</v>
      </c>
      <c r="DY229" s="408">
        <v>244.88212000000016</v>
      </c>
      <c r="DZ229" s="408">
        <v>-26.688270000000017</v>
      </c>
      <c r="EA229" s="408">
        <v>0</v>
      </c>
      <c r="EB229" s="408">
        <v>0</v>
      </c>
      <c r="EC229" s="408">
        <v>252.74763127285544</v>
      </c>
      <c r="ED229" s="408">
        <v>0</v>
      </c>
      <c r="EE229" s="408">
        <v>0</v>
      </c>
      <c r="EF229" s="408">
        <v>0</v>
      </c>
      <c r="EG229" s="408">
        <v>0</v>
      </c>
      <c r="EH229" s="408">
        <v>0</v>
      </c>
      <c r="EI229" s="408">
        <v>0</v>
      </c>
      <c r="EJ229" s="408">
        <v>0</v>
      </c>
      <c r="EK229" s="408">
        <v>0</v>
      </c>
      <c r="EL229" s="408">
        <v>0</v>
      </c>
      <c r="EM229" s="408">
        <v>0</v>
      </c>
      <c r="EN229" s="408">
        <v>0</v>
      </c>
      <c r="EO229" s="408">
        <v>0</v>
      </c>
      <c r="EP229" s="408">
        <v>0</v>
      </c>
      <c r="EQ229" s="408">
        <v>0</v>
      </c>
      <c r="ER229" s="408">
        <v>0</v>
      </c>
      <c r="ES229" s="408">
        <v>0</v>
      </c>
      <c r="ET229" s="408">
        <v>0</v>
      </c>
      <c r="EU229" s="408">
        <v>0</v>
      </c>
      <c r="EV229" s="408">
        <v>238</v>
      </c>
      <c r="EW229" s="408">
        <v>0</v>
      </c>
      <c r="EX229" s="408">
        <v>0</v>
      </c>
      <c r="EY229" s="408">
        <v>0</v>
      </c>
      <c r="EZ229" s="408"/>
      <c r="FA229" s="408">
        <v>0</v>
      </c>
      <c r="FB229" s="408"/>
      <c r="FC229" s="408"/>
      <c r="FD229" s="408"/>
      <c r="FE229" s="408"/>
      <c r="FF229" s="408">
        <v>0</v>
      </c>
      <c r="FG229" s="408">
        <v>0</v>
      </c>
      <c r="FH229" s="408">
        <v>0</v>
      </c>
      <c r="FI229" s="408">
        <v>0</v>
      </c>
    </row>
    <row r="230" spans="1:165">
      <c r="A230" s="408">
        <v>234</v>
      </c>
      <c r="B230" s="408" t="s">
        <v>2238</v>
      </c>
      <c r="C230" s="408" t="s">
        <v>2235</v>
      </c>
      <c r="D230" s="408" t="s">
        <v>1955</v>
      </c>
      <c r="E230" s="408" t="s">
        <v>969</v>
      </c>
      <c r="F230" s="408" t="s">
        <v>969</v>
      </c>
      <c r="G230" s="408" t="s">
        <v>1322</v>
      </c>
      <c r="H230" s="408" t="s">
        <v>1322</v>
      </c>
      <c r="I230" s="408" t="s">
        <v>1322</v>
      </c>
      <c r="J230" s="408" t="s">
        <v>2236</v>
      </c>
      <c r="K230" s="824">
        <v>44501</v>
      </c>
      <c r="L230" s="408">
        <v>0</v>
      </c>
      <c r="M230" s="408">
        <v>0</v>
      </c>
      <c r="N230" s="408">
        <v>47.335999999999999</v>
      </c>
      <c r="O230" s="408">
        <v>47.335999999999999</v>
      </c>
      <c r="P230" s="408">
        <v>47.335999999999999</v>
      </c>
      <c r="Q230" s="408">
        <v>47.335999999999999</v>
      </c>
      <c r="R230" s="408"/>
      <c r="S230" s="408">
        <v>581.32000000000005</v>
      </c>
      <c r="T230" s="408">
        <v>209.4</v>
      </c>
      <c r="U230" s="408"/>
      <c r="V230" s="408">
        <v>37429.521919999999</v>
      </c>
      <c r="W230" s="408">
        <v>37429.521919999999</v>
      </c>
      <c r="X230" s="408">
        <v>28594.257519999999</v>
      </c>
      <c r="Y230" s="408">
        <v>0</v>
      </c>
      <c r="Z230" s="408">
        <v>2912.9583883159917</v>
      </c>
      <c r="AA230" s="408">
        <v>0</v>
      </c>
      <c r="AB230" s="408">
        <v>0</v>
      </c>
      <c r="AC230" s="408">
        <v>0</v>
      </c>
      <c r="AD230" s="408">
        <v>3511.9120300546747</v>
      </c>
      <c r="AE230" s="408">
        <v>18243.545843615619</v>
      </c>
      <c r="AF230" s="408">
        <v>9782.0197027639588</v>
      </c>
      <c r="AG230" s="408">
        <v>130.31434954480034</v>
      </c>
      <c r="AH230" s="408">
        <v>0</v>
      </c>
      <c r="AI230" s="408">
        <v>0</v>
      </c>
      <c r="AJ230" s="408">
        <v>0</v>
      </c>
      <c r="AK230" s="408">
        <v>0</v>
      </c>
      <c r="AL230" s="408">
        <v>450.14650347361902</v>
      </c>
      <c r="AM230" s="408"/>
      <c r="AN230" s="408">
        <v>86.29183885407538</v>
      </c>
      <c r="AO230" s="408">
        <v>269.79062196824964</v>
      </c>
      <c r="AP230" s="408">
        <v>406.38855244337776</v>
      </c>
      <c r="AQ230" s="408">
        <v>0</v>
      </c>
      <c r="AR230" s="408">
        <v>0</v>
      </c>
      <c r="AS230" s="408">
        <v>0</v>
      </c>
      <c r="AT230" s="408">
        <v>0</v>
      </c>
      <c r="AU230" s="408">
        <v>0</v>
      </c>
      <c r="AV230" s="408">
        <v>0</v>
      </c>
      <c r="AW230" s="408">
        <v>0</v>
      </c>
      <c r="AX230" s="408">
        <v>0</v>
      </c>
      <c r="AY230" s="408">
        <v>0</v>
      </c>
      <c r="AZ230" s="408">
        <v>0</v>
      </c>
      <c r="BA230" s="408"/>
      <c r="BB230" s="408">
        <v>0</v>
      </c>
      <c r="BC230" s="408">
        <v>0</v>
      </c>
      <c r="BD230" s="408">
        <v>0</v>
      </c>
      <c r="BE230" s="408">
        <v>0</v>
      </c>
      <c r="BF230" s="408">
        <v>0</v>
      </c>
      <c r="BG230" s="408">
        <v>1636.5136097413276</v>
      </c>
      <c r="BH230" s="408">
        <v>0</v>
      </c>
      <c r="BI230" s="408">
        <v>99.28</v>
      </c>
      <c r="BJ230" s="408">
        <v>477.3</v>
      </c>
      <c r="BK230" s="408">
        <v>48776.54</v>
      </c>
      <c r="BL230" s="408">
        <v>665</v>
      </c>
      <c r="BM230" s="408"/>
      <c r="BN230" s="408"/>
      <c r="BO230" s="408"/>
      <c r="BP230" s="408"/>
      <c r="BQ230" s="408"/>
      <c r="BR230" s="408"/>
      <c r="BS230" s="408"/>
      <c r="BT230" s="408"/>
      <c r="BU230" s="408"/>
      <c r="BV230" s="408">
        <v>11418.533312505286</v>
      </c>
      <c r="BW230" s="408"/>
      <c r="BX230" s="408"/>
      <c r="BY230" s="408"/>
      <c r="BZ230" s="408"/>
      <c r="CA230" s="408"/>
      <c r="CB230" s="408"/>
      <c r="CC230" s="408"/>
      <c r="CD230" s="408"/>
      <c r="CE230" s="408"/>
      <c r="CF230" s="408"/>
      <c r="CG230" s="408"/>
      <c r="CH230" s="408"/>
      <c r="CI230" s="408">
        <v>28596.673800000004</v>
      </c>
      <c r="CJ230" s="408">
        <v>-8832.8781200000012</v>
      </c>
      <c r="CK230" s="408"/>
      <c r="CL230" s="408"/>
      <c r="CM230" s="408"/>
      <c r="CN230" s="408"/>
      <c r="CO230" s="408">
        <v>-9915.9452800000035</v>
      </c>
      <c r="CP230" s="408">
        <v>1080.6808799999992</v>
      </c>
      <c r="CQ230" s="408">
        <v>30</v>
      </c>
      <c r="CR230" s="408">
        <v>1398.4886638859352</v>
      </c>
      <c r="CS230" s="408">
        <v>32.572369600335492</v>
      </c>
      <c r="CT230" s="408">
        <v>49.064115108821852</v>
      </c>
      <c r="CU230" s="408">
        <v>0</v>
      </c>
      <c r="CV230" s="408">
        <v>0</v>
      </c>
      <c r="CW230" s="408">
        <v>0</v>
      </c>
      <c r="CX230" s="408">
        <v>0</v>
      </c>
      <c r="CY230" s="408">
        <v>0</v>
      </c>
      <c r="CZ230" s="408">
        <v>115.12903736849557</v>
      </c>
      <c r="DA230" s="408">
        <v>0</v>
      </c>
      <c r="DB230" s="408">
        <v>0</v>
      </c>
      <c r="DC230" s="408">
        <v>1080.3535102053775</v>
      </c>
      <c r="DD230" s="408">
        <v>0</v>
      </c>
      <c r="DE230" s="408">
        <v>0</v>
      </c>
      <c r="DF230" s="408">
        <v>0</v>
      </c>
      <c r="DG230" s="408">
        <v>180.74112264191058</v>
      </c>
      <c r="DH230" s="408">
        <v>0</v>
      </c>
      <c r="DI230" s="408">
        <v>-50.779048438234895</v>
      </c>
      <c r="DJ230" s="408"/>
      <c r="DK230" s="408">
        <v>0</v>
      </c>
      <c r="DL230" s="408">
        <v>0</v>
      </c>
      <c r="DM230" s="408">
        <v>0</v>
      </c>
      <c r="DN230" s="408">
        <v>0</v>
      </c>
      <c r="DO230" s="408">
        <v>-6.5973345784889261</v>
      </c>
      <c r="DP230" s="408">
        <v>-1.99510802228572</v>
      </c>
      <c r="DQ230" s="408">
        <v>0</v>
      </c>
      <c r="DR230" s="408">
        <v>0</v>
      </c>
      <c r="DS230" s="408"/>
      <c r="DT230" s="408"/>
      <c r="DU230" s="408"/>
      <c r="DV230" s="408">
        <v>18243.545843615619</v>
      </c>
      <c r="DW230" s="408">
        <v>0</v>
      </c>
      <c r="DX230" s="408">
        <v>0</v>
      </c>
      <c r="DY230" s="408">
        <v>-9915.9452800000035</v>
      </c>
      <c r="DZ230" s="408">
        <v>1080.6808799999981</v>
      </c>
      <c r="EA230" s="408">
        <v>0</v>
      </c>
      <c r="EB230" s="408">
        <v>0</v>
      </c>
      <c r="EC230" s="408">
        <v>-10234.441295065768</v>
      </c>
      <c r="ED230" s="408">
        <v>0</v>
      </c>
      <c r="EE230" s="408">
        <v>0</v>
      </c>
      <c r="EF230" s="408">
        <v>0</v>
      </c>
      <c r="EG230" s="408">
        <v>0</v>
      </c>
      <c r="EH230" s="408">
        <v>0</v>
      </c>
      <c r="EI230" s="408">
        <v>0</v>
      </c>
      <c r="EJ230" s="408">
        <v>0</v>
      </c>
      <c r="EK230" s="408">
        <v>0</v>
      </c>
      <c r="EL230" s="408">
        <v>0</v>
      </c>
      <c r="EM230" s="408">
        <v>0</v>
      </c>
      <c r="EN230" s="408">
        <v>0</v>
      </c>
      <c r="EO230" s="408">
        <v>0</v>
      </c>
      <c r="EP230" s="408">
        <v>0</v>
      </c>
      <c r="EQ230" s="408">
        <v>0</v>
      </c>
      <c r="ER230" s="408">
        <v>0</v>
      </c>
      <c r="ES230" s="408">
        <v>0</v>
      </c>
      <c r="ET230" s="408">
        <v>0</v>
      </c>
      <c r="EU230" s="408">
        <v>0</v>
      </c>
      <c r="EV230" s="408">
        <v>238</v>
      </c>
      <c r="EW230" s="408">
        <v>0</v>
      </c>
      <c r="EX230" s="408">
        <v>0</v>
      </c>
      <c r="EY230" s="408">
        <v>0</v>
      </c>
      <c r="EZ230" s="408"/>
      <c r="FA230" s="408">
        <v>0</v>
      </c>
      <c r="FB230" s="408"/>
      <c r="FC230" s="408"/>
      <c r="FD230" s="408"/>
      <c r="FE230" s="408"/>
      <c r="FF230" s="408">
        <v>0</v>
      </c>
      <c r="FG230" s="408">
        <v>0</v>
      </c>
      <c r="FH230" s="408">
        <v>0</v>
      </c>
      <c r="FI230" s="408">
        <v>0</v>
      </c>
    </row>
    <row r="231" spans="1:165">
      <c r="A231" s="408">
        <v>235</v>
      </c>
      <c r="B231" s="408" t="s">
        <v>1036</v>
      </c>
      <c r="C231" s="408" t="s">
        <v>2235</v>
      </c>
      <c r="D231" s="408" t="s">
        <v>1955</v>
      </c>
      <c r="E231" s="408" t="s">
        <v>969</v>
      </c>
      <c r="F231" s="408" t="s">
        <v>2239</v>
      </c>
      <c r="G231" s="408" t="s">
        <v>1322</v>
      </c>
      <c r="H231" s="408" t="s">
        <v>1322</v>
      </c>
      <c r="I231" s="408" t="s">
        <v>1322</v>
      </c>
      <c r="J231" s="408" t="s">
        <v>2236</v>
      </c>
      <c r="K231" s="824">
        <v>44501</v>
      </c>
      <c r="L231" s="408">
        <v>0</v>
      </c>
      <c r="M231" s="408">
        <v>0</v>
      </c>
      <c r="N231" s="408">
        <v>38.64</v>
      </c>
      <c r="O231" s="408">
        <v>38.64</v>
      </c>
      <c r="P231" s="408">
        <v>38.64</v>
      </c>
      <c r="Q231" s="408">
        <v>38.64</v>
      </c>
      <c r="R231" s="408"/>
      <c r="S231" s="408">
        <v>510.28</v>
      </c>
      <c r="T231" s="408">
        <v>209.4</v>
      </c>
      <c r="U231" s="408"/>
      <c r="V231" s="408">
        <v>27808.4352</v>
      </c>
      <c r="W231" s="408">
        <v>27808.4352</v>
      </c>
      <c r="X231" s="408">
        <v>20642.647199999999</v>
      </c>
      <c r="Y231" s="408">
        <v>0</v>
      </c>
      <c r="Z231" s="408">
        <v>0</v>
      </c>
      <c r="AA231" s="408">
        <v>0</v>
      </c>
      <c r="AB231" s="408">
        <v>0</v>
      </c>
      <c r="AC231" s="408">
        <v>0</v>
      </c>
      <c r="AD231" s="408">
        <v>2866.7458349102722</v>
      </c>
      <c r="AE231" s="408">
        <v>14892.06125142191</v>
      </c>
      <c r="AF231" s="408">
        <v>7984.9848173652063</v>
      </c>
      <c r="AG231" s="408">
        <v>106.37456621622201</v>
      </c>
      <c r="AH231" s="408">
        <v>0</v>
      </c>
      <c r="AI231" s="408">
        <v>0</v>
      </c>
      <c r="AJ231" s="408">
        <v>0</v>
      </c>
      <c r="AK231" s="408">
        <v>0</v>
      </c>
      <c r="AL231" s="408">
        <v>0</v>
      </c>
      <c r="AM231" s="408"/>
      <c r="AN231" s="408">
        <v>70.439341163627532</v>
      </c>
      <c r="AO231" s="408">
        <v>220.22793714832613</v>
      </c>
      <c r="AP231" s="408">
        <v>331.73174045994841</v>
      </c>
      <c r="AQ231" s="408">
        <v>0</v>
      </c>
      <c r="AR231" s="408">
        <v>0</v>
      </c>
      <c r="AS231" s="408">
        <v>0</v>
      </c>
      <c r="AT231" s="408">
        <v>0</v>
      </c>
      <c r="AU231" s="408">
        <v>0</v>
      </c>
      <c r="AV231" s="408">
        <v>0</v>
      </c>
      <c r="AW231" s="408">
        <v>0</v>
      </c>
      <c r="AX231" s="408">
        <v>0</v>
      </c>
      <c r="AY231" s="408">
        <v>0</v>
      </c>
      <c r="AZ231" s="408">
        <v>0</v>
      </c>
      <c r="BA231" s="408"/>
      <c r="BB231" s="408">
        <v>0</v>
      </c>
      <c r="BC231" s="408">
        <v>0</v>
      </c>
      <c r="BD231" s="408">
        <v>0</v>
      </c>
      <c r="BE231" s="408">
        <v>0</v>
      </c>
      <c r="BF231" s="408">
        <v>0</v>
      </c>
      <c r="BG231" s="408">
        <v>1335.873032795439</v>
      </c>
      <c r="BH231" s="408">
        <v>0</v>
      </c>
      <c r="BI231" s="408">
        <v>23.27</v>
      </c>
      <c r="BJ231" s="408">
        <v>93.07</v>
      </c>
      <c r="BK231" s="408">
        <v>2954.34</v>
      </c>
      <c r="BL231" s="408">
        <v>82</v>
      </c>
      <c r="BM231" s="408"/>
      <c r="BN231" s="408"/>
      <c r="BO231" s="408"/>
      <c r="BP231" s="408"/>
      <c r="BQ231" s="408"/>
      <c r="BR231" s="408"/>
      <c r="BS231" s="408"/>
      <c r="BT231" s="408">
        <v>13417.74</v>
      </c>
      <c r="BU231" s="408"/>
      <c r="BV231" s="408">
        <v>9320.8578501606462</v>
      </c>
      <c r="BW231" s="408"/>
      <c r="BX231" s="408"/>
      <c r="BY231" s="408"/>
      <c r="BZ231" s="408"/>
      <c r="CA231" s="408"/>
      <c r="CB231" s="408"/>
      <c r="CC231" s="408"/>
      <c r="CD231" s="408"/>
      <c r="CE231" s="408"/>
      <c r="CF231" s="408"/>
      <c r="CG231" s="408"/>
      <c r="CH231" s="408"/>
      <c r="CI231" s="408">
        <v>7224.9071999999996</v>
      </c>
      <c r="CJ231" s="408">
        <v>-2508.1524000000027</v>
      </c>
      <c r="CK231" s="408"/>
      <c r="CL231" s="408"/>
      <c r="CM231" s="408"/>
      <c r="CN231" s="408"/>
      <c r="CO231" s="408">
        <v>-8047.9391999999989</v>
      </c>
      <c r="CP231" s="408">
        <v>882.15119999999945</v>
      </c>
      <c r="CQ231" s="408">
        <v>30</v>
      </c>
      <c r="CR231" s="408">
        <v>1188.411048933549</v>
      </c>
      <c r="CS231" s="408">
        <v>26.588566024948534</v>
      </c>
      <c r="CT231" s="408">
        <v>40.050646607336375</v>
      </c>
      <c r="CU231" s="408">
        <v>0</v>
      </c>
      <c r="CV231" s="408">
        <v>0</v>
      </c>
      <c r="CW231" s="408">
        <v>0</v>
      </c>
      <c r="CX231" s="408">
        <v>0</v>
      </c>
      <c r="CY231" s="408">
        <v>0</v>
      </c>
      <c r="CZ231" s="408">
        <v>93.978916763534016</v>
      </c>
      <c r="DA231" s="408">
        <v>0</v>
      </c>
      <c r="DB231" s="408">
        <v>0</v>
      </c>
      <c r="DC231" s="408">
        <v>881.88397064254968</v>
      </c>
      <c r="DD231" s="408">
        <v>0</v>
      </c>
      <c r="DE231" s="408">
        <v>0</v>
      </c>
      <c r="DF231" s="408">
        <v>0</v>
      </c>
      <c r="DG231" s="408">
        <v>147.53753969248396</v>
      </c>
      <c r="DH231" s="408">
        <v>0</v>
      </c>
      <c r="DI231" s="408">
        <v>0</v>
      </c>
      <c r="DJ231" s="408"/>
      <c r="DK231" s="408">
        <v>0</v>
      </c>
      <c r="DL231" s="408">
        <v>0</v>
      </c>
      <c r="DM231" s="408">
        <v>0</v>
      </c>
      <c r="DN231" s="408">
        <v>0</v>
      </c>
      <c r="DO231" s="408">
        <v>0</v>
      </c>
      <c r="DP231" s="408">
        <v>-1.6285907973026923</v>
      </c>
      <c r="DQ231" s="408">
        <v>0</v>
      </c>
      <c r="DR231" s="408">
        <v>0</v>
      </c>
      <c r="DS231" s="408"/>
      <c r="DT231" s="408"/>
      <c r="DU231" s="408"/>
      <c r="DV231" s="408">
        <v>14892.06125142191</v>
      </c>
      <c r="DW231" s="408">
        <v>0</v>
      </c>
      <c r="DX231" s="408">
        <v>0</v>
      </c>
      <c r="DY231" s="408">
        <v>-8047.9391999999989</v>
      </c>
      <c r="DZ231" s="408">
        <v>882.15120000000024</v>
      </c>
      <c r="EA231" s="408">
        <v>0</v>
      </c>
      <c r="EB231" s="408">
        <v>0</v>
      </c>
      <c r="EC231" s="408">
        <v>-8354.2929618333037</v>
      </c>
      <c r="ED231" s="408">
        <v>0</v>
      </c>
      <c r="EE231" s="408">
        <v>0</v>
      </c>
      <c r="EF231" s="408">
        <v>0</v>
      </c>
      <c r="EG231" s="408">
        <v>0</v>
      </c>
      <c r="EH231" s="408">
        <v>0</v>
      </c>
      <c r="EI231" s="408">
        <v>0</v>
      </c>
      <c r="EJ231" s="408">
        <v>0</v>
      </c>
      <c r="EK231" s="408">
        <v>0</v>
      </c>
      <c r="EL231" s="408">
        <v>0</v>
      </c>
      <c r="EM231" s="408">
        <v>0</v>
      </c>
      <c r="EN231" s="408">
        <v>0</v>
      </c>
      <c r="EO231" s="408">
        <v>0</v>
      </c>
      <c r="EP231" s="408">
        <v>0</v>
      </c>
      <c r="EQ231" s="408">
        <v>0</v>
      </c>
      <c r="ER231" s="408">
        <v>0</v>
      </c>
      <c r="ES231" s="408">
        <v>0</v>
      </c>
      <c r="ET231" s="408">
        <v>0</v>
      </c>
      <c r="EU231" s="408">
        <v>0</v>
      </c>
      <c r="EV231" s="408">
        <v>238</v>
      </c>
      <c r="EW231" s="408">
        <v>0</v>
      </c>
      <c r="EX231" s="408">
        <v>0</v>
      </c>
      <c r="EY231" s="408">
        <v>0</v>
      </c>
      <c r="EZ231" s="408"/>
      <c r="FA231" s="408">
        <v>0</v>
      </c>
      <c r="FB231" s="408"/>
      <c r="FC231" s="408"/>
      <c r="FD231" s="408"/>
      <c r="FE231" s="408"/>
      <c r="FF231" s="408">
        <v>0</v>
      </c>
      <c r="FG231" s="408">
        <v>0</v>
      </c>
      <c r="FH231" s="408">
        <v>0</v>
      </c>
      <c r="FI231" s="408">
        <v>0</v>
      </c>
    </row>
    <row r="232" spans="1:165">
      <c r="A232" s="408">
        <v>236</v>
      </c>
      <c r="B232" s="408" t="s">
        <v>2237</v>
      </c>
      <c r="C232" s="408" t="s">
        <v>2235</v>
      </c>
      <c r="D232" s="408" t="s">
        <v>1955</v>
      </c>
      <c r="E232" s="408" t="s">
        <v>969</v>
      </c>
      <c r="F232" s="408" t="s">
        <v>2239</v>
      </c>
      <c r="G232" s="408" t="s">
        <v>1322</v>
      </c>
      <c r="H232" s="408" t="s">
        <v>1322</v>
      </c>
      <c r="I232" s="408" t="s">
        <v>1322</v>
      </c>
      <c r="J232" s="408" t="s">
        <v>2236</v>
      </c>
      <c r="K232" s="824">
        <v>44501</v>
      </c>
      <c r="L232" s="408">
        <v>0</v>
      </c>
      <c r="M232" s="408">
        <v>0</v>
      </c>
      <c r="N232" s="408">
        <v>0</v>
      </c>
      <c r="O232" s="408">
        <v>0</v>
      </c>
      <c r="P232" s="408">
        <v>0</v>
      </c>
      <c r="Q232" s="408">
        <v>0</v>
      </c>
      <c r="R232" s="408"/>
      <c r="S232" s="408"/>
      <c r="T232" s="408"/>
      <c r="U232" s="408"/>
      <c r="V232" s="408"/>
      <c r="W232" s="408"/>
      <c r="X232" s="408"/>
      <c r="Y232" s="408"/>
      <c r="Z232" s="408"/>
      <c r="AA232" s="408">
        <v>0</v>
      </c>
      <c r="AB232" s="408"/>
      <c r="AC232" s="408"/>
      <c r="AD232" s="408"/>
      <c r="AE232" s="408"/>
      <c r="AF232" s="408"/>
      <c r="AG232" s="408"/>
      <c r="AH232" s="408"/>
      <c r="AI232" s="408"/>
      <c r="AJ232" s="408"/>
      <c r="AK232" s="408"/>
      <c r="AL232" s="408"/>
      <c r="AM232" s="408"/>
      <c r="AN232" s="408"/>
      <c r="AO232" s="408"/>
      <c r="AP232" s="408"/>
      <c r="AQ232" s="408"/>
      <c r="AR232" s="408"/>
      <c r="AS232" s="408"/>
      <c r="AT232" s="408"/>
      <c r="AU232" s="408"/>
      <c r="AV232" s="408"/>
      <c r="AW232" s="408"/>
      <c r="AX232" s="408"/>
      <c r="AY232" s="408"/>
      <c r="AZ232" s="408">
        <v>0</v>
      </c>
      <c r="BA232" s="408"/>
      <c r="BB232" s="408"/>
      <c r="BC232" s="408"/>
      <c r="BD232" s="408"/>
      <c r="BE232" s="408"/>
      <c r="BF232" s="408"/>
      <c r="BG232" s="408"/>
      <c r="BH232" s="408"/>
      <c r="BI232" s="408">
        <v>-0.02</v>
      </c>
      <c r="BJ232" s="408">
        <v>0.01</v>
      </c>
      <c r="BK232" s="408">
        <v>-1.55</v>
      </c>
      <c r="BL232" s="408">
        <v>0</v>
      </c>
      <c r="BM232" s="408"/>
      <c r="BN232" s="408"/>
      <c r="BO232" s="408"/>
      <c r="BP232" s="408"/>
      <c r="BQ232" s="408"/>
      <c r="BR232" s="408"/>
      <c r="BS232" s="408"/>
      <c r="BT232" s="408"/>
      <c r="BU232" s="408"/>
      <c r="BV232" s="408"/>
      <c r="BW232" s="408"/>
      <c r="BX232" s="408"/>
      <c r="BY232" s="408"/>
      <c r="BZ232" s="408"/>
      <c r="CA232" s="408"/>
      <c r="CB232" s="408"/>
      <c r="CC232" s="408"/>
      <c r="CD232" s="408"/>
      <c r="CE232" s="408"/>
      <c r="CF232" s="408"/>
      <c r="CG232" s="408"/>
      <c r="CH232" s="408"/>
      <c r="CI232" s="408"/>
      <c r="CJ232" s="408">
        <v>-0.03</v>
      </c>
      <c r="CK232" s="408"/>
      <c r="CL232" s="408"/>
      <c r="CM232" s="408"/>
      <c r="CN232" s="408"/>
      <c r="CO232" s="408">
        <v>0</v>
      </c>
      <c r="CP232" s="408">
        <v>0</v>
      </c>
      <c r="CQ232" s="408">
        <v>30</v>
      </c>
      <c r="CR232" s="408"/>
      <c r="CS232" s="408"/>
      <c r="CT232" s="408"/>
      <c r="CU232" s="408"/>
      <c r="CV232" s="408"/>
      <c r="CW232" s="408"/>
      <c r="CX232" s="408"/>
      <c r="CY232" s="408"/>
      <c r="CZ232" s="408"/>
      <c r="DA232" s="408"/>
      <c r="DB232" s="408"/>
      <c r="DC232" s="408"/>
      <c r="DD232" s="408"/>
      <c r="DE232" s="408"/>
      <c r="DF232" s="408"/>
      <c r="DG232" s="408"/>
      <c r="DH232" s="408"/>
      <c r="DI232" s="408"/>
      <c r="DJ232" s="408"/>
      <c r="DK232" s="408">
        <v>0</v>
      </c>
      <c r="DL232" s="408"/>
      <c r="DM232" s="408"/>
      <c r="DN232" s="408"/>
      <c r="DO232" s="408"/>
      <c r="DP232" s="408"/>
      <c r="DQ232" s="408"/>
      <c r="DR232" s="408"/>
      <c r="DS232" s="408"/>
      <c r="DT232" s="408"/>
      <c r="DU232" s="408"/>
      <c r="DV232" s="408"/>
      <c r="DW232" s="408"/>
      <c r="DX232" s="408"/>
      <c r="DY232" s="408"/>
      <c r="DZ232" s="408"/>
      <c r="EA232" s="408"/>
      <c r="EB232" s="408"/>
      <c r="EC232" s="408"/>
      <c r="ED232" s="408"/>
      <c r="EE232" s="408"/>
      <c r="EF232" s="408"/>
      <c r="EG232" s="408"/>
      <c r="EH232" s="408"/>
      <c r="EI232" s="408"/>
      <c r="EJ232" s="408"/>
      <c r="EK232" s="408"/>
      <c r="EL232" s="408"/>
      <c r="EM232" s="408"/>
      <c r="EN232" s="408"/>
      <c r="EO232" s="408"/>
      <c r="EP232" s="408"/>
      <c r="EQ232" s="408"/>
      <c r="ER232" s="408"/>
      <c r="ES232" s="408"/>
      <c r="ET232" s="408"/>
      <c r="EU232" s="408"/>
      <c r="EV232" s="408">
        <v>238</v>
      </c>
      <c r="EW232" s="408"/>
      <c r="EX232" s="408"/>
      <c r="EY232" s="408"/>
      <c r="EZ232" s="408"/>
      <c r="FA232" s="408">
        <v>0</v>
      </c>
      <c r="FB232" s="408"/>
      <c r="FC232" s="408"/>
      <c r="FD232" s="408"/>
      <c r="FE232" s="408"/>
      <c r="FF232" s="408">
        <v>0</v>
      </c>
      <c r="FG232" s="408">
        <v>0</v>
      </c>
      <c r="FH232" s="408">
        <v>0</v>
      </c>
      <c r="FI232" s="408">
        <v>0</v>
      </c>
    </row>
    <row r="233" spans="1:165">
      <c r="A233" s="408">
        <v>237</v>
      </c>
      <c r="B233" s="408" t="s">
        <v>1036</v>
      </c>
      <c r="C233" s="408" t="s">
        <v>2235</v>
      </c>
      <c r="D233" s="408" t="s">
        <v>1955</v>
      </c>
      <c r="E233" s="408" t="s">
        <v>969</v>
      </c>
      <c r="F233" s="408" t="s">
        <v>2240</v>
      </c>
      <c r="G233" s="408" t="s">
        <v>1322</v>
      </c>
      <c r="H233" s="408" t="s">
        <v>1322</v>
      </c>
      <c r="I233" s="408" t="s">
        <v>1322</v>
      </c>
      <c r="J233" s="408" t="s">
        <v>2236</v>
      </c>
      <c r="K233" s="824">
        <v>44501</v>
      </c>
      <c r="L233" s="408">
        <v>0</v>
      </c>
      <c r="M233" s="408">
        <v>0</v>
      </c>
      <c r="N233" s="408">
        <v>79.010999999999996</v>
      </c>
      <c r="O233" s="408">
        <v>79.010999999999996</v>
      </c>
      <c r="P233" s="408">
        <v>79.010999999999996</v>
      </c>
      <c r="Q233" s="408">
        <v>79.010999999999996</v>
      </c>
      <c r="R233" s="408"/>
      <c r="S233" s="408">
        <v>510.28</v>
      </c>
      <c r="T233" s="408">
        <v>209.4</v>
      </c>
      <c r="U233" s="408"/>
      <c r="V233" s="408">
        <v>56862.636480000001</v>
      </c>
      <c r="W233" s="408">
        <v>56862.636480000001</v>
      </c>
      <c r="X233" s="408">
        <v>42210.04653</v>
      </c>
      <c r="Y233" s="408">
        <v>0</v>
      </c>
      <c r="Z233" s="408">
        <v>0</v>
      </c>
      <c r="AA233" s="408">
        <v>0</v>
      </c>
      <c r="AB233" s="408">
        <v>0</v>
      </c>
      <c r="AC233" s="408">
        <v>0</v>
      </c>
      <c r="AD233" s="408">
        <v>5861.9165414620984</v>
      </c>
      <c r="AE233" s="408">
        <v>30451.259097725066</v>
      </c>
      <c r="AF233" s="408">
        <v>16327.682075694676</v>
      </c>
      <c r="AG233" s="408">
        <v>217.51451478545331</v>
      </c>
      <c r="AH233" s="408">
        <v>0</v>
      </c>
      <c r="AI233" s="408">
        <v>0</v>
      </c>
      <c r="AJ233" s="408">
        <v>0</v>
      </c>
      <c r="AK233" s="408">
        <v>0</v>
      </c>
      <c r="AL233" s="408">
        <v>0</v>
      </c>
      <c r="AM233" s="408"/>
      <c r="AN233" s="408">
        <v>144.03423355795485</v>
      </c>
      <c r="AO233" s="408">
        <v>450.32167551828144</v>
      </c>
      <c r="AP233" s="408">
        <v>678.3244447588246</v>
      </c>
      <c r="AQ233" s="408">
        <v>0</v>
      </c>
      <c r="AR233" s="408">
        <v>0</v>
      </c>
      <c r="AS233" s="408">
        <v>0</v>
      </c>
      <c r="AT233" s="408">
        <v>0</v>
      </c>
      <c r="AU233" s="408">
        <v>0</v>
      </c>
      <c r="AV233" s="408">
        <v>0</v>
      </c>
      <c r="AW233" s="408">
        <v>0</v>
      </c>
      <c r="AX233" s="408">
        <v>0</v>
      </c>
      <c r="AY233" s="408">
        <v>0</v>
      </c>
      <c r="AZ233" s="408">
        <v>0</v>
      </c>
      <c r="BA233" s="408"/>
      <c r="BB233" s="408">
        <v>0</v>
      </c>
      <c r="BC233" s="408">
        <v>0</v>
      </c>
      <c r="BD233" s="408">
        <v>0</v>
      </c>
      <c r="BE233" s="408">
        <v>0</v>
      </c>
      <c r="BF233" s="408">
        <v>0</v>
      </c>
      <c r="BG233" s="408">
        <v>2731.5906882557047</v>
      </c>
      <c r="BH233" s="408">
        <v>0</v>
      </c>
      <c r="BI233" s="408">
        <v>68.66</v>
      </c>
      <c r="BJ233" s="408">
        <v>344.43</v>
      </c>
      <c r="BK233" s="408">
        <v>11184.67</v>
      </c>
      <c r="BL233" s="408">
        <v>215</v>
      </c>
      <c r="BM233" s="408"/>
      <c r="BN233" s="408"/>
      <c r="BO233" s="408"/>
      <c r="BP233" s="408"/>
      <c r="BQ233" s="408"/>
      <c r="BR233" s="408"/>
      <c r="BS233" s="408"/>
      <c r="BT233" s="408">
        <v>16883.860589999997</v>
      </c>
      <c r="BU233" s="408"/>
      <c r="BV233" s="408">
        <v>19059.272763950379</v>
      </c>
      <c r="BW233" s="408"/>
      <c r="BX233" s="408"/>
      <c r="BY233" s="408"/>
      <c r="BZ233" s="408"/>
      <c r="CA233" s="408"/>
      <c r="CB233" s="408"/>
      <c r="CC233" s="408"/>
      <c r="CD233" s="408"/>
      <c r="CE233" s="408"/>
      <c r="CF233" s="408"/>
      <c r="CG233" s="408"/>
      <c r="CH233" s="408"/>
      <c r="CI233" s="408">
        <v>25325.865400000002</v>
      </c>
      <c r="CJ233" s="408">
        <v>-8791.904509999993</v>
      </c>
      <c r="CK233" s="408"/>
      <c r="CL233" s="408"/>
      <c r="CM233" s="408"/>
      <c r="CN233" s="408"/>
      <c r="CO233" s="408">
        <v>-16456.411079999998</v>
      </c>
      <c r="CP233" s="408">
        <v>1803.8211299999987</v>
      </c>
      <c r="CQ233" s="408">
        <v>30</v>
      </c>
      <c r="CR233" s="408">
        <v>2430.0606984287988</v>
      </c>
      <c r="CS233" s="408">
        <v>54.368250263902894</v>
      </c>
      <c r="CT233" s="408">
        <v>81.895487554147394</v>
      </c>
      <c r="CU233" s="408">
        <v>0</v>
      </c>
      <c r="CV233" s="408">
        <v>0</v>
      </c>
      <c r="CW233" s="408">
        <v>0</v>
      </c>
      <c r="CX233" s="408">
        <v>0</v>
      </c>
      <c r="CY233" s="408">
        <v>0</v>
      </c>
      <c r="CZ233" s="408">
        <v>192.16791388208094</v>
      </c>
      <c r="DA233" s="408">
        <v>0</v>
      </c>
      <c r="DB233" s="408">
        <v>0</v>
      </c>
      <c r="DC233" s="408">
        <v>1803.2746999078263</v>
      </c>
      <c r="DD233" s="408">
        <v>0</v>
      </c>
      <c r="DE233" s="408">
        <v>0</v>
      </c>
      <c r="DF233" s="408">
        <v>0</v>
      </c>
      <c r="DG233" s="408">
        <v>301.6844862485209</v>
      </c>
      <c r="DH233" s="408">
        <v>0</v>
      </c>
      <c r="DI233" s="408">
        <v>0</v>
      </c>
      <c r="DJ233" s="408"/>
      <c r="DK233" s="408">
        <v>0</v>
      </c>
      <c r="DL233" s="408">
        <v>0</v>
      </c>
      <c r="DM233" s="408">
        <v>0</v>
      </c>
      <c r="DN233" s="408">
        <v>0</v>
      </c>
      <c r="DO233" s="408">
        <v>0</v>
      </c>
      <c r="DP233" s="408">
        <v>-3.3301394276833207</v>
      </c>
      <c r="DQ233" s="408">
        <v>0</v>
      </c>
      <c r="DR233" s="408">
        <v>0</v>
      </c>
      <c r="DS233" s="408"/>
      <c r="DT233" s="408"/>
      <c r="DU233" s="408"/>
      <c r="DV233" s="408">
        <v>30451.259097725066</v>
      </c>
      <c r="DW233" s="408">
        <v>0</v>
      </c>
      <c r="DX233" s="408">
        <v>0</v>
      </c>
      <c r="DY233" s="408">
        <v>-16456.411079999998</v>
      </c>
      <c r="DZ233" s="408">
        <v>1803.8211300000003</v>
      </c>
      <c r="EA233" s="408">
        <v>0</v>
      </c>
      <c r="EB233" s="408">
        <v>0</v>
      </c>
      <c r="EC233" s="408">
        <v>-17082.842681351223</v>
      </c>
      <c r="ED233" s="408">
        <v>0</v>
      </c>
      <c r="EE233" s="408">
        <v>0</v>
      </c>
      <c r="EF233" s="408">
        <v>0</v>
      </c>
      <c r="EG233" s="408">
        <v>0</v>
      </c>
      <c r="EH233" s="408">
        <v>0</v>
      </c>
      <c r="EI233" s="408">
        <v>0</v>
      </c>
      <c r="EJ233" s="408">
        <v>0</v>
      </c>
      <c r="EK233" s="408">
        <v>0</v>
      </c>
      <c r="EL233" s="408">
        <v>0</v>
      </c>
      <c r="EM233" s="408">
        <v>0</v>
      </c>
      <c r="EN233" s="408">
        <v>0</v>
      </c>
      <c r="EO233" s="408">
        <v>0</v>
      </c>
      <c r="EP233" s="408">
        <v>0</v>
      </c>
      <c r="EQ233" s="408">
        <v>0</v>
      </c>
      <c r="ER233" s="408">
        <v>0</v>
      </c>
      <c r="ES233" s="408">
        <v>0</v>
      </c>
      <c r="ET233" s="408">
        <v>0</v>
      </c>
      <c r="EU233" s="408">
        <v>0</v>
      </c>
      <c r="EV233" s="408">
        <v>238</v>
      </c>
      <c r="EW233" s="408">
        <v>0</v>
      </c>
      <c r="EX233" s="408">
        <v>0</v>
      </c>
      <c r="EY233" s="408">
        <v>0</v>
      </c>
      <c r="EZ233" s="408"/>
      <c r="FA233" s="408">
        <v>0</v>
      </c>
      <c r="FB233" s="408"/>
      <c r="FC233" s="408"/>
      <c r="FD233" s="408"/>
      <c r="FE233" s="408"/>
      <c r="FF233" s="408">
        <v>0</v>
      </c>
      <c r="FG233" s="408">
        <v>0</v>
      </c>
      <c r="FH233" s="408">
        <v>0</v>
      </c>
      <c r="FI233" s="408">
        <v>0</v>
      </c>
    </row>
    <row r="234" spans="1:165">
      <c r="A234" s="408">
        <v>238</v>
      </c>
      <c r="B234" s="408" t="s">
        <v>2237</v>
      </c>
      <c r="C234" s="408" t="s">
        <v>2235</v>
      </c>
      <c r="D234" s="408" t="s">
        <v>1955</v>
      </c>
      <c r="E234" s="408" t="s">
        <v>969</v>
      </c>
      <c r="F234" s="408" t="s">
        <v>2240</v>
      </c>
      <c r="G234" s="408" t="s">
        <v>1322</v>
      </c>
      <c r="H234" s="408" t="s">
        <v>1322</v>
      </c>
      <c r="I234" s="408" t="s">
        <v>1322</v>
      </c>
      <c r="J234" s="408" t="s">
        <v>2236</v>
      </c>
      <c r="K234" s="824">
        <v>44501</v>
      </c>
      <c r="L234" s="408">
        <v>0</v>
      </c>
      <c r="M234" s="408">
        <v>0</v>
      </c>
      <c r="N234" s="408">
        <v>-0.109</v>
      </c>
      <c r="O234" s="408">
        <v>-0.109</v>
      </c>
      <c r="P234" s="408">
        <v>-0.109</v>
      </c>
      <c r="Q234" s="408">
        <v>-0.109</v>
      </c>
      <c r="R234" s="408"/>
      <c r="S234" s="408">
        <v>510.28</v>
      </c>
      <c r="T234" s="408">
        <v>209.4</v>
      </c>
      <c r="U234" s="408"/>
      <c r="V234" s="408">
        <v>-78.445120000000003</v>
      </c>
      <c r="W234" s="408">
        <v>-78.445120000000003</v>
      </c>
      <c r="X234" s="408">
        <v>-58.231070000000003</v>
      </c>
      <c r="Y234" s="408">
        <v>0</v>
      </c>
      <c r="Z234" s="408">
        <v>0</v>
      </c>
      <c r="AA234" s="408">
        <v>0</v>
      </c>
      <c r="AB234" s="408">
        <v>0</v>
      </c>
      <c r="AC234" s="408">
        <v>0</v>
      </c>
      <c r="AD234" s="408">
        <v>-8.0868347827437805</v>
      </c>
      <c r="AE234" s="408">
        <v>-42.009178995988307</v>
      </c>
      <c r="AF234" s="408">
        <v>-22.524931291221726</v>
      </c>
      <c r="AG234" s="408">
        <v>-0.30007318109648545</v>
      </c>
      <c r="AH234" s="408">
        <v>0</v>
      </c>
      <c r="AI234" s="408">
        <v>0</v>
      </c>
      <c r="AJ234" s="408">
        <v>0</v>
      </c>
      <c r="AK234" s="408">
        <v>0</v>
      </c>
      <c r="AL234" s="408">
        <v>0</v>
      </c>
      <c r="AM234" s="408"/>
      <c r="AN234" s="408">
        <v>-0.19870311042534683</v>
      </c>
      <c r="AO234" s="408">
        <v>-0.62124340448156179</v>
      </c>
      <c r="AP234" s="408">
        <v>-0.93578570678401596</v>
      </c>
      <c r="AQ234" s="408">
        <v>0</v>
      </c>
      <c r="AR234" s="408">
        <v>0</v>
      </c>
      <c r="AS234" s="408">
        <v>0</v>
      </c>
      <c r="AT234" s="408">
        <v>0</v>
      </c>
      <c r="AU234" s="408">
        <v>0</v>
      </c>
      <c r="AV234" s="408">
        <v>0</v>
      </c>
      <c r="AW234" s="408">
        <v>0</v>
      </c>
      <c r="AX234" s="408">
        <v>0</v>
      </c>
      <c r="AY234" s="408">
        <v>0</v>
      </c>
      <c r="AZ234" s="408">
        <v>0</v>
      </c>
      <c r="BA234" s="408"/>
      <c r="BB234" s="408">
        <v>0</v>
      </c>
      <c r="BC234" s="408">
        <v>0</v>
      </c>
      <c r="BD234" s="408">
        <v>0</v>
      </c>
      <c r="BE234" s="408">
        <v>0</v>
      </c>
      <c r="BF234" s="408">
        <v>0</v>
      </c>
      <c r="BG234" s="408">
        <v>-3.76837889686084</v>
      </c>
      <c r="BH234" s="408">
        <v>0</v>
      </c>
      <c r="BI234" s="408">
        <v>-0.14000000000000001</v>
      </c>
      <c r="BJ234" s="408">
        <v>-0.66</v>
      </c>
      <c r="BK234" s="408">
        <v>-14.14</v>
      </c>
      <c r="BL234" s="408">
        <v>0</v>
      </c>
      <c r="BM234" s="408"/>
      <c r="BN234" s="408"/>
      <c r="BO234" s="408"/>
      <c r="BP234" s="408"/>
      <c r="BQ234" s="408"/>
      <c r="BR234" s="408"/>
      <c r="BS234" s="408"/>
      <c r="BT234" s="408">
        <v>-23.292209999999997</v>
      </c>
      <c r="BU234" s="408"/>
      <c r="BV234" s="408">
        <v>-26.293310188082565</v>
      </c>
      <c r="BW234" s="408"/>
      <c r="BX234" s="408"/>
      <c r="BY234" s="408"/>
      <c r="BZ234" s="408"/>
      <c r="CA234" s="408"/>
      <c r="CB234" s="408"/>
      <c r="CC234" s="408"/>
      <c r="CD234" s="408"/>
      <c r="CE234" s="408"/>
      <c r="CF234" s="408"/>
      <c r="CG234" s="408"/>
      <c r="CH234" s="408"/>
      <c r="CI234" s="408">
        <v>-35.259399999999999</v>
      </c>
      <c r="CJ234" s="408">
        <v>11.777890000000014</v>
      </c>
      <c r="CK234" s="408"/>
      <c r="CL234" s="408"/>
      <c r="CM234" s="408"/>
      <c r="CN234" s="408"/>
      <c r="CO234" s="408">
        <v>22.702519999999996</v>
      </c>
      <c r="CP234" s="408">
        <v>-2.4884699999999982</v>
      </c>
      <c r="CQ234" s="408">
        <v>30</v>
      </c>
      <c r="CR234" s="408">
        <v>-3.3524017684719638</v>
      </c>
      <c r="CS234" s="408">
        <v>-7.5003977658369303E-2</v>
      </c>
      <c r="CT234" s="408">
        <v>-0.11297930849378013</v>
      </c>
      <c r="CU234" s="408">
        <v>0</v>
      </c>
      <c r="CV234" s="408">
        <v>0</v>
      </c>
      <c r="CW234" s="408">
        <v>0</v>
      </c>
      <c r="CX234" s="408">
        <v>0</v>
      </c>
      <c r="CY234" s="408">
        <v>0</v>
      </c>
      <c r="CZ234" s="408">
        <v>-0.26510615753688427</v>
      </c>
      <c r="DA234" s="408">
        <v>0</v>
      </c>
      <c r="DB234" s="408">
        <v>0</v>
      </c>
      <c r="DC234" s="408">
        <v>-2.4877161697732362</v>
      </c>
      <c r="DD234" s="408">
        <v>0</v>
      </c>
      <c r="DE234" s="408">
        <v>0</v>
      </c>
      <c r="DF234" s="408">
        <v>0</v>
      </c>
      <c r="DG234" s="408">
        <v>-0.41619026466047515</v>
      </c>
      <c r="DH234" s="408">
        <v>0</v>
      </c>
      <c r="DI234" s="408">
        <v>0</v>
      </c>
      <c r="DJ234" s="408"/>
      <c r="DK234" s="408">
        <v>0</v>
      </c>
      <c r="DL234" s="408">
        <v>0</v>
      </c>
      <c r="DM234" s="408">
        <v>0</v>
      </c>
      <c r="DN234" s="408">
        <v>0</v>
      </c>
      <c r="DO234" s="408">
        <v>0</v>
      </c>
      <c r="DP234" s="408">
        <v>4.5941096507762513E-3</v>
      </c>
      <c r="DQ234" s="408">
        <v>0</v>
      </c>
      <c r="DR234" s="408">
        <v>0</v>
      </c>
      <c r="DS234" s="408"/>
      <c r="DT234" s="408"/>
      <c r="DU234" s="408"/>
      <c r="DV234" s="408">
        <v>-42.009178995988307</v>
      </c>
      <c r="DW234" s="408">
        <v>0</v>
      </c>
      <c r="DX234" s="408">
        <v>0</v>
      </c>
      <c r="DY234" s="408">
        <v>22.70252</v>
      </c>
      <c r="DZ234" s="408">
        <v>-2.4884699999999995</v>
      </c>
      <c r="EA234" s="408">
        <v>0</v>
      </c>
      <c r="EB234" s="408">
        <v>0</v>
      </c>
      <c r="EC234" s="408">
        <v>23.566716688401403</v>
      </c>
      <c r="ED234" s="408">
        <v>0</v>
      </c>
      <c r="EE234" s="408">
        <v>0</v>
      </c>
      <c r="EF234" s="408">
        <v>0</v>
      </c>
      <c r="EG234" s="408">
        <v>0</v>
      </c>
      <c r="EH234" s="408">
        <v>0</v>
      </c>
      <c r="EI234" s="408">
        <v>0</v>
      </c>
      <c r="EJ234" s="408">
        <v>0</v>
      </c>
      <c r="EK234" s="408">
        <v>0</v>
      </c>
      <c r="EL234" s="408">
        <v>0</v>
      </c>
      <c r="EM234" s="408">
        <v>0</v>
      </c>
      <c r="EN234" s="408">
        <v>0</v>
      </c>
      <c r="EO234" s="408">
        <v>0</v>
      </c>
      <c r="EP234" s="408">
        <v>0</v>
      </c>
      <c r="EQ234" s="408">
        <v>0</v>
      </c>
      <c r="ER234" s="408">
        <v>0</v>
      </c>
      <c r="ES234" s="408">
        <v>0</v>
      </c>
      <c r="ET234" s="408">
        <v>0</v>
      </c>
      <c r="EU234" s="408">
        <v>0</v>
      </c>
      <c r="EV234" s="408">
        <v>238</v>
      </c>
      <c r="EW234" s="408">
        <v>0</v>
      </c>
      <c r="EX234" s="408">
        <v>0</v>
      </c>
      <c r="EY234" s="408">
        <v>0</v>
      </c>
      <c r="EZ234" s="408"/>
      <c r="FA234" s="408">
        <v>0</v>
      </c>
      <c r="FB234" s="408"/>
      <c r="FC234" s="408"/>
      <c r="FD234" s="408"/>
      <c r="FE234" s="408"/>
      <c r="FF234" s="408">
        <v>0</v>
      </c>
      <c r="FG234" s="408">
        <v>0</v>
      </c>
      <c r="FH234" s="408">
        <v>0</v>
      </c>
      <c r="FI234" s="408">
        <v>0</v>
      </c>
    </row>
    <row r="235" spans="1:165">
      <c r="A235" s="408">
        <v>239</v>
      </c>
      <c r="B235" s="408" t="s">
        <v>1036</v>
      </c>
      <c r="C235" s="408" t="s">
        <v>2235</v>
      </c>
      <c r="D235" s="408" t="s">
        <v>1955</v>
      </c>
      <c r="E235" s="408" t="s">
        <v>969</v>
      </c>
      <c r="F235" s="408" t="s">
        <v>2241</v>
      </c>
      <c r="G235" s="408" t="s">
        <v>1322</v>
      </c>
      <c r="H235" s="408" t="s">
        <v>1322</v>
      </c>
      <c r="I235" s="408" t="s">
        <v>1322</v>
      </c>
      <c r="J235" s="408" t="s">
        <v>2236</v>
      </c>
      <c r="K235" s="824">
        <v>44501</v>
      </c>
      <c r="L235" s="408">
        <v>0</v>
      </c>
      <c r="M235" s="408">
        <v>0</v>
      </c>
      <c r="N235" s="408">
        <v>74.98</v>
      </c>
      <c r="O235" s="408">
        <v>74.98</v>
      </c>
      <c r="P235" s="408">
        <v>74.98</v>
      </c>
      <c r="Q235" s="408">
        <v>74.98</v>
      </c>
      <c r="R235" s="408"/>
      <c r="S235" s="408">
        <v>510.28</v>
      </c>
      <c r="T235" s="408">
        <v>209.4</v>
      </c>
      <c r="U235" s="408"/>
      <c r="V235" s="408">
        <v>53961.606400000004</v>
      </c>
      <c r="W235" s="408">
        <v>53961.606400000004</v>
      </c>
      <c r="X235" s="408">
        <v>40056.565400000007</v>
      </c>
      <c r="Y235" s="408">
        <v>0</v>
      </c>
      <c r="Z235" s="408">
        <v>0</v>
      </c>
      <c r="AA235" s="408">
        <v>0</v>
      </c>
      <c r="AB235" s="408">
        <v>0</v>
      </c>
      <c r="AC235" s="408">
        <v>0</v>
      </c>
      <c r="AD235" s="408">
        <v>5562.852036790171</v>
      </c>
      <c r="AE235" s="408">
        <v>28897.69028549728</v>
      </c>
      <c r="AF235" s="408">
        <v>15494.672919411056</v>
      </c>
      <c r="AG235" s="408">
        <v>206.41731301481175</v>
      </c>
      <c r="AH235" s="408">
        <v>0</v>
      </c>
      <c r="AI235" s="408">
        <v>0</v>
      </c>
      <c r="AJ235" s="408">
        <v>0</v>
      </c>
      <c r="AK235" s="408">
        <v>0</v>
      </c>
      <c r="AL235" s="408">
        <v>0</v>
      </c>
      <c r="AM235" s="408"/>
      <c r="AN235" s="408">
        <v>136.68586440084869</v>
      </c>
      <c r="AO235" s="408">
        <v>427.34706851401387</v>
      </c>
      <c r="AP235" s="408">
        <v>643.71754398775704</v>
      </c>
      <c r="AQ235" s="408">
        <v>0</v>
      </c>
      <c r="AR235" s="408">
        <v>0</v>
      </c>
      <c r="AS235" s="408">
        <v>0</v>
      </c>
      <c r="AT235" s="408">
        <v>0</v>
      </c>
      <c r="AU235" s="408">
        <v>0</v>
      </c>
      <c r="AV235" s="408">
        <v>0</v>
      </c>
      <c r="AW235" s="408">
        <v>0</v>
      </c>
      <c r="AX235" s="408">
        <v>0</v>
      </c>
      <c r="AY235" s="408">
        <v>0</v>
      </c>
      <c r="AZ235" s="408">
        <v>0</v>
      </c>
      <c r="BA235" s="408"/>
      <c r="BB235" s="408">
        <v>0</v>
      </c>
      <c r="BC235" s="408">
        <v>0</v>
      </c>
      <c r="BD235" s="408">
        <v>0</v>
      </c>
      <c r="BE235" s="408">
        <v>0</v>
      </c>
      <c r="BF235" s="408">
        <v>0</v>
      </c>
      <c r="BG235" s="408">
        <v>2592.229813638769</v>
      </c>
      <c r="BH235" s="408">
        <v>0</v>
      </c>
      <c r="BI235" s="408">
        <v>109.58</v>
      </c>
      <c r="BJ235" s="408">
        <v>534.51</v>
      </c>
      <c r="BK235" s="408">
        <v>17417.419999999998</v>
      </c>
      <c r="BL235" s="408">
        <v>684</v>
      </c>
      <c r="BM235" s="408"/>
      <c r="BN235" s="408"/>
      <c r="BO235" s="408"/>
      <c r="BP235" s="408"/>
      <c r="BQ235" s="408"/>
      <c r="BR235" s="408"/>
      <c r="BS235" s="408"/>
      <c r="BT235" s="408">
        <v>4006.1813999999986</v>
      </c>
      <c r="BU235" s="408"/>
      <c r="BV235" s="408">
        <v>18086.902733049825</v>
      </c>
      <c r="BW235" s="408"/>
      <c r="BX235" s="408"/>
      <c r="BY235" s="408"/>
      <c r="BZ235" s="408"/>
      <c r="CA235" s="408"/>
      <c r="CB235" s="408"/>
      <c r="CC235" s="408"/>
      <c r="CD235" s="408"/>
      <c r="CE235" s="408"/>
      <c r="CF235" s="408"/>
      <c r="CG235" s="408"/>
      <c r="CH235" s="408"/>
      <c r="CI235" s="408">
        <v>36050.384000000005</v>
      </c>
      <c r="CJ235" s="408">
        <v>-12514.941800000008</v>
      </c>
      <c r="CK235" s="408"/>
      <c r="CL235" s="408"/>
      <c r="CM235" s="408"/>
      <c r="CN235" s="408"/>
      <c r="CO235" s="408">
        <v>-15616.834399999998</v>
      </c>
      <c r="CP235" s="408">
        <v>1711.7933999999989</v>
      </c>
      <c r="CQ235" s="408">
        <v>30</v>
      </c>
      <c r="CR235" s="408">
        <v>2306.0833449543934</v>
      </c>
      <c r="CS235" s="408">
        <v>51.594479310316729</v>
      </c>
      <c r="CT235" s="408">
        <v>77.717326154712282</v>
      </c>
      <c r="CU235" s="408">
        <v>0</v>
      </c>
      <c r="CV235" s="408">
        <v>0</v>
      </c>
      <c r="CW235" s="408">
        <v>0</v>
      </c>
      <c r="CX235" s="408">
        <v>0</v>
      </c>
      <c r="CY235" s="408">
        <v>0</v>
      </c>
      <c r="CZ235" s="408">
        <v>182.36385038638218</v>
      </c>
      <c r="DA235" s="408">
        <v>0</v>
      </c>
      <c r="DB235" s="408">
        <v>0</v>
      </c>
      <c r="DC235" s="408">
        <v>1711.2748477944733</v>
      </c>
      <c r="DD235" s="408">
        <v>0</v>
      </c>
      <c r="DE235" s="408">
        <v>0</v>
      </c>
      <c r="DF235" s="408">
        <v>0</v>
      </c>
      <c r="DG235" s="408">
        <v>286.29308297470106</v>
      </c>
      <c r="DH235" s="408">
        <v>0</v>
      </c>
      <c r="DI235" s="408">
        <v>0</v>
      </c>
      <c r="DJ235" s="408"/>
      <c r="DK235" s="408">
        <v>0</v>
      </c>
      <c r="DL235" s="408">
        <v>0</v>
      </c>
      <c r="DM235" s="408">
        <v>0</v>
      </c>
      <c r="DN235" s="408">
        <v>0</v>
      </c>
      <c r="DO235" s="408">
        <v>0</v>
      </c>
      <c r="DP235" s="408">
        <v>-3.1602416661945369</v>
      </c>
      <c r="DQ235" s="408">
        <v>0</v>
      </c>
      <c r="DR235" s="408">
        <v>0</v>
      </c>
      <c r="DS235" s="408"/>
      <c r="DT235" s="408"/>
      <c r="DU235" s="408"/>
      <c r="DV235" s="408">
        <v>28897.69028549728</v>
      </c>
      <c r="DW235" s="408">
        <v>0</v>
      </c>
      <c r="DX235" s="408">
        <v>0</v>
      </c>
      <c r="DY235" s="408">
        <v>-15616.834399999996</v>
      </c>
      <c r="DZ235" s="408">
        <v>1711.7933999999987</v>
      </c>
      <c r="EA235" s="408">
        <v>0</v>
      </c>
      <c r="EB235" s="408">
        <v>0</v>
      </c>
      <c r="EC235" s="408">
        <v>-16211.306580700342</v>
      </c>
      <c r="ED235" s="408">
        <v>0</v>
      </c>
      <c r="EE235" s="408">
        <v>0</v>
      </c>
      <c r="EF235" s="408">
        <v>0</v>
      </c>
      <c r="EG235" s="408">
        <v>0</v>
      </c>
      <c r="EH235" s="408">
        <v>0</v>
      </c>
      <c r="EI235" s="408">
        <v>0</v>
      </c>
      <c r="EJ235" s="408">
        <v>0</v>
      </c>
      <c r="EK235" s="408">
        <v>0</v>
      </c>
      <c r="EL235" s="408">
        <v>0</v>
      </c>
      <c r="EM235" s="408">
        <v>0</v>
      </c>
      <c r="EN235" s="408">
        <v>0</v>
      </c>
      <c r="EO235" s="408">
        <v>0</v>
      </c>
      <c r="EP235" s="408">
        <v>0</v>
      </c>
      <c r="EQ235" s="408">
        <v>0</v>
      </c>
      <c r="ER235" s="408">
        <v>0</v>
      </c>
      <c r="ES235" s="408">
        <v>0</v>
      </c>
      <c r="ET235" s="408">
        <v>0</v>
      </c>
      <c r="EU235" s="408">
        <v>0</v>
      </c>
      <c r="EV235" s="408">
        <v>238</v>
      </c>
      <c r="EW235" s="408">
        <v>0</v>
      </c>
      <c r="EX235" s="408">
        <v>0</v>
      </c>
      <c r="EY235" s="408">
        <v>0</v>
      </c>
      <c r="EZ235" s="408"/>
      <c r="FA235" s="408">
        <v>0</v>
      </c>
      <c r="FB235" s="408"/>
      <c r="FC235" s="408"/>
      <c r="FD235" s="408"/>
      <c r="FE235" s="408"/>
      <c r="FF235" s="408">
        <v>0</v>
      </c>
      <c r="FG235" s="408">
        <v>0</v>
      </c>
      <c r="FH235" s="408">
        <v>0</v>
      </c>
      <c r="FI235" s="408">
        <v>0</v>
      </c>
    </row>
    <row r="236" spans="1:165">
      <c r="A236" s="408">
        <v>240</v>
      </c>
      <c r="B236" s="408" t="s">
        <v>2237</v>
      </c>
      <c r="C236" s="408" t="s">
        <v>2235</v>
      </c>
      <c r="D236" s="408" t="s">
        <v>1955</v>
      </c>
      <c r="E236" s="408" t="s">
        <v>969</v>
      </c>
      <c r="F236" s="408" t="s">
        <v>2241</v>
      </c>
      <c r="G236" s="408" t="s">
        <v>1322</v>
      </c>
      <c r="H236" s="408" t="s">
        <v>1322</v>
      </c>
      <c r="I236" s="408" t="s">
        <v>1322</v>
      </c>
      <c r="J236" s="408" t="s">
        <v>2236</v>
      </c>
      <c r="K236" s="824">
        <v>44501</v>
      </c>
      <c r="L236" s="408">
        <v>0</v>
      </c>
      <c r="M236" s="408">
        <v>0</v>
      </c>
      <c r="N236" s="408">
        <v>-0.17599999999999999</v>
      </c>
      <c r="O236" s="408">
        <v>-0.17599999999999999</v>
      </c>
      <c r="P236" s="408">
        <v>-0.17599999999999999</v>
      </c>
      <c r="Q236" s="408">
        <v>-0.17599999999999999</v>
      </c>
      <c r="R236" s="408"/>
      <c r="S236" s="408">
        <v>510.28</v>
      </c>
      <c r="T236" s="408">
        <v>209.4</v>
      </c>
      <c r="U236" s="408"/>
      <c r="V236" s="408">
        <v>-126.66367999999999</v>
      </c>
      <c r="W236" s="408">
        <v>-126.66367999999999</v>
      </c>
      <c r="X236" s="408">
        <v>-94.024479999999983</v>
      </c>
      <c r="Y236" s="408">
        <v>0</v>
      </c>
      <c r="Z236" s="408">
        <v>0</v>
      </c>
      <c r="AA236" s="408">
        <v>0</v>
      </c>
      <c r="AB236" s="408">
        <v>0</v>
      </c>
      <c r="AC236" s="408">
        <v>0</v>
      </c>
      <c r="AD236" s="408">
        <v>-13.05764148406335</v>
      </c>
      <c r="AE236" s="408">
        <v>-67.831334892604971</v>
      </c>
      <c r="AF236" s="408">
        <v>-36.3705312592204</v>
      </c>
      <c r="AG236" s="408">
        <v>-0.48452183369707741</v>
      </c>
      <c r="AH236" s="408">
        <v>0</v>
      </c>
      <c r="AI236" s="408">
        <v>0</v>
      </c>
      <c r="AJ236" s="408">
        <v>0</v>
      </c>
      <c r="AK236" s="408">
        <v>0</v>
      </c>
      <c r="AL236" s="408">
        <v>0</v>
      </c>
      <c r="AM236" s="408"/>
      <c r="AN236" s="408">
        <v>-0.32084171958588109</v>
      </c>
      <c r="AO236" s="408">
        <v>-1.0031086164105951</v>
      </c>
      <c r="AP236" s="408">
        <v>-1.5109934348072183</v>
      </c>
      <c r="AQ236" s="408">
        <v>0</v>
      </c>
      <c r="AR236" s="408">
        <v>0</v>
      </c>
      <c r="AS236" s="408">
        <v>0</v>
      </c>
      <c r="AT236" s="408">
        <v>0</v>
      </c>
      <c r="AU236" s="408">
        <v>0</v>
      </c>
      <c r="AV236" s="408">
        <v>0</v>
      </c>
      <c r="AW236" s="408">
        <v>0</v>
      </c>
      <c r="AX236" s="408">
        <v>0</v>
      </c>
      <c r="AY236" s="408">
        <v>0</v>
      </c>
      <c r="AZ236" s="408">
        <v>0</v>
      </c>
      <c r="BA236" s="408"/>
      <c r="BB236" s="408">
        <v>0</v>
      </c>
      <c r="BC236" s="408">
        <v>0</v>
      </c>
      <c r="BD236" s="408">
        <v>0</v>
      </c>
      <c r="BE236" s="408">
        <v>0</v>
      </c>
      <c r="BF236" s="408">
        <v>0</v>
      </c>
      <c r="BG236" s="408">
        <v>-6.0847218885092458</v>
      </c>
      <c r="BH236" s="408">
        <v>0</v>
      </c>
      <c r="BI236" s="408">
        <v>-0.42</v>
      </c>
      <c r="BJ236" s="408">
        <v>-1.95</v>
      </c>
      <c r="BK236" s="408">
        <v>-41.46</v>
      </c>
      <c r="BL236" s="408">
        <v>0</v>
      </c>
      <c r="BM236" s="408"/>
      <c r="BN236" s="408"/>
      <c r="BO236" s="408"/>
      <c r="BP236" s="408"/>
      <c r="BQ236" s="408"/>
      <c r="BR236" s="408"/>
      <c r="BS236" s="408"/>
      <c r="BT236" s="408">
        <v>-9.4036799999999943</v>
      </c>
      <c r="BU236" s="408"/>
      <c r="BV236" s="408">
        <v>-42.455253147729643</v>
      </c>
      <c r="BW236" s="408"/>
      <c r="BX236" s="408"/>
      <c r="BY236" s="408"/>
      <c r="BZ236" s="408"/>
      <c r="CA236" s="408"/>
      <c r="CB236" s="408"/>
      <c r="CC236" s="408"/>
      <c r="CD236" s="408"/>
      <c r="CE236" s="408"/>
      <c r="CF236" s="408"/>
      <c r="CG236" s="408"/>
      <c r="CH236" s="408"/>
      <c r="CI236" s="408">
        <v>-86.543999999999997</v>
      </c>
      <c r="CJ236" s="408">
        <v>27.422959999999975</v>
      </c>
      <c r="CK236" s="408"/>
      <c r="CL236" s="408"/>
      <c r="CM236" s="408"/>
      <c r="CN236" s="408"/>
      <c r="CO236" s="408">
        <v>36.657279999999993</v>
      </c>
      <c r="CP236" s="408">
        <v>-4.0180799999999968</v>
      </c>
      <c r="CQ236" s="408">
        <v>30</v>
      </c>
      <c r="CR236" s="408">
        <v>-5.4130523967987969</v>
      </c>
      <c r="CS236" s="408">
        <v>-0.12110734007222934</v>
      </c>
      <c r="CT236" s="408">
        <v>-0.18242530545784708</v>
      </c>
      <c r="CU236" s="408">
        <v>0</v>
      </c>
      <c r="CV236" s="408">
        <v>0</v>
      </c>
      <c r="CW236" s="408">
        <v>0</v>
      </c>
      <c r="CX236" s="408">
        <v>0</v>
      </c>
      <c r="CY236" s="408">
        <v>0</v>
      </c>
      <c r="CZ236" s="408">
        <v>-0.42806131859166818</v>
      </c>
      <c r="DA236" s="408">
        <v>0</v>
      </c>
      <c r="DB236" s="408">
        <v>0</v>
      </c>
      <c r="DC236" s="408">
        <v>-4.0168628062393594</v>
      </c>
      <c r="DD236" s="408">
        <v>0</v>
      </c>
      <c r="DE236" s="408">
        <v>0</v>
      </c>
      <c r="DF236" s="408">
        <v>0</v>
      </c>
      <c r="DG236" s="408">
        <v>-0.67201363835085903</v>
      </c>
      <c r="DH236" s="408">
        <v>0</v>
      </c>
      <c r="DI236" s="408">
        <v>0</v>
      </c>
      <c r="DJ236" s="408"/>
      <c r="DK236" s="408">
        <v>0</v>
      </c>
      <c r="DL236" s="408">
        <v>0</v>
      </c>
      <c r="DM236" s="408">
        <v>0</v>
      </c>
      <c r="DN236" s="408">
        <v>0</v>
      </c>
      <c r="DO236" s="408">
        <v>0</v>
      </c>
      <c r="DP236" s="408">
        <v>7.4180119131799782E-3</v>
      </c>
      <c r="DQ236" s="408">
        <v>0</v>
      </c>
      <c r="DR236" s="408">
        <v>0</v>
      </c>
      <c r="DS236" s="408"/>
      <c r="DT236" s="408"/>
      <c r="DU236" s="408"/>
      <c r="DV236" s="408">
        <v>-67.831334892604971</v>
      </c>
      <c r="DW236" s="408">
        <v>0</v>
      </c>
      <c r="DX236" s="408">
        <v>0</v>
      </c>
      <c r="DY236" s="408">
        <v>36.657279999999993</v>
      </c>
      <c r="DZ236" s="408">
        <v>-4.0180799999999977</v>
      </c>
      <c r="EA236" s="408">
        <v>0</v>
      </c>
      <c r="EB236" s="408">
        <v>0</v>
      </c>
      <c r="EC236" s="408">
        <v>38.052680157418777</v>
      </c>
      <c r="ED236" s="408">
        <v>0</v>
      </c>
      <c r="EE236" s="408">
        <v>0</v>
      </c>
      <c r="EF236" s="408">
        <v>0</v>
      </c>
      <c r="EG236" s="408">
        <v>0</v>
      </c>
      <c r="EH236" s="408">
        <v>0</v>
      </c>
      <c r="EI236" s="408">
        <v>0</v>
      </c>
      <c r="EJ236" s="408">
        <v>0</v>
      </c>
      <c r="EK236" s="408">
        <v>0</v>
      </c>
      <c r="EL236" s="408">
        <v>0</v>
      </c>
      <c r="EM236" s="408">
        <v>0</v>
      </c>
      <c r="EN236" s="408">
        <v>0</v>
      </c>
      <c r="EO236" s="408">
        <v>0</v>
      </c>
      <c r="EP236" s="408">
        <v>0</v>
      </c>
      <c r="EQ236" s="408">
        <v>0</v>
      </c>
      <c r="ER236" s="408">
        <v>0</v>
      </c>
      <c r="ES236" s="408">
        <v>0</v>
      </c>
      <c r="ET236" s="408">
        <v>0</v>
      </c>
      <c r="EU236" s="408">
        <v>0</v>
      </c>
      <c r="EV236" s="408">
        <v>238</v>
      </c>
      <c r="EW236" s="408">
        <v>0</v>
      </c>
      <c r="EX236" s="408">
        <v>0</v>
      </c>
      <c r="EY236" s="408">
        <v>0</v>
      </c>
      <c r="EZ236" s="408"/>
      <c r="FA236" s="408">
        <v>0</v>
      </c>
      <c r="FB236" s="408"/>
      <c r="FC236" s="408"/>
      <c r="FD236" s="408"/>
      <c r="FE236" s="408"/>
      <c r="FF236" s="408">
        <v>0</v>
      </c>
      <c r="FG236" s="408">
        <v>0</v>
      </c>
      <c r="FH236" s="408">
        <v>0</v>
      </c>
      <c r="FI236" s="408">
        <v>0</v>
      </c>
    </row>
    <row r="237" spans="1:165">
      <c r="A237" s="408">
        <v>241</v>
      </c>
      <c r="B237" s="408" t="s">
        <v>1036</v>
      </c>
      <c r="C237" s="408" t="s">
        <v>2235</v>
      </c>
      <c r="D237" s="408" t="s">
        <v>1955</v>
      </c>
      <c r="E237" s="408" t="s">
        <v>969</v>
      </c>
      <c r="F237" s="408" t="s">
        <v>2242</v>
      </c>
      <c r="G237" s="408" t="s">
        <v>1322</v>
      </c>
      <c r="H237" s="408" t="s">
        <v>1322</v>
      </c>
      <c r="I237" s="408" t="s">
        <v>1322</v>
      </c>
      <c r="J237" s="408" t="s">
        <v>2236</v>
      </c>
      <c r="K237" s="824">
        <v>44501</v>
      </c>
      <c r="L237" s="408">
        <v>0</v>
      </c>
      <c r="M237" s="408">
        <v>0</v>
      </c>
      <c r="N237" s="408">
        <v>22.260999999999999</v>
      </c>
      <c r="O237" s="408">
        <v>22.260999999999999</v>
      </c>
      <c r="P237" s="408">
        <v>22.260999999999999</v>
      </c>
      <c r="Q237" s="408">
        <v>22.260999999999999</v>
      </c>
      <c r="R237" s="408"/>
      <c r="S237" s="408">
        <v>510.28</v>
      </c>
      <c r="T237" s="408">
        <v>209.4</v>
      </c>
      <c r="U237" s="408"/>
      <c r="V237" s="408">
        <v>16020.796479999999</v>
      </c>
      <c r="W237" s="408">
        <v>16020.796479999999</v>
      </c>
      <c r="X237" s="408">
        <v>11892.49403</v>
      </c>
      <c r="Y237" s="408">
        <v>0</v>
      </c>
      <c r="Z237" s="408">
        <v>0</v>
      </c>
      <c r="AA237" s="408">
        <v>0</v>
      </c>
      <c r="AB237" s="408">
        <v>0</v>
      </c>
      <c r="AC237" s="408">
        <v>0</v>
      </c>
      <c r="AD237" s="408">
        <v>1651.5690742996264</v>
      </c>
      <c r="AE237" s="408">
        <v>8579.5076479788604</v>
      </c>
      <c r="AF237" s="408">
        <v>4600.2522520540078</v>
      </c>
      <c r="AG237" s="408">
        <v>61.283753067787735</v>
      </c>
      <c r="AH237" s="408">
        <v>0</v>
      </c>
      <c r="AI237" s="408">
        <v>0</v>
      </c>
      <c r="AJ237" s="408">
        <v>0</v>
      </c>
      <c r="AK237" s="408">
        <v>0</v>
      </c>
      <c r="AL237" s="408">
        <v>0</v>
      </c>
      <c r="AM237" s="408"/>
      <c r="AN237" s="408">
        <v>40.581008634666475</v>
      </c>
      <c r="AO237" s="408">
        <v>126.87614153361511</v>
      </c>
      <c r="AP237" s="408">
        <v>191.11491393320165</v>
      </c>
      <c r="AQ237" s="408">
        <v>0</v>
      </c>
      <c r="AR237" s="408">
        <v>0</v>
      </c>
      <c r="AS237" s="408">
        <v>0</v>
      </c>
      <c r="AT237" s="408">
        <v>0</v>
      </c>
      <c r="AU237" s="408">
        <v>0</v>
      </c>
      <c r="AV237" s="408">
        <v>0</v>
      </c>
      <c r="AW237" s="408">
        <v>0</v>
      </c>
      <c r="AX237" s="408">
        <v>0</v>
      </c>
      <c r="AY237" s="408">
        <v>0</v>
      </c>
      <c r="AZ237" s="408">
        <v>0</v>
      </c>
      <c r="BA237" s="408"/>
      <c r="BB237" s="408">
        <v>0</v>
      </c>
      <c r="BC237" s="408">
        <v>0</v>
      </c>
      <c r="BD237" s="408">
        <v>0</v>
      </c>
      <c r="BE237" s="408">
        <v>0</v>
      </c>
      <c r="BF237" s="408">
        <v>0</v>
      </c>
      <c r="BG237" s="408">
        <v>769.61360204604728</v>
      </c>
      <c r="BH237" s="408">
        <v>0</v>
      </c>
      <c r="BI237" s="408">
        <v>44.61</v>
      </c>
      <c r="BJ237" s="408">
        <v>210.47</v>
      </c>
      <c r="BK237" s="408">
        <v>6876.67</v>
      </c>
      <c r="BL237" s="408">
        <v>307</v>
      </c>
      <c r="BM237" s="408"/>
      <c r="BN237" s="408"/>
      <c r="BO237" s="408"/>
      <c r="BP237" s="408"/>
      <c r="BQ237" s="408"/>
      <c r="BR237" s="408"/>
      <c r="BS237" s="408"/>
      <c r="BT237" s="408"/>
      <c r="BU237" s="408"/>
      <c r="BV237" s="408">
        <v>5369.865854100055</v>
      </c>
      <c r="BW237" s="408"/>
      <c r="BX237" s="408"/>
      <c r="BY237" s="408"/>
      <c r="BZ237" s="408"/>
      <c r="CA237" s="408"/>
      <c r="CB237" s="408"/>
      <c r="CC237" s="408"/>
      <c r="CD237" s="408"/>
      <c r="CE237" s="408"/>
      <c r="CF237" s="408"/>
      <c r="CG237" s="408"/>
      <c r="CH237" s="408"/>
      <c r="CI237" s="408">
        <v>11891.959800000001</v>
      </c>
      <c r="CJ237" s="408">
        <v>-4128.8666799999992</v>
      </c>
      <c r="CK237" s="408"/>
      <c r="CL237" s="408"/>
      <c r="CM237" s="408"/>
      <c r="CN237" s="408"/>
      <c r="CO237" s="408">
        <v>-4636.5210799999995</v>
      </c>
      <c r="CP237" s="408">
        <v>508.21862999999962</v>
      </c>
      <c r="CQ237" s="408">
        <v>30</v>
      </c>
      <c r="CR237" s="408">
        <v>684.65886025646341</v>
      </c>
      <c r="CS237" s="408">
        <v>15.318014189476685</v>
      </c>
      <c r="CT237" s="408">
        <v>23.073691618165498</v>
      </c>
      <c r="CU237" s="408">
        <v>0</v>
      </c>
      <c r="CV237" s="408">
        <v>0</v>
      </c>
      <c r="CW237" s="408">
        <v>0</v>
      </c>
      <c r="CX237" s="408">
        <v>0</v>
      </c>
      <c r="CY237" s="408">
        <v>0</v>
      </c>
      <c r="CZ237" s="408">
        <v>54.142460302097106</v>
      </c>
      <c r="DA237" s="408">
        <v>0</v>
      </c>
      <c r="DB237" s="408">
        <v>0</v>
      </c>
      <c r="DC237" s="408">
        <v>508.06467573689952</v>
      </c>
      <c r="DD237" s="408">
        <v>0</v>
      </c>
      <c r="DE237" s="408">
        <v>0</v>
      </c>
      <c r="DF237" s="408">
        <v>0</v>
      </c>
      <c r="DG237" s="408">
        <v>84.998270473457183</v>
      </c>
      <c r="DH237" s="408">
        <v>0</v>
      </c>
      <c r="DI237" s="408">
        <v>0</v>
      </c>
      <c r="DJ237" s="408"/>
      <c r="DK237" s="408">
        <v>0</v>
      </c>
      <c r="DL237" s="408">
        <v>0</v>
      </c>
      <c r="DM237" s="408">
        <v>0</v>
      </c>
      <c r="DN237" s="408">
        <v>0</v>
      </c>
      <c r="DO237" s="408">
        <v>0</v>
      </c>
      <c r="DP237" s="408">
        <v>-0.93825206363238323</v>
      </c>
      <c r="DQ237" s="408">
        <v>0</v>
      </c>
      <c r="DR237" s="408">
        <v>0</v>
      </c>
      <c r="DS237" s="408"/>
      <c r="DT237" s="408"/>
      <c r="DU237" s="408"/>
      <c r="DV237" s="408">
        <v>8579.5076479788604</v>
      </c>
      <c r="DW237" s="408">
        <v>0</v>
      </c>
      <c r="DX237" s="408">
        <v>0</v>
      </c>
      <c r="DY237" s="408">
        <v>-4636.5210799999986</v>
      </c>
      <c r="DZ237" s="408">
        <v>508.21862999999939</v>
      </c>
      <c r="EA237" s="408">
        <v>0</v>
      </c>
      <c r="EB237" s="408">
        <v>0</v>
      </c>
      <c r="EC237" s="408">
        <v>-4813.0154146835202</v>
      </c>
      <c r="ED237" s="408">
        <v>0</v>
      </c>
      <c r="EE237" s="408">
        <v>0</v>
      </c>
      <c r="EF237" s="408">
        <v>0</v>
      </c>
      <c r="EG237" s="408">
        <v>0</v>
      </c>
      <c r="EH237" s="408">
        <v>0</v>
      </c>
      <c r="EI237" s="408">
        <v>0</v>
      </c>
      <c r="EJ237" s="408">
        <v>0</v>
      </c>
      <c r="EK237" s="408">
        <v>0</v>
      </c>
      <c r="EL237" s="408">
        <v>0</v>
      </c>
      <c r="EM237" s="408">
        <v>0</v>
      </c>
      <c r="EN237" s="408">
        <v>0</v>
      </c>
      <c r="EO237" s="408">
        <v>0</v>
      </c>
      <c r="EP237" s="408">
        <v>0</v>
      </c>
      <c r="EQ237" s="408">
        <v>0</v>
      </c>
      <c r="ER237" s="408">
        <v>0</v>
      </c>
      <c r="ES237" s="408">
        <v>0</v>
      </c>
      <c r="ET237" s="408">
        <v>0</v>
      </c>
      <c r="EU237" s="408">
        <v>0</v>
      </c>
      <c r="EV237" s="408">
        <v>238</v>
      </c>
      <c r="EW237" s="408">
        <v>0</v>
      </c>
      <c r="EX237" s="408">
        <v>0</v>
      </c>
      <c r="EY237" s="408">
        <v>0</v>
      </c>
      <c r="EZ237" s="408"/>
      <c r="FA237" s="408">
        <v>0</v>
      </c>
      <c r="FB237" s="408"/>
      <c r="FC237" s="408"/>
      <c r="FD237" s="408"/>
      <c r="FE237" s="408"/>
      <c r="FF237" s="408">
        <v>0</v>
      </c>
      <c r="FG237" s="408">
        <v>0</v>
      </c>
      <c r="FH237" s="408">
        <v>0</v>
      </c>
      <c r="FI237" s="408">
        <v>0</v>
      </c>
    </row>
    <row r="238" spans="1:165">
      <c r="A238" s="408">
        <v>242</v>
      </c>
      <c r="B238" s="408" t="s">
        <v>2237</v>
      </c>
      <c r="C238" s="408" t="s">
        <v>2235</v>
      </c>
      <c r="D238" s="408" t="s">
        <v>1955</v>
      </c>
      <c r="E238" s="408" t="s">
        <v>969</v>
      </c>
      <c r="F238" s="408" t="s">
        <v>2242</v>
      </c>
      <c r="G238" s="408" t="s">
        <v>1322</v>
      </c>
      <c r="H238" s="408" t="s">
        <v>1322</v>
      </c>
      <c r="I238" s="408" t="s">
        <v>1322</v>
      </c>
      <c r="J238" s="408" t="s">
        <v>2236</v>
      </c>
      <c r="K238" s="824">
        <v>44501</v>
      </c>
      <c r="L238" s="408">
        <v>0</v>
      </c>
      <c r="M238" s="408">
        <v>0</v>
      </c>
      <c r="N238" s="408">
        <v>-1E-3</v>
      </c>
      <c r="O238" s="408">
        <v>-1E-3</v>
      </c>
      <c r="P238" s="408">
        <v>-1E-3</v>
      </c>
      <c r="Q238" s="408">
        <v>-1E-3</v>
      </c>
      <c r="R238" s="408"/>
      <c r="S238" s="408">
        <v>510.28</v>
      </c>
      <c r="T238" s="408">
        <v>209.4</v>
      </c>
      <c r="U238" s="408"/>
      <c r="V238" s="408">
        <v>-0.71967999999999999</v>
      </c>
      <c r="W238" s="408">
        <v>-0.71967999999999999</v>
      </c>
      <c r="X238" s="408">
        <v>-0.53422999999999998</v>
      </c>
      <c r="Y238" s="408">
        <v>0</v>
      </c>
      <c r="Z238" s="408">
        <v>0</v>
      </c>
      <c r="AA238" s="408">
        <v>0</v>
      </c>
      <c r="AB238" s="408">
        <v>0</v>
      </c>
      <c r="AC238" s="408">
        <v>0</v>
      </c>
      <c r="AD238" s="408">
        <v>-7.4191144795814498E-2</v>
      </c>
      <c r="AE238" s="408">
        <v>-0.38540531188980098</v>
      </c>
      <c r="AF238" s="408">
        <v>-0.20665074579102502</v>
      </c>
      <c r="AG238" s="408">
        <v>-2.7529649641879401E-3</v>
      </c>
      <c r="AH238" s="408">
        <v>0</v>
      </c>
      <c r="AI238" s="408">
        <v>0</v>
      </c>
      <c r="AJ238" s="408">
        <v>0</v>
      </c>
      <c r="AK238" s="408">
        <v>0</v>
      </c>
      <c r="AL238" s="408">
        <v>0</v>
      </c>
      <c r="AM238" s="408"/>
      <c r="AN238" s="408">
        <v>-1.8229643158288701E-3</v>
      </c>
      <c r="AO238" s="408">
        <v>-5.6994807750602007E-3</v>
      </c>
      <c r="AP238" s="408">
        <v>-8.5851899704955589E-3</v>
      </c>
      <c r="AQ238" s="408">
        <v>0</v>
      </c>
      <c r="AR238" s="408">
        <v>0</v>
      </c>
      <c r="AS238" s="408">
        <v>0</v>
      </c>
      <c r="AT238" s="408">
        <v>0</v>
      </c>
      <c r="AU238" s="408">
        <v>0</v>
      </c>
      <c r="AV238" s="408">
        <v>0</v>
      </c>
      <c r="AW238" s="408">
        <v>0</v>
      </c>
      <c r="AX238" s="408">
        <v>0</v>
      </c>
      <c r="AY238" s="408">
        <v>0</v>
      </c>
      <c r="AZ238" s="408">
        <v>0</v>
      </c>
      <c r="BA238" s="408"/>
      <c r="BB238" s="408">
        <v>0</v>
      </c>
      <c r="BC238" s="408">
        <v>0</v>
      </c>
      <c r="BD238" s="408">
        <v>0</v>
      </c>
      <c r="BE238" s="408">
        <v>0</v>
      </c>
      <c r="BF238" s="408">
        <v>0</v>
      </c>
      <c r="BG238" s="408">
        <v>-3.4572283457438902E-2</v>
      </c>
      <c r="BH238" s="408">
        <v>0</v>
      </c>
      <c r="BI238" s="408">
        <v>-7.0000000000000007E-2</v>
      </c>
      <c r="BJ238" s="408">
        <v>-0.33</v>
      </c>
      <c r="BK238" s="408">
        <v>-6.95</v>
      </c>
      <c r="BL238" s="408">
        <v>0</v>
      </c>
      <c r="BM238" s="408"/>
      <c r="BN238" s="408"/>
      <c r="BO238" s="408"/>
      <c r="BP238" s="408"/>
      <c r="BQ238" s="408"/>
      <c r="BR238" s="408"/>
      <c r="BS238" s="408"/>
      <c r="BT238" s="408"/>
      <c r="BU238" s="408"/>
      <c r="BV238" s="408">
        <v>-0.24122302924846392</v>
      </c>
      <c r="BW238" s="408"/>
      <c r="BX238" s="408"/>
      <c r="BY238" s="408"/>
      <c r="BZ238" s="408"/>
      <c r="CA238" s="408"/>
      <c r="CB238" s="408"/>
      <c r="CC238" s="408"/>
      <c r="CD238" s="408"/>
      <c r="CE238" s="408"/>
      <c r="CF238" s="408"/>
      <c r="CG238" s="408"/>
      <c r="CH238" s="408"/>
      <c r="CI238" s="408">
        <v>0</v>
      </c>
      <c r="CJ238" s="408">
        <v>0.68967999999999996</v>
      </c>
      <c r="CK238" s="408"/>
      <c r="CL238" s="408"/>
      <c r="CM238" s="408"/>
      <c r="CN238" s="408"/>
      <c r="CO238" s="408">
        <v>0.20827999999999997</v>
      </c>
      <c r="CP238" s="408">
        <v>-2.2829999999999986E-2</v>
      </c>
      <c r="CQ238" s="408">
        <v>30</v>
      </c>
      <c r="CR238" s="408">
        <v>-3.0755979527265831E-2</v>
      </c>
      <c r="CS238" s="408">
        <v>-6.8810988677403019E-4</v>
      </c>
      <c r="CT238" s="408">
        <v>-1.0365074173741308E-3</v>
      </c>
      <c r="CU238" s="408">
        <v>0</v>
      </c>
      <c r="CV238" s="408">
        <v>0</v>
      </c>
      <c r="CW238" s="408">
        <v>0</v>
      </c>
      <c r="CX238" s="408">
        <v>0</v>
      </c>
      <c r="CY238" s="408">
        <v>0</v>
      </c>
      <c r="CZ238" s="408">
        <v>-2.4321665829071942E-3</v>
      </c>
      <c r="DA238" s="408">
        <v>0</v>
      </c>
      <c r="DB238" s="408">
        <v>0</v>
      </c>
      <c r="DC238" s="408">
        <v>-2.2823084126359972E-2</v>
      </c>
      <c r="DD238" s="408">
        <v>0</v>
      </c>
      <c r="DE238" s="408">
        <v>0</v>
      </c>
      <c r="DF238" s="408">
        <v>0</v>
      </c>
      <c r="DG238" s="408">
        <v>-3.8182593088116959E-3</v>
      </c>
      <c r="DH238" s="408">
        <v>0</v>
      </c>
      <c r="DI238" s="408">
        <v>0</v>
      </c>
      <c r="DJ238" s="408"/>
      <c r="DK238" s="408">
        <v>0</v>
      </c>
      <c r="DL238" s="408">
        <v>0</v>
      </c>
      <c r="DM238" s="408">
        <v>0</v>
      </c>
      <c r="DN238" s="408">
        <v>0</v>
      </c>
      <c r="DO238" s="408">
        <v>0</v>
      </c>
      <c r="DP238" s="408">
        <v>4.2147794961250014E-5</v>
      </c>
      <c r="DQ238" s="408">
        <v>0</v>
      </c>
      <c r="DR238" s="408">
        <v>0</v>
      </c>
      <c r="DS238" s="408"/>
      <c r="DT238" s="408"/>
      <c r="DU238" s="408"/>
      <c r="DV238" s="408">
        <v>-0.38540531188980098</v>
      </c>
      <c r="DW238" s="408">
        <v>0</v>
      </c>
      <c r="DX238" s="408">
        <v>0</v>
      </c>
      <c r="DY238" s="408">
        <v>0.20827999999999997</v>
      </c>
      <c r="DZ238" s="408">
        <v>-2.2829999999999989E-2</v>
      </c>
      <c r="EA238" s="408">
        <v>0</v>
      </c>
      <c r="EB238" s="408">
        <v>0</v>
      </c>
      <c r="EC238" s="408">
        <v>0.21620840998533397</v>
      </c>
      <c r="ED238" s="408">
        <v>0</v>
      </c>
      <c r="EE238" s="408">
        <v>0</v>
      </c>
      <c r="EF238" s="408">
        <v>0</v>
      </c>
      <c r="EG238" s="408">
        <v>0</v>
      </c>
      <c r="EH238" s="408">
        <v>0</v>
      </c>
      <c r="EI238" s="408">
        <v>0</v>
      </c>
      <c r="EJ238" s="408">
        <v>0</v>
      </c>
      <c r="EK238" s="408">
        <v>0</v>
      </c>
      <c r="EL238" s="408">
        <v>0</v>
      </c>
      <c r="EM238" s="408">
        <v>0</v>
      </c>
      <c r="EN238" s="408">
        <v>0</v>
      </c>
      <c r="EO238" s="408">
        <v>0</v>
      </c>
      <c r="EP238" s="408">
        <v>0</v>
      </c>
      <c r="EQ238" s="408">
        <v>0</v>
      </c>
      <c r="ER238" s="408">
        <v>0</v>
      </c>
      <c r="ES238" s="408">
        <v>0</v>
      </c>
      <c r="ET238" s="408">
        <v>0</v>
      </c>
      <c r="EU238" s="408">
        <v>0</v>
      </c>
      <c r="EV238" s="408">
        <v>238</v>
      </c>
      <c r="EW238" s="408">
        <v>0</v>
      </c>
      <c r="EX238" s="408">
        <v>0</v>
      </c>
      <c r="EY238" s="408">
        <v>0</v>
      </c>
      <c r="EZ238" s="408"/>
      <c r="FA238" s="408">
        <v>0</v>
      </c>
      <c r="FB238" s="408"/>
      <c r="FC238" s="408"/>
      <c r="FD238" s="408"/>
      <c r="FE238" s="408"/>
      <c r="FF238" s="408">
        <v>0</v>
      </c>
      <c r="FG238" s="408">
        <v>0</v>
      </c>
      <c r="FH238" s="408">
        <v>0</v>
      </c>
      <c r="FI238" s="408">
        <v>0</v>
      </c>
    </row>
    <row r="239" spans="1:165">
      <c r="A239" s="408">
        <v>243</v>
      </c>
      <c r="B239" s="408" t="s">
        <v>1036</v>
      </c>
      <c r="C239" s="408" t="s">
        <v>2321</v>
      </c>
      <c r="D239" s="408" t="s">
        <v>1955</v>
      </c>
      <c r="E239" s="408" t="s">
        <v>969</v>
      </c>
      <c r="F239" s="408" t="s">
        <v>969</v>
      </c>
      <c r="G239" s="408" t="s">
        <v>1322</v>
      </c>
      <c r="H239" s="408" t="s">
        <v>1322</v>
      </c>
      <c r="I239" s="408" t="s">
        <v>973</v>
      </c>
      <c r="J239" s="408" t="s">
        <v>2236</v>
      </c>
      <c r="K239" s="824">
        <v>44501</v>
      </c>
      <c r="L239" s="408">
        <v>0</v>
      </c>
      <c r="M239" s="408">
        <v>0</v>
      </c>
      <c r="N239" s="408">
        <v>7.3999999999999996E-2</v>
      </c>
      <c r="O239" s="408">
        <v>7.3999999999999996E-2</v>
      </c>
      <c r="P239" s="408">
        <v>7.3999999999999996E-2</v>
      </c>
      <c r="Q239" s="408">
        <v>7.3999999999999996E-2</v>
      </c>
      <c r="R239" s="408"/>
      <c r="S239" s="408">
        <v>1292.1099999999999</v>
      </c>
      <c r="T239" s="408">
        <v>209.4</v>
      </c>
      <c r="U239" s="408"/>
      <c r="V239" s="408">
        <v>111.11173999999998</v>
      </c>
      <c r="W239" s="408">
        <v>111.11173999999998</v>
      </c>
      <c r="X239" s="408">
        <v>73.761719999999997</v>
      </c>
      <c r="Y239" s="408">
        <v>0</v>
      </c>
      <c r="Z239" s="408">
        <v>4.5538051532741122</v>
      </c>
      <c r="AA239" s="408">
        <v>0</v>
      </c>
      <c r="AB239" s="408">
        <v>0</v>
      </c>
      <c r="AC239" s="408">
        <v>0</v>
      </c>
      <c r="AD239" s="408">
        <v>13.722919552032204</v>
      </c>
      <c r="AE239" s="408">
        <v>71.300007909832289</v>
      </c>
      <c r="AF239" s="408">
        <v>15.292155188535849</v>
      </c>
      <c r="AG239" s="408">
        <v>0.20371940734990757</v>
      </c>
      <c r="AH239" s="408">
        <v>0</v>
      </c>
      <c r="AI239" s="408">
        <v>0</v>
      </c>
      <c r="AJ239" s="408">
        <v>0</v>
      </c>
      <c r="AK239" s="408">
        <v>0</v>
      </c>
      <c r="AL239" s="408">
        <v>0.70371052173922188</v>
      </c>
      <c r="AM239" s="408"/>
      <c r="AN239" s="408">
        <v>0.13489935937133637</v>
      </c>
      <c r="AO239" s="408">
        <v>1.0544134401679526</v>
      </c>
      <c r="AP239" s="408">
        <v>1.5882601445416784</v>
      </c>
      <c r="AQ239" s="408">
        <v>0</v>
      </c>
      <c r="AR239" s="408">
        <v>0</v>
      </c>
      <c r="AS239" s="408">
        <v>0</v>
      </c>
      <c r="AT239" s="408">
        <v>0</v>
      </c>
      <c r="AU239" s="408">
        <v>0</v>
      </c>
      <c r="AV239" s="408">
        <v>0</v>
      </c>
      <c r="AW239" s="408">
        <v>0</v>
      </c>
      <c r="AX239" s="408">
        <v>0</v>
      </c>
      <c r="AY239" s="408">
        <v>0</v>
      </c>
      <c r="AZ239" s="408">
        <v>0</v>
      </c>
      <c r="BA239" s="408"/>
      <c r="BB239" s="408">
        <v>0</v>
      </c>
      <c r="BC239" s="408">
        <v>0</v>
      </c>
      <c r="BD239" s="408">
        <v>0</v>
      </c>
      <c r="BE239" s="408">
        <v>0</v>
      </c>
      <c r="BF239" s="408">
        <v>0</v>
      </c>
      <c r="BG239" s="408">
        <v>2.5583489758504783</v>
      </c>
      <c r="BH239" s="408">
        <v>0</v>
      </c>
      <c r="BI239" s="408">
        <v>0</v>
      </c>
      <c r="BJ239" s="408">
        <v>0</v>
      </c>
      <c r="BK239" s="408">
        <v>0</v>
      </c>
      <c r="BL239" s="408">
        <v>0</v>
      </c>
      <c r="BM239" s="408"/>
      <c r="BN239" s="408"/>
      <c r="BO239" s="408"/>
      <c r="BP239" s="408"/>
      <c r="BQ239" s="408"/>
      <c r="BR239" s="408"/>
      <c r="BS239" s="408"/>
      <c r="BT239" s="408"/>
      <c r="BU239" s="408"/>
      <c r="BV239" s="408">
        <v>17.850504164386329</v>
      </c>
      <c r="BW239" s="408"/>
      <c r="BX239" s="408"/>
      <c r="BY239" s="408"/>
      <c r="BZ239" s="408"/>
      <c r="CA239" s="408"/>
      <c r="CB239" s="408"/>
      <c r="CC239" s="408"/>
      <c r="CD239" s="408"/>
      <c r="CE239" s="408"/>
      <c r="CF239" s="408"/>
      <c r="CG239" s="408"/>
      <c r="CH239" s="408"/>
      <c r="CI239" s="408">
        <v>69.774600000000007</v>
      </c>
      <c r="CJ239" s="408">
        <v>-41.367139999999992</v>
      </c>
      <c r="CK239" s="408"/>
      <c r="CL239" s="408"/>
      <c r="CM239" s="408"/>
      <c r="CN239" s="408"/>
      <c r="CO239" s="408">
        <v>-39.039439999999992</v>
      </c>
      <c r="CP239" s="408">
        <v>1.6894199999999988</v>
      </c>
      <c r="CQ239" s="408">
        <v>30</v>
      </c>
      <c r="CR239" s="408">
        <v>2.6475705280791786</v>
      </c>
      <c r="CS239" s="408">
        <v>0.12730147561895055</v>
      </c>
      <c r="CT239" s="408">
        <v>0.19175387221421247</v>
      </c>
      <c r="CU239" s="408">
        <v>0</v>
      </c>
      <c r="CV239" s="408">
        <v>0</v>
      </c>
      <c r="CW239" s="408">
        <v>0</v>
      </c>
      <c r="CX239" s="408">
        <v>0</v>
      </c>
      <c r="CY239" s="408">
        <v>0</v>
      </c>
      <c r="CZ239" s="408">
        <v>0.44987075541476784</v>
      </c>
      <c r="DA239" s="408">
        <v>0</v>
      </c>
      <c r="DB239" s="408">
        <v>0</v>
      </c>
      <c r="DC239" s="408">
        <v>1.6889082253506391</v>
      </c>
      <c r="DD239" s="408">
        <v>0</v>
      </c>
      <c r="DE239" s="408">
        <v>0</v>
      </c>
      <c r="DF239" s="408">
        <v>0</v>
      </c>
      <c r="DG239" s="408">
        <v>0.28255118885206576</v>
      </c>
      <c r="DH239" s="408">
        <v>0</v>
      </c>
      <c r="DI239" s="408">
        <v>-7.9382490798322713E-2</v>
      </c>
      <c r="DJ239" s="408"/>
      <c r="DK239" s="408">
        <v>0</v>
      </c>
      <c r="DL239" s="408">
        <v>0</v>
      </c>
      <c r="DM239" s="408">
        <v>0</v>
      </c>
      <c r="DN239" s="408">
        <v>0</v>
      </c>
      <c r="DO239" s="408">
        <v>-1.0313561745989963E-2</v>
      </c>
      <c r="DP239" s="408">
        <v>-3.1189368271324902E-3</v>
      </c>
      <c r="DQ239" s="408">
        <v>0</v>
      </c>
      <c r="DR239" s="408">
        <v>0</v>
      </c>
      <c r="DS239" s="408"/>
      <c r="DT239" s="408"/>
      <c r="DU239" s="408"/>
      <c r="DV239" s="408">
        <v>71.300007909832289</v>
      </c>
      <c r="DW239" s="408">
        <v>0</v>
      </c>
      <c r="DX239" s="408">
        <v>0</v>
      </c>
      <c r="DY239" s="408">
        <v>-39.039439999999992</v>
      </c>
      <c r="DZ239" s="408">
        <v>1.6894199999999984</v>
      </c>
      <c r="EA239" s="408">
        <v>0</v>
      </c>
      <c r="EB239" s="408">
        <v>0</v>
      </c>
      <c r="EC239" s="408">
        <v>-39.998569989960032</v>
      </c>
      <c r="ED239" s="408">
        <v>0</v>
      </c>
      <c r="EE239" s="408">
        <v>0</v>
      </c>
      <c r="EF239" s="408">
        <v>0</v>
      </c>
      <c r="EG239" s="408">
        <v>0</v>
      </c>
      <c r="EH239" s="408">
        <v>0</v>
      </c>
      <c r="EI239" s="408">
        <v>0</v>
      </c>
      <c r="EJ239" s="408">
        <v>0</v>
      </c>
      <c r="EK239" s="408">
        <v>0</v>
      </c>
      <c r="EL239" s="408">
        <v>0</v>
      </c>
      <c r="EM239" s="408">
        <v>0</v>
      </c>
      <c r="EN239" s="408">
        <v>0</v>
      </c>
      <c r="EO239" s="408">
        <v>0</v>
      </c>
      <c r="EP239" s="408">
        <v>0</v>
      </c>
      <c r="EQ239" s="408">
        <v>0</v>
      </c>
      <c r="ER239" s="408">
        <v>0</v>
      </c>
      <c r="ES239" s="408">
        <v>0</v>
      </c>
      <c r="ET239" s="408">
        <v>0</v>
      </c>
      <c r="EU239" s="408">
        <v>0</v>
      </c>
      <c r="EV239" s="408">
        <v>238</v>
      </c>
      <c r="EW239" s="408">
        <v>0</v>
      </c>
      <c r="EX239" s="408">
        <v>0</v>
      </c>
      <c r="EY239" s="408">
        <v>0</v>
      </c>
      <c r="EZ239" s="408"/>
      <c r="FA239" s="408">
        <v>0</v>
      </c>
      <c r="FB239" s="408"/>
      <c r="FC239" s="408"/>
      <c r="FD239" s="408"/>
      <c r="FE239" s="408"/>
      <c r="FF239" s="408">
        <v>0</v>
      </c>
      <c r="FG239" s="408">
        <v>0</v>
      </c>
      <c r="FH239" s="408">
        <v>0</v>
      </c>
      <c r="FI239" s="408">
        <v>0</v>
      </c>
    </row>
    <row r="240" spans="1:165">
      <c r="A240" s="408">
        <v>244</v>
      </c>
      <c r="B240" s="408" t="s">
        <v>1036</v>
      </c>
      <c r="C240" s="408" t="s">
        <v>2321</v>
      </c>
      <c r="D240" s="408" t="s">
        <v>1955</v>
      </c>
      <c r="E240" s="408" t="s">
        <v>969</v>
      </c>
      <c r="F240" s="408" t="s">
        <v>969</v>
      </c>
      <c r="G240" s="408" t="s">
        <v>1322</v>
      </c>
      <c r="H240" s="408" t="s">
        <v>1322</v>
      </c>
      <c r="I240" s="408" t="s">
        <v>2244</v>
      </c>
      <c r="J240" s="408" t="s">
        <v>2236</v>
      </c>
      <c r="K240" s="824">
        <v>44501</v>
      </c>
      <c r="L240" s="408">
        <v>0</v>
      </c>
      <c r="M240" s="408">
        <v>0</v>
      </c>
      <c r="N240" s="408">
        <v>0.88</v>
      </c>
      <c r="O240" s="408">
        <v>0.88</v>
      </c>
      <c r="P240" s="408">
        <v>0.88</v>
      </c>
      <c r="Q240" s="408">
        <v>0.88</v>
      </c>
      <c r="R240" s="408"/>
      <c r="S240" s="408">
        <v>344.38</v>
      </c>
      <c r="T240" s="408">
        <v>209.4</v>
      </c>
      <c r="U240" s="408"/>
      <c r="V240" s="408">
        <v>487.32640000000004</v>
      </c>
      <c r="W240" s="408">
        <v>487.32640000000004</v>
      </c>
      <c r="X240" s="408">
        <v>416.37199999999996</v>
      </c>
      <c r="Y240" s="408">
        <v>0</v>
      </c>
      <c r="Z240" s="408">
        <v>54.153358579475935</v>
      </c>
      <c r="AA240" s="408">
        <v>0</v>
      </c>
      <c r="AB240" s="408">
        <v>0</v>
      </c>
      <c r="AC240" s="408">
        <v>0</v>
      </c>
      <c r="AD240" s="408">
        <v>32.644103710158419</v>
      </c>
      <c r="AE240" s="408">
        <v>169.5783372315129</v>
      </c>
      <c r="AF240" s="408">
        <v>181.852656296102</v>
      </c>
      <c r="AG240" s="408">
        <v>2.4226091684853874</v>
      </c>
      <c r="AH240" s="408">
        <v>0</v>
      </c>
      <c r="AI240" s="408">
        <v>0</v>
      </c>
      <c r="AJ240" s="408">
        <v>0</v>
      </c>
      <c r="AK240" s="408">
        <v>0</v>
      </c>
      <c r="AL240" s="408">
        <v>8.3684494477096667</v>
      </c>
      <c r="AM240" s="408"/>
      <c r="AN240" s="408">
        <v>1.6042085979294056</v>
      </c>
      <c r="AO240" s="408">
        <v>2.507771541026488</v>
      </c>
      <c r="AP240" s="408">
        <v>3.7774835870180459</v>
      </c>
      <c r="AQ240" s="408">
        <v>0</v>
      </c>
      <c r="AR240" s="408">
        <v>0</v>
      </c>
      <c r="AS240" s="408">
        <v>0</v>
      </c>
      <c r="AT240" s="408">
        <v>0</v>
      </c>
      <c r="AU240" s="408">
        <v>0</v>
      </c>
      <c r="AV240" s="408">
        <v>0</v>
      </c>
      <c r="AW240" s="408">
        <v>0</v>
      </c>
      <c r="AX240" s="408">
        <v>0</v>
      </c>
      <c r="AY240" s="408">
        <v>0</v>
      </c>
      <c r="AZ240" s="408">
        <v>0</v>
      </c>
      <c r="BA240" s="408"/>
      <c r="BB240" s="408">
        <v>0</v>
      </c>
      <c r="BC240" s="408">
        <v>0</v>
      </c>
      <c r="BD240" s="408">
        <v>0</v>
      </c>
      <c r="BE240" s="408">
        <v>0</v>
      </c>
      <c r="BF240" s="408">
        <v>0</v>
      </c>
      <c r="BG240" s="408">
        <v>30.423609442546233</v>
      </c>
      <c r="BH240" s="408">
        <v>0</v>
      </c>
      <c r="BI240" s="408">
        <v>0</v>
      </c>
      <c r="BJ240" s="408">
        <v>0</v>
      </c>
      <c r="BK240" s="408">
        <v>0</v>
      </c>
      <c r="BL240" s="408">
        <v>0</v>
      </c>
      <c r="BM240" s="408"/>
      <c r="BN240" s="408"/>
      <c r="BO240" s="408"/>
      <c r="BP240" s="408"/>
      <c r="BQ240" s="408"/>
      <c r="BR240" s="408"/>
      <c r="BS240" s="408"/>
      <c r="BT240" s="408"/>
      <c r="BU240" s="408"/>
      <c r="BV240" s="408">
        <v>212.27626573864822</v>
      </c>
      <c r="BW240" s="408"/>
      <c r="BX240" s="408"/>
      <c r="BY240" s="408"/>
      <c r="BZ240" s="408"/>
      <c r="CA240" s="408"/>
      <c r="CB240" s="408"/>
      <c r="CC240" s="408"/>
      <c r="CD240" s="408"/>
      <c r="CE240" s="408"/>
      <c r="CF240" s="408"/>
      <c r="CG240" s="408"/>
      <c r="CH240" s="408"/>
      <c r="CI240" s="408">
        <v>416.37199999999996</v>
      </c>
      <c r="CJ240" s="408">
        <v>-70.984400000000051</v>
      </c>
      <c r="CK240" s="408"/>
      <c r="CL240" s="408"/>
      <c r="CM240" s="408"/>
      <c r="CN240" s="408"/>
      <c r="CO240" s="408">
        <v>-91.044800000000009</v>
      </c>
      <c r="CP240" s="408">
        <v>20.090399999999985</v>
      </c>
      <c r="CQ240" s="408">
        <v>30</v>
      </c>
      <c r="CR240" s="408">
        <v>24.169621313703033</v>
      </c>
      <c r="CS240" s="408">
        <v>0.30276835018056847</v>
      </c>
      <c r="CT240" s="408">
        <v>0.45606326364462202</v>
      </c>
      <c r="CU240" s="408">
        <v>0</v>
      </c>
      <c r="CV240" s="408">
        <v>0</v>
      </c>
      <c r="CW240" s="408">
        <v>0</v>
      </c>
      <c r="CX240" s="408">
        <v>0</v>
      </c>
      <c r="CY240" s="408">
        <v>0</v>
      </c>
      <c r="CZ240" s="408">
        <v>1.0701532964791696</v>
      </c>
      <c r="DA240" s="408">
        <v>0</v>
      </c>
      <c r="DB240" s="408">
        <v>0</v>
      </c>
      <c r="DC240" s="408">
        <v>20.084314031196783</v>
      </c>
      <c r="DD240" s="408">
        <v>0</v>
      </c>
      <c r="DE240" s="408">
        <v>0</v>
      </c>
      <c r="DF240" s="408">
        <v>0</v>
      </c>
      <c r="DG240" s="408">
        <v>3.3600681917542907</v>
      </c>
      <c r="DH240" s="408">
        <v>0</v>
      </c>
      <c r="DI240" s="408">
        <v>-0.94400799868275698</v>
      </c>
      <c r="DJ240" s="408"/>
      <c r="DK240" s="408">
        <v>0</v>
      </c>
      <c r="DL240" s="408">
        <v>0</v>
      </c>
      <c r="DM240" s="408">
        <v>0</v>
      </c>
      <c r="DN240" s="408">
        <v>0</v>
      </c>
      <c r="DO240" s="408">
        <v>-0.12264776130366428</v>
      </c>
      <c r="DP240" s="408">
        <v>-3.7090059565899836E-2</v>
      </c>
      <c r="DQ240" s="408">
        <v>0</v>
      </c>
      <c r="DR240" s="408">
        <v>0</v>
      </c>
      <c r="DS240" s="408"/>
      <c r="DT240" s="408"/>
      <c r="DU240" s="408"/>
      <c r="DV240" s="408">
        <v>169.5783372315129</v>
      </c>
      <c r="DW240" s="408">
        <v>0</v>
      </c>
      <c r="DX240" s="408">
        <v>0</v>
      </c>
      <c r="DY240" s="408">
        <v>-91.044800000000009</v>
      </c>
      <c r="DZ240" s="408">
        <v>20.09039999999996</v>
      </c>
      <c r="EA240" s="408">
        <v>0</v>
      </c>
      <c r="EB240" s="408">
        <v>0</v>
      </c>
      <c r="EC240" s="408">
        <v>-95.131700393547419</v>
      </c>
      <c r="ED240" s="408">
        <v>0</v>
      </c>
      <c r="EE240" s="408">
        <v>0</v>
      </c>
      <c r="EF240" s="408">
        <v>0</v>
      </c>
      <c r="EG240" s="408">
        <v>0</v>
      </c>
      <c r="EH240" s="408">
        <v>0</v>
      </c>
      <c r="EI240" s="408">
        <v>0</v>
      </c>
      <c r="EJ240" s="408">
        <v>0</v>
      </c>
      <c r="EK240" s="408">
        <v>0</v>
      </c>
      <c r="EL240" s="408">
        <v>0</v>
      </c>
      <c r="EM240" s="408">
        <v>0</v>
      </c>
      <c r="EN240" s="408">
        <v>0</v>
      </c>
      <c r="EO240" s="408">
        <v>0</v>
      </c>
      <c r="EP240" s="408">
        <v>0</v>
      </c>
      <c r="EQ240" s="408">
        <v>0</v>
      </c>
      <c r="ER240" s="408">
        <v>0</v>
      </c>
      <c r="ES240" s="408">
        <v>0</v>
      </c>
      <c r="ET240" s="408">
        <v>0</v>
      </c>
      <c r="EU240" s="408">
        <v>0</v>
      </c>
      <c r="EV240" s="408">
        <v>238</v>
      </c>
      <c r="EW240" s="408">
        <v>0</v>
      </c>
      <c r="EX240" s="408">
        <v>0</v>
      </c>
      <c r="EY240" s="408">
        <v>0</v>
      </c>
      <c r="EZ240" s="408"/>
      <c r="FA240" s="408">
        <v>0</v>
      </c>
      <c r="FB240" s="408"/>
      <c r="FC240" s="408"/>
      <c r="FD240" s="408"/>
      <c r="FE240" s="408"/>
      <c r="FF240" s="408">
        <v>0</v>
      </c>
      <c r="FG240" s="408">
        <v>0</v>
      </c>
      <c r="FH240" s="408">
        <v>0</v>
      </c>
      <c r="FI240" s="408">
        <v>0</v>
      </c>
    </row>
    <row r="241" spans="1:165">
      <c r="A241" s="408">
        <v>245</v>
      </c>
      <c r="B241" s="408" t="s">
        <v>1036</v>
      </c>
      <c r="C241" s="408" t="s">
        <v>2321</v>
      </c>
      <c r="D241" s="408" t="s">
        <v>1955</v>
      </c>
      <c r="E241" s="408" t="s">
        <v>969</v>
      </c>
      <c r="F241" s="408" t="s">
        <v>969</v>
      </c>
      <c r="G241" s="408" t="s">
        <v>1322</v>
      </c>
      <c r="H241" s="408" t="s">
        <v>1322</v>
      </c>
      <c r="I241" s="408" t="s">
        <v>1322</v>
      </c>
      <c r="J241" s="408" t="s">
        <v>2236</v>
      </c>
      <c r="K241" s="824">
        <v>44501</v>
      </c>
      <c r="L241" s="408">
        <v>0</v>
      </c>
      <c r="M241" s="408">
        <v>0</v>
      </c>
      <c r="N241" s="408">
        <v>0</v>
      </c>
      <c r="O241" s="408">
        <v>0</v>
      </c>
      <c r="P241" s="408">
        <v>0</v>
      </c>
      <c r="Q241" s="408">
        <v>0</v>
      </c>
      <c r="R241" s="408"/>
      <c r="S241" s="408"/>
      <c r="T241" s="408"/>
      <c r="U241" s="408"/>
      <c r="V241" s="408"/>
      <c r="W241" s="408"/>
      <c r="X241" s="408"/>
      <c r="Y241" s="408"/>
      <c r="Z241" s="408"/>
      <c r="AA241" s="408">
        <v>0</v>
      </c>
      <c r="AB241" s="408"/>
      <c r="AC241" s="408"/>
      <c r="AD241" s="408"/>
      <c r="AE241" s="408"/>
      <c r="AF241" s="408"/>
      <c r="AG241" s="408"/>
      <c r="AH241" s="408"/>
      <c r="AI241" s="408"/>
      <c r="AJ241" s="408"/>
      <c r="AK241" s="408"/>
      <c r="AL241" s="408"/>
      <c r="AM241" s="408"/>
      <c r="AN241" s="408"/>
      <c r="AO241" s="408"/>
      <c r="AP241" s="408"/>
      <c r="AQ241" s="408"/>
      <c r="AR241" s="408"/>
      <c r="AS241" s="408"/>
      <c r="AT241" s="408"/>
      <c r="AU241" s="408"/>
      <c r="AV241" s="408"/>
      <c r="AW241" s="408"/>
      <c r="AX241" s="408"/>
      <c r="AY241" s="408"/>
      <c r="AZ241" s="408">
        <v>0</v>
      </c>
      <c r="BA241" s="408"/>
      <c r="BB241" s="408"/>
      <c r="BC241" s="408"/>
      <c r="BD241" s="408"/>
      <c r="BE241" s="408"/>
      <c r="BF241" s="408"/>
      <c r="BG241" s="408"/>
      <c r="BH241" s="408"/>
      <c r="BI241" s="408">
        <v>1.97</v>
      </c>
      <c r="BJ241" s="408">
        <v>9.24</v>
      </c>
      <c r="BK241" s="408">
        <v>302.56</v>
      </c>
      <c r="BL241" s="408">
        <v>2</v>
      </c>
      <c r="BM241" s="408"/>
      <c r="BN241" s="408"/>
      <c r="BO241" s="408"/>
      <c r="BP241" s="408"/>
      <c r="BQ241" s="408"/>
      <c r="BR241" s="408"/>
      <c r="BS241" s="408"/>
      <c r="BT241" s="408"/>
      <c r="BU241" s="408"/>
      <c r="BV241" s="408"/>
      <c r="BW241" s="408"/>
      <c r="BX241" s="408"/>
      <c r="BY241" s="408"/>
      <c r="BZ241" s="408"/>
      <c r="CA241" s="408"/>
      <c r="CB241" s="408"/>
      <c r="CC241" s="408"/>
      <c r="CD241" s="408"/>
      <c r="CE241" s="408"/>
      <c r="CF241" s="408"/>
      <c r="CG241" s="408"/>
      <c r="CH241" s="408"/>
      <c r="CI241" s="408"/>
      <c r="CJ241" s="408">
        <v>-0.03</v>
      </c>
      <c r="CK241" s="408"/>
      <c r="CL241" s="408"/>
      <c r="CM241" s="408"/>
      <c r="CN241" s="408"/>
      <c r="CO241" s="408">
        <v>0</v>
      </c>
      <c r="CP241" s="408">
        <v>0</v>
      </c>
      <c r="CQ241" s="408">
        <v>30</v>
      </c>
      <c r="CR241" s="408"/>
      <c r="CS241" s="408"/>
      <c r="CT241" s="408"/>
      <c r="CU241" s="408"/>
      <c r="CV241" s="408"/>
      <c r="CW241" s="408"/>
      <c r="CX241" s="408"/>
      <c r="CY241" s="408"/>
      <c r="CZ241" s="408"/>
      <c r="DA241" s="408"/>
      <c r="DB241" s="408"/>
      <c r="DC241" s="408"/>
      <c r="DD241" s="408"/>
      <c r="DE241" s="408"/>
      <c r="DF241" s="408"/>
      <c r="DG241" s="408"/>
      <c r="DH241" s="408"/>
      <c r="DI241" s="408"/>
      <c r="DJ241" s="408"/>
      <c r="DK241" s="408">
        <v>0</v>
      </c>
      <c r="DL241" s="408"/>
      <c r="DM241" s="408"/>
      <c r="DN241" s="408"/>
      <c r="DO241" s="408"/>
      <c r="DP241" s="408"/>
      <c r="DQ241" s="408"/>
      <c r="DR241" s="408"/>
      <c r="DS241" s="408"/>
      <c r="DT241" s="408"/>
      <c r="DU241" s="408"/>
      <c r="DV241" s="408"/>
      <c r="DW241" s="408"/>
      <c r="DX241" s="408"/>
      <c r="DY241" s="408"/>
      <c r="DZ241" s="408"/>
      <c r="EA241" s="408"/>
      <c r="EB241" s="408"/>
      <c r="EC241" s="408"/>
      <c r="ED241" s="408"/>
      <c r="EE241" s="408"/>
      <c r="EF241" s="408"/>
      <c r="EG241" s="408"/>
      <c r="EH241" s="408"/>
      <c r="EI241" s="408"/>
      <c r="EJ241" s="408"/>
      <c r="EK241" s="408"/>
      <c r="EL241" s="408"/>
      <c r="EM241" s="408"/>
      <c r="EN241" s="408"/>
      <c r="EO241" s="408"/>
      <c r="EP241" s="408"/>
      <c r="EQ241" s="408"/>
      <c r="ER241" s="408"/>
      <c r="ES241" s="408"/>
      <c r="ET241" s="408"/>
      <c r="EU241" s="408"/>
      <c r="EV241" s="408">
        <v>238</v>
      </c>
      <c r="EW241" s="408"/>
      <c r="EX241" s="408"/>
      <c r="EY241" s="408"/>
      <c r="EZ241" s="408"/>
      <c r="FA241" s="408">
        <v>0</v>
      </c>
      <c r="FB241" s="408"/>
      <c r="FC241" s="408"/>
      <c r="FD241" s="408"/>
      <c r="FE241" s="408"/>
      <c r="FF241" s="408">
        <v>0</v>
      </c>
      <c r="FG241" s="408">
        <v>0</v>
      </c>
      <c r="FH241" s="408">
        <v>0</v>
      </c>
      <c r="FI241" s="408">
        <v>0</v>
      </c>
    </row>
    <row r="242" spans="1:165">
      <c r="A242" s="408">
        <v>246</v>
      </c>
      <c r="B242" s="408" t="s">
        <v>1036</v>
      </c>
      <c r="C242" s="408" t="s">
        <v>2321</v>
      </c>
      <c r="D242" s="408" t="s">
        <v>1955</v>
      </c>
      <c r="E242" s="408" t="s">
        <v>969</v>
      </c>
      <c r="F242" s="408" t="s">
        <v>969</v>
      </c>
      <c r="G242" s="408" t="s">
        <v>1322</v>
      </c>
      <c r="H242" s="408" t="s">
        <v>1322</v>
      </c>
      <c r="I242" s="408" t="s">
        <v>2322</v>
      </c>
      <c r="J242" s="408" t="s">
        <v>2236</v>
      </c>
      <c r="K242" s="824">
        <v>44501</v>
      </c>
      <c r="L242" s="408">
        <v>0</v>
      </c>
      <c r="M242" s="408">
        <v>0</v>
      </c>
      <c r="N242" s="408">
        <v>7.9000000000000001E-2</v>
      </c>
      <c r="O242" s="408">
        <v>7.9000000000000001E-2</v>
      </c>
      <c r="P242" s="408">
        <v>7.9000000000000001E-2</v>
      </c>
      <c r="Q242" s="408">
        <v>7.9000000000000001E-2</v>
      </c>
      <c r="R242" s="408"/>
      <c r="S242" s="408">
        <v>818.26</v>
      </c>
      <c r="T242" s="408">
        <v>209.4</v>
      </c>
      <c r="U242" s="408"/>
      <c r="V242" s="408">
        <v>81.18513999999999</v>
      </c>
      <c r="W242" s="408">
        <v>81.18513999999999</v>
      </c>
      <c r="X242" s="408">
        <v>58.063420000000001</v>
      </c>
      <c r="Y242" s="408">
        <v>0</v>
      </c>
      <c r="Z242" s="408">
        <v>4.8614946906574987</v>
      </c>
      <c r="AA242" s="408">
        <v>0</v>
      </c>
      <c r="AB242" s="408">
        <v>0</v>
      </c>
      <c r="AC242" s="408">
        <v>0</v>
      </c>
      <c r="AD242" s="408">
        <v>8.7916506583040377</v>
      </c>
      <c r="AE242" s="408">
        <v>45.670556372553705</v>
      </c>
      <c r="AF242" s="408">
        <v>16.325408917490975</v>
      </c>
      <c r="AG242" s="408">
        <v>0.21748423217084728</v>
      </c>
      <c r="AH242" s="408">
        <v>0</v>
      </c>
      <c r="AI242" s="408">
        <v>0</v>
      </c>
      <c r="AJ242" s="408">
        <v>0</v>
      </c>
      <c r="AK242" s="408">
        <v>0</v>
      </c>
      <c r="AL242" s="408">
        <v>0.75125852996484499</v>
      </c>
      <c r="AM242" s="408"/>
      <c r="AN242" s="408">
        <v>0.14401418095048074</v>
      </c>
      <c r="AO242" s="408">
        <v>0.6753986103009002</v>
      </c>
      <c r="AP242" s="408">
        <v>1.0173450115037206</v>
      </c>
      <c r="AQ242" s="408">
        <v>0</v>
      </c>
      <c r="AR242" s="408">
        <v>0</v>
      </c>
      <c r="AS242" s="408">
        <v>0</v>
      </c>
      <c r="AT242" s="408">
        <v>0</v>
      </c>
      <c r="AU242" s="408">
        <v>0</v>
      </c>
      <c r="AV242" s="408">
        <v>0</v>
      </c>
      <c r="AW242" s="408">
        <v>0</v>
      </c>
      <c r="AX242" s="408">
        <v>0</v>
      </c>
      <c r="AY242" s="408">
        <v>0</v>
      </c>
      <c r="AZ242" s="408">
        <v>0</v>
      </c>
      <c r="BA242" s="408"/>
      <c r="BB242" s="408">
        <v>0</v>
      </c>
      <c r="BC242" s="408">
        <v>0</v>
      </c>
      <c r="BD242" s="408">
        <v>0</v>
      </c>
      <c r="BE242" s="408">
        <v>0</v>
      </c>
      <c r="BF242" s="408">
        <v>0</v>
      </c>
      <c r="BG242" s="408">
        <v>2.731210393137673</v>
      </c>
      <c r="BH242" s="408">
        <v>0</v>
      </c>
      <c r="BI242" s="408">
        <v>0</v>
      </c>
      <c r="BJ242" s="408">
        <v>0</v>
      </c>
      <c r="BK242" s="408">
        <v>0</v>
      </c>
      <c r="BL242" s="408">
        <v>0</v>
      </c>
      <c r="BM242" s="408"/>
      <c r="BN242" s="408"/>
      <c r="BO242" s="408"/>
      <c r="BP242" s="408"/>
      <c r="BQ242" s="408"/>
      <c r="BR242" s="408"/>
      <c r="BS242" s="408"/>
      <c r="BT242" s="408"/>
      <c r="BU242" s="408"/>
      <c r="BV242" s="408">
        <v>19.056619310628648</v>
      </c>
      <c r="BW242" s="408"/>
      <c r="BX242" s="408"/>
      <c r="BY242" s="408"/>
      <c r="BZ242" s="408"/>
      <c r="CA242" s="408"/>
      <c r="CB242" s="408"/>
      <c r="CC242" s="408"/>
      <c r="CD242" s="408"/>
      <c r="CE242" s="408"/>
      <c r="CF242" s="408"/>
      <c r="CG242" s="408"/>
      <c r="CH242" s="408"/>
      <c r="CI242" s="408">
        <v>58.798400000000001</v>
      </c>
      <c r="CJ242" s="408">
        <v>-22.416740000000004</v>
      </c>
      <c r="CK242" s="408"/>
      <c r="CL242" s="408"/>
      <c r="CM242" s="408"/>
      <c r="CN242" s="408"/>
      <c r="CO242" s="408">
        <v>-24.92529</v>
      </c>
      <c r="CP242" s="408">
        <v>1.8035699999999988</v>
      </c>
      <c r="CQ242" s="408">
        <v>30</v>
      </c>
      <c r="CR242" s="408">
        <v>2.498159973593971</v>
      </c>
      <c r="CS242" s="408">
        <v>8.1542245619132814E-2</v>
      </c>
      <c r="CT242" s="408">
        <v>0.12282612895883482</v>
      </c>
      <c r="CU242" s="408">
        <v>0</v>
      </c>
      <c r="CV242" s="408">
        <v>0</v>
      </c>
      <c r="CW242" s="408">
        <v>0</v>
      </c>
      <c r="CX242" s="408">
        <v>0</v>
      </c>
      <c r="CY242" s="408">
        <v>0</v>
      </c>
      <c r="CZ242" s="408">
        <v>0.28821174007451944</v>
      </c>
      <c r="DA242" s="408">
        <v>0</v>
      </c>
      <c r="DB242" s="408">
        <v>0</v>
      </c>
      <c r="DC242" s="408">
        <v>1.8030236459824387</v>
      </c>
      <c r="DD242" s="408">
        <v>0</v>
      </c>
      <c r="DE242" s="408">
        <v>0</v>
      </c>
      <c r="DF242" s="408">
        <v>0</v>
      </c>
      <c r="DG242" s="408">
        <v>0.30164248539612437</v>
      </c>
      <c r="DH242" s="408">
        <v>0</v>
      </c>
      <c r="DI242" s="408">
        <v>-8.4746172609020398E-2</v>
      </c>
      <c r="DJ242" s="408"/>
      <c r="DK242" s="408">
        <v>0</v>
      </c>
      <c r="DL242" s="408">
        <v>0</v>
      </c>
      <c r="DM242" s="408">
        <v>0</v>
      </c>
      <c r="DN242" s="408">
        <v>0</v>
      </c>
      <c r="DO242" s="408">
        <v>-1.1010424026124288E-2</v>
      </c>
      <c r="DP242" s="408">
        <v>-3.3296758019387418E-3</v>
      </c>
      <c r="DQ242" s="408">
        <v>0</v>
      </c>
      <c r="DR242" s="408">
        <v>0</v>
      </c>
      <c r="DS242" s="408"/>
      <c r="DT242" s="408"/>
      <c r="DU242" s="408"/>
      <c r="DV242" s="408">
        <v>45.670556372553705</v>
      </c>
      <c r="DW242" s="408">
        <v>0</v>
      </c>
      <c r="DX242" s="408">
        <v>0</v>
      </c>
      <c r="DY242" s="408">
        <v>-24.925289999999997</v>
      </c>
      <c r="DZ242" s="408">
        <v>1.8035700000000006</v>
      </c>
      <c r="EA242" s="408">
        <v>0</v>
      </c>
      <c r="EB242" s="408">
        <v>0</v>
      </c>
      <c r="EC242" s="408">
        <v>-25.620711681521353</v>
      </c>
      <c r="ED242" s="408">
        <v>0</v>
      </c>
      <c r="EE242" s="408">
        <v>0</v>
      </c>
      <c r="EF242" s="408">
        <v>0</v>
      </c>
      <c r="EG242" s="408">
        <v>0</v>
      </c>
      <c r="EH242" s="408">
        <v>0</v>
      </c>
      <c r="EI242" s="408">
        <v>0</v>
      </c>
      <c r="EJ242" s="408">
        <v>0</v>
      </c>
      <c r="EK242" s="408">
        <v>0</v>
      </c>
      <c r="EL242" s="408">
        <v>0</v>
      </c>
      <c r="EM242" s="408">
        <v>0</v>
      </c>
      <c r="EN242" s="408">
        <v>0</v>
      </c>
      <c r="EO242" s="408">
        <v>0</v>
      </c>
      <c r="EP242" s="408">
        <v>0</v>
      </c>
      <c r="EQ242" s="408">
        <v>0</v>
      </c>
      <c r="ER242" s="408">
        <v>0</v>
      </c>
      <c r="ES242" s="408">
        <v>0</v>
      </c>
      <c r="ET242" s="408">
        <v>0</v>
      </c>
      <c r="EU242" s="408">
        <v>0</v>
      </c>
      <c r="EV242" s="408">
        <v>238</v>
      </c>
      <c r="EW242" s="408">
        <v>0</v>
      </c>
      <c r="EX242" s="408">
        <v>0</v>
      </c>
      <c r="EY242" s="408">
        <v>0</v>
      </c>
      <c r="EZ242" s="408"/>
      <c r="FA242" s="408">
        <v>0</v>
      </c>
      <c r="FB242" s="408"/>
      <c r="FC242" s="408"/>
      <c r="FD242" s="408"/>
      <c r="FE242" s="408"/>
      <c r="FF242" s="408">
        <v>0</v>
      </c>
      <c r="FG242" s="408">
        <v>0</v>
      </c>
      <c r="FH242" s="408">
        <v>0</v>
      </c>
      <c r="FI242" s="408">
        <v>0</v>
      </c>
    </row>
    <row r="243" spans="1:165">
      <c r="A243" s="408">
        <v>247</v>
      </c>
      <c r="B243" s="408" t="s">
        <v>1036</v>
      </c>
      <c r="C243" s="408" t="s">
        <v>2235</v>
      </c>
      <c r="D243" s="408" t="s">
        <v>1958</v>
      </c>
      <c r="E243" s="408" t="s">
        <v>970</v>
      </c>
      <c r="F243" s="408" t="s">
        <v>1322</v>
      </c>
      <c r="G243" s="408" t="s">
        <v>1322</v>
      </c>
      <c r="H243" s="408" t="s">
        <v>1322</v>
      </c>
      <c r="I243" s="408" t="s">
        <v>1322</v>
      </c>
      <c r="J243" s="408" t="s">
        <v>2236</v>
      </c>
      <c r="K243" s="824">
        <v>44501</v>
      </c>
      <c r="L243" s="408">
        <v>0</v>
      </c>
      <c r="M243" s="408">
        <v>0</v>
      </c>
      <c r="N243" s="408">
        <v>8.8070000000000004</v>
      </c>
      <c r="O243" s="408">
        <v>8.8070000000000004</v>
      </c>
      <c r="P243" s="408">
        <v>8.8070000000000004</v>
      </c>
      <c r="Q243" s="408">
        <v>8.8070000000000004</v>
      </c>
      <c r="R243" s="408"/>
      <c r="S243" s="408">
        <v>581.32000000000005</v>
      </c>
      <c r="T243" s="408">
        <v>209.4</v>
      </c>
      <c r="U243" s="408"/>
      <c r="V243" s="408">
        <v>6963.8710400000009</v>
      </c>
      <c r="W243" s="408">
        <v>6963.8710400000009</v>
      </c>
      <c r="X243" s="408">
        <v>5320.0444900000002</v>
      </c>
      <c r="Y243" s="408">
        <v>0</v>
      </c>
      <c r="Z243" s="408">
        <v>541.96435114709607</v>
      </c>
      <c r="AA243" s="408">
        <v>0</v>
      </c>
      <c r="AB243" s="408">
        <v>0</v>
      </c>
      <c r="AC243" s="408">
        <v>0</v>
      </c>
      <c r="AD243" s="408">
        <v>653.40141221673832</v>
      </c>
      <c r="AE243" s="408">
        <v>3394.2645818134774</v>
      </c>
      <c r="AF243" s="408">
        <v>1819.9731181815573</v>
      </c>
      <c r="AG243" s="408">
        <v>24.245362439603191</v>
      </c>
      <c r="AH243" s="408">
        <v>0</v>
      </c>
      <c r="AI243" s="408">
        <v>0</v>
      </c>
      <c r="AJ243" s="408">
        <v>0</v>
      </c>
      <c r="AK243" s="408">
        <v>0</v>
      </c>
      <c r="AL243" s="408">
        <v>83.751061688612538</v>
      </c>
      <c r="AM243" s="408"/>
      <c r="AN243" s="408">
        <v>16.05484672950486</v>
      </c>
      <c r="AO243" s="408">
        <v>50.195327185955186</v>
      </c>
      <c r="AP243" s="408">
        <v>75.609768070154388</v>
      </c>
      <c r="AQ243" s="408">
        <v>0</v>
      </c>
      <c r="AR243" s="408">
        <v>0</v>
      </c>
      <c r="AS243" s="408">
        <v>0</v>
      </c>
      <c r="AT243" s="408">
        <v>0</v>
      </c>
      <c r="AU243" s="408">
        <v>0</v>
      </c>
      <c r="AV243" s="408">
        <v>0</v>
      </c>
      <c r="AW243" s="408">
        <v>0</v>
      </c>
      <c r="AX243" s="408">
        <v>0</v>
      </c>
      <c r="AY243" s="408">
        <v>0</v>
      </c>
      <c r="AZ243" s="408">
        <v>0</v>
      </c>
      <c r="BA243" s="408"/>
      <c r="BB243" s="408">
        <v>0</v>
      </c>
      <c r="BC243" s="408">
        <v>0</v>
      </c>
      <c r="BD243" s="408">
        <v>0</v>
      </c>
      <c r="BE243" s="408">
        <v>0</v>
      </c>
      <c r="BF243" s="408">
        <v>0</v>
      </c>
      <c r="BG243" s="408">
        <v>304.47810040966442</v>
      </c>
      <c r="BH243" s="408">
        <v>0</v>
      </c>
      <c r="BI243" s="408">
        <v>18.670000000000002</v>
      </c>
      <c r="BJ243" s="408">
        <v>87.44</v>
      </c>
      <c r="BK243" s="408">
        <v>1416.2</v>
      </c>
      <c r="BL243" s="408">
        <v>7</v>
      </c>
      <c r="BM243" s="408"/>
      <c r="BN243" s="408"/>
      <c r="BO243" s="408"/>
      <c r="BP243" s="408"/>
      <c r="BQ243" s="408"/>
      <c r="BR243" s="408"/>
      <c r="BS243" s="408"/>
      <c r="BT243" s="408"/>
      <c r="BU243" s="408"/>
      <c r="BV243" s="408">
        <v>2124.4512185912217</v>
      </c>
      <c r="BW243" s="408"/>
      <c r="BX243" s="408"/>
      <c r="BY243" s="408"/>
      <c r="BZ243" s="408"/>
      <c r="CA243" s="408"/>
      <c r="CB243" s="408"/>
      <c r="CC243" s="408"/>
      <c r="CD243" s="408"/>
      <c r="CE243" s="408"/>
      <c r="CF243" s="408"/>
      <c r="CG243" s="408"/>
      <c r="CH243" s="408"/>
      <c r="CI243" s="408">
        <v>5321.8567000000003</v>
      </c>
      <c r="CJ243" s="408">
        <v>-1642.0443400000013</v>
      </c>
      <c r="CK243" s="408"/>
      <c r="CL243" s="408"/>
      <c r="CM243" s="408"/>
      <c r="CN243" s="408"/>
      <c r="CO243" s="408">
        <v>-1844.8903600000008</v>
      </c>
      <c r="CP243" s="408">
        <v>201.06380999999988</v>
      </c>
      <c r="CQ243" s="408">
        <v>30</v>
      </c>
      <c r="CR243" s="408">
        <v>260.19286933503827</v>
      </c>
      <c r="CS243" s="408">
        <v>6.0601837728188812</v>
      </c>
      <c r="CT243" s="408">
        <v>9.1285208248139753</v>
      </c>
      <c r="CU243" s="408">
        <v>0</v>
      </c>
      <c r="CV243" s="408">
        <v>0</v>
      </c>
      <c r="CW243" s="408">
        <v>0</v>
      </c>
      <c r="CX243" s="408">
        <v>0</v>
      </c>
      <c r="CY243" s="408">
        <v>0</v>
      </c>
      <c r="CZ243" s="408">
        <v>21.420091095663679</v>
      </c>
      <c r="DA243" s="408">
        <v>0</v>
      </c>
      <c r="DB243" s="408">
        <v>0</v>
      </c>
      <c r="DC243" s="408">
        <v>201.00290190085229</v>
      </c>
      <c r="DD243" s="408">
        <v>0</v>
      </c>
      <c r="DE243" s="408">
        <v>0</v>
      </c>
      <c r="DF243" s="408">
        <v>0</v>
      </c>
      <c r="DG243" s="408">
        <v>33.627409732704621</v>
      </c>
      <c r="DH243" s="408">
        <v>0</v>
      </c>
      <c r="DI243" s="408">
        <v>-9.4475891413625277</v>
      </c>
      <c r="DJ243" s="408"/>
      <c r="DK243" s="408">
        <v>0</v>
      </c>
      <c r="DL243" s="408">
        <v>0</v>
      </c>
      <c r="DM243" s="408">
        <v>0</v>
      </c>
      <c r="DN243" s="408">
        <v>0</v>
      </c>
      <c r="DO243" s="408">
        <v>-1.2274532202288242</v>
      </c>
      <c r="DP243" s="408">
        <v>-0.37119563022372937</v>
      </c>
      <c r="DQ243" s="408">
        <v>0</v>
      </c>
      <c r="DR243" s="408">
        <v>0</v>
      </c>
      <c r="DS243" s="408"/>
      <c r="DT243" s="408"/>
      <c r="DU243" s="408"/>
      <c r="DV243" s="408">
        <v>3394.2645818134774</v>
      </c>
      <c r="DW243" s="408">
        <v>0</v>
      </c>
      <c r="DX243" s="408">
        <v>0</v>
      </c>
      <c r="DY243" s="408">
        <v>-1844.8903600000008</v>
      </c>
      <c r="DZ243" s="408">
        <v>201.06380999999988</v>
      </c>
      <c r="EA243" s="408">
        <v>0</v>
      </c>
      <c r="EB243" s="408">
        <v>0</v>
      </c>
      <c r="EC243" s="408">
        <v>-1904.1474667408363</v>
      </c>
      <c r="ED243" s="408">
        <v>0</v>
      </c>
      <c r="EE243" s="408">
        <v>0</v>
      </c>
      <c r="EF243" s="408">
        <v>0</v>
      </c>
      <c r="EG243" s="408">
        <v>0</v>
      </c>
      <c r="EH243" s="408">
        <v>0</v>
      </c>
      <c r="EI243" s="408">
        <v>0</v>
      </c>
      <c r="EJ243" s="408">
        <v>0</v>
      </c>
      <c r="EK243" s="408">
        <v>0</v>
      </c>
      <c r="EL243" s="408">
        <v>0</v>
      </c>
      <c r="EM243" s="408">
        <v>0</v>
      </c>
      <c r="EN243" s="408">
        <v>0</v>
      </c>
      <c r="EO243" s="408">
        <v>0</v>
      </c>
      <c r="EP243" s="408">
        <v>0</v>
      </c>
      <c r="EQ243" s="408">
        <v>0</v>
      </c>
      <c r="ER243" s="408">
        <v>0</v>
      </c>
      <c r="ES243" s="408">
        <v>0</v>
      </c>
      <c r="ET243" s="408">
        <v>0</v>
      </c>
      <c r="EU243" s="408">
        <v>0</v>
      </c>
      <c r="EV243" s="408">
        <v>238</v>
      </c>
      <c r="EW243" s="408">
        <v>0</v>
      </c>
      <c r="EX243" s="408">
        <v>0</v>
      </c>
      <c r="EY243" s="408">
        <v>0</v>
      </c>
      <c r="EZ243" s="408"/>
      <c r="FA243" s="408">
        <v>0</v>
      </c>
      <c r="FB243" s="408"/>
      <c r="FC243" s="408"/>
      <c r="FD243" s="408"/>
      <c r="FE243" s="408"/>
      <c r="FF243" s="408">
        <v>0</v>
      </c>
      <c r="FG243" s="408">
        <v>0</v>
      </c>
      <c r="FH243" s="408">
        <v>0</v>
      </c>
      <c r="FI243" s="408">
        <v>0</v>
      </c>
    </row>
    <row r="244" spans="1:165">
      <c r="A244" s="408">
        <v>248</v>
      </c>
      <c r="B244" s="408" t="s">
        <v>2238</v>
      </c>
      <c r="C244" s="408" t="s">
        <v>2235</v>
      </c>
      <c r="D244" s="408" t="s">
        <v>1958</v>
      </c>
      <c r="E244" s="408" t="s">
        <v>970</v>
      </c>
      <c r="F244" s="408" t="s">
        <v>1322</v>
      </c>
      <c r="G244" s="408" t="s">
        <v>1322</v>
      </c>
      <c r="H244" s="408" t="s">
        <v>1322</v>
      </c>
      <c r="I244" s="408" t="s">
        <v>1322</v>
      </c>
      <c r="J244" s="408" t="s">
        <v>2236</v>
      </c>
      <c r="K244" s="824">
        <v>44501</v>
      </c>
      <c r="L244" s="408">
        <v>0</v>
      </c>
      <c r="M244" s="408">
        <v>0</v>
      </c>
      <c r="N244" s="408">
        <v>1.994</v>
      </c>
      <c r="O244" s="408">
        <v>1.994</v>
      </c>
      <c r="P244" s="408">
        <v>1.994</v>
      </c>
      <c r="Q244" s="408">
        <v>1.994</v>
      </c>
      <c r="R244" s="408"/>
      <c r="S244" s="408">
        <v>581.32000000000005</v>
      </c>
      <c r="T244" s="408">
        <v>209.4</v>
      </c>
      <c r="U244" s="408"/>
      <c r="V244" s="408">
        <v>1576.69568</v>
      </c>
      <c r="W244" s="408">
        <v>1576.69568</v>
      </c>
      <c r="X244" s="408">
        <v>1204.51558</v>
      </c>
      <c r="Y244" s="408">
        <v>0</v>
      </c>
      <c r="Z244" s="408">
        <v>122.70658750849434</v>
      </c>
      <c r="AA244" s="408">
        <v>0</v>
      </c>
      <c r="AB244" s="408">
        <v>0</v>
      </c>
      <c r="AC244" s="408">
        <v>0</v>
      </c>
      <c r="AD244" s="408">
        <v>147.93714272285411</v>
      </c>
      <c r="AE244" s="408">
        <v>768.49819190826315</v>
      </c>
      <c r="AF244" s="408">
        <v>412.06158710730386</v>
      </c>
      <c r="AG244" s="408">
        <v>5.4894121385907528</v>
      </c>
      <c r="AH244" s="408">
        <v>0</v>
      </c>
      <c r="AI244" s="408">
        <v>0</v>
      </c>
      <c r="AJ244" s="408">
        <v>0</v>
      </c>
      <c r="AK244" s="408">
        <v>0</v>
      </c>
      <c r="AL244" s="408">
        <v>18.962145680378494</v>
      </c>
      <c r="AM244" s="408"/>
      <c r="AN244" s="408">
        <v>3.6349908457627667</v>
      </c>
      <c r="AO244" s="408">
        <v>11.364764665470039</v>
      </c>
      <c r="AP244" s="408">
        <v>17.118868801168144</v>
      </c>
      <c r="AQ244" s="408">
        <v>0</v>
      </c>
      <c r="AR244" s="408">
        <v>0</v>
      </c>
      <c r="AS244" s="408">
        <v>0</v>
      </c>
      <c r="AT244" s="408">
        <v>0</v>
      </c>
      <c r="AU244" s="408">
        <v>0</v>
      </c>
      <c r="AV244" s="408">
        <v>0</v>
      </c>
      <c r="AW244" s="408">
        <v>0</v>
      </c>
      <c r="AX244" s="408">
        <v>0</v>
      </c>
      <c r="AY244" s="408">
        <v>0</v>
      </c>
      <c r="AZ244" s="408">
        <v>0</v>
      </c>
      <c r="BA244" s="408"/>
      <c r="BB244" s="408">
        <v>0</v>
      </c>
      <c r="BC244" s="408">
        <v>0</v>
      </c>
      <c r="BD244" s="408">
        <v>0</v>
      </c>
      <c r="BE244" s="408">
        <v>0</v>
      </c>
      <c r="BF244" s="408">
        <v>0</v>
      </c>
      <c r="BG244" s="408">
        <v>68.937133214133169</v>
      </c>
      <c r="BH244" s="408">
        <v>0</v>
      </c>
      <c r="BI244" s="408">
        <v>4.22</v>
      </c>
      <c r="BJ244" s="408">
        <v>19.8</v>
      </c>
      <c r="BK244" s="408">
        <v>435.23</v>
      </c>
      <c r="BL244" s="408">
        <v>3</v>
      </c>
      <c r="BM244" s="408"/>
      <c r="BN244" s="408"/>
      <c r="BO244" s="408"/>
      <c r="BP244" s="408"/>
      <c r="BQ244" s="408"/>
      <c r="BR244" s="408"/>
      <c r="BS244" s="408"/>
      <c r="BT244" s="408"/>
      <c r="BU244" s="408"/>
      <c r="BV244" s="408">
        <v>480.99872032143702</v>
      </c>
      <c r="BW244" s="408"/>
      <c r="BX244" s="408"/>
      <c r="BY244" s="408"/>
      <c r="BZ244" s="408"/>
      <c r="CA244" s="408"/>
      <c r="CB244" s="408"/>
      <c r="CC244" s="408"/>
      <c r="CD244" s="408"/>
      <c r="CE244" s="408"/>
      <c r="CF244" s="408"/>
      <c r="CG244" s="408"/>
      <c r="CH244" s="408"/>
      <c r="CI244" s="408">
        <v>1202.0992999999999</v>
      </c>
      <c r="CJ244" s="408">
        <v>-374.62638000000015</v>
      </c>
      <c r="CK244" s="408"/>
      <c r="CL244" s="408"/>
      <c r="CM244" s="408"/>
      <c r="CN244" s="408"/>
      <c r="CO244" s="408">
        <v>-417.70312000000013</v>
      </c>
      <c r="CP244" s="408">
        <v>45.523019999999967</v>
      </c>
      <c r="CQ244" s="408">
        <v>30</v>
      </c>
      <c r="CR244" s="408">
        <v>58.910478193944073</v>
      </c>
      <c r="CS244" s="408">
        <v>1.3720911142274161</v>
      </c>
      <c r="CT244" s="408">
        <v>2.0667957902440151</v>
      </c>
      <c r="CU244" s="408">
        <v>0</v>
      </c>
      <c r="CV244" s="408">
        <v>0</v>
      </c>
      <c r="CW244" s="408">
        <v>0</v>
      </c>
      <c r="CX244" s="408">
        <v>0</v>
      </c>
      <c r="CY244" s="408">
        <v>0</v>
      </c>
      <c r="CZ244" s="408">
        <v>4.8497401663169626</v>
      </c>
      <c r="DA244" s="408">
        <v>0</v>
      </c>
      <c r="DB244" s="408">
        <v>0</v>
      </c>
      <c r="DC244" s="408">
        <v>45.509229747961797</v>
      </c>
      <c r="DD244" s="408">
        <v>0</v>
      </c>
      <c r="DE244" s="408">
        <v>0</v>
      </c>
      <c r="DF244" s="408">
        <v>0</v>
      </c>
      <c r="DG244" s="408">
        <v>7.6136090617705179</v>
      </c>
      <c r="DH244" s="408">
        <v>0</v>
      </c>
      <c r="DI244" s="408">
        <v>-2.1390363061061635</v>
      </c>
      <c r="DJ244" s="408"/>
      <c r="DK244" s="408">
        <v>0</v>
      </c>
      <c r="DL244" s="408">
        <v>0</v>
      </c>
      <c r="DM244" s="408">
        <v>0</v>
      </c>
      <c r="DN244" s="408">
        <v>0</v>
      </c>
      <c r="DO244" s="408">
        <v>-0.27790867731762248</v>
      </c>
      <c r="DP244" s="408">
        <v>-8.4042703152732212E-2</v>
      </c>
      <c r="DQ244" s="408">
        <v>0</v>
      </c>
      <c r="DR244" s="408">
        <v>0</v>
      </c>
      <c r="DS244" s="408"/>
      <c r="DT244" s="408"/>
      <c r="DU244" s="408"/>
      <c r="DV244" s="408">
        <v>768.49819190826315</v>
      </c>
      <c r="DW244" s="408">
        <v>0</v>
      </c>
      <c r="DX244" s="408">
        <v>0</v>
      </c>
      <c r="DY244" s="408">
        <v>-417.70312000000013</v>
      </c>
      <c r="DZ244" s="408">
        <v>45.523019999999974</v>
      </c>
      <c r="EA244" s="408">
        <v>0</v>
      </c>
      <c r="EB244" s="408">
        <v>0</v>
      </c>
      <c r="EC244" s="408">
        <v>-431.11956951075592</v>
      </c>
      <c r="ED244" s="408">
        <v>0</v>
      </c>
      <c r="EE244" s="408">
        <v>0</v>
      </c>
      <c r="EF244" s="408">
        <v>0</v>
      </c>
      <c r="EG244" s="408">
        <v>0</v>
      </c>
      <c r="EH244" s="408">
        <v>0</v>
      </c>
      <c r="EI244" s="408">
        <v>0</v>
      </c>
      <c r="EJ244" s="408">
        <v>0</v>
      </c>
      <c r="EK244" s="408">
        <v>0</v>
      </c>
      <c r="EL244" s="408">
        <v>0</v>
      </c>
      <c r="EM244" s="408">
        <v>0</v>
      </c>
      <c r="EN244" s="408">
        <v>0</v>
      </c>
      <c r="EO244" s="408">
        <v>0</v>
      </c>
      <c r="EP244" s="408">
        <v>0</v>
      </c>
      <c r="EQ244" s="408">
        <v>0</v>
      </c>
      <c r="ER244" s="408">
        <v>0</v>
      </c>
      <c r="ES244" s="408">
        <v>0</v>
      </c>
      <c r="ET244" s="408">
        <v>0</v>
      </c>
      <c r="EU244" s="408">
        <v>0</v>
      </c>
      <c r="EV244" s="408">
        <v>238</v>
      </c>
      <c r="EW244" s="408">
        <v>0</v>
      </c>
      <c r="EX244" s="408">
        <v>0</v>
      </c>
      <c r="EY244" s="408">
        <v>0</v>
      </c>
      <c r="EZ244" s="408"/>
      <c r="FA244" s="408">
        <v>0</v>
      </c>
      <c r="FB244" s="408"/>
      <c r="FC244" s="408"/>
      <c r="FD244" s="408"/>
      <c r="FE244" s="408"/>
      <c r="FF244" s="408">
        <v>0</v>
      </c>
      <c r="FG244" s="408">
        <v>0</v>
      </c>
      <c r="FH244" s="408">
        <v>0</v>
      </c>
      <c r="FI244" s="408">
        <v>0</v>
      </c>
    </row>
    <row r="245" spans="1:165">
      <c r="A245" s="408">
        <v>249</v>
      </c>
      <c r="B245" s="408" t="s">
        <v>1036</v>
      </c>
      <c r="C245" s="408" t="s">
        <v>2243</v>
      </c>
      <c r="D245" s="408" t="s">
        <v>597</v>
      </c>
      <c r="E245" s="408" t="s">
        <v>970</v>
      </c>
      <c r="F245" s="408" t="s">
        <v>1322</v>
      </c>
      <c r="G245" s="408" t="s">
        <v>1322</v>
      </c>
      <c r="H245" s="408" t="s">
        <v>1322</v>
      </c>
      <c r="I245" s="408" t="s">
        <v>973</v>
      </c>
      <c r="J245" s="408" t="s">
        <v>2236</v>
      </c>
      <c r="K245" s="824">
        <v>44501</v>
      </c>
      <c r="L245" s="408">
        <v>0</v>
      </c>
      <c r="M245" s="408">
        <v>0</v>
      </c>
      <c r="N245" s="408">
        <v>7.8650000000000002</v>
      </c>
      <c r="O245" s="408">
        <v>7.8650000000000002</v>
      </c>
      <c r="P245" s="408">
        <v>7.8650000000000002</v>
      </c>
      <c r="Q245" s="408">
        <v>7.8650000000000002</v>
      </c>
      <c r="R245" s="408"/>
      <c r="S245" s="408">
        <v>1614.19</v>
      </c>
      <c r="T245" s="408">
        <v>209.4</v>
      </c>
      <c r="U245" s="408"/>
      <c r="V245" s="408">
        <v>14342.535350000002</v>
      </c>
      <c r="W245" s="408">
        <v>14342.535350000002</v>
      </c>
      <c r="X245" s="408">
        <v>9533.5597500000003</v>
      </c>
      <c r="Y245" s="408">
        <v>0</v>
      </c>
      <c r="Z245" s="408">
        <v>421.07620880453788</v>
      </c>
      <c r="AA245" s="408">
        <v>0</v>
      </c>
      <c r="AB245" s="408">
        <v>0</v>
      </c>
      <c r="AC245" s="408">
        <v>0</v>
      </c>
      <c r="AD245" s="408">
        <v>2449.3024940555365</v>
      </c>
      <c r="AE245" s="408">
        <v>9145.7099859596619</v>
      </c>
      <c r="AF245" s="408">
        <v>1625.3081156464116</v>
      </c>
      <c r="AG245" s="408">
        <v>21.652069443338149</v>
      </c>
      <c r="AH245" s="408">
        <v>0</v>
      </c>
      <c r="AI245" s="408">
        <v>0</v>
      </c>
      <c r="AJ245" s="408">
        <v>0</v>
      </c>
      <c r="AK245" s="408">
        <v>0</v>
      </c>
      <c r="AL245" s="408">
        <v>74.79301693890514</v>
      </c>
      <c r="AM245" s="408"/>
      <c r="AN245" s="408">
        <v>10.443495486416364</v>
      </c>
      <c r="AO245" s="408">
        <v>190.29308805678338</v>
      </c>
      <c r="AP245" s="408">
        <v>283.44440565705105</v>
      </c>
      <c r="AQ245" s="408">
        <v>0</v>
      </c>
      <c r="AR245" s="408">
        <v>0</v>
      </c>
      <c r="AS245" s="408">
        <v>0</v>
      </c>
      <c r="AT245" s="408">
        <v>0</v>
      </c>
      <c r="AU245" s="408">
        <v>0</v>
      </c>
      <c r="AV245" s="408">
        <v>0</v>
      </c>
      <c r="AW245" s="408">
        <v>0</v>
      </c>
      <c r="AX245" s="408">
        <v>0</v>
      </c>
      <c r="AY245" s="408">
        <v>0</v>
      </c>
      <c r="AZ245" s="408">
        <v>0</v>
      </c>
      <c r="BA245" s="408"/>
      <c r="BB245" s="408">
        <v>0</v>
      </c>
      <c r="BC245" s="408">
        <v>0</v>
      </c>
      <c r="BD245" s="408">
        <v>0</v>
      </c>
      <c r="BE245" s="408">
        <v>0</v>
      </c>
      <c r="BF245" s="408">
        <v>0</v>
      </c>
      <c r="BG245" s="408">
        <v>120.52669198100003</v>
      </c>
      <c r="BH245" s="408">
        <v>0</v>
      </c>
      <c r="BI245" s="408">
        <v>0</v>
      </c>
      <c r="BJ245" s="408">
        <v>0</v>
      </c>
      <c r="BK245" s="408">
        <v>0</v>
      </c>
      <c r="BL245" s="408">
        <v>0</v>
      </c>
      <c r="BM245" s="408"/>
      <c r="BN245" s="408"/>
      <c r="BO245" s="408"/>
      <c r="BP245" s="408"/>
      <c r="BQ245" s="408"/>
      <c r="BR245" s="408"/>
      <c r="BS245" s="408"/>
      <c r="BT245" s="408"/>
      <c r="BU245" s="408"/>
      <c r="BV245" s="408">
        <v>1745.8348076274117</v>
      </c>
      <c r="BW245" s="408"/>
      <c r="BX245" s="408"/>
      <c r="BY245" s="408"/>
      <c r="BZ245" s="408"/>
      <c r="CA245" s="408"/>
      <c r="CB245" s="408"/>
      <c r="CC245" s="408"/>
      <c r="CD245" s="408"/>
      <c r="CE245" s="408"/>
      <c r="CF245" s="408"/>
      <c r="CG245" s="408"/>
      <c r="CH245" s="408"/>
      <c r="CI245" s="408">
        <v>9539.6205000000009</v>
      </c>
      <c r="CJ245" s="408">
        <v>-4802.9448500000017</v>
      </c>
      <c r="CK245" s="408"/>
      <c r="CL245" s="408"/>
      <c r="CM245" s="408"/>
      <c r="CN245" s="408"/>
      <c r="CO245" s="408">
        <v>-4988.533550000001</v>
      </c>
      <c r="CP245" s="408">
        <v>179.55794999999989</v>
      </c>
      <c r="CQ245" s="408">
        <v>30</v>
      </c>
      <c r="CR245" s="408">
        <v>321.62638120358588</v>
      </c>
      <c r="CS245" s="408">
        <v>22.974470911387044</v>
      </c>
      <c r="CT245" s="408">
        <v>34.220818629104997</v>
      </c>
      <c r="CU245" s="408">
        <v>0</v>
      </c>
      <c r="CV245" s="408">
        <v>0</v>
      </c>
      <c r="CW245" s="408">
        <v>0</v>
      </c>
      <c r="CX245" s="408">
        <v>0</v>
      </c>
      <c r="CY245" s="408">
        <v>0</v>
      </c>
      <c r="CZ245" s="408">
        <v>80.294106444484896</v>
      </c>
      <c r="DA245" s="408">
        <v>0</v>
      </c>
      <c r="DB245" s="408">
        <v>0</v>
      </c>
      <c r="DC245" s="408">
        <v>179.50355665382131</v>
      </c>
      <c r="DD245" s="408">
        <v>0</v>
      </c>
      <c r="DE245" s="408">
        <v>0</v>
      </c>
      <c r="DF245" s="408">
        <v>0</v>
      </c>
      <c r="DG245" s="408">
        <v>13.311303668538073</v>
      </c>
      <c r="DH245" s="408">
        <v>0</v>
      </c>
      <c r="DI245" s="408">
        <v>-7.3402521947579658</v>
      </c>
      <c r="DJ245" s="408"/>
      <c r="DK245" s="408">
        <v>0</v>
      </c>
      <c r="DL245" s="408">
        <v>0</v>
      </c>
      <c r="DM245" s="408">
        <v>0</v>
      </c>
      <c r="DN245" s="408">
        <v>0</v>
      </c>
      <c r="DO245" s="408">
        <v>-1.0961643666514931</v>
      </c>
      <c r="DP245" s="408">
        <v>-0.2414585423413449</v>
      </c>
      <c r="DQ245" s="408">
        <v>0</v>
      </c>
      <c r="DR245" s="408">
        <v>0</v>
      </c>
      <c r="DS245" s="408"/>
      <c r="DT245" s="408"/>
      <c r="DU245" s="408"/>
      <c r="DV245" s="408">
        <v>9145.7099859596619</v>
      </c>
      <c r="DW245" s="408">
        <v>0</v>
      </c>
      <c r="DX245" s="408">
        <v>0</v>
      </c>
      <c r="DY245" s="408">
        <v>-4988.5335500000019</v>
      </c>
      <c r="DZ245" s="408">
        <v>179.55794999999989</v>
      </c>
      <c r="EA245" s="408">
        <v>0</v>
      </c>
      <c r="EB245" s="408">
        <v>0</v>
      </c>
      <c r="EC245" s="408">
        <v>-5130.6490939510713</v>
      </c>
      <c r="ED245" s="408">
        <v>0</v>
      </c>
      <c r="EE245" s="408">
        <v>0</v>
      </c>
      <c r="EF245" s="408">
        <v>0</v>
      </c>
      <c r="EG245" s="408">
        <v>0</v>
      </c>
      <c r="EH245" s="408">
        <v>0</v>
      </c>
      <c r="EI245" s="408">
        <v>0</v>
      </c>
      <c r="EJ245" s="408">
        <v>0</v>
      </c>
      <c r="EK245" s="408">
        <v>0</v>
      </c>
      <c r="EL245" s="408">
        <v>0</v>
      </c>
      <c r="EM245" s="408">
        <v>0</v>
      </c>
      <c r="EN245" s="408">
        <v>0</v>
      </c>
      <c r="EO245" s="408">
        <v>0</v>
      </c>
      <c r="EP245" s="408">
        <v>0</v>
      </c>
      <c r="EQ245" s="408">
        <v>0</v>
      </c>
      <c r="ER245" s="408">
        <v>0</v>
      </c>
      <c r="ES245" s="408">
        <v>0</v>
      </c>
      <c r="ET245" s="408">
        <v>0</v>
      </c>
      <c r="EU245" s="408">
        <v>0</v>
      </c>
      <c r="EV245" s="408">
        <v>238</v>
      </c>
      <c r="EW245" s="408">
        <v>0</v>
      </c>
      <c r="EX245" s="408">
        <v>0</v>
      </c>
      <c r="EY245" s="408">
        <v>0</v>
      </c>
      <c r="EZ245" s="408"/>
      <c r="FA245" s="408">
        <v>0</v>
      </c>
      <c r="FB245" s="408"/>
      <c r="FC245" s="408"/>
      <c r="FD245" s="408"/>
      <c r="FE245" s="408"/>
      <c r="FF245" s="408">
        <v>0</v>
      </c>
      <c r="FG245" s="408">
        <v>0</v>
      </c>
      <c r="FH245" s="408">
        <v>0</v>
      </c>
      <c r="FI245" s="408">
        <v>0</v>
      </c>
    </row>
    <row r="246" spans="1:165">
      <c r="A246" s="408">
        <v>250</v>
      </c>
      <c r="B246" s="408" t="s">
        <v>1036</v>
      </c>
      <c r="C246" s="408" t="s">
        <v>2243</v>
      </c>
      <c r="D246" s="408" t="s">
        <v>597</v>
      </c>
      <c r="E246" s="408" t="s">
        <v>970</v>
      </c>
      <c r="F246" s="408" t="s">
        <v>1322</v>
      </c>
      <c r="G246" s="408" t="s">
        <v>1322</v>
      </c>
      <c r="H246" s="408" t="s">
        <v>1322</v>
      </c>
      <c r="I246" s="408" t="s">
        <v>2244</v>
      </c>
      <c r="J246" s="408" t="s">
        <v>2236</v>
      </c>
      <c r="K246" s="824">
        <v>44501</v>
      </c>
      <c r="L246" s="408">
        <v>0</v>
      </c>
      <c r="M246" s="408">
        <v>0</v>
      </c>
      <c r="N246" s="408">
        <v>303.41800000000001</v>
      </c>
      <c r="O246" s="408">
        <v>303.41800000000001</v>
      </c>
      <c r="P246" s="408">
        <v>303.41800000000001</v>
      </c>
      <c r="Q246" s="408">
        <v>303.41800000000001</v>
      </c>
      <c r="R246" s="408"/>
      <c r="S246" s="408">
        <v>79.7</v>
      </c>
      <c r="T246" s="408">
        <v>209.4</v>
      </c>
      <c r="U246" s="408"/>
      <c r="V246" s="408">
        <v>87718.143800000005</v>
      </c>
      <c r="W246" s="408">
        <v>87718.143800000005</v>
      </c>
      <c r="X246" s="408">
        <v>94824.19335999999</v>
      </c>
      <c r="Y246" s="408">
        <v>0</v>
      </c>
      <c r="Z246" s="408">
        <v>16244.386665359856</v>
      </c>
      <c r="AA246" s="408">
        <v>0</v>
      </c>
      <c r="AB246" s="408">
        <v>0</v>
      </c>
      <c r="AC246" s="408">
        <v>0</v>
      </c>
      <c r="AD246" s="408">
        <v>0</v>
      </c>
      <c r="AE246" s="408">
        <v>0</v>
      </c>
      <c r="AF246" s="408">
        <v>62701.555986421226</v>
      </c>
      <c r="AG246" s="408">
        <v>835.29912350397649</v>
      </c>
      <c r="AH246" s="408">
        <v>0</v>
      </c>
      <c r="AI246" s="408">
        <v>0</v>
      </c>
      <c r="AJ246" s="408">
        <v>0</v>
      </c>
      <c r="AK246" s="408">
        <v>0</v>
      </c>
      <c r="AL246" s="408">
        <v>2885.3843119604221</v>
      </c>
      <c r="AM246" s="408"/>
      <c r="AN246" s="408">
        <v>402.89186439891677</v>
      </c>
      <c r="AO246" s="408">
        <v>0</v>
      </c>
      <c r="AP246" s="408">
        <v>0</v>
      </c>
      <c r="AQ246" s="408">
        <v>0</v>
      </c>
      <c r="AR246" s="408">
        <v>0</v>
      </c>
      <c r="AS246" s="408">
        <v>0</v>
      </c>
      <c r="AT246" s="408">
        <v>0</v>
      </c>
      <c r="AU246" s="408">
        <v>0</v>
      </c>
      <c r="AV246" s="408">
        <v>0</v>
      </c>
      <c r="AW246" s="408">
        <v>0</v>
      </c>
      <c r="AX246" s="408">
        <v>0</v>
      </c>
      <c r="AY246" s="408">
        <v>0</v>
      </c>
      <c r="AZ246" s="408">
        <v>0</v>
      </c>
      <c r="BA246" s="408"/>
      <c r="BB246" s="408">
        <v>0</v>
      </c>
      <c r="BC246" s="408">
        <v>0</v>
      </c>
      <c r="BD246" s="408">
        <v>0</v>
      </c>
      <c r="BE246" s="408">
        <v>0</v>
      </c>
      <c r="BF246" s="408">
        <v>0</v>
      </c>
      <c r="BG246" s="408">
        <v>4649.7098318488324</v>
      </c>
      <c r="BH246" s="408">
        <v>0</v>
      </c>
      <c r="BI246" s="408">
        <v>0</v>
      </c>
      <c r="BJ246" s="408">
        <v>0</v>
      </c>
      <c r="BK246" s="408">
        <v>0</v>
      </c>
      <c r="BL246" s="408">
        <v>0</v>
      </c>
      <c r="BM246" s="408"/>
      <c r="BN246" s="408"/>
      <c r="BO246" s="408"/>
      <c r="BP246" s="408"/>
      <c r="BQ246" s="408"/>
      <c r="BR246" s="408"/>
      <c r="BS246" s="408"/>
      <c r="BT246" s="408"/>
      <c r="BU246" s="408"/>
      <c r="BV246" s="408">
        <v>67351.265818270054</v>
      </c>
      <c r="BW246" s="408"/>
      <c r="BX246" s="408"/>
      <c r="BY246" s="408"/>
      <c r="BZ246" s="408"/>
      <c r="CA246" s="408"/>
      <c r="CB246" s="408"/>
      <c r="CC246" s="408"/>
      <c r="CD246" s="408"/>
      <c r="CE246" s="408"/>
      <c r="CF246" s="408"/>
      <c r="CG246" s="408"/>
      <c r="CH246" s="408"/>
      <c r="CI246" s="408">
        <v>94824.818399999989</v>
      </c>
      <c r="CJ246" s="408">
        <v>7106.6445999999996</v>
      </c>
      <c r="CK246" s="408"/>
      <c r="CL246" s="408"/>
      <c r="CM246" s="408"/>
      <c r="CN246" s="408"/>
      <c r="CO246" s="408">
        <v>179.01662000000104</v>
      </c>
      <c r="CP246" s="408">
        <v>6927.0329399999955</v>
      </c>
      <c r="CQ246" s="408">
        <v>30</v>
      </c>
      <c r="CR246" s="408">
        <v>7103.6841425377934</v>
      </c>
      <c r="CS246" s="408">
        <v>0</v>
      </c>
      <c r="CT246" s="408">
        <v>0</v>
      </c>
      <c r="CU246" s="408">
        <v>0</v>
      </c>
      <c r="CV246" s="408">
        <v>0</v>
      </c>
      <c r="CW246" s="408">
        <v>0</v>
      </c>
      <c r="CX246" s="408">
        <v>0</v>
      </c>
      <c r="CY246" s="408">
        <v>0</v>
      </c>
      <c r="CZ246" s="408">
        <v>0</v>
      </c>
      <c r="DA246" s="408">
        <v>0</v>
      </c>
      <c r="DB246" s="408">
        <v>0</v>
      </c>
      <c r="DC246" s="408">
        <v>6924.9345394518896</v>
      </c>
      <c r="DD246" s="408">
        <v>0</v>
      </c>
      <c r="DE246" s="408">
        <v>0</v>
      </c>
      <c r="DF246" s="408">
        <v>0</v>
      </c>
      <c r="DG246" s="408">
        <v>513.52690864596116</v>
      </c>
      <c r="DH246" s="408">
        <v>0</v>
      </c>
      <c r="DI246" s="408">
        <v>-283.17414372906023</v>
      </c>
      <c r="DJ246" s="408"/>
      <c r="DK246" s="408">
        <v>0</v>
      </c>
      <c r="DL246" s="408">
        <v>0</v>
      </c>
      <c r="DM246" s="408">
        <v>0</v>
      </c>
      <c r="DN246" s="408">
        <v>0</v>
      </c>
      <c r="DO246" s="408">
        <v>-42.288111862766982</v>
      </c>
      <c r="DP246" s="408">
        <v>-9.3150499682296868</v>
      </c>
      <c r="DQ246" s="408">
        <v>0</v>
      </c>
      <c r="DR246" s="408">
        <v>0</v>
      </c>
      <c r="DS246" s="408"/>
      <c r="DT246" s="408"/>
      <c r="DU246" s="408"/>
      <c r="DV246" s="408">
        <v>0</v>
      </c>
      <c r="DW246" s="408">
        <v>0</v>
      </c>
      <c r="DX246" s="408">
        <v>0</v>
      </c>
      <c r="DY246" s="408">
        <v>179.01662000000215</v>
      </c>
      <c r="DZ246" s="408">
        <v>6927.03293999999</v>
      </c>
      <c r="EA246" s="408">
        <v>0</v>
      </c>
      <c r="EB246" s="408">
        <v>0</v>
      </c>
      <c r="EC246" s="408">
        <v>0</v>
      </c>
      <c r="ED246" s="408">
        <v>0</v>
      </c>
      <c r="EE246" s="408">
        <v>0</v>
      </c>
      <c r="EF246" s="408">
        <v>0</v>
      </c>
      <c r="EG246" s="408">
        <v>0</v>
      </c>
      <c r="EH246" s="408">
        <v>0</v>
      </c>
      <c r="EI246" s="408">
        <v>0</v>
      </c>
      <c r="EJ246" s="408">
        <v>0</v>
      </c>
      <c r="EK246" s="408">
        <v>0</v>
      </c>
      <c r="EL246" s="408">
        <v>0</v>
      </c>
      <c r="EM246" s="408">
        <v>0</v>
      </c>
      <c r="EN246" s="408">
        <v>0</v>
      </c>
      <c r="EO246" s="408">
        <v>0</v>
      </c>
      <c r="EP246" s="408">
        <v>0</v>
      </c>
      <c r="EQ246" s="408">
        <v>0</v>
      </c>
      <c r="ER246" s="408">
        <v>0</v>
      </c>
      <c r="ES246" s="408">
        <v>0</v>
      </c>
      <c r="ET246" s="408">
        <v>0</v>
      </c>
      <c r="EU246" s="408">
        <v>0</v>
      </c>
      <c r="EV246" s="408">
        <v>238</v>
      </c>
      <c r="EW246" s="408">
        <v>0</v>
      </c>
      <c r="EX246" s="408">
        <v>0</v>
      </c>
      <c r="EY246" s="408">
        <v>0</v>
      </c>
      <c r="EZ246" s="408"/>
      <c r="FA246" s="408">
        <v>0</v>
      </c>
      <c r="FB246" s="408"/>
      <c r="FC246" s="408"/>
      <c r="FD246" s="408"/>
      <c r="FE246" s="408"/>
      <c r="FF246" s="408">
        <v>0</v>
      </c>
      <c r="FG246" s="408">
        <v>0</v>
      </c>
      <c r="FH246" s="408">
        <v>0</v>
      </c>
      <c r="FI246" s="408">
        <v>0</v>
      </c>
    </row>
    <row r="247" spans="1:165">
      <c r="A247" s="408">
        <v>251</v>
      </c>
      <c r="B247" s="408" t="s">
        <v>1036</v>
      </c>
      <c r="C247" s="408" t="s">
        <v>2243</v>
      </c>
      <c r="D247" s="408" t="s">
        <v>597</v>
      </c>
      <c r="E247" s="408" t="s">
        <v>970</v>
      </c>
      <c r="F247" s="408" t="s">
        <v>1322</v>
      </c>
      <c r="G247" s="408" t="s">
        <v>1322</v>
      </c>
      <c r="H247" s="408" t="s">
        <v>1322</v>
      </c>
      <c r="I247" s="408" t="s">
        <v>1322</v>
      </c>
      <c r="J247" s="408" t="s">
        <v>2236</v>
      </c>
      <c r="K247" s="824">
        <v>44501</v>
      </c>
      <c r="L247" s="408">
        <v>1622</v>
      </c>
      <c r="M247" s="408">
        <v>1622</v>
      </c>
      <c r="N247" s="408">
        <v>0</v>
      </c>
      <c r="O247" s="408">
        <v>0</v>
      </c>
      <c r="P247" s="408">
        <v>0</v>
      </c>
      <c r="Q247" s="408">
        <v>0</v>
      </c>
      <c r="R247" s="408">
        <v>44.35</v>
      </c>
      <c r="S247" s="408"/>
      <c r="T247" s="408"/>
      <c r="U247" s="408">
        <v>71935.7</v>
      </c>
      <c r="V247" s="408"/>
      <c r="W247" s="408">
        <v>71935.7</v>
      </c>
      <c r="X247" s="408">
        <v>46989.34</v>
      </c>
      <c r="Y247" s="408">
        <v>0</v>
      </c>
      <c r="Z247" s="408">
        <v>0</v>
      </c>
      <c r="AA247" s="408">
        <v>0</v>
      </c>
      <c r="AB247" s="408">
        <v>0</v>
      </c>
      <c r="AC247" s="408">
        <v>0</v>
      </c>
      <c r="AD247" s="408">
        <v>21283.987302074354</v>
      </c>
      <c r="AE247" s="408">
        <v>46580.34667548001</v>
      </c>
      <c r="AF247" s="408"/>
      <c r="AG247" s="408"/>
      <c r="AH247" s="408"/>
      <c r="AI247" s="408">
        <v>0</v>
      </c>
      <c r="AJ247" s="408">
        <v>0</v>
      </c>
      <c r="AK247" s="408">
        <v>0</v>
      </c>
      <c r="AL247" s="408">
        <v>0</v>
      </c>
      <c r="AM247" s="408"/>
      <c r="AN247" s="408">
        <v>0</v>
      </c>
      <c r="AO247" s="408">
        <v>1608.5709618740884</v>
      </c>
      <c r="AP247" s="408">
        <v>2461.0466401080193</v>
      </c>
      <c r="AQ247" s="408">
        <v>0</v>
      </c>
      <c r="AR247" s="408">
        <v>0</v>
      </c>
      <c r="AS247" s="408"/>
      <c r="AT247" s="408"/>
      <c r="AU247" s="408">
        <v>0</v>
      </c>
      <c r="AV247" s="408">
        <v>0</v>
      </c>
      <c r="AW247" s="408">
        <v>0</v>
      </c>
      <c r="AX247" s="408"/>
      <c r="AY247" s="408"/>
      <c r="AZ247" s="408">
        <v>0</v>
      </c>
      <c r="BA247" s="408"/>
      <c r="BB247" s="408">
        <v>0</v>
      </c>
      <c r="BC247" s="408">
        <v>0</v>
      </c>
      <c r="BD247" s="408">
        <v>0</v>
      </c>
      <c r="BE247" s="408">
        <v>0</v>
      </c>
      <c r="BF247" s="408"/>
      <c r="BG247" s="408">
        <v>0</v>
      </c>
      <c r="BH247" s="408">
        <v>0</v>
      </c>
      <c r="BI247" s="408">
        <v>559.33000000000004</v>
      </c>
      <c r="BJ247" s="408">
        <v>2616.96</v>
      </c>
      <c r="BK247" s="408">
        <v>41557.019999999997</v>
      </c>
      <c r="BL247" s="408">
        <v>7</v>
      </c>
      <c r="BM247" s="408"/>
      <c r="BN247" s="408"/>
      <c r="BO247" s="408"/>
      <c r="BP247" s="408"/>
      <c r="BQ247" s="408"/>
      <c r="BR247" s="408"/>
      <c r="BS247" s="408"/>
      <c r="BT247" s="408"/>
      <c r="BU247" s="408"/>
      <c r="BV247" s="408">
        <v>0</v>
      </c>
      <c r="BW247" s="408"/>
      <c r="BX247" s="408"/>
      <c r="BY247" s="408"/>
      <c r="BZ247" s="408"/>
      <c r="CA247" s="408"/>
      <c r="CB247" s="408"/>
      <c r="CC247" s="408"/>
      <c r="CD247" s="408"/>
      <c r="CE247" s="408"/>
      <c r="CF247" s="408"/>
      <c r="CG247" s="408"/>
      <c r="CH247" s="408"/>
      <c r="CI247" s="408">
        <v>46989.34</v>
      </c>
      <c r="CJ247" s="408">
        <v>-24946.389999999985</v>
      </c>
      <c r="CK247" s="408"/>
      <c r="CL247" s="408"/>
      <c r="CM247" s="408"/>
      <c r="CN247" s="408"/>
      <c r="CO247" s="408">
        <v>-24946.360000000004</v>
      </c>
      <c r="CP247" s="408">
        <v>0</v>
      </c>
      <c r="CQ247" s="408">
        <v>30</v>
      </c>
      <c r="CR247" s="408">
        <v>1189.0741844017539</v>
      </c>
      <c r="CS247" s="408">
        <v>194.20603843188906</v>
      </c>
      <c r="CT247" s="408">
        <v>297.12715801773038</v>
      </c>
      <c r="CU247" s="408">
        <v>0</v>
      </c>
      <c r="CV247" s="408">
        <v>0</v>
      </c>
      <c r="CW247" s="408"/>
      <c r="CX247" s="408"/>
      <c r="CY247" s="408"/>
      <c r="CZ247" s="408">
        <v>697.74098795213285</v>
      </c>
      <c r="DA247" s="408">
        <v>0</v>
      </c>
      <c r="DB247" s="408">
        <v>0</v>
      </c>
      <c r="DC247" s="408"/>
      <c r="DD247" s="408"/>
      <c r="DE247" s="408">
        <v>0</v>
      </c>
      <c r="DF247" s="408">
        <v>0</v>
      </c>
      <c r="DG247" s="408">
        <v>0</v>
      </c>
      <c r="DH247" s="408">
        <v>0</v>
      </c>
      <c r="DI247" s="408">
        <v>0</v>
      </c>
      <c r="DJ247" s="408"/>
      <c r="DK247" s="408">
        <v>0</v>
      </c>
      <c r="DL247" s="408">
        <v>0</v>
      </c>
      <c r="DM247" s="408"/>
      <c r="DN247" s="408">
        <v>0</v>
      </c>
      <c r="DO247" s="408">
        <v>0</v>
      </c>
      <c r="DP247" s="408">
        <v>0</v>
      </c>
      <c r="DQ247" s="408">
        <v>0</v>
      </c>
      <c r="DR247" s="408">
        <v>0</v>
      </c>
      <c r="DS247" s="408"/>
      <c r="DT247" s="408"/>
      <c r="DU247" s="408">
        <v>46580.34667548001</v>
      </c>
      <c r="DV247" s="408"/>
      <c r="DW247" s="408">
        <v>0</v>
      </c>
      <c r="DX247" s="408">
        <v>0</v>
      </c>
      <c r="DY247" s="408">
        <v>-24946.36</v>
      </c>
      <c r="DZ247" s="408"/>
      <c r="EA247" s="408">
        <v>0</v>
      </c>
      <c r="EB247" s="408"/>
      <c r="EC247" s="408">
        <v>-26131.09466989079</v>
      </c>
      <c r="ED247" s="408"/>
      <c r="EE247" s="408">
        <v>0</v>
      </c>
      <c r="EF247" s="408">
        <v>0</v>
      </c>
      <c r="EG247" s="408"/>
      <c r="EH247" s="408">
        <v>0</v>
      </c>
      <c r="EI247" s="408">
        <v>0</v>
      </c>
      <c r="EJ247" s="408">
        <v>0</v>
      </c>
      <c r="EK247" s="408">
        <v>0</v>
      </c>
      <c r="EL247" s="408">
        <v>0</v>
      </c>
      <c r="EM247" s="408"/>
      <c r="EN247" s="408"/>
      <c r="EO247" s="408">
        <v>0</v>
      </c>
      <c r="EP247" s="408">
        <v>0</v>
      </c>
      <c r="EQ247" s="408"/>
      <c r="ER247" s="408">
        <v>0</v>
      </c>
      <c r="ES247" s="408"/>
      <c r="ET247" s="408">
        <v>0</v>
      </c>
      <c r="EU247" s="408"/>
      <c r="EV247" s="408">
        <v>238</v>
      </c>
      <c r="EW247" s="408"/>
      <c r="EX247" s="408"/>
      <c r="EY247" s="408"/>
      <c r="EZ247" s="408"/>
      <c r="FA247" s="408">
        <v>0</v>
      </c>
      <c r="FB247" s="408"/>
      <c r="FC247" s="408"/>
      <c r="FD247" s="408"/>
      <c r="FE247" s="408"/>
      <c r="FF247" s="408">
        <v>0</v>
      </c>
      <c r="FG247" s="408">
        <v>0</v>
      </c>
      <c r="FH247" s="408">
        <v>0</v>
      </c>
      <c r="FI247" s="408">
        <v>0</v>
      </c>
    </row>
    <row r="248" spans="1:165">
      <c r="A248" s="408">
        <v>252</v>
      </c>
      <c r="B248" s="408" t="s">
        <v>1036</v>
      </c>
      <c r="C248" s="408" t="s">
        <v>2235</v>
      </c>
      <c r="D248" s="408" t="s">
        <v>1958</v>
      </c>
      <c r="E248" s="408" t="s">
        <v>998</v>
      </c>
      <c r="F248" s="408" t="s">
        <v>1322</v>
      </c>
      <c r="G248" s="408" t="s">
        <v>1322</v>
      </c>
      <c r="H248" s="408" t="s">
        <v>1322</v>
      </c>
      <c r="I248" s="408" t="s">
        <v>1322</v>
      </c>
      <c r="J248" s="408" t="s">
        <v>2236</v>
      </c>
      <c r="K248" s="824">
        <v>44501</v>
      </c>
      <c r="L248" s="408">
        <v>0</v>
      </c>
      <c r="M248" s="408">
        <v>0</v>
      </c>
      <c r="N248" s="408">
        <v>382.16800000000001</v>
      </c>
      <c r="O248" s="408">
        <v>382.16800000000001</v>
      </c>
      <c r="P248" s="408">
        <v>382.16800000000001</v>
      </c>
      <c r="Q248" s="408">
        <v>382.16800000000001</v>
      </c>
      <c r="R248" s="408"/>
      <c r="S248" s="408">
        <v>581.32000000000005</v>
      </c>
      <c r="T248" s="408">
        <v>209.4</v>
      </c>
      <c r="U248" s="408"/>
      <c r="V248" s="408">
        <v>302187.88096000004</v>
      </c>
      <c r="W248" s="408">
        <v>302187.88096000004</v>
      </c>
      <c r="X248" s="408">
        <v>230856.22375999999</v>
      </c>
      <c r="Y248" s="408">
        <v>0</v>
      </c>
      <c r="Z248" s="408">
        <v>23517.81902454677</v>
      </c>
      <c r="AA248" s="408">
        <v>0</v>
      </c>
      <c r="AB248" s="408">
        <v>0</v>
      </c>
      <c r="AC248" s="408">
        <v>0</v>
      </c>
      <c r="AD248" s="408">
        <v>28353.481424326834</v>
      </c>
      <c r="AE248" s="408">
        <v>147289.57723430148</v>
      </c>
      <c r="AF248" s="408">
        <v>78975.302217464443</v>
      </c>
      <c r="AG248" s="408">
        <v>1052.0951144337766</v>
      </c>
      <c r="AH248" s="408">
        <v>0</v>
      </c>
      <c r="AI248" s="408">
        <v>0</v>
      </c>
      <c r="AJ248" s="408">
        <v>0</v>
      </c>
      <c r="AK248" s="408">
        <v>0</v>
      </c>
      <c r="AL248" s="408">
        <v>3634.2654415139859</v>
      </c>
      <c r="AM248" s="408"/>
      <c r="AN248" s="408">
        <v>696.67862665168764</v>
      </c>
      <c r="AO248" s="408">
        <v>2178.1591688432068</v>
      </c>
      <c r="AP248" s="408">
        <v>3280.984880644347</v>
      </c>
      <c r="AQ248" s="408">
        <v>0</v>
      </c>
      <c r="AR248" s="408">
        <v>0</v>
      </c>
      <c r="AS248" s="408">
        <v>0</v>
      </c>
      <c r="AT248" s="408">
        <v>0</v>
      </c>
      <c r="AU248" s="408">
        <v>0</v>
      </c>
      <c r="AV248" s="408">
        <v>0</v>
      </c>
      <c r="AW248" s="408">
        <v>0</v>
      </c>
      <c r="AX248" s="408">
        <v>0</v>
      </c>
      <c r="AY248" s="408">
        <v>0</v>
      </c>
      <c r="AZ248" s="408">
        <v>0</v>
      </c>
      <c r="BA248" s="408"/>
      <c r="BB248" s="408">
        <v>0</v>
      </c>
      <c r="BC248" s="408">
        <v>0</v>
      </c>
      <c r="BD248" s="408">
        <v>0</v>
      </c>
      <c r="BE248" s="408">
        <v>0</v>
      </c>
      <c r="BF248" s="408">
        <v>0</v>
      </c>
      <c r="BG248" s="408">
        <v>13212.42042436251</v>
      </c>
      <c r="BH248" s="408">
        <v>0</v>
      </c>
      <c r="BI248" s="408">
        <v>807.66</v>
      </c>
      <c r="BJ248" s="408">
        <v>3795.54</v>
      </c>
      <c r="BK248" s="408">
        <v>124160.24</v>
      </c>
      <c r="BL248" s="408">
        <v>818</v>
      </c>
      <c r="BM248" s="408"/>
      <c r="BN248" s="408"/>
      <c r="BO248" s="408"/>
      <c r="BP248" s="408"/>
      <c r="BQ248" s="408"/>
      <c r="BR248" s="408"/>
      <c r="BS248" s="408"/>
      <c r="BT248" s="408"/>
      <c r="BU248" s="408"/>
      <c r="BV248" s="408">
        <v>92187.722641826957</v>
      </c>
      <c r="BW248" s="408"/>
      <c r="BX248" s="408"/>
      <c r="BY248" s="408"/>
      <c r="BZ248" s="408"/>
      <c r="CA248" s="408"/>
      <c r="CB248" s="408"/>
      <c r="CC248" s="408"/>
      <c r="CD248" s="408"/>
      <c r="CE248" s="408"/>
      <c r="CF248" s="408"/>
      <c r="CG248" s="408"/>
      <c r="CH248" s="408"/>
      <c r="CI248" s="408">
        <v>230857.43189999997</v>
      </c>
      <c r="CJ248" s="408">
        <v>-71330.4790600001</v>
      </c>
      <c r="CK248" s="408"/>
      <c r="CL248" s="408"/>
      <c r="CM248" s="408"/>
      <c r="CN248" s="408"/>
      <c r="CO248" s="408">
        <v>-80056.552640000024</v>
      </c>
      <c r="CP248" s="408">
        <v>8724.8954399999948</v>
      </c>
      <c r="CQ248" s="408">
        <v>30</v>
      </c>
      <c r="CR248" s="408">
        <v>11290.721981155075</v>
      </c>
      <c r="CS248" s="408">
        <v>262.97357920865761</v>
      </c>
      <c r="CT248" s="408">
        <v>396.11996668303664</v>
      </c>
      <c r="CU248" s="408">
        <v>0</v>
      </c>
      <c r="CV248" s="408">
        <v>0</v>
      </c>
      <c r="CW248" s="408">
        <v>0</v>
      </c>
      <c r="CX248" s="408">
        <v>0</v>
      </c>
      <c r="CY248" s="408">
        <v>0</v>
      </c>
      <c r="CZ248" s="408">
        <v>929.49623865648027</v>
      </c>
      <c r="DA248" s="408">
        <v>0</v>
      </c>
      <c r="DB248" s="408">
        <v>0</v>
      </c>
      <c r="DC248" s="408">
        <v>8722.2524144027411</v>
      </c>
      <c r="DD248" s="408">
        <v>0</v>
      </c>
      <c r="DE248" s="408">
        <v>0</v>
      </c>
      <c r="DF248" s="408">
        <v>0</v>
      </c>
      <c r="DG248" s="408">
        <v>1459.216523529949</v>
      </c>
      <c r="DH248" s="408">
        <v>0</v>
      </c>
      <c r="DI248" s="408">
        <v>-409.96551004612411</v>
      </c>
      <c r="DJ248" s="408"/>
      <c r="DK248" s="408">
        <v>0</v>
      </c>
      <c r="DL248" s="408">
        <v>0</v>
      </c>
      <c r="DM248" s="408">
        <v>0</v>
      </c>
      <c r="DN248" s="408">
        <v>0</v>
      </c>
      <c r="DO248" s="408">
        <v>-53.26369277488493</v>
      </c>
      <c r="DP248" s="408">
        <v>-16.107538504751005</v>
      </c>
      <c r="DQ248" s="408">
        <v>0</v>
      </c>
      <c r="DR248" s="408">
        <v>0</v>
      </c>
      <c r="DS248" s="408"/>
      <c r="DT248" s="408"/>
      <c r="DU248" s="408"/>
      <c r="DV248" s="408">
        <v>147289.57723430148</v>
      </c>
      <c r="DW248" s="408">
        <v>0</v>
      </c>
      <c r="DX248" s="408">
        <v>0</v>
      </c>
      <c r="DY248" s="408">
        <v>-80056.552640000038</v>
      </c>
      <c r="DZ248" s="408">
        <v>8724.895439999993</v>
      </c>
      <c r="EA248" s="408">
        <v>0</v>
      </c>
      <c r="EB248" s="408">
        <v>0</v>
      </c>
      <c r="EC248" s="408">
        <v>-82627.935627275132</v>
      </c>
      <c r="ED248" s="408">
        <v>0</v>
      </c>
      <c r="EE248" s="408">
        <v>0</v>
      </c>
      <c r="EF248" s="408">
        <v>0</v>
      </c>
      <c r="EG248" s="408">
        <v>0</v>
      </c>
      <c r="EH248" s="408">
        <v>0</v>
      </c>
      <c r="EI248" s="408">
        <v>0</v>
      </c>
      <c r="EJ248" s="408">
        <v>0</v>
      </c>
      <c r="EK248" s="408">
        <v>0</v>
      </c>
      <c r="EL248" s="408">
        <v>0</v>
      </c>
      <c r="EM248" s="408">
        <v>0</v>
      </c>
      <c r="EN248" s="408">
        <v>0</v>
      </c>
      <c r="EO248" s="408">
        <v>0</v>
      </c>
      <c r="EP248" s="408">
        <v>0</v>
      </c>
      <c r="EQ248" s="408">
        <v>0</v>
      </c>
      <c r="ER248" s="408">
        <v>0</v>
      </c>
      <c r="ES248" s="408">
        <v>0</v>
      </c>
      <c r="ET248" s="408">
        <v>0</v>
      </c>
      <c r="EU248" s="408">
        <v>0</v>
      </c>
      <c r="EV248" s="408">
        <v>238</v>
      </c>
      <c r="EW248" s="408">
        <v>0</v>
      </c>
      <c r="EX248" s="408">
        <v>0</v>
      </c>
      <c r="EY248" s="408">
        <v>0</v>
      </c>
      <c r="EZ248" s="408"/>
      <c r="FA248" s="408">
        <v>0</v>
      </c>
      <c r="FB248" s="408"/>
      <c r="FC248" s="408"/>
      <c r="FD248" s="408"/>
      <c r="FE248" s="408"/>
      <c r="FF248" s="408">
        <v>0</v>
      </c>
      <c r="FG248" s="408">
        <v>0</v>
      </c>
      <c r="FH248" s="408">
        <v>0</v>
      </c>
      <c r="FI248" s="408">
        <v>0</v>
      </c>
    </row>
    <row r="249" spans="1:165">
      <c r="A249" s="408">
        <v>253</v>
      </c>
      <c r="B249" s="408" t="s">
        <v>2238</v>
      </c>
      <c r="C249" s="408" t="s">
        <v>2235</v>
      </c>
      <c r="D249" s="408" t="s">
        <v>1958</v>
      </c>
      <c r="E249" s="408" t="s">
        <v>998</v>
      </c>
      <c r="F249" s="408" t="s">
        <v>1322</v>
      </c>
      <c r="G249" s="408" t="s">
        <v>1322</v>
      </c>
      <c r="H249" s="408" t="s">
        <v>1322</v>
      </c>
      <c r="I249" s="408" t="s">
        <v>1322</v>
      </c>
      <c r="J249" s="408" t="s">
        <v>2236</v>
      </c>
      <c r="K249" s="824">
        <v>44501</v>
      </c>
      <c r="L249" s="408">
        <v>0</v>
      </c>
      <c r="M249" s="408">
        <v>0</v>
      </c>
      <c r="N249" s="408">
        <v>17.754000000000001</v>
      </c>
      <c r="O249" s="408">
        <v>17.754000000000001</v>
      </c>
      <c r="P249" s="408">
        <v>17.754000000000001</v>
      </c>
      <c r="Q249" s="408">
        <v>17.754000000000001</v>
      </c>
      <c r="R249" s="408"/>
      <c r="S249" s="408">
        <v>581.32000000000005</v>
      </c>
      <c r="T249" s="408">
        <v>209.4</v>
      </c>
      <c r="U249" s="408"/>
      <c r="V249" s="408">
        <v>14038.442880000002</v>
      </c>
      <c r="W249" s="408">
        <v>14038.442880000002</v>
      </c>
      <c r="X249" s="408">
        <v>10724.65878</v>
      </c>
      <c r="Y249" s="408">
        <v>0</v>
      </c>
      <c r="Z249" s="408">
        <v>1092.544009340927</v>
      </c>
      <c r="AA249" s="408">
        <v>0</v>
      </c>
      <c r="AB249" s="408">
        <v>0</v>
      </c>
      <c r="AC249" s="408">
        <v>0</v>
      </c>
      <c r="AD249" s="408">
        <v>1317.1895847048906</v>
      </c>
      <c r="AE249" s="408">
        <v>6842.4859072915278</v>
      </c>
      <c r="AF249" s="408">
        <v>3668.8773407738581</v>
      </c>
      <c r="AG249" s="408">
        <v>48.876139974192689</v>
      </c>
      <c r="AH249" s="408">
        <v>0</v>
      </c>
      <c r="AI249" s="408">
        <v>0</v>
      </c>
      <c r="AJ249" s="408">
        <v>0</v>
      </c>
      <c r="AK249" s="408">
        <v>0</v>
      </c>
      <c r="AL249" s="408">
        <v>168.83346760754253</v>
      </c>
      <c r="AM249" s="408"/>
      <c r="AN249" s="408">
        <v>32.36490846322576</v>
      </c>
      <c r="AO249" s="408">
        <v>101.18858168041881</v>
      </c>
      <c r="AP249" s="408">
        <v>152.42146273617817</v>
      </c>
      <c r="AQ249" s="408">
        <v>0</v>
      </c>
      <c r="AR249" s="408">
        <v>0</v>
      </c>
      <c r="AS249" s="408">
        <v>0</v>
      </c>
      <c r="AT249" s="408">
        <v>0</v>
      </c>
      <c r="AU249" s="408">
        <v>0</v>
      </c>
      <c r="AV249" s="408">
        <v>0</v>
      </c>
      <c r="AW249" s="408">
        <v>0</v>
      </c>
      <c r="AX249" s="408">
        <v>0</v>
      </c>
      <c r="AY249" s="408">
        <v>0</v>
      </c>
      <c r="AZ249" s="408">
        <v>0</v>
      </c>
      <c r="BA249" s="408"/>
      <c r="BB249" s="408">
        <v>0</v>
      </c>
      <c r="BC249" s="408">
        <v>0</v>
      </c>
      <c r="BD249" s="408">
        <v>0</v>
      </c>
      <c r="BE249" s="408">
        <v>0</v>
      </c>
      <c r="BF249" s="408">
        <v>0</v>
      </c>
      <c r="BG249" s="408">
        <v>613.79632050337023</v>
      </c>
      <c r="BH249" s="408">
        <v>0</v>
      </c>
      <c r="BI249" s="408">
        <v>41.82</v>
      </c>
      <c r="BJ249" s="408">
        <v>196.69</v>
      </c>
      <c r="BK249" s="408">
        <v>21350.41</v>
      </c>
      <c r="BL249" s="408">
        <v>75</v>
      </c>
      <c r="BM249" s="408"/>
      <c r="BN249" s="408"/>
      <c r="BO249" s="408"/>
      <c r="BP249" s="408"/>
      <c r="BQ249" s="408"/>
      <c r="BR249" s="408"/>
      <c r="BS249" s="408"/>
      <c r="BT249" s="408"/>
      <c r="BU249" s="408"/>
      <c r="BV249" s="408">
        <v>4282.6736612772283</v>
      </c>
      <c r="BW249" s="408"/>
      <c r="BX249" s="408"/>
      <c r="BY249" s="408"/>
      <c r="BZ249" s="408"/>
      <c r="CA249" s="408"/>
      <c r="CB249" s="408"/>
      <c r="CC249" s="408"/>
      <c r="CD249" s="408"/>
      <c r="CE249" s="408"/>
      <c r="CF249" s="408"/>
      <c r="CG249" s="408"/>
      <c r="CH249" s="408"/>
      <c r="CI249" s="408">
        <v>10722.2425</v>
      </c>
      <c r="CJ249" s="408">
        <v>-3316.2303800000027</v>
      </c>
      <c r="CK249" s="408"/>
      <c r="CL249" s="408"/>
      <c r="CM249" s="408"/>
      <c r="CN249" s="408"/>
      <c r="CO249" s="408">
        <v>-3719.1079200000017</v>
      </c>
      <c r="CP249" s="408">
        <v>405.32381999999973</v>
      </c>
      <c r="CQ249" s="408">
        <v>30</v>
      </c>
      <c r="CR249" s="408">
        <v>524.52188056935029</v>
      </c>
      <c r="CS249" s="408">
        <v>12.216702929786123</v>
      </c>
      <c r="CT249" s="408">
        <v>18.402152688060312</v>
      </c>
      <c r="CU249" s="408">
        <v>0</v>
      </c>
      <c r="CV249" s="408">
        <v>0</v>
      </c>
      <c r="CW249" s="408">
        <v>0</v>
      </c>
      <c r="CX249" s="408">
        <v>0</v>
      </c>
      <c r="CY249" s="408">
        <v>0</v>
      </c>
      <c r="CZ249" s="408">
        <v>43.18068551293436</v>
      </c>
      <c r="DA249" s="408">
        <v>0</v>
      </c>
      <c r="DB249" s="408">
        <v>0</v>
      </c>
      <c r="DC249" s="408">
        <v>405.20103557939547</v>
      </c>
      <c r="DD249" s="408">
        <v>0</v>
      </c>
      <c r="DE249" s="408">
        <v>0</v>
      </c>
      <c r="DF249" s="408">
        <v>0</v>
      </c>
      <c r="DG249" s="408">
        <v>67.789375768642913</v>
      </c>
      <c r="DH249" s="408">
        <v>0</v>
      </c>
      <c r="DI249" s="408">
        <v>-19.045361373424612</v>
      </c>
      <c r="DJ249" s="408"/>
      <c r="DK249" s="408">
        <v>0</v>
      </c>
      <c r="DL249" s="408">
        <v>0</v>
      </c>
      <c r="DM249" s="408">
        <v>0</v>
      </c>
      <c r="DN249" s="408">
        <v>0</v>
      </c>
      <c r="DO249" s="408">
        <v>-2.4744185843014179</v>
      </c>
      <c r="DP249" s="408">
        <v>-0.74829195174202923</v>
      </c>
      <c r="DQ249" s="408">
        <v>0</v>
      </c>
      <c r="DR249" s="408">
        <v>0</v>
      </c>
      <c r="DS249" s="408"/>
      <c r="DT249" s="408"/>
      <c r="DU249" s="408"/>
      <c r="DV249" s="408">
        <v>6842.4859072915278</v>
      </c>
      <c r="DW249" s="408">
        <v>0</v>
      </c>
      <c r="DX249" s="408">
        <v>0</v>
      </c>
      <c r="DY249" s="408">
        <v>-3719.1079200000013</v>
      </c>
      <c r="DZ249" s="408">
        <v>405.32381999999961</v>
      </c>
      <c r="EA249" s="408">
        <v>0</v>
      </c>
      <c r="EB249" s="408">
        <v>0</v>
      </c>
      <c r="EC249" s="408">
        <v>-3838.5641108796203</v>
      </c>
      <c r="ED249" s="408">
        <v>0</v>
      </c>
      <c r="EE249" s="408">
        <v>0</v>
      </c>
      <c r="EF249" s="408">
        <v>0</v>
      </c>
      <c r="EG249" s="408">
        <v>0</v>
      </c>
      <c r="EH249" s="408">
        <v>0</v>
      </c>
      <c r="EI249" s="408">
        <v>0</v>
      </c>
      <c r="EJ249" s="408">
        <v>0</v>
      </c>
      <c r="EK249" s="408">
        <v>0</v>
      </c>
      <c r="EL249" s="408">
        <v>0</v>
      </c>
      <c r="EM249" s="408">
        <v>0</v>
      </c>
      <c r="EN249" s="408">
        <v>0</v>
      </c>
      <c r="EO249" s="408">
        <v>0</v>
      </c>
      <c r="EP249" s="408">
        <v>0</v>
      </c>
      <c r="EQ249" s="408">
        <v>0</v>
      </c>
      <c r="ER249" s="408">
        <v>0</v>
      </c>
      <c r="ES249" s="408">
        <v>0</v>
      </c>
      <c r="ET249" s="408">
        <v>0</v>
      </c>
      <c r="EU249" s="408">
        <v>0</v>
      </c>
      <c r="EV249" s="408">
        <v>238</v>
      </c>
      <c r="EW249" s="408">
        <v>0</v>
      </c>
      <c r="EX249" s="408">
        <v>0</v>
      </c>
      <c r="EY249" s="408">
        <v>0</v>
      </c>
      <c r="EZ249" s="408"/>
      <c r="FA249" s="408">
        <v>0</v>
      </c>
      <c r="FB249" s="408"/>
      <c r="FC249" s="408"/>
      <c r="FD249" s="408"/>
      <c r="FE249" s="408"/>
      <c r="FF249" s="408">
        <v>0</v>
      </c>
      <c r="FG249" s="408">
        <v>0</v>
      </c>
      <c r="FH249" s="408">
        <v>0</v>
      </c>
      <c r="FI249" s="408">
        <v>0</v>
      </c>
    </row>
    <row r="250" spans="1:165">
      <c r="A250" s="408">
        <v>254</v>
      </c>
      <c r="B250" s="408" t="s">
        <v>1036</v>
      </c>
      <c r="C250" s="408" t="s">
        <v>2243</v>
      </c>
      <c r="D250" s="408" t="s">
        <v>597</v>
      </c>
      <c r="E250" s="408" t="s">
        <v>998</v>
      </c>
      <c r="F250" s="408" t="s">
        <v>1322</v>
      </c>
      <c r="G250" s="408" t="s">
        <v>1322</v>
      </c>
      <c r="H250" s="408" t="s">
        <v>1322</v>
      </c>
      <c r="I250" s="408" t="s">
        <v>973</v>
      </c>
      <c r="J250" s="408" t="s">
        <v>2236</v>
      </c>
      <c r="K250" s="824">
        <v>44501</v>
      </c>
      <c r="L250" s="408">
        <v>0</v>
      </c>
      <c r="M250" s="408">
        <v>0</v>
      </c>
      <c r="N250" s="408">
        <v>33.463000000000001</v>
      </c>
      <c r="O250" s="408">
        <v>33.463000000000001</v>
      </c>
      <c r="P250" s="408">
        <v>33.463000000000001</v>
      </c>
      <c r="Q250" s="408">
        <v>33.463000000000001</v>
      </c>
      <c r="R250" s="408"/>
      <c r="S250" s="408">
        <v>1614.19</v>
      </c>
      <c r="T250" s="408">
        <v>209.4</v>
      </c>
      <c r="U250" s="408"/>
      <c r="V250" s="408">
        <v>61022.792170000001</v>
      </c>
      <c r="W250" s="408">
        <v>61022.792170000001</v>
      </c>
      <c r="X250" s="408">
        <v>40562.175450000002</v>
      </c>
      <c r="Y250" s="408">
        <v>0</v>
      </c>
      <c r="Z250" s="408">
        <v>1791.541408166084</v>
      </c>
      <c r="AA250" s="408">
        <v>0</v>
      </c>
      <c r="AB250" s="408">
        <v>0</v>
      </c>
      <c r="AC250" s="408">
        <v>0</v>
      </c>
      <c r="AD250" s="408">
        <v>10420.980210881173</v>
      </c>
      <c r="AE250" s="408">
        <v>38912.001685971794</v>
      </c>
      <c r="AF250" s="408">
        <v>6915.1539064050703</v>
      </c>
      <c r="AG250" s="408">
        <v>92.122466596621038</v>
      </c>
      <c r="AH250" s="408">
        <v>0</v>
      </c>
      <c r="AI250" s="408">
        <v>0</v>
      </c>
      <c r="AJ250" s="408">
        <v>0</v>
      </c>
      <c r="AK250" s="408">
        <v>0</v>
      </c>
      <c r="AL250" s="408">
        <v>318.2197998508052</v>
      </c>
      <c r="AM250" s="408"/>
      <c r="AN250" s="408">
        <v>44.433654095607217</v>
      </c>
      <c r="AO250" s="408">
        <v>809.63478774877831</v>
      </c>
      <c r="AP250" s="408">
        <v>1205.9631464083789</v>
      </c>
      <c r="AQ250" s="408">
        <v>0</v>
      </c>
      <c r="AR250" s="408">
        <v>0</v>
      </c>
      <c r="AS250" s="408">
        <v>0</v>
      </c>
      <c r="AT250" s="408">
        <v>0</v>
      </c>
      <c r="AU250" s="408">
        <v>0</v>
      </c>
      <c r="AV250" s="408">
        <v>0</v>
      </c>
      <c r="AW250" s="408">
        <v>0</v>
      </c>
      <c r="AX250" s="408">
        <v>0</v>
      </c>
      <c r="AY250" s="408">
        <v>0</v>
      </c>
      <c r="AZ250" s="408">
        <v>0</v>
      </c>
      <c r="BA250" s="408"/>
      <c r="BB250" s="408">
        <v>0</v>
      </c>
      <c r="BC250" s="408">
        <v>0</v>
      </c>
      <c r="BD250" s="408">
        <v>0</v>
      </c>
      <c r="BE250" s="408">
        <v>0</v>
      </c>
      <c r="BF250" s="408">
        <v>0</v>
      </c>
      <c r="BG250" s="408">
        <v>512.801613955525</v>
      </c>
      <c r="BH250" s="408">
        <v>0</v>
      </c>
      <c r="BI250" s="408">
        <v>0</v>
      </c>
      <c r="BJ250" s="408">
        <v>0</v>
      </c>
      <c r="BK250" s="408">
        <v>0</v>
      </c>
      <c r="BL250" s="408">
        <v>0</v>
      </c>
      <c r="BM250" s="408"/>
      <c r="BN250" s="408"/>
      <c r="BO250" s="408"/>
      <c r="BP250" s="408"/>
      <c r="BQ250" s="408"/>
      <c r="BR250" s="408"/>
      <c r="BS250" s="408"/>
      <c r="BT250" s="408"/>
      <c r="BU250" s="408"/>
      <c r="BV250" s="408">
        <v>7427.9555203605951</v>
      </c>
      <c r="BW250" s="408"/>
      <c r="BX250" s="408"/>
      <c r="BY250" s="408"/>
      <c r="BZ250" s="408"/>
      <c r="CA250" s="408"/>
      <c r="CB250" s="408"/>
      <c r="CC250" s="408"/>
      <c r="CD250" s="408"/>
      <c r="CE250" s="408"/>
      <c r="CF250" s="408"/>
      <c r="CG250" s="408"/>
      <c r="CH250" s="408"/>
      <c r="CI250" s="408">
        <v>40558.539000000004</v>
      </c>
      <c r="CJ250" s="408">
        <v>-20464.283170000002</v>
      </c>
      <c r="CK250" s="408"/>
      <c r="CL250" s="408"/>
      <c r="CM250" s="408"/>
      <c r="CN250" s="408"/>
      <c r="CO250" s="408">
        <v>-21224.577010000005</v>
      </c>
      <c r="CP250" s="408">
        <v>763.96028999999953</v>
      </c>
      <c r="CQ250" s="408">
        <v>30</v>
      </c>
      <c r="CR250" s="408">
        <v>1368.4149515849422</v>
      </c>
      <c r="CS250" s="408">
        <v>97.748851889096727</v>
      </c>
      <c r="CT250" s="408">
        <v>145.59837937517364</v>
      </c>
      <c r="CU250" s="408">
        <v>0</v>
      </c>
      <c r="CV250" s="408">
        <v>0</v>
      </c>
      <c r="CW250" s="408">
        <v>0</v>
      </c>
      <c r="CX250" s="408">
        <v>0</v>
      </c>
      <c r="CY250" s="408">
        <v>0</v>
      </c>
      <c r="CZ250" s="408">
        <v>341.62513464104086</v>
      </c>
      <c r="DA250" s="408">
        <v>0</v>
      </c>
      <c r="DB250" s="408">
        <v>0</v>
      </c>
      <c r="DC250" s="408">
        <v>763.72886412038406</v>
      </c>
      <c r="DD250" s="408">
        <v>0</v>
      </c>
      <c r="DE250" s="408">
        <v>0</v>
      </c>
      <c r="DF250" s="408">
        <v>0</v>
      </c>
      <c r="DG250" s="408">
        <v>56.635238990500852</v>
      </c>
      <c r="DH250" s="408">
        <v>0</v>
      </c>
      <c r="DI250" s="408">
        <v>-31.230369891059581</v>
      </c>
      <c r="DJ250" s="408"/>
      <c r="DK250" s="408">
        <v>0</v>
      </c>
      <c r="DL250" s="408">
        <v>0</v>
      </c>
      <c r="DM250" s="408">
        <v>0</v>
      </c>
      <c r="DN250" s="408">
        <v>0</v>
      </c>
      <c r="DO250" s="408">
        <v>-4.6638204960278813</v>
      </c>
      <c r="DP250" s="408">
        <v>-1.0273270441663556</v>
      </c>
      <c r="DQ250" s="408">
        <v>0</v>
      </c>
      <c r="DR250" s="408">
        <v>0</v>
      </c>
      <c r="DS250" s="408"/>
      <c r="DT250" s="408"/>
      <c r="DU250" s="408"/>
      <c r="DV250" s="408">
        <v>38912.001685971794</v>
      </c>
      <c r="DW250" s="408">
        <v>0</v>
      </c>
      <c r="DX250" s="408">
        <v>0</v>
      </c>
      <c r="DY250" s="408">
        <v>-21224.577010000001</v>
      </c>
      <c r="DZ250" s="408">
        <v>763.96028999999908</v>
      </c>
      <c r="EA250" s="408">
        <v>0</v>
      </c>
      <c r="EB250" s="408">
        <v>0</v>
      </c>
      <c r="EC250" s="408">
        <v>-21829.23212090079</v>
      </c>
      <c r="ED250" s="408">
        <v>0</v>
      </c>
      <c r="EE250" s="408">
        <v>0</v>
      </c>
      <c r="EF250" s="408">
        <v>0</v>
      </c>
      <c r="EG250" s="408">
        <v>0</v>
      </c>
      <c r="EH250" s="408">
        <v>0</v>
      </c>
      <c r="EI250" s="408">
        <v>0</v>
      </c>
      <c r="EJ250" s="408">
        <v>0</v>
      </c>
      <c r="EK250" s="408">
        <v>0</v>
      </c>
      <c r="EL250" s="408">
        <v>0</v>
      </c>
      <c r="EM250" s="408">
        <v>0</v>
      </c>
      <c r="EN250" s="408">
        <v>0</v>
      </c>
      <c r="EO250" s="408">
        <v>0</v>
      </c>
      <c r="EP250" s="408">
        <v>0</v>
      </c>
      <c r="EQ250" s="408">
        <v>0</v>
      </c>
      <c r="ER250" s="408">
        <v>0</v>
      </c>
      <c r="ES250" s="408">
        <v>0</v>
      </c>
      <c r="ET250" s="408">
        <v>0</v>
      </c>
      <c r="EU250" s="408">
        <v>0</v>
      </c>
      <c r="EV250" s="408">
        <v>238</v>
      </c>
      <c r="EW250" s="408">
        <v>0</v>
      </c>
      <c r="EX250" s="408">
        <v>0</v>
      </c>
      <c r="EY250" s="408">
        <v>0</v>
      </c>
      <c r="EZ250" s="408"/>
      <c r="FA250" s="408">
        <v>0</v>
      </c>
      <c r="FB250" s="408"/>
      <c r="FC250" s="408"/>
      <c r="FD250" s="408"/>
      <c r="FE250" s="408"/>
      <c r="FF250" s="408">
        <v>0</v>
      </c>
      <c r="FG250" s="408">
        <v>0</v>
      </c>
      <c r="FH250" s="408">
        <v>0</v>
      </c>
      <c r="FI250" s="408">
        <v>0</v>
      </c>
    </row>
    <row r="251" spans="1:165">
      <c r="A251" s="408">
        <v>255</v>
      </c>
      <c r="B251" s="408" t="s">
        <v>2238</v>
      </c>
      <c r="C251" s="408" t="s">
        <v>2243</v>
      </c>
      <c r="D251" s="408" t="s">
        <v>597</v>
      </c>
      <c r="E251" s="408" t="s">
        <v>998</v>
      </c>
      <c r="F251" s="408" t="s">
        <v>1322</v>
      </c>
      <c r="G251" s="408" t="s">
        <v>1322</v>
      </c>
      <c r="H251" s="408" t="s">
        <v>1322</v>
      </c>
      <c r="I251" s="408" t="s">
        <v>973</v>
      </c>
      <c r="J251" s="408" t="s">
        <v>2236</v>
      </c>
      <c r="K251" s="824">
        <v>44501</v>
      </c>
      <c r="L251" s="408">
        <v>0</v>
      </c>
      <c r="M251" s="408">
        <v>0</v>
      </c>
      <c r="N251" s="408">
        <v>0.35399999999999998</v>
      </c>
      <c r="O251" s="408">
        <v>0.35399999999999998</v>
      </c>
      <c r="P251" s="408">
        <v>0.35399999999999998</v>
      </c>
      <c r="Q251" s="408">
        <v>0.35399999999999998</v>
      </c>
      <c r="R251" s="408"/>
      <c r="S251" s="408">
        <v>1614.19</v>
      </c>
      <c r="T251" s="408">
        <v>209.4</v>
      </c>
      <c r="U251" s="408"/>
      <c r="V251" s="408">
        <v>645.55086000000006</v>
      </c>
      <c r="W251" s="408">
        <v>645.55086000000006</v>
      </c>
      <c r="X251" s="408">
        <v>429.10109999999997</v>
      </c>
      <c r="Y251" s="408">
        <v>0</v>
      </c>
      <c r="Z251" s="408">
        <v>18.952444744667055</v>
      </c>
      <c r="AA251" s="408">
        <v>0</v>
      </c>
      <c r="AB251" s="408">
        <v>0</v>
      </c>
      <c r="AC251" s="408">
        <v>0</v>
      </c>
      <c r="AD251" s="408">
        <v>110.24196858177494</v>
      </c>
      <c r="AE251" s="408">
        <v>411.64416211439544</v>
      </c>
      <c r="AF251" s="408">
        <v>73.154364010022846</v>
      </c>
      <c r="AG251" s="408">
        <v>0.97454959732253077</v>
      </c>
      <c r="AH251" s="408">
        <v>0</v>
      </c>
      <c r="AI251" s="408">
        <v>0</v>
      </c>
      <c r="AJ251" s="408">
        <v>0</v>
      </c>
      <c r="AK251" s="408">
        <v>0</v>
      </c>
      <c r="AL251" s="408">
        <v>3.3663989823741156</v>
      </c>
      <c r="AM251" s="408"/>
      <c r="AN251" s="408">
        <v>0.47005688521187444</v>
      </c>
      <c r="AO251" s="408">
        <v>8.5650035819582087</v>
      </c>
      <c r="AP251" s="408">
        <v>12.757701157354871</v>
      </c>
      <c r="AQ251" s="408">
        <v>0</v>
      </c>
      <c r="AR251" s="408">
        <v>0</v>
      </c>
      <c r="AS251" s="408">
        <v>0</v>
      </c>
      <c r="AT251" s="408">
        <v>0</v>
      </c>
      <c r="AU251" s="408">
        <v>0</v>
      </c>
      <c r="AV251" s="408">
        <v>0</v>
      </c>
      <c r="AW251" s="408">
        <v>0</v>
      </c>
      <c r="AX251" s="408">
        <v>0</v>
      </c>
      <c r="AY251" s="408">
        <v>0</v>
      </c>
      <c r="AZ251" s="408">
        <v>0</v>
      </c>
      <c r="BA251" s="408"/>
      <c r="BB251" s="408">
        <v>0</v>
      </c>
      <c r="BC251" s="408">
        <v>0</v>
      </c>
      <c r="BD251" s="408">
        <v>0</v>
      </c>
      <c r="BE251" s="408">
        <v>0</v>
      </c>
      <c r="BF251" s="408">
        <v>0</v>
      </c>
      <c r="BG251" s="408">
        <v>5.4248504718720927</v>
      </c>
      <c r="BH251" s="408">
        <v>0</v>
      </c>
      <c r="BI251" s="408">
        <v>0</v>
      </c>
      <c r="BJ251" s="408">
        <v>0</v>
      </c>
      <c r="BK251" s="408">
        <v>0</v>
      </c>
      <c r="BL251" s="408">
        <v>0</v>
      </c>
      <c r="BM251" s="408"/>
      <c r="BN251" s="408"/>
      <c r="BO251" s="408"/>
      <c r="BP251" s="408"/>
      <c r="BQ251" s="408"/>
      <c r="BR251" s="408"/>
      <c r="BS251" s="408"/>
      <c r="BT251" s="408"/>
      <c r="BU251" s="408"/>
      <c r="BV251" s="408">
        <v>78.579214481894937</v>
      </c>
      <c r="BW251" s="408"/>
      <c r="BX251" s="408"/>
      <c r="BY251" s="408"/>
      <c r="BZ251" s="408"/>
      <c r="CA251" s="408"/>
      <c r="CB251" s="408"/>
      <c r="CC251" s="408"/>
      <c r="CD251" s="408"/>
      <c r="CE251" s="408"/>
      <c r="CF251" s="408"/>
      <c r="CG251" s="408"/>
      <c r="CH251" s="408"/>
      <c r="CI251" s="408">
        <v>424.25249999999994</v>
      </c>
      <c r="CJ251" s="408">
        <v>-221.32836000000009</v>
      </c>
      <c r="CK251" s="408"/>
      <c r="CL251" s="408"/>
      <c r="CM251" s="408"/>
      <c r="CN251" s="408"/>
      <c r="CO251" s="408">
        <v>-224.53158000000002</v>
      </c>
      <c r="CP251" s="408">
        <v>8.0818199999999933</v>
      </c>
      <c r="CQ251" s="408">
        <v>30</v>
      </c>
      <c r="CR251" s="408">
        <v>14.476254157160781</v>
      </c>
      <c r="CS251" s="408">
        <v>1.0340702736975231</v>
      </c>
      <c r="CT251" s="408">
        <v>1.5402631652515151</v>
      </c>
      <c r="CU251" s="408">
        <v>0</v>
      </c>
      <c r="CV251" s="408">
        <v>0</v>
      </c>
      <c r="CW251" s="408">
        <v>0</v>
      </c>
      <c r="CX251" s="408">
        <v>0</v>
      </c>
      <c r="CY251" s="408">
        <v>0</v>
      </c>
      <c r="CZ251" s="408">
        <v>3.6140004680670756</v>
      </c>
      <c r="DA251" s="408">
        <v>0</v>
      </c>
      <c r="DB251" s="408">
        <v>0</v>
      </c>
      <c r="DC251" s="408">
        <v>8.0793717807314351</v>
      </c>
      <c r="DD251" s="408">
        <v>0</v>
      </c>
      <c r="DE251" s="408">
        <v>0</v>
      </c>
      <c r="DF251" s="408">
        <v>0</v>
      </c>
      <c r="DG251" s="408">
        <v>0.59913560059281323</v>
      </c>
      <c r="DH251" s="408">
        <v>0</v>
      </c>
      <c r="DI251" s="408">
        <v>-0.33038134481173387</v>
      </c>
      <c r="DJ251" s="408"/>
      <c r="DK251" s="408">
        <v>0</v>
      </c>
      <c r="DL251" s="408">
        <v>0</v>
      </c>
      <c r="DM251" s="408">
        <v>0</v>
      </c>
      <c r="DN251" s="408">
        <v>0</v>
      </c>
      <c r="DO251" s="408">
        <v>-4.9337849433519487E-2</v>
      </c>
      <c r="DP251" s="408">
        <v>-1.0867936934372047E-2</v>
      </c>
      <c r="DQ251" s="408">
        <v>0</v>
      </c>
      <c r="DR251" s="408">
        <v>0</v>
      </c>
      <c r="DS251" s="408"/>
      <c r="DT251" s="408"/>
      <c r="DU251" s="408"/>
      <c r="DV251" s="408">
        <v>411.64416211439544</v>
      </c>
      <c r="DW251" s="408">
        <v>0</v>
      </c>
      <c r="DX251" s="408">
        <v>0</v>
      </c>
      <c r="DY251" s="408">
        <v>-224.53158000000008</v>
      </c>
      <c r="DZ251" s="408">
        <v>8.0818199999999933</v>
      </c>
      <c r="EA251" s="408">
        <v>0</v>
      </c>
      <c r="EB251" s="408">
        <v>0</v>
      </c>
      <c r="EC251" s="408">
        <v>-230.92813468006094</v>
      </c>
      <c r="ED251" s="408">
        <v>0</v>
      </c>
      <c r="EE251" s="408">
        <v>0</v>
      </c>
      <c r="EF251" s="408">
        <v>0</v>
      </c>
      <c r="EG251" s="408">
        <v>0</v>
      </c>
      <c r="EH251" s="408">
        <v>0</v>
      </c>
      <c r="EI251" s="408">
        <v>0</v>
      </c>
      <c r="EJ251" s="408">
        <v>0</v>
      </c>
      <c r="EK251" s="408">
        <v>0</v>
      </c>
      <c r="EL251" s="408">
        <v>0</v>
      </c>
      <c r="EM251" s="408">
        <v>0</v>
      </c>
      <c r="EN251" s="408">
        <v>0</v>
      </c>
      <c r="EO251" s="408">
        <v>0</v>
      </c>
      <c r="EP251" s="408">
        <v>0</v>
      </c>
      <c r="EQ251" s="408">
        <v>0</v>
      </c>
      <c r="ER251" s="408">
        <v>0</v>
      </c>
      <c r="ES251" s="408">
        <v>0</v>
      </c>
      <c r="ET251" s="408">
        <v>0</v>
      </c>
      <c r="EU251" s="408">
        <v>0</v>
      </c>
      <c r="EV251" s="408">
        <v>238</v>
      </c>
      <c r="EW251" s="408">
        <v>0</v>
      </c>
      <c r="EX251" s="408">
        <v>0</v>
      </c>
      <c r="EY251" s="408">
        <v>0</v>
      </c>
      <c r="EZ251" s="408"/>
      <c r="FA251" s="408">
        <v>0</v>
      </c>
      <c r="FB251" s="408"/>
      <c r="FC251" s="408"/>
      <c r="FD251" s="408"/>
      <c r="FE251" s="408"/>
      <c r="FF251" s="408">
        <v>0</v>
      </c>
      <c r="FG251" s="408">
        <v>0</v>
      </c>
      <c r="FH251" s="408">
        <v>0</v>
      </c>
      <c r="FI251" s="408">
        <v>0</v>
      </c>
    </row>
    <row r="252" spans="1:165">
      <c r="A252" s="408">
        <v>256</v>
      </c>
      <c r="B252" s="408" t="s">
        <v>1036</v>
      </c>
      <c r="C252" s="408" t="s">
        <v>2243</v>
      </c>
      <c r="D252" s="408" t="s">
        <v>597</v>
      </c>
      <c r="E252" s="408" t="s">
        <v>998</v>
      </c>
      <c r="F252" s="408" t="s">
        <v>1322</v>
      </c>
      <c r="G252" s="408" t="s">
        <v>1322</v>
      </c>
      <c r="H252" s="408" t="s">
        <v>1322</v>
      </c>
      <c r="I252" s="408" t="s">
        <v>2244</v>
      </c>
      <c r="J252" s="408" t="s">
        <v>2236</v>
      </c>
      <c r="K252" s="824">
        <v>44501</v>
      </c>
      <c r="L252" s="408">
        <v>0</v>
      </c>
      <c r="M252" s="408">
        <v>0</v>
      </c>
      <c r="N252" s="408">
        <v>576.38800000000003</v>
      </c>
      <c r="O252" s="408">
        <v>576.38800000000003</v>
      </c>
      <c r="P252" s="408">
        <v>576.38800000000003</v>
      </c>
      <c r="Q252" s="408">
        <v>576.38800000000003</v>
      </c>
      <c r="R252" s="408"/>
      <c r="S252" s="408">
        <v>79.7</v>
      </c>
      <c r="T252" s="408">
        <v>209.4</v>
      </c>
      <c r="U252" s="408"/>
      <c r="V252" s="408">
        <v>166633.7708</v>
      </c>
      <c r="W252" s="408">
        <v>166633.7708</v>
      </c>
      <c r="X252" s="408">
        <v>180132.77776000003</v>
      </c>
      <c r="Y252" s="408">
        <v>0</v>
      </c>
      <c r="Z252" s="408">
        <v>30858.648930760326</v>
      </c>
      <c r="AA252" s="408">
        <v>0</v>
      </c>
      <c r="AB252" s="408">
        <v>0</v>
      </c>
      <c r="AC252" s="408">
        <v>0</v>
      </c>
      <c r="AD252" s="408">
        <v>0</v>
      </c>
      <c r="AE252" s="408">
        <v>0</v>
      </c>
      <c r="AF252" s="408">
        <v>119111.01006499733</v>
      </c>
      <c r="AG252" s="408">
        <v>1586.7759697783586</v>
      </c>
      <c r="AH252" s="408">
        <v>0</v>
      </c>
      <c r="AI252" s="408">
        <v>0</v>
      </c>
      <c r="AJ252" s="408">
        <v>0</v>
      </c>
      <c r="AK252" s="408">
        <v>0</v>
      </c>
      <c r="AL252" s="408">
        <v>5481.2202730300896</v>
      </c>
      <c r="AM252" s="408"/>
      <c r="AN252" s="408">
        <v>765.35352529237832</v>
      </c>
      <c r="AO252" s="408">
        <v>0</v>
      </c>
      <c r="AP252" s="408">
        <v>0</v>
      </c>
      <c r="AQ252" s="408">
        <v>0</v>
      </c>
      <c r="AR252" s="408">
        <v>0</v>
      </c>
      <c r="AS252" s="408">
        <v>0</v>
      </c>
      <c r="AT252" s="408">
        <v>0</v>
      </c>
      <c r="AU252" s="408">
        <v>0</v>
      </c>
      <c r="AV252" s="408">
        <v>0</v>
      </c>
      <c r="AW252" s="408">
        <v>0</v>
      </c>
      <c r="AX252" s="408">
        <v>0</v>
      </c>
      <c r="AY252" s="408">
        <v>0</v>
      </c>
      <c r="AZ252" s="408">
        <v>0</v>
      </c>
      <c r="BA252" s="408"/>
      <c r="BB252" s="408">
        <v>0</v>
      </c>
      <c r="BC252" s="408">
        <v>0</v>
      </c>
      <c r="BD252" s="408">
        <v>0</v>
      </c>
      <c r="BE252" s="408">
        <v>0</v>
      </c>
      <c r="BF252" s="408">
        <v>0</v>
      </c>
      <c r="BG252" s="408">
        <v>8832.8212253712209</v>
      </c>
      <c r="BH252" s="408">
        <v>0</v>
      </c>
      <c r="BI252" s="408">
        <v>0</v>
      </c>
      <c r="BJ252" s="408">
        <v>0</v>
      </c>
      <c r="BK252" s="408">
        <v>0</v>
      </c>
      <c r="BL252" s="408">
        <v>0</v>
      </c>
      <c r="BM252" s="408"/>
      <c r="BN252" s="408"/>
      <c r="BO252" s="408"/>
      <c r="BP252" s="408"/>
      <c r="BQ252" s="408"/>
      <c r="BR252" s="408"/>
      <c r="BS252" s="408"/>
      <c r="BT252" s="408"/>
      <c r="BU252" s="408"/>
      <c r="BV252" s="408">
        <v>127943.83129036856</v>
      </c>
      <c r="BW252" s="408"/>
      <c r="BX252" s="408"/>
      <c r="BY252" s="408"/>
      <c r="BZ252" s="408"/>
      <c r="CA252" s="408"/>
      <c r="CB252" s="408"/>
      <c r="CC252" s="408"/>
      <c r="CD252" s="408"/>
      <c r="CE252" s="408"/>
      <c r="CF252" s="408"/>
      <c r="CG252" s="408"/>
      <c r="CH252" s="408"/>
      <c r="CI252" s="408">
        <v>180133.40280000001</v>
      </c>
      <c r="CJ252" s="408">
        <v>13499.601999999984</v>
      </c>
      <c r="CK252" s="408"/>
      <c r="CL252" s="408"/>
      <c r="CM252" s="408"/>
      <c r="CN252" s="408"/>
      <c r="CO252" s="408">
        <v>340.06892000000198</v>
      </c>
      <c r="CP252" s="408">
        <v>13158.938039999992</v>
      </c>
      <c r="CQ252" s="408">
        <v>30</v>
      </c>
      <c r="CR252" s="408">
        <v>13494.51349474676</v>
      </c>
      <c r="CS252" s="408">
        <v>0</v>
      </c>
      <c r="CT252" s="408">
        <v>0</v>
      </c>
      <c r="CU252" s="408">
        <v>0</v>
      </c>
      <c r="CV252" s="408">
        <v>0</v>
      </c>
      <c r="CW252" s="408">
        <v>0</v>
      </c>
      <c r="CX252" s="408">
        <v>0</v>
      </c>
      <c r="CY252" s="408">
        <v>0</v>
      </c>
      <c r="CZ252" s="408">
        <v>0</v>
      </c>
      <c r="DA252" s="408">
        <v>0</v>
      </c>
      <c r="DB252" s="408">
        <v>0</v>
      </c>
      <c r="DC252" s="408">
        <v>13154.951813424384</v>
      </c>
      <c r="DD252" s="408">
        <v>0</v>
      </c>
      <c r="DE252" s="408">
        <v>0</v>
      </c>
      <c r="DF252" s="408">
        <v>0</v>
      </c>
      <c r="DG252" s="408">
        <v>975.52138574714809</v>
      </c>
      <c r="DH252" s="408">
        <v>0</v>
      </c>
      <c r="DI252" s="408">
        <v>-537.93175868177059</v>
      </c>
      <c r="DJ252" s="408"/>
      <c r="DK252" s="408">
        <v>0</v>
      </c>
      <c r="DL252" s="408">
        <v>0</v>
      </c>
      <c r="DM252" s="408">
        <v>0</v>
      </c>
      <c r="DN252" s="408">
        <v>0</v>
      </c>
      <c r="DO252" s="408">
        <v>-80.332611184427151</v>
      </c>
      <c r="DP252" s="408">
        <v>-17.695334558556056</v>
      </c>
      <c r="DQ252" s="408">
        <v>0</v>
      </c>
      <c r="DR252" s="408">
        <v>0</v>
      </c>
      <c r="DS252" s="408"/>
      <c r="DT252" s="408"/>
      <c r="DU252" s="408"/>
      <c r="DV252" s="408">
        <v>0</v>
      </c>
      <c r="DW252" s="408">
        <v>0</v>
      </c>
      <c r="DX252" s="408">
        <v>0</v>
      </c>
      <c r="DY252" s="408">
        <v>340.06891999999789</v>
      </c>
      <c r="DZ252" s="408">
        <v>13158.938040000008</v>
      </c>
      <c r="EA252" s="408">
        <v>0</v>
      </c>
      <c r="EB252" s="408">
        <v>0</v>
      </c>
      <c r="EC252" s="408">
        <v>0</v>
      </c>
      <c r="ED252" s="408">
        <v>0</v>
      </c>
      <c r="EE252" s="408">
        <v>0</v>
      </c>
      <c r="EF252" s="408">
        <v>0</v>
      </c>
      <c r="EG252" s="408">
        <v>0</v>
      </c>
      <c r="EH252" s="408">
        <v>0</v>
      </c>
      <c r="EI252" s="408">
        <v>0</v>
      </c>
      <c r="EJ252" s="408">
        <v>0</v>
      </c>
      <c r="EK252" s="408">
        <v>0</v>
      </c>
      <c r="EL252" s="408">
        <v>0</v>
      </c>
      <c r="EM252" s="408">
        <v>0</v>
      </c>
      <c r="EN252" s="408">
        <v>0</v>
      </c>
      <c r="EO252" s="408">
        <v>0</v>
      </c>
      <c r="EP252" s="408">
        <v>0</v>
      </c>
      <c r="EQ252" s="408">
        <v>0</v>
      </c>
      <c r="ER252" s="408">
        <v>0</v>
      </c>
      <c r="ES252" s="408">
        <v>0</v>
      </c>
      <c r="ET252" s="408">
        <v>0</v>
      </c>
      <c r="EU252" s="408">
        <v>0</v>
      </c>
      <c r="EV252" s="408">
        <v>238</v>
      </c>
      <c r="EW252" s="408">
        <v>0</v>
      </c>
      <c r="EX252" s="408">
        <v>0</v>
      </c>
      <c r="EY252" s="408">
        <v>0</v>
      </c>
      <c r="EZ252" s="408"/>
      <c r="FA252" s="408">
        <v>0</v>
      </c>
      <c r="FB252" s="408"/>
      <c r="FC252" s="408"/>
      <c r="FD252" s="408"/>
      <c r="FE252" s="408"/>
      <c r="FF252" s="408">
        <v>0</v>
      </c>
      <c r="FG252" s="408">
        <v>0</v>
      </c>
      <c r="FH252" s="408">
        <v>0</v>
      </c>
      <c r="FI252" s="408">
        <v>0</v>
      </c>
    </row>
    <row r="253" spans="1:165">
      <c r="A253" s="408">
        <v>257</v>
      </c>
      <c r="B253" s="408" t="s">
        <v>2238</v>
      </c>
      <c r="C253" s="408" t="s">
        <v>2243</v>
      </c>
      <c r="D253" s="408" t="s">
        <v>597</v>
      </c>
      <c r="E253" s="408" t="s">
        <v>998</v>
      </c>
      <c r="F253" s="408" t="s">
        <v>1322</v>
      </c>
      <c r="G253" s="408" t="s">
        <v>1322</v>
      </c>
      <c r="H253" s="408" t="s">
        <v>1322</v>
      </c>
      <c r="I253" s="408" t="s">
        <v>2244</v>
      </c>
      <c r="J253" s="408" t="s">
        <v>2236</v>
      </c>
      <c r="K253" s="824">
        <v>44501</v>
      </c>
      <c r="L253" s="408">
        <v>0</v>
      </c>
      <c r="M253" s="408">
        <v>0</v>
      </c>
      <c r="N253" s="408">
        <v>4.4610000000000003</v>
      </c>
      <c r="O253" s="408">
        <v>4.4610000000000003</v>
      </c>
      <c r="P253" s="408">
        <v>4.4610000000000003</v>
      </c>
      <c r="Q253" s="408">
        <v>4.4610000000000003</v>
      </c>
      <c r="R253" s="408"/>
      <c r="S253" s="408">
        <v>79.7</v>
      </c>
      <c r="T253" s="408">
        <v>209.4</v>
      </c>
      <c r="U253" s="408"/>
      <c r="V253" s="408">
        <v>1289.6751000000002</v>
      </c>
      <c r="W253" s="408">
        <v>1289.6751000000002</v>
      </c>
      <c r="X253" s="408">
        <v>1394.1517200000001</v>
      </c>
      <c r="Y253" s="408">
        <v>0</v>
      </c>
      <c r="Z253" s="408">
        <v>238.83292657050777</v>
      </c>
      <c r="AA253" s="408">
        <v>0</v>
      </c>
      <c r="AB253" s="408">
        <v>0</v>
      </c>
      <c r="AC253" s="408">
        <v>0</v>
      </c>
      <c r="AD253" s="408">
        <v>0</v>
      </c>
      <c r="AE253" s="408">
        <v>0</v>
      </c>
      <c r="AF253" s="408">
        <v>921.86897697376264</v>
      </c>
      <c r="AG253" s="408">
        <v>12.280976705242402</v>
      </c>
      <c r="AH253" s="408">
        <v>0</v>
      </c>
      <c r="AI253" s="408">
        <v>0</v>
      </c>
      <c r="AJ253" s="408">
        <v>0</v>
      </c>
      <c r="AK253" s="408">
        <v>0</v>
      </c>
      <c r="AL253" s="408">
        <v>42.422332938900936</v>
      </c>
      <c r="AM253" s="408"/>
      <c r="AN253" s="408">
        <v>5.9235134602547239</v>
      </c>
      <c r="AO253" s="408">
        <v>0</v>
      </c>
      <c r="AP253" s="408">
        <v>0</v>
      </c>
      <c r="AQ253" s="408">
        <v>0</v>
      </c>
      <c r="AR253" s="408">
        <v>0</v>
      </c>
      <c r="AS253" s="408">
        <v>0</v>
      </c>
      <c r="AT253" s="408">
        <v>0</v>
      </c>
      <c r="AU253" s="408">
        <v>0</v>
      </c>
      <c r="AV253" s="408">
        <v>0</v>
      </c>
      <c r="AW253" s="408">
        <v>0</v>
      </c>
      <c r="AX253" s="408">
        <v>0</v>
      </c>
      <c r="AY253" s="408">
        <v>0</v>
      </c>
      <c r="AZ253" s="408">
        <v>0</v>
      </c>
      <c r="BA253" s="408"/>
      <c r="BB253" s="408">
        <v>0</v>
      </c>
      <c r="BC253" s="408">
        <v>0</v>
      </c>
      <c r="BD253" s="408">
        <v>0</v>
      </c>
      <c r="BE253" s="408">
        <v>0</v>
      </c>
      <c r="BF253" s="408">
        <v>0</v>
      </c>
      <c r="BG253" s="408">
        <v>68.362310607405107</v>
      </c>
      <c r="BH253" s="408">
        <v>0</v>
      </c>
      <c r="BI253" s="408">
        <v>0</v>
      </c>
      <c r="BJ253" s="408">
        <v>0</v>
      </c>
      <c r="BK253" s="408">
        <v>0</v>
      </c>
      <c r="BL253" s="408">
        <v>0</v>
      </c>
      <c r="BM253" s="408"/>
      <c r="BN253" s="408"/>
      <c r="BO253" s="408"/>
      <c r="BP253" s="408"/>
      <c r="BQ253" s="408"/>
      <c r="BR253" s="408"/>
      <c r="BS253" s="408"/>
      <c r="BT253" s="408"/>
      <c r="BU253" s="408"/>
      <c r="BV253" s="408">
        <v>990.23128758116775</v>
      </c>
      <c r="BW253" s="408"/>
      <c r="BX253" s="408"/>
      <c r="BY253" s="408"/>
      <c r="BZ253" s="408"/>
      <c r="CA253" s="408"/>
      <c r="CB253" s="408"/>
      <c r="CC253" s="408"/>
      <c r="CD253" s="408"/>
      <c r="CE253" s="408"/>
      <c r="CF253" s="408"/>
      <c r="CG253" s="408"/>
      <c r="CH253" s="408"/>
      <c r="CI253" s="408">
        <v>1393.8391999999999</v>
      </c>
      <c r="CJ253" s="408">
        <v>104.13409999999976</v>
      </c>
      <c r="CK253" s="408"/>
      <c r="CL253" s="408"/>
      <c r="CM253" s="408"/>
      <c r="CN253" s="408"/>
      <c r="CO253" s="408">
        <v>2.6319900000000156</v>
      </c>
      <c r="CP253" s="408">
        <v>101.84462999999994</v>
      </c>
      <c r="CQ253" s="408">
        <v>30</v>
      </c>
      <c r="CR253" s="408">
        <v>104.44184247428007</v>
      </c>
      <c r="CS253" s="408">
        <v>0</v>
      </c>
      <c r="CT253" s="408">
        <v>0</v>
      </c>
      <c r="CU253" s="408">
        <v>0</v>
      </c>
      <c r="CV253" s="408">
        <v>0</v>
      </c>
      <c r="CW253" s="408">
        <v>0</v>
      </c>
      <c r="CX253" s="408">
        <v>0</v>
      </c>
      <c r="CY253" s="408">
        <v>0</v>
      </c>
      <c r="CZ253" s="408">
        <v>0</v>
      </c>
      <c r="DA253" s="408">
        <v>0</v>
      </c>
      <c r="DB253" s="408">
        <v>0</v>
      </c>
      <c r="DC253" s="408">
        <v>101.81377828769189</v>
      </c>
      <c r="DD253" s="408">
        <v>0</v>
      </c>
      <c r="DE253" s="408">
        <v>0</v>
      </c>
      <c r="DF253" s="408">
        <v>0</v>
      </c>
      <c r="DG253" s="408">
        <v>7.5501240515382477</v>
      </c>
      <c r="DH253" s="408">
        <v>0</v>
      </c>
      <c r="DI253" s="408">
        <v>-4.1633649130089339</v>
      </c>
      <c r="DJ253" s="408"/>
      <c r="DK253" s="408">
        <v>0</v>
      </c>
      <c r="DL253" s="408">
        <v>0</v>
      </c>
      <c r="DM253" s="408">
        <v>0</v>
      </c>
      <c r="DN253" s="408">
        <v>0</v>
      </c>
      <c r="DO253" s="408">
        <v>-0.62174052633596233</v>
      </c>
      <c r="DP253" s="408">
        <v>-0.13695442560517979</v>
      </c>
      <c r="DQ253" s="408">
        <v>0</v>
      </c>
      <c r="DR253" s="408">
        <v>0</v>
      </c>
      <c r="DS253" s="408"/>
      <c r="DT253" s="408"/>
      <c r="DU253" s="408"/>
      <c r="DV253" s="408">
        <v>0</v>
      </c>
      <c r="DW253" s="408">
        <v>0</v>
      </c>
      <c r="DX253" s="408">
        <v>0</v>
      </c>
      <c r="DY253" s="408">
        <v>2.6319900000000302</v>
      </c>
      <c r="DZ253" s="408">
        <v>101.84462999999994</v>
      </c>
      <c r="EA253" s="408">
        <v>0</v>
      </c>
      <c r="EB253" s="408">
        <v>0</v>
      </c>
      <c r="EC253" s="408">
        <v>0</v>
      </c>
      <c r="ED253" s="408">
        <v>0</v>
      </c>
      <c r="EE253" s="408">
        <v>0</v>
      </c>
      <c r="EF253" s="408">
        <v>0</v>
      </c>
      <c r="EG253" s="408">
        <v>0</v>
      </c>
      <c r="EH253" s="408">
        <v>0</v>
      </c>
      <c r="EI253" s="408">
        <v>0</v>
      </c>
      <c r="EJ253" s="408">
        <v>0</v>
      </c>
      <c r="EK253" s="408">
        <v>0</v>
      </c>
      <c r="EL253" s="408">
        <v>0</v>
      </c>
      <c r="EM253" s="408">
        <v>0</v>
      </c>
      <c r="EN253" s="408">
        <v>0</v>
      </c>
      <c r="EO253" s="408">
        <v>0</v>
      </c>
      <c r="EP253" s="408">
        <v>0</v>
      </c>
      <c r="EQ253" s="408">
        <v>0</v>
      </c>
      <c r="ER253" s="408">
        <v>0</v>
      </c>
      <c r="ES253" s="408">
        <v>0</v>
      </c>
      <c r="ET253" s="408">
        <v>0</v>
      </c>
      <c r="EU253" s="408">
        <v>0</v>
      </c>
      <c r="EV253" s="408">
        <v>238</v>
      </c>
      <c r="EW253" s="408">
        <v>0</v>
      </c>
      <c r="EX253" s="408">
        <v>0</v>
      </c>
      <c r="EY253" s="408">
        <v>0</v>
      </c>
      <c r="EZ253" s="408"/>
      <c r="FA253" s="408">
        <v>0</v>
      </c>
      <c r="FB253" s="408"/>
      <c r="FC253" s="408"/>
      <c r="FD253" s="408"/>
      <c r="FE253" s="408"/>
      <c r="FF253" s="408">
        <v>0</v>
      </c>
      <c r="FG253" s="408">
        <v>0</v>
      </c>
      <c r="FH253" s="408">
        <v>0</v>
      </c>
      <c r="FI253" s="408">
        <v>0</v>
      </c>
    </row>
    <row r="254" spans="1:165">
      <c r="A254" s="408">
        <v>258</v>
      </c>
      <c r="B254" s="408" t="s">
        <v>1036</v>
      </c>
      <c r="C254" s="408" t="s">
        <v>2243</v>
      </c>
      <c r="D254" s="408" t="s">
        <v>597</v>
      </c>
      <c r="E254" s="408" t="s">
        <v>998</v>
      </c>
      <c r="F254" s="408" t="s">
        <v>1322</v>
      </c>
      <c r="G254" s="408" t="s">
        <v>1322</v>
      </c>
      <c r="H254" s="408" t="s">
        <v>1322</v>
      </c>
      <c r="I254" s="408" t="s">
        <v>1322</v>
      </c>
      <c r="J254" s="408" t="s">
        <v>2236</v>
      </c>
      <c r="K254" s="824">
        <v>44501</v>
      </c>
      <c r="L254" s="408">
        <v>4613</v>
      </c>
      <c r="M254" s="408">
        <v>4613</v>
      </c>
      <c r="N254" s="408">
        <v>0</v>
      </c>
      <c r="O254" s="408">
        <v>0</v>
      </c>
      <c r="P254" s="408">
        <v>0</v>
      </c>
      <c r="Q254" s="408">
        <v>0</v>
      </c>
      <c r="R254" s="408">
        <v>44.35</v>
      </c>
      <c r="S254" s="408"/>
      <c r="T254" s="408"/>
      <c r="U254" s="408">
        <v>204586.55000000002</v>
      </c>
      <c r="V254" s="408"/>
      <c r="W254" s="408">
        <v>204586.55000000002</v>
      </c>
      <c r="X254" s="408">
        <v>133638.60999999999</v>
      </c>
      <c r="Y254" s="408">
        <v>0</v>
      </c>
      <c r="Z254" s="408">
        <v>0</v>
      </c>
      <c r="AA254" s="408">
        <v>0</v>
      </c>
      <c r="AB254" s="408">
        <v>0</v>
      </c>
      <c r="AC254" s="408">
        <v>0</v>
      </c>
      <c r="AD254" s="408">
        <v>60532.079793137491</v>
      </c>
      <c r="AE254" s="408">
        <v>132475.42491614629</v>
      </c>
      <c r="AF254" s="408"/>
      <c r="AG254" s="408"/>
      <c r="AH254" s="408"/>
      <c r="AI254" s="408">
        <v>0</v>
      </c>
      <c r="AJ254" s="408">
        <v>0</v>
      </c>
      <c r="AK254" s="408">
        <v>0</v>
      </c>
      <c r="AL254" s="408">
        <v>0</v>
      </c>
      <c r="AM254" s="408"/>
      <c r="AN254" s="408">
        <v>0</v>
      </c>
      <c r="AO254" s="408">
        <v>4574.8075506320411</v>
      </c>
      <c r="AP254" s="408">
        <v>6999.2651977917958</v>
      </c>
      <c r="AQ254" s="408">
        <v>0</v>
      </c>
      <c r="AR254" s="408">
        <v>0</v>
      </c>
      <c r="AS254" s="408"/>
      <c r="AT254" s="408"/>
      <c r="AU254" s="408">
        <v>0</v>
      </c>
      <c r="AV254" s="408">
        <v>0</v>
      </c>
      <c r="AW254" s="408">
        <v>0</v>
      </c>
      <c r="AX254" s="408"/>
      <c r="AY254" s="408"/>
      <c r="AZ254" s="408">
        <v>0</v>
      </c>
      <c r="BA254" s="408"/>
      <c r="BB254" s="408">
        <v>0</v>
      </c>
      <c r="BC254" s="408">
        <v>0</v>
      </c>
      <c r="BD254" s="408">
        <v>0</v>
      </c>
      <c r="BE254" s="408">
        <v>0</v>
      </c>
      <c r="BF254" s="408"/>
      <c r="BG254" s="408">
        <v>0</v>
      </c>
      <c r="BH254" s="408">
        <v>0</v>
      </c>
      <c r="BI254" s="408">
        <v>1289</v>
      </c>
      <c r="BJ254" s="408">
        <v>6031.41</v>
      </c>
      <c r="BK254" s="408">
        <v>194281.93</v>
      </c>
      <c r="BL254" s="408">
        <v>35</v>
      </c>
      <c r="BM254" s="408"/>
      <c r="BN254" s="408"/>
      <c r="BO254" s="408"/>
      <c r="BP254" s="408"/>
      <c r="BQ254" s="408"/>
      <c r="BR254" s="408"/>
      <c r="BS254" s="408"/>
      <c r="BT254" s="408"/>
      <c r="BU254" s="408"/>
      <c r="BV254" s="408">
        <v>0</v>
      </c>
      <c r="BW254" s="408"/>
      <c r="BX254" s="408"/>
      <c r="BY254" s="408"/>
      <c r="BZ254" s="408"/>
      <c r="CA254" s="408"/>
      <c r="CB254" s="408"/>
      <c r="CC254" s="408"/>
      <c r="CD254" s="408"/>
      <c r="CE254" s="408"/>
      <c r="CF254" s="408"/>
      <c r="CG254" s="408"/>
      <c r="CH254" s="408"/>
      <c r="CI254" s="408">
        <v>133638.60999999999</v>
      </c>
      <c r="CJ254" s="408">
        <v>-70947.970000000059</v>
      </c>
      <c r="CK254" s="408"/>
      <c r="CL254" s="408"/>
      <c r="CM254" s="408"/>
      <c r="CN254" s="408"/>
      <c r="CO254" s="408">
        <v>-70947.940000000017</v>
      </c>
      <c r="CP254" s="408">
        <v>0</v>
      </c>
      <c r="CQ254" s="408">
        <v>30</v>
      </c>
      <c r="CR254" s="408">
        <v>3381.7504393620475</v>
      </c>
      <c r="CS254" s="408">
        <v>552.3258047387817</v>
      </c>
      <c r="CT254" s="408">
        <v>845.03549934389048</v>
      </c>
      <c r="CU254" s="408">
        <v>0</v>
      </c>
      <c r="CV254" s="408">
        <v>0</v>
      </c>
      <c r="CW254" s="408"/>
      <c r="CX254" s="408"/>
      <c r="CY254" s="408"/>
      <c r="CZ254" s="408">
        <v>1984.3891352793871</v>
      </c>
      <c r="DA254" s="408">
        <v>0</v>
      </c>
      <c r="DB254" s="408">
        <v>0</v>
      </c>
      <c r="DC254" s="408"/>
      <c r="DD254" s="408"/>
      <c r="DE254" s="408">
        <v>0</v>
      </c>
      <c r="DF254" s="408">
        <v>0</v>
      </c>
      <c r="DG254" s="408">
        <v>0</v>
      </c>
      <c r="DH254" s="408">
        <v>0</v>
      </c>
      <c r="DI254" s="408">
        <v>0</v>
      </c>
      <c r="DJ254" s="408"/>
      <c r="DK254" s="408">
        <v>0</v>
      </c>
      <c r="DL254" s="408">
        <v>0</v>
      </c>
      <c r="DM254" s="408"/>
      <c r="DN254" s="408">
        <v>0</v>
      </c>
      <c r="DO254" s="408">
        <v>0</v>
      </c>
      <c r="DP254" s="408">
        <v>0</v>
      </c>
      <c r="DQ254" s="408">
        <v>0</v>
      </c>
      <c r="DR254" s="408">
        <v>0</v>
      </c>
      <c r="DS254" s="408"/>
      <c r="DT254" s="408"/>
      <c r="DU254" s="408">
        <v>132475.42491614629</v>
      </c>
      <c r="DV254" s="408"/>
      <c r="DW254" s="408">
        <v>0</v>
      </c>
      <c r="DX254" s="408">
        <v>0</v>
      </c>
      <c r="DY254" s="408">
        <v>-70947.940000000031</v>
      </c>
      <c r="DZ254" s="408"/>
      <c r="EA254" s="408">
        <v>0</v>
      </c>
      <c r="EB254" s="408"/>
      <c r="EC254" s="408">
        <v>-74317.348774479789</v>
      </c>
      <c r="ED254" s="408"/>
      <c r="EE254" s="408">
        <v>0</v>
      </c>
      <c r="EF254" s="408">
        <v>0</v>
      </c>
      <c r="EG254" s="408"/>
      <c r="EH254" s="408">
        <v>0</v>
      </c>
      <c r="EI254" s="408">
        <v>0</v>
      </c>
      <c r="EJ254" s="408">
        <v>0</v>
      </c>
      <c r="EK254" s="408">
        <v>0</v>
      </c>
      <c r="EL254" s="408">
        <v>0</v>
      </c>
      <c r="EM254" s="408"/>
      <c r="EN254" s="408"/>
      <c r="EO254" s="408">
        <v>0</v>
      </c>
      <c r="EP254" s="408">
        <v>0</v>
      </c>
      <c r="EQ254" s="408"/>
      <c r="ER254" s="408">
        <v>0</v>
      </c>
      <c r="ES254" s="408"/>
      <c r="ET254" s="408">
        <v>0</v>
      </c>
      <c r="EU254" s="408"/>
      <c r="EV254" s="408">
        <v>238</v>
      </c>
      <c r="EW254" s="408"/>
      <c r="EX254" s="408"/>
      <c r="EY254" s="408"/>
      <c r="EZ254" s="408"/>
      <c r="FA254" s="408">
        <v>0</v>
      </c>
      <c r="FB254" s="408"/>
      <c r="FC254" s="408"/>
      <c r="FD254" s="408"/>
      <c r="FE254" s="408"/>
      <c r="FF254" s="408">
        <v>0</v>
      </c>
      <c r="FG254" s="408">
        <v>0</v>
      </c>
      <c r="FH254" s="408">
        <v>0</v>
      </c>
      <c r="FI254" s="408">
        <v>0</v>
      </c>
    </row>
    <row r="255" spans="1:165">
      <c r="A255" s="408">
        <v>259</v>
      </c>
      <c r="B255" s="408" t="s">
        <v>2238</v>
      </c>
      <c r="C255" s="408" t="s">
        <v>2243</v>
      </c>
      <c r="D255" s="408" t="s">
        <v>597</v>
      </c>
      <c r="E255" s="408" t="s">
        <v>998</v>
      </c>
      <c r="F255" s="408" t="s">
        <v>1322</v>
      </c>
      <c r="G255" s="408" t="s">
        <v>1322</v>
      </c>
      <c r="H255" s="408" t="s">
        <v>1322</v>
      </c>
      <c r="I255" s="408" t="s">
        <v>1322</v>
      </c>
      <c r="J255" s="408" t="s">
        <v>2236</v>
      </c>
      <c r="K255" s="824">
        <v>44501</v>
      </c>
      <c r="L255" s="408">
        <v>214</v>
      </c>
      <c r="M255" s="408">
        <v>214</v>
      </c>
      <c r="N255" s="408">
        <v>0</v>
      </c>
      <c r="O255" s="408">
        <v>0</v>
      </c>
      <c r="P255" s="408">
        <v>0</v>
      </c>
      <c r="Q255" s="408">
        <v>0</v>
      </c>
      <c r="R255" s="408">
        <v>44.35</v>
      </c>
      <c r="S255" s="408"/>
      <c r="T255" s="408"/>
      <c r="U255" s="408">
        <v>9490.9</v>
      </c>
      <c r="V255" s="408"/>
      <c r="W255" s="408">
        <v>9490.9</v>
      </c>
      <c r="X255" s="408">
        <v>6199.58</v>
      </c>
      <c r="Y255" s="408">
        <v>0</v>
      </c>
      <c r="Z255" s="408">
        <v>0</v>
      </c>
      <c r="AA255" s="408">
        <v>0</v>
      </c>
      <c r="AB255" s="408">
        <v>0</v>
      </c>
      <c r="AC255" s="408">
        <v>0</v>
      </c>
      <c r="AD255" s="408">
        <v>2808.121629250254</v>
      </c>
      <c r="AE255" s="408">
        <v>6145.6191051496435</v>
      </c>
      <c r="AF255" s="408"/>
      <c r="AG255" s="408"/>
      <c r="AH255" s="408"/>
      <c r="AI255" s="408">
        <v>0</v>
      </c>
      <c r="AJ255" s="408">
        <v>0</v>
      </c>
      <c r="AK255" s="408">
        <v>0</v>
      </c>
      <c r="AL255" s="408">
        <v>0</v>
      </c>
      <c r="AM255" s="408"/>
      <c r="AN255" s="408">
        <v>0</v>
      </c>
      <c r="AO255" s="408">
        <v>212.22822801544694</v>
      </c>
      <c r="AP255" s="408">
        <v>324.70035818934412</v>
      </c>
      <c r="AQ255" s="408">
        <v>0</v>
      </c>
      <c r="AR255" s="408">
        <v>0</v>
      </c>
      <c r="AS255" s="408"/>
      <c r="AT255" s="408"/>
      <c r="AU255" s="408">
        <v>0</v>
      </c>
      <c r="AV255" s="408">
        <v>0</v>
      </c>
      <c r="AW255" s="408">
        <v>0</v>
      </c>
      <c r="AX255" s="408"/>
      <c r="AY255" s="408"/>
      <c r="AZ255" s="408">
        <v>0</v>
      </c>
      <c r="BA255" s="408"/>
      <c r="BB255" s="408">
        <v>0</v>
      </c>
      <c r="BC255" s="408">
        <v>0</v>
      </c>
      <c r="BD255" s="408">
        <v>0</v>
      </c>
      <c r="BE255" s="408">
        <v>0</v>
      </c>
      <c r="BF255" s="408"/>
      <c r="BG255" s="408">
        <v>0</v>
      </c>
      <c r="BH255" s="408">
        <v>0</v>
      </c>
      <c r="BI255" s="408">
        <v>32.18</v>
      </c>
      <c r="BJ255" s="408">
        <v>150.61000000000001</v>
      </c>
      <c r="BK255" s="408">
        <v>5654.8</v>
      </c>
      <c r="BL255" s="408">
        <v>2</v>
      </c>
      <c r="BM255" s="408"/>
      <c r="BN255" s="408"/>
      <c r="BO255" s="408"/>
      <c r="BP255" s="408"/>
      <c r="BQ255" s="408"/>
      <c r="BR255" s="408"/>
      <c r="BS255" s="408"/>
      <c r="BT255" s="408"/>
      <c r="BU255" s="408"/>
      <c r="BV255" s="408">
        <v>0</v>
      </c>
      <c r="BW255" s="408"/>
      <c r="BX255" s="408"/>
      <c r="BY255" s="408"/>
      <c r="BZ255" s="408"/>
      <c r="CA255" s="408"/>
      <c r="CB255" s="408"/>
      <c r="CC255" s="408"/>
      <c r="CD255" s="408"/>
      <c r="CE255" s="408"/>
      <c r="CF255" s="408"/>
      <c r="CG255" s="408"/>
      <c r="CH255" s="408"/>
      <c r="CI255" s="408">
        <v>6199.58</v>
      </c>
      <c r="CJ255" s="408">
        <v>-3291.3500000000004</v>
      </c>
      <c r="CK255" s="408"/>
      <c r="CL255" s="408"/>
      <c r="CM255" s="408"/>
      <c r="CN255" s="408"/>
      <c r="CO255" s="408">
        <v>-3291.3200000000006</v>
      </c>
      <c r="CP255" s="408">
        <v>0</v>
      </c>
      <c r="CQ255" s="408">
        <v>30</v>
      </c>
      <c r="CR255" s="408">
        <v>156.88155083968832</v>
      </c>
      <c r="CS255" s="408">
        <v>25.622744897918778</v>
      </c>
      <c r="CT255" s="408">
        <v>39.201733548578488</v>
      </c>
      <c r="CU255" s="408">
        <v>0</v>
      </c>
      <c r="CV255" s="408">
        <v>0</v>
      </c>
      <c r="CW255" s="408"/>
      <c r="CX255" s="408"/>
      <c r="CY255" s="408"/>
      <c r="CZ255" s="408">
        <v>92.057072393190992</v>
      </c>
      <c r="DA255" s="408">
        <v>0</v>
      </c>
      <c r="DB255" s="408">
        <v>0</v>
      </c>
      <c r="DC255" s="408"/>
      <c r="DD255" s="408"/>
      <c r="DE255" s="408">
        <v>0</v>
      </c>
      <c r="DF255" s="408">
        <v>0</v>
      </c>
      <c r="DG255" s="408">
        <v>0</v>
      </c>
      <c r="DH255" s="408">
        <v>0</v>
      </c>
      <c r="DI255" s="408">
        <v>0</v>
      </c>
      <c r="DJ255" s="408"/>
      <c r="DK255" s="408">
        <v>0</v>
      </c>
      <c r="DL255" s="408">
        <v>0</v>
      </c>
      <c r="DM255" s="408"/>
      <c r="DN255" s="408">
        <v>0</v>
      </c>
      <c r="DO255" s="408">
        <v>0</v>
      </c>
      <c r="DP255" s="408">
        <v>0</v>
      </c>
      <c r="DQ255" s="408">
        <v>0</v>
      </c>
      <c r="DR255" s="408">
        <v>0</v>
      </c>
      <c r="DS255" s="408"/>
      <c r="DT255" s="408"/>
      <c r="DU255" s="408">
        <v>6145.6191051496435</v>
      </c>
      <c r="DV255" s="408"/>
      <c r="DW255" s="408">
        <v>0</v>
      </c>
      <c r="DX255" s="408">
        <v>0</v>
      </c>
      <c r="DY255" s="408">
        <v>-3291.3199999999997</v>
      </c>
      <c r="DZ255" s="408"/>
      <c r="EA255" s="408">
        <v>0</v>
      </c>
      <c r="EB255" s="408"/>
      <c r="EC255" s="408">
        <v>-3447.6290131668488</v>
      </c>
      <c r="ED255" s="408"/>
      <c r="EE255" s="408">
        <v>0</v>
      </c>
      <c r="EF255" s="408">
        <v>0</v>
      </c>
      <c r="EG255" s="408"/>
      <c r="EH255" s="408">
        <v>0</v>
      </c>
      <c r="EI255" s="408">
        <v>0</v>
      </c>
      <c r="EJ255" s="408">
        <v>0</v>
      </c>
      <c r="EK255" s="408">
        <v>0</v>
      </c>
      <c r="EL255" s="408">
        <v>0</v>
      </c>
      <c r="EM255" s="408"/>
      <c r="EN255" s="408"/>
      <c r="EO255" s="408">
        <v>0</v>
      </c>
      <c r="EP255" s="408">
        <v>0</v>
      </c>
      <c r="EQ255" s="408"/>
      <c r="ER255" s="408">
        <v>0</v>
      </c>
      <c r="ES255" s="408"/>
      <c r="ET255" s="408">
        <v>0</v>
      </c>
      <c r="EU255" s="408"/>
      <c r="EV255" s="408">
        <v>238</v>
      </c>
      <c r="EW255" s="408"/>
      <c r="EX255" s="408"/>
      <c r="EY255" s="408"/>
      <c r="EZ255" s="408"/>
      <c r="FA255" s="408">
        <v>0</v>
      </c>
      <c r="FB255" s="408"/>
      <c r="FC255" s="408"/>
      <c r="FD255" s="408"/>
      <c r="FE255" s="408"/>
      <c r="FF255" s="408">
        <v>0</v>
      </c>
      <c r="FG255" s="408">
        <v>0</v>
      </c>
      <c r="FH255" s="408">
        <v>0</v>
      </c>
      <c r="FI255" s="408">
        <v>0</v>
      </c>
    </row>
    <row r="256" spans="1:165">
      <c r="A256" s="408">
        <v>260</v>
      </c>
      <c r="B256" s="408" t="s">
        <v>1036</v>
      </c>
      <c r="C256" s="408" t="s">
        <v>2235</v>
      </c>
      <c r="D256" s="408" t="s">
        <v>2245</v>
      </c>
      <c r="E256" s="408" t="s">
        <v>974</v>
      </c>
      <c r="F256" s="408" t="s">
        <v>1322</v>
      </c>
      <c r="G256" s="408" t="s">
        <v>1322</v>
      </c>
      <c r="H256" s="408" t="s">
        <v>1322</v>
      </c>
      <c r="I256" s="408" t="s">
        <v>1322</v>
      </c>
      <c r="J256" s="408" t="s">
        <v>2236</v>
      </c>
      <c r="K256" s="824">
        <v>44501</v>
      </c>
      <c r="L256" s="408">
        <v>0</v>
      </c>
      <c r="M256" s="408">
        <v>0</v>
      </c>
      <c r="N256" s="408">
        <v>4050.2559999999999</v>
      </c>
      <c r="O256" s="408">
        <v>4050.2559999999999</v>
      </c>
      <c r="P256" s="408">
        <v>4050.2559999999999</v>
      </c>
      <c r="Q256" s="408">
        <v>4050.2559999999999</v>
      </c>
      <c r="R256" s="408"/>
      <c r="S256" s="408">
        <v>581.32000000000005</v>
      </c>
      <c r="T256" s="408">
        <v>209.4</v>
      </c>
      <c r="U256" s="408"/>
      <c r="V256" s="408">
        <v>3202618.4243200002</v>
      </c>
      <c r="W256" s="408">
        <v>3202618.4243200002</v>
      </c>
      <c r="X256" s="408">
        <v>2446638.1419199998</v>
      </c>
      <c r="Y256" s="408">
        <v>0</v>
      </c>
      <c r="Z256" s="408">
        <v>249244.27898485668</v>
      </c>
      <c r="AA256" s="408">
        <v>0</v>
      </c>
      <c r="AB256" s="408">
        <v>0</v>
      </c>
      <c r="AC256" s="408">
        <v>0</v>
      </c>
      <c r="AD256" s="408">
        <v>300493.12935611641</v>
      </c>
      <c r="AE256" s="408">
        <v>1560990.1769135378</v>
      </c>
      <c r="AF256" s="408">
        <v>836988.42304457375</v>
      </c>
      <c r="AG256" s="408">
        <v>11150.212863991988</v>
      </c>
      <c r="AH256" s="408">
        <v>0</v>
      </c>
      <c r="AI256" s="408">
        <v>0</v>
      </c>
      <c r="AJ256" s="408">
        <v>0</v>
      </c>
      <c r="AK256" s="408">
        <v>0</v>
      </c>
      <c r="AL256" s="408">
        <v>38516.321120775865</v>
      </c>
      <c r="AM256" s="408"/>
      <c r="AN256" s="408">
        <v>7383.4721579717752</v>
      </c>
      <c r="AO256" s="408">
        <v>23084.356206072225</v>
      </c>
      <c r="AP256" s="408">
        <v>34772.217189139461</v>
      </c>
      <c r="AQ256" s="408">
        <v>0</v>
      </c>
      <c r="AR256" s="408">
        <v>0</v>
      </c>
      <c r="AS256" s="408">
        <v>0</v>
      </c>
      <c r="AT256" s="408">
        <v>0</v>
      </c>
      <c r="AU256" s="408">
        <v>0</v>
      </c>
      <c r="AV256" s="408">
        <v>0</v>
      </c>
      <c r="AW256" s="408">
        <v>0</v>
      </c>
      <c r="AX256" s="408">
        <v>0</v>
      </c>
      <c r="AY256" s="408">
        <v>0</v>
      </c>
      <c r="AZ256" s="408">
        <v>0</v>
      </c>
      <c r="BA256" s="408"/>
      <c r="BB256" s="408">
        <v>0</v>
      </c>
      <c r="BC256" s="408">
        <v>0</v>
      </c>
      <c r="BD256" s="408">
        <v>0</v>
      </c>
      <c r="BE256" s="408">
        <v>0</v>
      </c>
      <c r="BF256" s="408">
        <v>0</v>
      </c>
      <c r="BG256" s="408">
        <v>140026.59850719266</v>
      </c>
      <c r="BH256" s="408">
        <v>0</v>
      </c>
      <c r="BI256" s="408">
        <v>7688.11</v>
      </c>
      <c r="BJ256" s="408">
        <v>36312.910000000003</v>
      </c>
      <c r="BK256" s="408">
        <v>294447.45</v>
      </c>
      <c r="BL256" s="408">
        <v>13943</v>
      </c>
      <c r="BM256" s="408"/>
      <c r="BN256" s="408"/>
      <c r="BO256" s="408"/>
      <c r="BP256" s="408"/>
      <c r="BQ256" s="408"/>
      <c r="BR256" s="408">
        <v>293603.05743999965</v>
      </c>
      <c r="BS256" s="408"/>
      <c r="BT256" s="408"/>
      <c r="BU256" s="408"/>
      <c r="BV256" s="408">
        <v>977015.02155176643</v>
      </c>
      <c r="BW256" s="408"/>
      <c r="BX256" s="408"/>
      <c r="BY256" s="408"/>
      <c r="BZ256" s="408"/>
      <c r="CA256" s="408"/>
      <c r="CB256" s="408"/>
      <c r="CC256" s="408"/>
      <c r="CD256" s="408"/>
      <c r="CE256" s="408"/>
      <c r="CF256" s="408"/>
      <c r="CG256" s="408"/>
      <c r="CH256" s="408"/>
      <c r="CI256" s="408">
        <v>2153037.2108000005</v>
      </c>
      <c r="CJ256" s="408">
        <v>-665333.45679999935</v>
      </c>
      <c r="CK256" s="408"/>
      <c r="CL256" s="408"/>
      <c r="CM256" s="408"/>
      <c r="CN256" s="408"/>
      <c r="CO256" s="408">
        <v>-848447.62688000023</v>
      </c>
      <c r="CP256" s="408">
        <v>92467.344479999927</v>
      </c>
      <c r="CQ256" s="408">
        <v>30</v>
      </c>
      <c r="CR256" s="408">
        <v>119660.23960275459</v>
      </c>
      <c r="CS256" s="408">
        <v>2787.0211975658349</v>
      </c>
      <c r="CT256" s="408">
        <v>4198.1203862640759</v>
      </c>
      <c r="CU256" s="408">
        <v>0</v>
      </c>
      <c r="CV256" s="408">
        <v>0</v>
      </c>
      <c r="CW256" s="408">
        <v>0</v>
      </c>
      <c r="CX256" s="408">
        <v>0</v>
      </c>
      <c r="CY256" s="408">
        <v>0</v>
      </c>
      <c r="CZ256" s="408">
        <v>9850.8972954194178</v>
      </c>
      <c r="DA256" s="408">
        <v>0</v>
      </c>
      <c r="DB256" s="408">
        <v>0</v>
      </c>
      <c r="DC256" s="408">
        <v>92439.333421294228</v>
      </c>
      <c r="DD256" s="408">
        <v>0</v>
      </c>
      <c r="DE256" s="408">
        <v>0</v>
      </c>
      <c r="DF256" s="408">
        <v>0</v>
      </c>
      <c r="DG256" s="408">
        <v>15464.927675070416</v>
      </c>
      <c r="DH256" s="408">
        <v>0</v>
      </c>
      <c r="DI256" s="408">
        <v>-4344.8568871736643</v>
      </c>
      <c r="DJ256" s="408"/>
      <c r="DK256" s="408">
        <v>0</v>
      </c>
      <c r="DL256" s="408">
        <v>0</v>
      </c>
      <c r="DM256" s="408">
        <v>0</v>
      </c>
      <c r="DN256" s="408">
        <v>0</v>
      </c>
      <c r="DO256" s="408">
        <v>-564.49412625765399</v>
      </c>
      <c r="DP256" s="408">
        <v>-170.70935942857159</v>
      </c>
      <c r="DQ256" s="408">
        <v>0</v>
      </c>
      <c r="DR256" s="408">
        <v>0</v>
      </c>
      <c r="DS256" s="408"/>
      <c r="DT256" s="408"/>
      <c r="DU256" s="408"/>
      <c r="DV256" s="408">
        <v>1560990.1769135378</v>
      </c>
      <c r="DW256" s="408">
        <v>0</v>
      </c>
      <c r="DX256" s="408">
        <v>0</v>
      </c>
      <c r="DY256" s="408">
        <v>-848447.62688000035</v>
      </c>
      <c r="DZ256" s="408">
        <v>92467.344479999854</v>
      </c>
      <c r="EA256" s="408">
        <v>0</v>
      </c>
      <c r="EB256" s="408">
        <v>0</v>
      </c>
      <c r="EC256" s="408">
        <v>-875699.40979355888</v>
      </c>
      <c r="ED256" s="408">
        <v>0</v>
      </c>
      <c r="EE256" s="408">
        <v>0</v>
      </c>
      <c r="EF256" s="408">
        <v>0</v>
      </c>
      <c r="EG256" s="408">
        <v>0</v>
      </c>
      <c r="EH256" s="408">
        <v>0</v>
      </c>
      <c r="EI256" s="408">
        <v>0</v>
      </c>
      <c r="EJ256" s="408">
        <v>0</v>
      </c>
      <c r="EK256" s="408">
        <v>0</v>
      </c>
      <c r="EL256" s="408">
        <v>0</v>
      </c>
      <c r="EM256" s="408">
        <v>0</v>
      </c>
      <c r="EN256" s="408">
        <v>0</v>
      </c>
      <c r="EO256" s="408">
        <v>0</v>
      </c>
      <c r="EP256" s="408">
        <v>0</v>
      </c>
      <c r="EQ256" s="408">
        <v>0</v>
      </c>
      <c r="ER256" s="408">
        <v>0</v>
      </c>
      <c r="ES256" s="408">
        <v>0</v>
      </c>
      <c r="ET256" s="408">
        <v>0</v>
      </c>
      <c r="EU256" s="408">
        <v>0</v>
      </c>
      <c r="EV256" s="408">
        <v>238</v>
      </c>
      <c r="EW256" s="408">
        <v>0</v>
      </c>
      <c r="EX256" s="408">
        <v>0</v>
      </c>
      <c r="EY256" s="408">
        <v>0</v>
      </c>
      <c r="EZ256" s="408"/>
      <c r="FA256" s="408">
        <v>0</v>
      </c>
      <c r="FB256" s="408"/>
      <c r="FC256" s="408"/>
      <c r="FD256" s="408"/>
      <c r="FE256" s="408"/>
      <c r="FF256" s="408">
        <v>0</v>
      </c>
      <c r="FG256" s="408">
        <v>0</v>
      </c>
      <c r="FH256" s="408">
        <v>0</v>
      </c>
      <c r="FI256" s="408">
        <v>0</v>
      </c>
    </row>
    <row r="257" spans="1:165">
      <c r="A257" s="408">
        <v>261</v>
      </c>
      <c r="B257" s="408" t="s">
        <v>2237</v>
      </c>
      <c r="C257" s="408" t="s">
        <v>2235</v>
      </c>
      <c r="D257" s="408" t="s">
        <v>2245</v>
      </c>
      <c r="E257" s="408" t="s">
        <v>974</v>
      </c>
      <c r="F257" s="408" t="s">
        <v>1322</v>
      </c>
      <c r="G257" s="408" t="s">
        <v>1322</v>
      </c>
      <c r="H257" s="408" t="s">
        <v>1322</v>
      </c>
      <c r="I257" s="408" t="s">
        <v>1322</v>
      </c>
      <c r="J257" s="408" t="s">
        <v>2236</v>
      </c>
      <c r="K257" s="824">
        <v>44501</v>
      </c>
      <c r="L257" s="408">
        <v>0</v>
      </c>
      <c r="M257" s="408">
        <v>0</v>
      </c>
      <c r="N257" s="408">
        <v>-6.0620000000000003</v>
      </c>
      <c r="O257" s="408">
        <v>-6.0620000000000003</v>
      </c>
      <c r="P257" s="408">
        <v>-6.0620000000000003</v>
      </c>
      <c r="Q257" s="408">
        <v>-6.0620000000000003</v>
      </c>
      <c r="R257" s="408"/>
      <c r="S257" s="408">
        <v>581.32000000000005</v>
      </c>
      <c r="T257" s="408">
        <v>209.4</v>
      </c>
      <c r="U257" s="408"/>
      <c r="V257" s="408">
        <v>-4793.3446400000003</v>
      </c>
      <c r="W257" s="408">
        <v>-4793.3446400000003</v>
      </c>
      <c r="X257" s="408">
        <v>-3661.8723399999999</v>
      </c>
      <c r="Y257" s="408">
        <v>0</v>
      </c>
      <c r="Z257" s="408">
        <v>-373.04279512361717</v>
      </c>
      <c r="AA257" s="408">
        <v>0</v>
      </c>
      <c r="AB257" s="408">
        <v>0</v>
      </c>
      <c r="AC257" s="408">
        <v>0</v>
      </c>
      <c r="AD257" s="408">
        <v>-449.74671975222748</v>
      </c>
      <c r="AE257" s="408">
        <v>-2336.327000675974</v>
      </c>
      <c r="AF257" s="408">
        <v>-1252.7168209851936</v>
      </c>
      <c r="AG257" s="408">
        <v>-16.688473612907295</v>
      </c>
      <c r="AH257" s="408">
        <v>0</v>
      </c>
      <c r="AI257" s="408">
        <v>0</v>
      </c>
      <c r="AJ257" s="408">
        <v>0</v>
      </c>
      <c r="AK257" s="408">
        <v>0</v>
      </c>
      <c r="AL257" s="408">
        <v>-57.647205172745451</v>
      </c>
      <c r="AM257" s="408"/>
      <c r="AN257" s="408">
        <v>-11.050809682554611</v>
      </c>
      <c r="AO257" s="408">
        <v>-34.550252458414938</v>
      </c>
      <c r="AP257" s="408">
        <v>-52.043421601144082</v>
      </c>
      <c r="AQ257" s="408">
        <v>0</v>
      </c>
      <c r="AR257" s="408">
        <v>0</v>
      </c>
      <c r="AS257" s="408">
        <v>0</v>
      </c>
      <c r="AT257" s="408">
        <v>0</v>
      </c>
      <c r="AU257" s="408">
        <v>0</v>
      </c>
      <c r="AV257" s="408">
        <v>0</v>
      </c>
      <c r="AW257" s="408">
        <v>0</v>
      </c>
      <c r="AX257" s="408">
        <v>0</v>
      </c>
      <c r="AY257" s="408">
        <v>0</v>
      </c>
      <c r="AZ257" s="408">
        <v>0</v>
      </c>
      <c r="BA257" s="408"/>
      <c r="BB257" s="408">
        <v>0</v>
      </c>
      <c r="BC257" s="408">
        <v>0</v>
      </c>
      <c r="BD257" s="408">
        <v>0</v>
      </c>
      <c r="BE257" s="408">
        <v>0</v>
      </c>
      <c r="BF257" s="408">
        <v>0</v>
      </c>
      <c r="BG257" s="408">
        <v>-209.57718231899463</v>
      </c>
      <c r="BH257" s="408">
        <v>0</v>
      </c>
      <c r="BI257" s="408">
        <v>-12.51</v>
      </c>
      <c r="BJ257" s="408">
        <v>-57.28</v>
      </c>
      <c r="BK257" s="408">
        <v>-489.57</v>
      </c>
      <c r="BL257" s="408">
        <v>0</v>
      </c>
      <c r="BM257" s="408"/>
      <c r="BN257" s="408"/>
      <c r="BO257" s="408"/>
      <c r="BP257" s="408"/>
      <c r="BQ257" s="408"/>
      <c r="BR257" s="408">
        <v>-439.43437999999958</v>
      </c>
      <c r="BS257" s="408"/>
      <c r="BT257" s="408"/>
      <c r="BU257" s="408"/>
      <c r="BV257" s="408">
        <v>-1462.2940033041882</v>
      </c>
      <c r="BW257" s="408"/>
      <c r="BX257" s="408"/>
      <c r="BY257" s="408"/>
      <c r="BZ257" s="408"/>
      <c r="CA257" s="408"/>
      <c r="CB257" s="408"/>
      <c r="CC257" s="408"/>
      <c r="CD257" s="408"/>
      <c r="CE257" s="408"/>
      <c r="CF257" s="408"/>
      <c r="CG257" s="408"/>
      <c r="CH257" s="408"/>
      <c r="CI257" s="408">
        <v>-3221.3747999999996</v>
      </c>
      <c r="CJ257" s="408">
        <v>996.83790000000045</v>
      </c>
      <c r="CK257" s="408"/>
      <c r="CL257" s="408"/>
      <c r="CM257" s="408"/>
      <c r="CN257" s="408"/>
      <c r="CO257" s="408">
        <v>1269.8677600000005</v>
      </c>
      <c r="CP257" s="408">
        <v>-138.3954599999999</v>
      </c>
      <c r="CQ257" s="408">
        <v>30</v>
      </c>
      <c r="CR257" s="408">
        <v>-179.09494423855995</v>
      </c>
      <c r="CS257" s="408">
        <v>-4.1713221336241659</v>
      </c>
      <c r="CT257" s="408">
        <v>-6.283307964121974</v>
      </c>
      <c r="CU257" s="408">
        <v>0</v>
      </c>
      <c r="CV257" s="408">
        <v>0</v>
      </c>
      <c r="CW257" s="408">
        <v>0</v>
      </c>
      <c r="CX257" s="408">
        <v>0</v>
      </c>
      <c r="CY257" s="408">
        <v>0</v>
      </c>
      <c r="CZ257" s="408">
        <v>-14.743793825583452</v>
      </c>
      <c r="DA257" s="408">
        <v>0</v>
      </c>
      <c r="DB257" s="408">
        <v>0</v>
      </c>
      <c r="DC257" s="408">
        <v>-138.35353597399421</v>
      </c>
      <c r="DD257" s="408">
        <v>0</v>
      </c>
      <c r="DE257" s="408">
        <v>0</v>
      </c>
      <c r="DF257" s="408">
        <v>0</v>
      </c>
      <c r="DG257" s="408">
        <v>-23.146287930016513</v>
      </c>
      <c r="DH257" s="408">
        <v>0</v>
      </c>
      <c r="DI257" s="408">
        <v>6.5029278272895681</v>
      </c>
      <c r="DJ257" s="408"/>
      <c r="DK257" s="408">
        <v>0</v>
      </c>
      <c r="DL257" s="408">
        <v>0</v>
      </c>
      <c r="DM257" s="408">
        <v>0</v>
      </c>
      <c r="DN257" s="408">
        <v>0</v>
      </c>
      <c r="DO257" s="408">
        <v>0.84487582843501485</v>
      </c>
      <c r="DP257" s="408">
        <v>0.25549993305509844</v>
      </c>
      <c r="DQ257" s="408">
        <v>0</v>
      </c>
      <c r="DR257" s="408">
        <v>0</v>
      </c>
      <c r="DS257" s="408"/>
      <c r="DT257" s="408"/>
      <c r="DU257" s="408"/>
      <c r="DV257" s="408">
        <v>-2336.327000675974</v>
      </c>
      <c r="DW257" s="408">
        <v>0</v>
      </c>
      <c r="DX257" s="408">
        <v>0</v>
      </c>
      <c r="DY257" s="408">
        <v>1269.8677600000005</v>
      </c>
      <c r="DZ257" s="408">
        <v>-138.39545999999996</v>
      </c>
      <c r="EA257" s="408">
        <v>0</v>
      </c>
      <c r="EB257" s="408">
        <v>0</v>
      </c>
      <c r="EC257" s="408">
        <v>1310.655381331095</v>
      </c>
      <c r="ED257" s="408">
        <v>0</v>
      </c>
      <c r="EE257" s="408">
        <v>0</v>
      </c>
      <c r="EF257" s="408">
        <v>0</v>
      </c>
      <c r="EG257" s="408">
        <v>0</v>
      </c>
      <c r="EH257" s="408">
        <v>0</v>
      </c>
      <c r="EI257" s="408">
        <v>0</v>
      </c>
      <c r="EJ257" s="408">
        <v>0</v>
      </c>
      <c r="EK257" s="408">
        <v>0</v>
      </c>
      <c r="EL257" s="408">
        <v>0</v>
      </c>
      <c r="EM257" s="408">
        <v>0</v>
      </c>
      <c r="EN257" s="408">
        <v>0</v>
      </c>
      <c r="EO257" s="408">
        <v>0</v>
      </c>
      <c r="EP257" s="408">
        <v>0</v>
      </c>
      <c r="EQ257" s="408">
        <v>0</v>
      </c>
      <c r="ER257" s="408">
        <v>0</v>
      </c>
      <c r="ES257" s="408">
        <v>0</v>
      </c>
      <c r="ET257" s="408">
        <v>0</v>
      </c>
      <c r="EU257" s="408">
        <v>0</v>
      </c>
      <c r="EV257" s="408">
        <v>238</v>
      </c>
      <c r="EW257" s="408">
        <v>0</v>
      </c>
      <c r="EX257" s="408">
        <v>0</v>
      </c>
      <c r="EY257" s="408">
        <v>0</v>
      </c>
      <c r="EZ257" s="408"/>
      <c r="FA257" s="408">
        <v>0</v>
      </c>
      <c r="FB257" s="408"/>
      <c r="FC257" s="408"/>
      <c r="FD257" s="408"/>
      <c r="FE257" s="408"/>
      <c r="FF257" s="408">
        <v>0</v>
      </c>
      <c r="FG257" s="408">
        <v>0</v>
      </c>
      <c r="FH257" s="408">
        <v>0</v>
      </c>
      <c r="FI257" s="408">
        <v>0</v>
      </c>
    </row>
    <row r="258" spans="1:165">
      <c r="A258" s="408">
        <v>262</v>
      </c>
      <c r="B258" s="408" t="s">
        <v>2238</v>
      </c>
      <c r="C258" s="408" t="s">
        <v>2235</v>
      </c>
      <c r="D258" s="408" t="s">
        <v>2245</v>
      </c>
      <c r="E258" s="408" t="s">
        <v>974</v>
      </c>
      <c r="F258" s="408" t="s">
        <v>1322</v>
      </c>
      <c r="G258" s="408" t="s">
        <v>1322</v>
      </c>
      <c r="H258" s="408" t="s">
        <v>1322</v>
      </c>
      <c r="I258" s="408" t="s">
        <v>1322</v>
      </c>
      <c r="J258" s="408" t="s">
        <v>2236</v>
      </c>
      <c r="K258" s="824">
        <v>44501</v>
      </c>
      <c r="L258" s="408">
        <v>0</v>
      </c>
      <c r="M258" s="408">
        <v>0</v>
      </c>
      <c r="N258" s="408">
        <v>124.68600000000001</v>
      </c>
      <c r="O258" s="408">
        <v>124.68600000000001</v>
      </c>
      <c r="P258" s="408">
        <v>124.68600000000001</v>
      </c>
      <c r="Q258" s="408">
        <v>124.68600000000001</v>
      </c>
      <c r="R258" s="408"/>
      <c r="S258" s="408">
        <v>581.32000000000005</v>
      </c>
      <c r="T258" s="408">
        <v>209.4</v>
      </c>
      <c r="U258" s="408"/>
      <c r="V258" s="408">
        <v>98591.713920000009</v>
      </c>
      <c r="W258" s="408">
        <v>98591.713920000009</v>
      </c>
      <c r="X258" s="408">
        <v>75319.072019999992</v>
      </c>
      <c r="Y258" s="408">
        <v>0</v>
      </c>
      <c r="Z258" s="408">
        <v>7672.9155316369734</v>
      </c>
      <c r="AA258" s="408">
        <v>0</v>
      </c>
      <c r="AB258" s="408">
        <v>0</v>
      </c>
      <c r="AC258" s="408">
        <v>0</v>
      </c>
      <c r="AD258" s="408">
        <v>9250.5970800109262</v>
      </c>
      <c r="AE258" s="408">
        <v>48054.646718291733</v>
      </c>
      <c r="AF258" s="408">
        <v>25766.454889699744</v>
      </c>
      <c r="AG258" s="408">
        <v>343.25618952473752</v>
      </c>
      <c r="AH258" s="408">
        <v>0</v>
      </c>
      <c r="AI258" s="408">
        <v>0</v>
      </c>
      <c r="AJ258" s="408">
        <v>0</v>
      </c>
      <c r="AK258" s="408">
        <v>0</v>
      </c>
      <c r="AL258" s="408">
        <v>1185.7141907240084</v>
      </c>
      <c r="AM258" s="408"/>
      <c r="AN258" s="408">
        <v>227.29812868343851</v>
      </c>
      <c r="AO258" s="408">
        <v>710.64545991915622</v>
      </c>
      <c r="AP258" s="408">
        <v>1070.4529966612095</v>
      </c>
      <c r="AQ258" s="408">
        <v>0</v>
      </c>
      <c r="AR258" s="408">
        <v>0</v>
      </c>
      <c r="AS258" s="408">
        <v>0</v>
      </c>
      <c r="AT258" s="408">
        <v>0</v>
      </c>
      <c r="AU258" s="408">
        <v>0</v>
      </c>
      <c r="AV258" s="408">
        <v>0</v>
      </c>
      <c r="AW258" s="408">
        <v>0</v>
      </c>
      <c r="AX258" s="408">
        <v>0</v>
      </c>
      <c r="AY258" s="408">
        <v>0</v>
      </c>
      <c r="AZ258" s="408">
        <v>0</v>
      </c>
      <c r="BA258" s="408"/>
      <c r="BB258" s="408">
        <v>0</v>
      </c>
      <c r="BC258" s="408">
        <v>0</v>
      </c>
      <c r="BD258" s="408">
        <v>0</v>
      </c>
      <c r="BE258" s="408">
        <v>0</v>
      </c>
      <c r="BF258" s="408">
        <v>0</v>
      </c>
      <c r="BG258" s="408">
        <v>4310.6797351742271</v>
      </c>
      <c r="BH258" s="408">
        <v>0</v>
      </c>
      <c r="BI258" s="408">
        <v>247.48</v>
      </c>
      <c r="BJ258" s="408">
        <v>1172.8</v>
      </c>
      <c r="BK258" s="408">
        <v>7800.49</v>
      </c>
      <c r="BL258" s="408">
        <v>630</v>
      </c>
      <c r="BM258" s="408"/>
      <c r="BN258" s="408"/>
      <c r="BO258" s="408"/>
      <c r="BP258" s="408"/>
      <c r="BQ258" s="408"/>
      <c r="BR258" s="408">
        <v>9038.4881399999904</v>
      </c>
      <c r="BS258" s="408"/>
      <c r="BT258" s="408"/>
      <c r="BU258" s="408"/>
      <c r="BV258" s="408">
        <v>30077.134624873972</v>
      </c>
      <c r="BW258" s="408"/>
      <c r="BX258" s="408"/>
      <c r="BY258" s="408"/>
      <c r="BZ258" s="408"/>
      <c r="CA258" s="408"/>
      <c r="CB258" s="408"/>
      <c r="CC258" s="408"/>
      <c r="CD258" s="408"/>
      <c r="CE258" s="408"/>
      <c r="CF258" s="408"/>
      <c r="CG258" s="408"/>
      <c r="CH258" s="408"/>
      <c r="CI258" s="408">
        <v>66282.710200000001</v>
      </c>
      <c r="CJ258" s="408">
        <v>-20480.072899999999</v>
      </c>
      <c r="CK258" s="408"/>
      <c r="CL258" s="408"/>
      <c r="CM258" s="408"/>
      <c r="CN258" s="408"/>
      <c r="CO258" s="408">
        <v>-26119.223280000009</v>
      </c>
      <c r="CP258" s="408">
        <v>2846.5813799999983</v>
      </c>
      <c r="CQ258" s="408">
        <v>30</v>
      </c>
      <c r="CR258" s="408">
        <v>3683.7070632347604</v>
      </c>
      <c r="CS258" s="408">
        <v>85.797669342306676</v>
      </c>
      <c r="CT258" s="408">
        <v>129.23796384271077</v>
      </c>
      <c r="CU258" s="408">
        <v>0</v>
      </c>
      <c r="CV258" s="408">
        <v>0</v>
      </c>
      <c r="CW258" s="408">
        <v>0</v>
      </c>
      <c r="CX258" s="408">
        <v>0</v>
      </c>
      <c r="CY258" s="408">
        <v>0</v>
      </c>
      <c r="CZ258" s="408">
        <v>303.2571225563679</v>
      </c>
      <c r="DA258" s="408">
        <v>0</v>
      </c>
      <c r="DB258" s="408">
        <v>0</v>
      </c>
      <c r="DC258" s="408">
        <v>2845.719067379323</v>
      </c>
      <c r="DD258" s="408">
        <v>0</v>
      </c>
      <c r="DE258" s="408">
        <v>0</v>
      </c>
      <c r="DF258" s="408">
        <v>0</v>
      </c>
      <c r="DG258" s="408">
        <v>476.08348017849494</v>
      </c>
      <c r="DH258" s="408">
        <v>0</v>
      </c>
      <c r="DI258" s="408">
        <v>-133.75520604972462</v>
      </c>
      <c r="DJ258" s="408"/>
      <c r="DK258" s="408">
        <v>0</v>
      </c>
      <c r="DL258" s="408">
        <v>0</v>
      </c>
      <c r="DM258" s="408">
        <v>0</v>
      </c>
      <c r="DN258" s="408">
        <v>0</v>
      </c>
      <c r="DO258" s="408">
        <v>-17.377794052168838</v>
      </c>
      <c r="DP258" s="408">
        <v>-5.2552399625384112</v>
      </c>
      <c r="DQ258" s="408">
        <v>0</v>
      </c>
      <c r="DR258" s="408">
        <v>0</v>
      </c>
      <c r="DS258" s="408"/>
      <c r="DT258" s="408"/>
      <c r="DU258" s="408"/>
      <c r="DV258" s="408">
        <v>48054.646718291733</v>
      </c>
      <c r="DW258" s="408">
        <v>0</v>
      </c>
      <c r="DX258" s="408">
        <v>0</v>
      </c>
      <c r="DY258" s="408">
        <v>-26119.223280000013</v>
      </c>
      <c r="DZ258" s="408">
        <v>2846.5813799999996</v>
      </c>
      <c r="EA258" s="408">
        <v>0</v>
      </c>
      <c r="EB258" s="408">
        <v>0</v>
      </c>
      <c r="EC258" s="408">
        <v>-26958.161807431359</v>
      </c>
      <c r="ED258" s="408">
        <v>0</v>
      </c>
      <c r="EE258" s="408">
        <v>0</v>
      </c>
      <c r="EF258" s="408">
        <v>0</v>
      </c>
      <c r="EG258" s="408">
        <v>0</v>
      </c>
      <c r="EH258" s="408">
        <v>0</v>
      </c>
      <c r="EI258" s="408">
        <v>0</v>
      </c>
      <c r="EJ258" s="408">
        <v>0</v>
      </c>
      <c r="EK258" s="408">
        <v>0</v>
      </c>
      <c r="EL258" s="408">
        <v>0</v>
      </c>
      <c r="EM258" s="408">
        <v>0</v>
      </c>
      <c r="EN258" s="408">
        <v>0</v>
      </c>
      <c r="EO258" s="408">
        <v>0</v>
      </c>
      <c r="EP258" s="408">
        <v>0</v>
      </c>
      <c r="EQ258" s="408">
        <v>0</v>
      </c>
      <c r="ER258" s="408">
        <v>0</v>
      </c>
      <c r="ES258" s="408">
        <v>0</v>
      </c>
      <c r="ET258" s="408">
        <v>0</v>
      </c>
      <c r="EU258" s="408">
        <v>0</v>
      </c>
      <c r="EV258" s="408">
        <v>238</v>
      </c>
      <c r="EW258" s="408">
        <v>0</v>
      </c>
      <c r="EX258" s="408">
        <v>0</v>
      </c>
      <c r="EY258" s="408">
        <v>0</v>
      </c>
      <c r="EZ258" s="408"/>
      <c r="FA258" s="408">
        <v>0</v>
      </c>
      <c r="FB258" s="408"/>
      <c r="FC258" s="408"/>
      <c r="FD258" s="408"/>
      <c r="FE258" s="408"/>
      <c r="FF258" s="408">
        <v>0</v>
      </c>
      <c r="FG258" s="408">
        <v>0</v>
      </c>
      <c r="FH258" s="408">
        <v>0</v>
      </c>
      <c r="FI258" s="408">
        <v>0</v>
      </c>
    </row>
    <row r="259" spans="1:165">
      <c r="A259" s="408">
        <v>263</v>
      </c>
      <c r="B259" s="408" t="s">
        <v>1036</v>
      </c>
      <c r="C259" s="408" t="s">
        <v>2243</v>
      </c>
      <c r="D259" s="408" t="s">
        <v>597</v>
      </c>
      <c r="E259" s="408" t="s">
        <v>974</v>
      </c>
      <c r="F259" s="408" t="s">
        <v>1322</v>
      </c>
      <c r="G259" s="408" t="s">
        <v>1322</v>
      </c>
      <c r="H259" s="408" t="s">
        <v>1322</v>
      </c>
      <c r="I259" s="408" t="s">
        <v>973</v>
      </c>
      <c r="J259" s="408" t="s">
        <v>2236</v>
      </c>
      <c r="K259" s="824">
        <v>44501</v>
      </c>
      <c r="L259" s="408">
        <v>0</v>
      </c>
      <c r="M259" s="408">
        <v>0</v>
      </c>
      <c r="N259" s="408">
        <v>21.21</v>
      </c>
      <c r="O259" s="408">
        <v>20.361599999999999</v>
      </c>
      <c r="P259" s="408">
        <v>21.21</v>
      </c>
      <c r="Q259" s="408">
        <v>20.361599999999999</v>
      </c>
      <c r="R259" s="408"/>
      <c r="S259" s="408">
        <v>1614.19</v>
      </c>
      <c r="T259" s="408">
        <v>209.4</v>
      </c>
      <c r="U259" s="408"/>
      <c r="V259" s="408">
        <v>38678.343900000007</v>
      </c>
      <c r="W259" s="408">
        <v>38678.343900000007</v>
      </c>
      <c r="X259" s="408">
        <v>25709.701500000003</v>
      </c>
      <c r="Y259" s="408">
        <v>0</v>
      </c>
      <c r="Z259" s="408">
        <v>1135.5405452948821</v>
      </c>
      <c r="AA259" s="408">
        <v>0</v>
      </c>
      <c r="AB259" s="408">
        <v>0</v>
      </c>
      <c r="AC259" s="408">
        <v>0</v>
      </c>
      <c r="AD259" s="408">
        <v>6605.1755751961773</v>
      </c>
      <c r="AE259" s="408">
        <v>24663.764628379457</v>
      </c>
      <c r="AF259" s="408">
        <v>4383.0623182276404</v>
      </c>
      <c r="AG259" s="408">
        <v>58.390386890426214</v>
      </c>
      <c r="AH259" s="408">
        <v>0</v>
      </c>
      <c r="AI259" s="408">
        <v>0</v>
      </c>
      <c r="AJ259" s="408">
        <v>0</v>
      </c>
      <c r="AK259" s="408">
        <v>0</v>
      </c>
      <c r="AL259" s="408">
        <v>201.6986508930932</v>
      </c>
      <c r="AM259" s="408"/>
      <c r="AN259" s="408">
        <v>28.163577783457225</v>
      </c>
      <c r="AO259" s="408">
        <v>513.17436715630959</v>
      </c>
      <c r="AP259" s="408">
        <v>764.38090832626233</v>
      </c>
      <c r="AQ259" s="408">
        <v>0</v>
      </c>
      <c r="AR259" s="408">
        <v>0</v>
      </c>
      <c r="AS259" s="408">
        <v>0</v>
      </c>
      <c r="AT259" s="408">
        <v>0</v>
      </c>
      <c r="AU259" s="408">
        <v>0</v>
      </c>
      <c r="AV259" s="408">
        <v>0</v>
      </c>
      <c r="AW259" s="408">
        <v>0</v>
      </c>
      <c r="AX259" s="408">
        <v>0</v>
      </c>
      <c r="AY259" s="408">
        <v>0</v>
      </c>
      <c r="AZ259" s="408">
        <v>0</v>
      </c>
      <c r="BA259" s="408"/>
      <c r="BB259" s="408">
        <v>0</v>
      </c>
      <c r="BC259" s="408">
        <v>0</v>
      </c>
      <c r="BD259" s="408">
        <v>0</v>
      </c>
      <c r="BE259" s="408">
        <v>0</v>
      </c>
      <c r="BF259" s="408">
        <v>0</v>
      </c>
      <c r="BG259" s="408">
        <v>325.03129522148896</v>
      </c>
      <c r="BH259" s="408">
        <v>0</v>
      </c>
      <c r="BI259" s="408">
        <v>0</v>
      </c>
      <c r="BJ259" s="408">
        <v>0</v>
      </c>
      <c r="BK259" s="408">
        <v>0</v>
      </c>
      <c r="BL259" s="408">
        <v>0</v>
      </c>
      <c r="BM259" s="408"/>
      <c r="BN259" s="408"/>
      <c r="BO259" s="408"/>
      <c r="BP259" s="408"/>
      <c r="BQ259" s="408"/>
      <c r="BR259" s="408">
        <v>1028.3880600000018</v>
      </c>
      <c r="BS259" s="408"/>
      <c r="BT259" s="408"/>
      <c r="BU259" s="408"/>
      <c r="BV259" s="408">
        <v>4708.0936134491294</v>
      </c>
      <c r="BW259" s="408"/>
      <c r="BX259" s="408"/>
      <c r="BY259" s="408"/>
      <c r="BZ259" s="408"/>
      <c r="CA259" s="408"/>
      <c r="CB259" s="408"/>
      <c r="CC259" s="408"/>
      <c r="CD259" s="408"/>
      <c r="CE259" s="408"/>
      <c r="CF259" s="408"/>
      <c r="CG259" s="408"/>
      <c r="CH259" s="408"/>
      <c r="CI259" s="408">
        <v>24679.373999999996</v>
      </c>
      <c r="CJ259" s="408">
        <v>-12451.866144000007</v>
      </c>
      <c r="CK259" s="408"/>
      <c r="CL259" s="408"/>
      <c r="CM259" s="408"/>
      <c r="CN259" s="408"/>
      <c r="CO259" s="408">
        <v>-13452.866700000002</v>
      </c>
      <c r="CP259" s="408">
        <v>484.22429999999969</v>
      </c>
      <c r="CQ259" s="408">
        <v>30</v>
      </c>
      <c r="CR259" s="408">
        <v>867.34844822988271</v>
      </c>
      <c r="CS259" s="408">
        <v>61.956583347809328</v>
      </c>
      <c r="CT259" s="408">
        <v>92.285259138374613</v>
      </c>
      <c r="CU259" s="408">
        <v>0</v>
      </c>
      <c r="CV259" s="408">
        <v>0</v>
      </c>
      <c r="CW259" s="408">
        <v>0</v>
      </c>
      <c r="CX259" s="408">
        <v>0</v>
      </c>
      <c r="CY259" s="408">
        <v>0</v>
      </c>
      <c r="CZ259" s="408">
        <v>216.53375685791707</v>
      </c>
      <c r="DA259" s="408">
        <v>0</v>
      </c>
      <c r="DB259" s="408">
        <v>0</v>
      </c>
      <c r="DC259" s="408">
        <v>484.07761432009556</v>
      </c>
      <c r="DD259" s="408">
        <v>0</v>
      </c>
      <c r="DE259" s="408">
        <v>0</v>
      </c>
      <c r="DF259" s="408">
        <v>0</v>
      </c>
      <c r="DG259" s="408">
        <v>35.897361832128752</v>
      </c>
      <c r="DH259" s="408">
        <v>0</v>
      </c>
      <c r="DI259" s="408">
        <v>-19.794882269652362</v>
      </c>
      <c r="DJ259" s="408"/>
      <c r="DK259" s="408">
        <v>0</v>
      </c>
      <c r="DL259" s="408">
        <v>0</v>
      </c>
      <c r="DM259" s="408">
        <v>0</v>
      </c>
      <c r="DN259" s="408">
        <v>0</v>
      </c>
      <c r="DO259" s="408">
        <v>-2.9560897923303457</v>
      </c>
      <c r="DP259" s="408">
        <v>-0.65115520445771224</v>
      </c>
      <c r="DQ259" s="408">
        <v>0</v>
      </c>
      <c r="DR259" s="408">
        <v>0</v>
      </c>
      <c r="DS259" s="408"/>
      <c r="DT259" s="408"/>
      <c r="DU259" s="408"/>
      <c r="DV259" s="408">
        <v>24663.764628379457</v>
      </c>
      <c r="DW259" s="408">
        <v>0</v>
      </c>
      <c r="DX259" s="408">
        <v>0</v>
      </c>
      <c r="DY259" s="408">
        <v>-13452.866700000002</v>
      </c>
      <c r="DZ259" s="408">
        <v>484.22429999999895</v>
      </c>
      <c r="EA259" s="408">
        <v>0</v>
      </c>
      <c r="EB259" s="408">
        <v>0</v>
      </c>
      <c r="EC259" s="408">
        <v>-13836.117899898567</v>
      </c>
      <c r="ED259" s="408">
        <v>0</v>
      </c>
      <c r="EE259" s="408">
        <v>0</v>
      </c>
      <c r="EF259" s="408">
        <v>0</v>
      </c>
      <c r="EG259" s="408">
        <v>0</v>
      </c>
      <c r="EH259" s="408">
        <v>0</v>
      </c>
      <c r="EI259" s="408">
        <v>0</v>
      </c>
      <c r="EJ259" s="408">
        <v>0</v>
      </c>
      <c r="EK259" s="408">
        <v>0</v>
      </c>
      <c r="EL259" s="408">
        <v>0</v>
      </c>
      <c r="EM259" s="408">
        <v>0</v>
      </c>
      <c r="EN259" s="408">
        <v>0</v>
      </c>
      <c r="EO259" s="408">
        <v>0</v>
      </c>
      <c r="EP259" s="408">
        <v>0</v>
      </c>
      <c r="EQ259" s="408">
        <v>0</v>
      </c>
      <c r="ER259" s="408">
        <v>0</v>
      </c>
      <c r="ES259" s="408">
        <v>0</v>
      </c>
      <c r="ET259" s="408">
        <v>0</v>
      </c>
      <c r="EU259" s="408">
        <v>0</v>
      </c>
      <c r="EV259" s="408">
        <v>238</v>
      </c>
      <c r="EW259" s="408">
        <v>0</v>
      </c>
      <c r="EX259" s="408">
        <v>0</v>
      </c>
      <c r="EY259" s="408">
        <v>0</v>
      </c>
      <c r="EZ259" s="408"/>
      <c r="FA259" s="408">
        <v>0</v>
      </c>
      <c r="FB259" s="408"/>
      <c r="FC259" s="408"/>
      <c r="FD259" s="408"/>
      <c r="FE259" s="408"/>
      <c r="FF259" s="408">
        <v>0</v>
      </c>
      <c r="FG259" s="408">
        <v>0</v>
      </c>
      <c r="FH259" s="408">
        <v>0</v>
      </c>
      <c r="FI259" s="408">
        <v>0</v>
      </c>
    </row>
    <row r="260" spans="1:165">
      <c r="A260" s="408">
        <v>264</v>
      </c>
      <c r="B260" s="408" t="s">
        <v>1036</v>
      </c>
      <c r="C260" s="408" t="s">
        <v>2243</v>
      </c>
      <c r="D260" s="408" t="s">
        <v>597</v>
      </c>
      <c r="E260" s="408" t="s">
        <v>974</v>
      </c>
      <c r="F260" s="408" t="s">
        <v>1322</v>
      </c>
      <c r="G260" s="408" t="s">
        <v>1322</v>
      </c>
      <c r="H260" s="408" t="s">
        <v>1322</v>
      </c>
      <c r="I260" s="408" t="s">
        <v>2244</v>
      </c>
      <c r="J260" s="408" t="s">
        <v>2236</v>
      </c>
      <c r="K260" s="824">
        <v>44501</v>
      </c>
      <c r="L260" s="408">
        <v>0</v>
      </c>
      <c r="M260" s="408">
        <v>0</v>
      </c>
      <c r="N260" s="408">
        <v>252.82599999999999</v>
      </c>
      <c r="O260" s="408">
        <v>242.71296000000001</v>
      </c>
      <c r="P260" s="408">
        <v>252.82599999999999</v>
      </c>
      <c r="Q260" s="408">
        <v>242.71296000000001</v>
      </c>
      <c r="R260" s="408"/>
      <c r="S260" s="408">
        <v>79.7</v>
      </c>
      <c r="T260" s="408">
        <v>209.4</v>
      </c>
      <c r="U260" s="408"/>
      <c r="V260" s="408">
        <v>73091.996599999999</v>
      </c>
      <c r="W260" s="408">
        <v>73091.996599999999</v>
      </c>
      <c r="X260" s="408">
        <v>79013.181519999998</v>
      </c>
      <c r="Y260" s="408">
        <v>0</v>
      </c>
      <c r="Z260" s="408">
        <v>13535.793206257607</v>
      </c>
      <c r="AA260" s="408">
        <v>0</v>
      </c>
      <c r="AB260" s="408">
        <v>0</v>
      </c>
      <c r="AC260" s="408">
        <v>0</v>
      </c>
      <c r="AD260" s="408">
        <v>0</v>
      </c>
      <c r="AE260" s="408">
        <v>0</v>
      </c>
      <c r="AF260" s="408">
        <v>52246.681455361686</v>
      </c>
      <c r="AG260" s="408">
        <v>696.02112003578009</v>
      </c>
      <c r="AH260" s="408">
        <v>0</v>
      </c>
      <c r="AI260" s="408">
        <v>0</v>
      </c>
      <c r="AJ260" s="408">
        <v>0</v>
      </c>
      <c r="AK260" s="408">
        <v>0</v>
      </c>
      <c r="AL260" s="408">
        <v>2404.274545530277</v>
      </c>
      <c r="AM260" s="408"/>
      <c r="AN260" s="408">
        <v>335.7135651428739</v>
      </c>
      <c r="AO260" s="408">
        <v>0</v>
      </c>
      <c r="AP260" s="408">
        <v>0</v>
      </c>
      <c r="AQ260" s="408">
        <v>0</v>
      </c>
      <c r="AR260" s="408">
        <v>0</v>
      </c>
      <c r="AS260" s="408">
        <v>0</v>
      </c>
      <c r="AT260" s="408">
        <v>0</v>
      </c>
      <c r="AU260" s="408">
        <v>0</v>
      </c>
      <c r="AV260" s="408">
        <v>0</v>
      </c>
      <c r="AW260" s="408">
        <v>0</v>
      </c>
      <c r="AX260" s="408">
        <v>0</v>
      </c>
      <c r="AY260" s="408">
        <v>0</v>
      </c>
      <c r="AZ260" s="408">
        <v>0</v>
      </c>
      <c r="BA260" s="408"/>
      <c r="BB260" s="408">
        <v>0</v>
      </c>
      <c r="BC260" s="408">
        <v>0</v>
      </c>
      <c r="BD260" s="408">
        <v>0</v>
      </c>
      <c r="BE260" s="408">
        <v>0</v>
      </c>
      <c r="BF260" s="408">
        <v>0</v>
      </c>
      <c r="BG260" s="408">
        <v>3874.4159474619596</v>
      </c>
      <c r="BH260" s="408">
        <v>0</v>
      </c>
      <c r="BI260" s="408">
        <v>0</v>
      </c>
      <c r="BJ260" s="408">
        <v>0</v>
      </c>
      <c r="BK260" s="408">
        <v>0</v>
      </c>
      <c r="BL260" s="408">
        <v>0</v>
      </c>
      <c r="BM260" s="408"/>
      <c r="BN260" s="408"/>
      <c r="BO260" s="408"/>
      <c r="BP260" s="408"/>
      <c r="BQ260" s="408"/>
      <c r="BR260" s="408">
        <v>3160.527260799995</v>
      </c>
      <c r="BS260" s="408"/>
      <c r="BT260" s="408"/>
      <c r="BU260" s="408"/>
      <c r="BV260" s="408">
        <v>56121.097402823645</v>
      </c>
      <c r="BW260" s="408"/>
      <c r="BX260" s="408"/>
      <c r="BY260" s="408"/>
      <c r="BZ260" s="408"/>
      <c r="CA260" s="408"/>
      <c r="CB260" s="408"/>
      <c r="CC260" s="408"/>
      <c r="CD260" s="408"/>
      <c r="CE260" s="408"/>
      <c r="CF260" s="408"/>
      <c r="CG260" s="408"/>
      <c r="CH260" s="408"/>
      <c r="CI260" s="408">
        <v>75851.729200000002</v>
      </c>
      <c r="CJ260" s="408">
        <v>5683.3824640000093</v>
      </c>
      <c r="CK260" s="408"/>
      <c r="CL260" s="408"/>
      <c r="CM260" s="408"/>
      <c r="CN260" s="408"/>
      <c r="CO260" s="408">
        <v>149.16734000000085</v>
      </c>
      <c r="CP260" s="408">
        <v>5772.0175799999961</v>
      </c>
      <c r="CQ260" s="408">
        <v>30</v>
      </c>
      <c r="CR260" s="408">
        <v>5919.2139128900308</v>
      </c>
      <c r="CS260" s="408">
        <v>0</v>
      </c>
      <c r="CT260" s="408">
        <v>0</v>
      </c>
      <c r="CU260" s="408">
        <v>0</v>
      </c>
      <c r="CV260" s="408">
        <v>0</v>
      </c>
      <c r="CW260" s="408">
        <v>0</v>
      </c>
      <c r="CX260" s="408">
        <v>0</v>
      </c>
      <c r="CY260" s="408">
        <v>0</v>
      </c>
      <c r="CZ260" s="408">
        <v>0</v>
      </c>
      <c r="DA260" s="408">
        <v>0</v>
      </c>
      <c r="DB260" s="408">
        <v>0</v>
      </c>
      <c r="DC260" s="408">
        <v>5770.2690673310935</v>
      </c>
      <c r="DD260" s="408">
        <v>0</v>
      </c>
      <c r="DE260" s="408">
        <v>0</v>
      </c>
      <c r="DF260" s="408">
        <v>0</v>
      </c>
      <c r="DG260" s="408">
        <v>427.90129196462885</v>
      </c>
      <c r="DH260" s="408">
        <v>0</v>
      </c>
      <c r="DI260" s="408">
        <v>-235.95760984003391</v>
      </c>
      <c r="DJ260" s="408"/>
      <c r="DK260" s="408">
        <v>0</v>
      </c>
      <c r="DL260" s="408">
        <v>0</v>
      </c>
      <c r="DM260" s="408">
        <v>0</v>
      </c>
      <c r="DN260" s="408">
        <v>0</v>
      </c>
      <c r="DO260" s="408">
        <v>-35.236980567454339</v>
      </c>
      <c r="DP260" s="408">
        <v>-7.761855998219005</v>
      </c>
      <c r="DQ260" s="408">
        <v>0</v>
      </c>
      <c r="DR260" s="408">
        <v>0</v>
      </c>
      <c r="DS260" s="408"/>
      <c r="DT260" s="408"/>
      <c r="DU260" s="408"/>
      <c r="DV260" s="408">
        <v>0</v>
      </c>
      <c r="DW260" s="408">
        <v>0</v>
      </c>
      <c r="DX260" s="408">
        <v>0</v>
      </c>
      <c r="DY260" s="408">
        <v>149.16734000000361</v>
      </c>
      <c r="DZ260" s="408">
        <v>5772.0175799999924</v>
      </c>
      <c r="EA260" s="408">
        <v>0</v>
      </c>
      <c r="EB260" s="408">
        <v>0</v>
      </c>
      <c r="EC260" s="408">
        <v>0</v>
      </c>
      <c r="ED260" s="408">
        <v>0</v>
      </c>
      <c r="EE260" s="408">
        <v>0</v>
      </c>
      <c r="EF260" s="408">
        <v>0</v>
      </c>
      <c r="EG260" s="408">
        <v>0</v>
      </c>
      <c r="EH260" s="408">
        <v>0</v>
      </c>
      <c r="EI260" s="408">
        <v>0</v>
      </c>
      <c r="EJ260" s="408">
        <v>0</v>
      </c>
      <c r="EK260" s="408">
        <v>0</v>
      </c>
      <c r="EL260" s="408">
        <v>0</v>
      </c>
      <c r="EM260" s="408">
        <v>0</v>
      </c>
      <c r="EN260" s="408">
        <v>0</v>
      </c>
      <c r="EO260" s="408">
        <v>0</v>
      </c>
      <c r="EP260" s="408">
        <v>0</v>
      </c>
      <c r="EQ260" s="408">
        <v>0</v>
      </c>
      <c r="ER260" s="408">
        <v>0</v>
      </c>
      <c r="ES260" s="408">
        <v>0</v>
      </c>
      <c r="ET260" s="408">
        <v>0</v>
      </c>
      <c r="EU260" s="408">
        <v>0</v>
      </c>
      <c r="EV260" s="408">
        <v>238</v>
      </c>
      <c r="EW260" s="408">
        <v>0</v>
      </c>
      <c r="EX260" s="408">
        <v>0</v>
      </c>
      <c r="EY260" s="408">
        <v>0</v>
      </c>
      <c r="EZ260" s="408"/>
      <c r="FA260" s="408">
        <v>0</v>
      </c>
      <c r="FB260" s="408"/>
      <c r="FC260" s="408"/>
      <c r="FD260" s="408"/>
      <c r="FE260" s="408"/>
      <c r="FF260" s="408">
        <v>0</v>
      </c>
      <c r="FG260" s="408">
        <v>0</v>
      </c>
      <c r="FH260" s="408">
        <v>0</v>
      </c>
      <c r="FI260" s="408">
        <v>0</v>
      </c>
    </row>
    <row r="261" spans="1:165">
      <c r="A261" s="408">
        <v>265</v>
      </c>
      <c r="B261" s="408" t="s">
        <v>1036</v>
      </c>
      <c r="C261" s="408" t="s">
        <v>2243</v>
      </c>
      <c r="D261" s="408" t="s">
        <v>597</v>
      </c>
      <c r="E261" s="408" t="s">
        <v>974</v>
      </c>
      <c r="F261" s="408" t="s">
        <v>1322</v>
      </c>
      <c r="G261" s="408" t="s">
        <v>1322</v>
      </c>
      <c r="H261" s="408" t="s">
        <v>1322</v>
      </c>
      <c r="I261" s="408" t="s">
        <v>1322</v>
      </c>
      <c r="J261" s="408" t="s">
        <v>2236</v>
      </c>
      <c r="K261" s="824">
        <v>44501</v>
      </c>
      <c r="L261" s="408">
        <v>2465</v>
      </c>
      <c r="M261" s="408">
        <v>2366.4</v>
      </c>
      <c r="N261" s="408">
        <v>0</v>
      </c>
      <c r="O261" s="408">
        <v>0</v>
      </c>
      <c r="P261" s="408">
        <v>0</v>
      </c>
      <c r="Q261" s="408">
        <v>0</v>
      </c>
      <c r="R261" s="408">
        <v>44.35</v>
      </c>
      <c r="S261" s="408"/>
      <c r="T261" s="408"/>
      <c r="U261" s="408">
        <v>109322.75</v>
      </c>
      <c r="V261" s="408"/>
      <c r="W261" s="408">
        <v>109322.75</v>
      </c>
      <c r="X261" s="408">
        <v>71411.05</v>
      </c>
      <c r="Y261" s="408">
        <v>0</v>
      </c>
      <c r="Z261" s="408">
        <v>0</v>
      </c>
      <c r="AA261" s="408">
        <v>0</v>
      </c>
      <c r="AB261" s="408">
        <v>0</v>
      </c>
      <c r="AC261" s="408">
        <v>0</v>
      </c>
      <c r="AD261" s="408">
        <v>32345.886991130265</v>
      </c>
      <c r="AE261" s="408">
        <v>70789.491094363882</v>
      </c>
      <c r="AF261" s="408"/>
      <c r="AG261" s="408"/>
      <c r="AH261" s="408"/>
      <c r="AI261" s="408">
        <v>0</v>
      </c>
      <c r="AJ261" s="408">
        <v>0</v>
      </c>
      <c r="AK261" s="408">
        <v>0</v>
      </c>
      <c r="AL261" s="408">
        <v>0</v>
      </c>
      <c r="AM261" s="408"/>
      <c r="AN261" s="408">
        <v>0</v>
      </c>
      <c r="AO261" s="408">
        <v>2444.5915049442838</v>
      </c>
      <c r="AP261" s="408">
        <v>3740.1232847510896</v>
      </c>
      <c r="AQ261" s="408">
        <v>0</v>
      </c>
      <c r="AR261" s="408">
        <v>0</v>
      </c>
      <c r="AS261" s="408"/>
      <c r="AT261" s="408"/>
      <c r="AU261" s="408">
        <v>0</v>
      </c>
      <c r="AV261" s="408">
        <v>0</v>
      </c>
      <c r="AW261" s="408">
        <v>0</v>
      </c>
      <c r="AX261" s="408"/>
      <c r="AY261" s="408"/>
      <c r="AZ261" s="408">
        <v>0</v>
      </c>
      <c r="BA261" s="408"/>
      <c r="BB261" s="408">
        <v>0</v>
      </c>
      <c r="BC261" s="408">
        <v>0</v>
      </c>
      <c r="BD261" s="408">
        <v>0</v>
      </c>
      <c r="BE261" s="408">
        <v>0</v>
      </c>
      <c r="BF261" s="408"/>
      <c r="BG261" s="408">
        <v>0</v>
      </c>
      <c r="BH261" s="408">
        <v>0</v>
      </c>
      <c r="BI261" s="408">
        <v>608.39</v>
      </c>
      <c r="BJ261" s="408">
        <v>2846.55</v>
      </c>
      <c r="BK261" s="408">
        <v>114.22</v>
      </c>
      <c r="BL261" s="408">
        <v>16</v>
      </c>
      <c r="BM261" s="408"/>
      <c r="BN261" s="408"/>
      <c r="BO261" s="408"/>
      <c r="BP261" s="408"/>
      <c r="BQ261" s="408"/>
      <c r="BR261" s="408">
        <v>2856.4419999999973</v>
      </c>
      <c r="BS261" s="408"/>
      <c r="BT261" s="408"/>
      <c r="BU261" s="408"/>
      <c r="BV261" s="408">
        <v>0</v>
      </c>
      <c r="BW261" s="408"/>
      <c r="BX261" s="408"/>
      <c r="BY261" s="408"/>
      <c r="BZ261" s="408"/>
      <c r="CA261" s="408"/>
      <c r="CB261" s="408"/>
      <c r="CC261" s="408"/>
      <c r="CD261" s="408"/>
      <c r="CE261" s="408"/>
      <c r="CF261" s="408"/>
      <c r="CG261" s="408"/>
      <c r="CH261" s="408"/>
      <c r="CI261" s="408">
        <v>68554.607999999993</v>
      </c>
      <c r="CJ261" s="408">
        <v>-36395.262000000002</v>
      </c>
      <c r="CK261" s="408"/>
      <c r="CL261" s="408"/>
      <c r="CM261" s="408"/>
      <c r="CN261" s="408"/>
      <c r="CO261" s="408">
        <v>-37911.700000000004</v>
      </c>
      <c r="CP261" s="408">
        <v>0</v>
      </c>
      <c r="CQ261" s="408">
        <v>30</v>
      </c>
      <c r="CR261" s="408">
        <v>1807.0702000926685</v>
      </c>
      <c r="CS261" s="408">
        <v>295.14049613724183</v>
      </c>
      <c r="CT261" s="408">
        <v>451.55267849180336</v>
      </c>
      <c r="CU261" s="408">
        <v>0</v>
      </c>
      <c r="CV261" s="408">
        <v>0</v>
      </c>
      <c r="CW261" s="408"/>
      <c r="CX261" s="408"/>
      <c r="CY261" s="408"/>
      <c r="CZ261" s="408">
        <v>1060.377025463622</v>
      </c>
      <c r="DA261" s="408">
        <v>0</v>
      </c>
      <c r="DB261" s="408">
        <v>0</v>
      </c>
      <c r="DC261" s="408"/>
      <c r="DD261" s="408"/>
      <c r="DE261" s="408">
        <v>0</v>
      </c>
      <c r="DF261" s="408">
        <v>0</v>
      </c>
      <c r="DG261" s="408">
        <v>0</v>
      </c>
      <c r="DH261" s="408">
        <v>0</v>
      </c>
      <c r="DI261" s="408">
        <v>0</v>
      </c>
      <c r="DJ261" s="408"/>
      <c r="DK261" s="408">
        <v>0</v>
      </c>
      <c r="DL261" s="408">
        <v>0</v>
      </c>
      <c r="DM261" s="408"/>
      <c r="DN261" s="408">
        <v>0</v>
      </c>
      <c r="DO261" s="408">
        <v>0</v>
      </c>
      <c r="DP261" s="408">
        <v>0</v>
      </c>
      <c r="DQ261" s="408">
        <v>0</v>
      </c>
      <c r="DR261" s="408">
        <v>0</v>
      </c>
      <c r="DS261" s="408"/>
      <c r="DT261" s="408"/>
      <c r="DU261" s="408">
        <v>70789.491094363882</v>
      </c>
      <c r="DV261" s="408"/>
      <c r="DW261" s="408">
        <v>0</v>
      </c>
      <c r="DX261" s="408">
        <v>0</v>
      </c>
      <c r="DY261" s="408">
        <v>-37911.699999999997</v>
      </c>
      <c r="DZ261" s="408"/>
      <c r="EA261" s="408">
        <v>0</v>
      </c>
      <c r="EB261" s="408"/>
      <c r="EC261" s="408">
        <v>-39712.175315216271</v>
      </c>
      <c r="ED261" s="408"/>
      <c r="EE261" s="408">
        <v>0</v>
      </c>
      <c r="EF261" s="408">
        <v>0</v>
      </c>
      <c r="EG261" s="408"/>
      <c r="EH261" s="408">
        <v>0</v>
      </c>
      <c r="EI261" s="408">
        <v>0</v>
      </c>
      <c r="EJ261" s="408">
        <v>0</v>
      </c>
      <c r="EK261" s="408">
        <v>0</v>
      </c>
      <c r="EL261" s="408">
        <v>0</v>
      </c>
      <c r="EM261" s="408"/>
      <c r="EN261" s="408"/>
      <c r="EO261" s="408">
        <v>0</v>
      </c>
      <c r="EP261" s="408">
        <v>0</v>
      </c>
      <c r="EQ261" s="408"/>
      <c r="ER261" s="408">
        <v>0</v>
      </c>
      <c r="ES261" s="408"/>
      <c r="ET261" s="408">
        <v>0</v>
      </c>
      <c r="EU261" s="408"/>
      <c r="EV261" s="408">
        <v>238</v>
      </c>
      <c r="EW261" s="408"/>
      <c r="EX261" s="408"/>
      <c r="EY261" s="408"/>
      <c r="EZ261" s="408"/>
      <c r="FA261" s="408">
        <v>0</v>
      </c>
      <c r="FB261" s="408"/>
      <c r="FC261" s="408"/>
      <c r="FD261" s="408"/>
      <c r="FE261" s="408"/>
      <c r="FF261" s="408">
        <v>0</v>
      </c>
      <c r="FG261" s="408">
        <v>0</v>
      </c>
      <c r="FH261" s="408">
        <v>0</v>
      </c>
      <c r="FI261" s="408">
        <v>0</v>
      </c>
    </row>
    <row r="262" spans="1:165">
      <c r="A262" s="408">
        <v>266</v>
      </c>
      <c r="B262" s="408" t="s">
        <v>2238</v>
      </c>
      <c r="C262" s="408" t="s">
        <v>2243</v>
      </c>
      <c r="D262" s="408" t="s">
        <v>597</v>
      </c>
      <c r="E262" s="408" t="s">
        <v>974</v>
      </c>
      <c r="F262" s="408" t="s">
        <v>1322</v>
      </c>
      <c r="G262" s="408" t="s">
        <v>1322</v>
      </c>
      <c r="H262" s="408" t="s">
        <v>1322</v>
      </c>
      <c r="I262" s="408" t="s">
        <v>1322</v>
      </c>
      <c r="J262" s="408" t="s">
        <v>2236</v>
      </c>
      <c r="K262" s="824">
        <v>44501</v>
      </c>
      <c r="L262" s="408">
        <v>736</v>
      </c>
      <c r="M262" s="408">
        <v>706.56</v>
      </c>
      <c r="N262" s="408">
        <v>0</v>
      </c>
      <c r="O262" s="408">
        <v>0</v>
      </c>
      <c r="P262" s="408">
        <v>0</v>
      </c>
      <c r="Q262" s="408">
        <v>0</v>
      </c>
      <c r="R262" s="408">
        <v>44.35</v>
      </c>
      <c r="S262" s="408"/>
      <c r="T262" s="408"/>
      <c r="U262" s="408">
        <v>32641.600000000002</v>
      </c>
      <c r="V262" s="408"/>
      <c r="W262" s="408">
        <v>32641.600000000002</v>
      </c>
      <c r="X262" s="408">
        <v>21321.919999999998</v>
      </c>
      <c r="Y262" s="408">
        <v>0</v>
      </c>
      <c r="Z262" s="408">
        <v>0</v>
      </c>
      <c r="AA262" s="408">
        <v>0</v>
      </c>
      <c r="AB262" s="408">
        <v>0</v>
      </c>
      <c r="AC262" s="408">
        <v>0</v>
      </c>
      <c r="AD262" s="408">
        <v>9657.8388744307813</v>
      </c>
      <c r="AE262" s="408">
        <v>21136.334866309055</v>
      </c>
      <c r="AF262" s="408"/>
      <c r="AG262" s="408"/>
      <c r="AH262" s="408"/>
      <c r="AI262" s="408">
        <v>0</v>
      </c>
      <c r="AJ262" s="408">
        <v>0</v>
      </c>
      <c r="AK262" s="408">
        <v>0</v>
      </c>
      <c r="AL262" s="408">
        <v>0</v>
      </c>
      <c r="AM262" s="408"/>
      <c r="AN262" s="408">
        <v>0</v>
      </c>
      <c r="AO262" s="408">
        <v>729.90642906247172</v>
      </c>
      <c r="AP262" s="408">
        <v>1116.7264655483984</v>
      </c>
      <c r="AQ262" s="408">
        <v>0</v>
      </c>
      <c r="AR262" s="408">
        <v>0</v>
      </c>
      <c r="AS262" s="408"/>
      <c r="AT262" s="408"/>
      <c r="AU262" s="408">
        <v>0</v>
      </c>
      <c r="AV262" s="408">
        <v>0</v>
      </c>
      <c r="AW262" s="408">
        <v>0</v>
      </c>
      <c r="AX262" s="408"/>
      <c r="AY262" s="408"/>
      <c r="AZ262" s="408">
        <v>0</v>
      </c>
      <c r="BA262" s="408"/>
      <c r="BB262" s="408">
        <v>0</v>
      </c>
      <c r="BC262" s="408">
        <v>0</v>
      </c>
      <c r="BD262" s="408">
        <v>0</v>
      </c>
      <c r="BE262" s="408">
        <v>0</v>
      </c>
      <c r="BF262" s="408"/>
      <c r="BG262" s="408">
        <v>0</v>
      </c>
      <c r="BH262" s="408">
        <v>0</v>
      </c>
      <c r="BI262" s="408">
        <v>63.3</v>
      </c>
      <c r="BJ262" s="408">
        <v>296.26</v>
      </c>
      <c r="BK262" s="408">
        <v>20.190000000000001</v>
      </c>
      <c r="BL262" s="408">
        <v>8</v>
      </c>
      <c r="BM262" s="408"/>
      <c r="BN262" s="408"/>
      <c r="BO262" s="408"/>
      <c r="BP262" s="408"/>
      <c r="BQ262" s="408"/>
      <c r="BR262" s="408">
        <v>852.87680000000159</v>
      </c>
      <c r="BS262" s="408"/>
      <c r="BT262" s="408"/>
      <c r="BU262" s="408"/>
      <c r="BV262" s="408">
        <v>0</v>
      </c>
      <c r="BW262" s="408"/>
      <c r="BX262" s="408"/>
      <c r="BY262" s="408"/>
      <c r="BZ262" s="408"/>
      <c r="CA262" s="408"/>
      <c r="CB262" s="408"/>
      <c r="CC262" s="408"/>
      <c r="CD262" s="408"/>
      <c r="CE262" s="408"/>
      <c r="CF262" s="408"/>
      <c r="CG262" s="408"/>
      <c r="CH262" s="408"/>
      <c r="CI262" s="408">
        <v>20469.043199999996</v>
      </c>
      <c r="CJ262" s="408">
        <v>-10866.922799999997</v>
      </c>
      <c r="CK262" s="408"/>
      <c r="CL262" s="408"/>
      <c r="CM262" s="408"/>
      <c r="CN262" s="408"/>
      <c r="CO262" s="408">
        <v>-11319.680000000002</v>
      </c>
      <c r="CP262" s="408">
        <v>0</v>
      </c>
      <c r="CQ262" s="408">
        <v>30</v>
      </c>
      <c r="CR262" s="408">
        <v>539.5552402710764</v>
      </c>
      <c r="CS262" s="408">
        <v>88.123085256393551</v>
      </c>
      <c r="CT262" s="408">
        <v>134.82465369978399</v>
      </c>
      <c r="CU262" s="408">
        <v>0</v>
      </c>
      <c r="CV262" s="408">
        <v>0</v>
      </c>
      <c r="CW262" s="408"/>
      <c r="CX262" s="408"/>
      <c r="CY262" s="408"/>
      <c r="CZ262" s="408">
        <v>316.6075013148984</v>
      </c>
      <c r="DA262" s="408">
        <v>0</v>
      </c>
      <c r="DB262" s="408">
        <v>0</v>
      </c>
      <c r="DC262" s="408"/>
      <c r="DD262" s="408"/>
      <c r="DE262" s="408">
        <v>0</v>
      </c>
      <c r="DF262" s="408">
        <v>0</v>
      </c>
      <c r="DG262" s="408">
        <v>0</v>
      </c>
      <c r="DH262" s="408">
        <v>0</v>
      </c>
      <c r="DI262" s="408">
        <v>0</v>
      </c>
      <c r="DJ262" s="408"/>
      <c r="DK262" s="408">
        <v>0</v>
      </c>
      <c r="DL262" s="408">
        <v>0</v>
      </c>
      <c r="DM262" s="408"/>
      <c r="DN262" s="408">
        <v>0</v>
      </c>
      <c r="DO262" s="408">
        <v>0</v>
      </c>
      <c r="DP262" s="408">
        <v>0</v>
      </c>
      <c r="DQ262" s="408">
        <v>0</v>
      </c>
      <c r="DR262" s="408">
        <v>0</v>
      </c>
      <c r="DS262" s="408"/>
      <c r="DT262" s="408"/>
      <c r="DU262" s="408">
        <v>21136.334866309055</v>
      </c>
      <c r="DV262" s="408"/>
      <c r="DW262" s="408">
        <v>0</v>
      </c>
      <c r="DX262" s="408">
        <v>0</v>
      </c>
      <c r="DY262" s="408">
        <v>-11319.680000000004</v>
      </c>
      <c r="DZ262" s="408"/>
      <c r="EA262" s="408">
        <v>0</v>
      </c>
      <c r="EB262" s="408"/>
      <c r="EC262" s="408">
        <v>-11857.266138742059</v>
      </c>
      <c r="ED262" s="408"/>
      <c r="EE262" s="408">
        <v>0</v>
      </c>
      <c r="EF262" s="408">
        <v>0</v>
      </c>
      <c r="EG262" s="408"/>
      <c r="EH262" s="408">
        <v>0</v>
      </c>
      <c r="EI262" s="408">
        <v>0</v>
      </c>
      <c r="EJ262" s="408">
        <v>0</v>
      </c>
      <c r="EK262" s="408">
        <v>0</v>
      </c>
      <c r="EL262" s="408">
        <v>0</v>
      </c>
      <c r="EM262" s="408"/>
      <c r="EN262" s="408"/>
      <c r="EO262" s="408">
        <v>0</v>
      </c>
      <c r="EP262" s="408">
        <v>0</v>
      </c>
      <c r="EQ262" s="408"/>
      <c r="ER262" s="408">
        <v>0</v>
      </c>
      <c r="ES262" s="408"/>
      <c r="ET262" s="408">
        <v>0</v>
      </c>
      <c r="EU262" s="408"/>
      <c r="EV262" s="408">
        <v>238</v>
      </c>
      <c r="EW262" s="408"/>
      <c r="EX262" s="408"/>
      <c r="EY262" s="408"/>
      <c r="EZ262" s="408"/>
      <c r="FA262" s="408">
        <v>0</v>
      </c>
      <c r="FB262" s="408"/>
      <c r="FC262" s="408"/>
      <c r="FD262" s="408"/>
      <c r="FE262" s="408"/>
      <c r="FF262" s="408">
        <v>0</v>
      </c>
      <c r="FG262" s="408">
        <v>0</v>
      </c>
      <c r="FH262" s="408">
        <v>0</v>
      </c>
      <c r="FI262" s="408">
        <v>0</v>
      </c>
    </row>
    <row r="263" spans="1:165">
      <c r="A263" s="408">
        <v>267</v>
      </c>
      <c r="B263" s="408" t="s">
        <v>1036</v>
      </c>
      <c r="C263" s="408" t="s">
        <v>2235</v>
      </c>
      <c r="D263" s="408" t="s">
        <v>1958</v>
      </c>
      <c r="E263" s="408" t="s">
        <v>2246</v>
      </c>
      <c r="F263" s="408" t="s">
        <v>1322</v>
      </c>
      <c r="G263" s="408" t="s">
        <v>1322</v>
      </c>
      <c r="H263" s="408" t="s">
        <v>1322</v>
      </c>
      <c r="I263" s="408" t="s">
        <v>1322</v>
      </c>
      <c r="J263" s="408" t="s">
        <v>2236</v>
      </c>
      <c r="K263" s="824">
        <v>44501</v>
      </c>
      <c r="L263" s="408">
        <v>0</v>
      </c>
      <c r="M263" s="408">
        <v>0</v>
      </c>
      <c r="N263" s="408">
        <v>292.99</v>
      </c>
      <c r="O263" s="408">
        <v>292.99</v>
      </c>
      <c r="P263" s="408">
        <v>292.99</v>
      </c>
      <c r="Q263" s="408">
        <v>292.99</v>
      </c>
      <c r="R263" s="408"/>
      <c r="S263" s="408">
        <v>581.32000000000005</v>
      </c>
      <c r="T263" s="408">
        <v>209.4</v>
      </c>
      <c r="U263" s="408"/>
      <c r="V263" s="408">
        <v>231673.05280000003</v>
      </c>
      <c r="W263" s="408">
        <v>231673.05280000003</v>
      </c>
      <c r="X263" s="408">
        <v>176986.4693</v>
      </c>
      <c r="Y263" s="408">
        <v>0</v>
      </c>
      <c r="Z263" s="408">
        <v>18029.991511591652</v>
      </c>
      <c r="AA263" s="408">
        <v>0</v>
      </c>
      <c r="AB263" s="408">
        <v>0</v>
      </c>
      <c r="AC263" s="408">
        <v>0</v>
      </c>
      <c r="AD263" s="408">
        <v>21737.263513725691</v>
      </c>
      <c r="AE263" s="408">
        <v>112919.9023305928</v>
      </c>
      <c r="AF263" s="408">
        <v>60546.602009312417</v>
      </c>
      <c r="AG263" s="408">
        <v>806.5912048574246</v>
      </c>
      <c r="AH263" s="408">
        <v>0</v>
      </c>
      <c r="AI263" s="408">
        <v>0</v>
      </c>
      <c r="AJ263" s="408">
        <v>0</v>
      </c>
      <c r="AK263" s="408">
        <v>0</v>
      </c>
      <c r="AL263" s="408">
        <v>2786.2181860050628</v>
      </c>
      <c r="AM263" s="408"/>
      <c r="AN263" s="408">
        <v>534.11031489470065</v>
      </c>
      <c r="AO263" s="408">
        <v>1669.8908722848882</v>
      </c>
      <c r="AP263" s="408">
        <v>2515.374809455494</v>
      </c>
      <c r="AQ263" s="408">
        <v>0</v>
      </c>
      <c r="AR263" s="408">
        <v>0</v>
      </c>
      <c r="AS263" s="408">
        <v>0</v>
      </c>
      <c r="AT263" s="408">
        <v>0</v>
      </c>
      <c r="AU263" s="408">
        <v>0</v>
      </c>
      <c r="AV263" s="408">
        <v>0</v>
      </c>
      <c r="AW263" s="408">
        <v>0</v>
      </c>
      <c r="AX263" s="408">
        <v>0</v>
      </c>
      <c r="AY263" s="408">
        <v>0</v>
      </c>
      <c r="AZ263" s="408">
        <v>0</v>
      </c>
      <c r="BA263" s="408"/>
      <c r="BB263" s="408">
        <v>0</v>
      </c>
      <c r="BC263" s="408">
        <v>0</v>
      </c>
      <c r="BD263" s="408">
        <v>0</v>
      </c>
      <c r="BE263" s="408">
        <v>0</v>
      </c>
      <c r="BF263" s="408">
        <v>0</v>
      </c>
      <c r="BG263" s="408">
        <v>10129.333330195024</v>
      </c>
      <c r="BH263" s="408">
        <v>0</v>
      </c>
      <c r="BI263" s="408">
        <v>619.71</v>
      </c>
      <c r="BJ263" s="408">
        <v>2909.84</v>
      </c>
      <c r="BK263" s="408">
        <v>83194.91</v>
      </c>
      <c r="BL263" s="408">
        <v>478</v>
      </c>
      <c r="BM263" s="408"/>
      <c r="BN263" s="408"/>
      <c r="BO263" s="408"/>
      <c r="BP263" s="408"/>
      <c r="BQ263" s="408"/>
      <c r="BR263" s="408"/>
      <c r="BS263" s="408"/>
      <c r="BT263" s="408"/>
      <c r="BU263" s="408"/>
      <c r="BV263" s="408">
        <v>70675.935339507443</v>
      </c>
      <c r="BW263" s="408"/>
      <c r="BX263" s="408"/>
      <c r="BY263" s="408"/>
      <c r="BZ263" s="408"/>
      <c r="CA263" s="408"/>
      <c r="CB263" s="408"/>
      <c r="CC263" s="408"/>
      <c r="CD263" s="408"/>
      <c r="CE263" s="408"/>
      <c r="CF263" s="408"/>
      <c r="CG263" s="408"/>
      <c r="CH263" s="408"/>
      <c r="CI263" s="408">
        <v>176986.4693</v>
      </c>
      <c r="CJ263" s="408">
        <v>-54686.613500000065</v>
      </c>
      <c r="CK263" s="408"/>
      <c r="CL263" s="408"/>
      <c r="CM263" s="408"/>
      <c r="CN263" s="408"/>
      <c r="CO263" s="408">
        <v>-61375.545200000022</v>
      </c>
      <c r="CP263" s="408">
        <v>6688.9616999999953</v>
      </c>
      <c r="CQ263" s="408">
        <v>30</v>
      </c>
      <c r="CR263" s="408">
        <v>8656.058679059046</v>
      </c>
      <c r="CS263" s="408">
        <v>201.6093157259229</v>
      </c>
      <c r="CT263" s="408">
        <v>303.68630821644638</v>
      </c>
      <c r="CU263" s="408">
        <v>0</v>
      </c>
      <c r="CV263" s="408">
        <v>0</v>
      </c>
      <c r="CW263" s="408">
        <v>0</v>
      </c>
      <c r="CX263" s="408">
        <v>0</v>
      </c>
      <c r="CY263" s="408">
        <v>0</v>
      </c>
      <c r="CZ263" s="408">
        <v>712.60048712597927</v>
      </c>
      <c r="DA263" s="408">
        <v>0</v>
      </c>
      <c r="DB263" s="408">
        <v>0</v>
      </c>
      <c r="DC263" s="408">
        <v>6686.93541818222</v>
      </c>
      <c r="DD263" s="408">
        <v>0</v>
      </c>
      <c r="DE263" s="408">
        <v>0</v>
      </c>
      <c r="DF263" s="408">
        <v>0</v>
      </c>
      <c r="DG263" s="408">
        <v>1118.711794888739</v>
      </c>
      <c r="DH263" s="408">
        <v>0</v>
      </c>
      <c r="DI263" s="408">
        <v>-314.30102674325099</v>
      </c>
      <c r="DJ263" s="408"/>
      <c r="DK263" s="408">
        <v>0</v>
      </c>
      <c r="DL263" s="408">
        <v>0</v>
      </c>
      <c r="DM263" s="408">
        <v>0</v>
      </c>
      <c r="DN263" s="408">
        <v>0</v>
      </c>
      <c r="DO263" s="408">
        <v>-40.834735891318815</v>
      </c>
      <c r="DP263" s="408">
        <v>-12.348882445696631</v>
      </c>
      <c r="DQ263" s="408">
        <v>0</v>
      </c>
      <c r="DR263" s="408">
        <v>0</v>
      </c>
      <c r="DS263" s="408"/>
      <c r="DT263" s="408"/>
      <c r="DU263" s="408"/>
      <c r="DV263" s="408">
        <v>112919.9023305928</v>
      </c>
      <c r="DW263" s="408">
        <v>0</v>
      </c>
      <c r="DX263" s="408">
        <v>0</v>
      </c>
      <c r="DY263" s="408">
        <v>-61375.545200000037</v>
      </c>
      <c r="DZ263" s="408">
        <v>6688.9616999999926</v>
      </c>
      <c r="EA263" s="408">
        <v>0</v>
      </c>
      <c r="EB263" s="408">
        <v>0</v>
      </c>
      <c r="EC263" s="408">
        <v>-63346.902041603011</v>
      </c>
      <c r="ED263" s="408">
        <v>0</v>
      </c>
      <c r="EE263" s="408">
        <v>0</v>
      </c>
      <c r="EF263" s="408">
        <v>0</v>
      </c>
      <c r="EG263" s="408">
        <v>0</v>
      </c>
      <c r="EH263" s="408">
        <v>0</v>
      </c>
      <c r="EI263" s="408">
        <v>0</v>
      </c>
      <c r="EJ263" s="408">
        <v>0</v>
      </c>
      <c r="EK263" s="408">
        <v>0</v>
      </c>
      <c r="EL263" s="408">
        <v>0</v>
      </c>
      <c r="EM263" s="408">
        <v>0</v>
      </c>
      <c r="EN263" s="408">
        <v>0</v>
      </c>
      <c r="EO263" s="408">
        <v>0</v>
      </c>
      <c r="EP263" s="408">
        <v>0</v>
      </c>
      <c r="EQ263" s="408">
        <v>0</v>
      </c>
      <c r="ER263" s="408">
        <v>0</v>
      </c>
      <c r="ES263" s="408">
        <v>0</v>
      </c>
      <c r="ET263" s="408">
        <v>0</v>
      </c>
      <c r="EU263" s="408">
        <v>0</v>
      </c>
      <c r="EV263" s="408">
        <v>238</v>
      </c>
      <c r="EW263" s="408">
        <v>0</v>
      </c>
      <c r="EX263" s="408">
        <v>0</v>
      </c>
      <c r="EY263" s="408">
        <v>0</v>
      </c>
      <c r="EZ263" s="408"/>
      <c r="FA263" s="408">
        <v>0</v>
      </c>
      <c r="FB263" s="408"/>
      <c r="FC263" s="408"/>
      <c r="FD263" s="408"/>
      <c r="FE263" s="408"/>
      <c r="FF263" s="408">
        <v>0</v>
      </c>
      <c r="FG263" s="408">
        <v>0</v>
      </c>
      <c r="FH263" s="408">
        <v>0</v>
      </c>
      <c r="FI263" s="408">
        <v>0</v>
      </c>
    </row>
    <row r="264" spans="1:165">
      <c r="A264" s="408">
        <v>268</v>
      </c>
      <c r="B264" s="408" t="s">
        <v>2238</v>
      </c>
      <c r="C264" s="408" t="s">
        <v>2235</v>
      </c>
      <c r="D264" s="408" t="s">
        <v>1958</v>
      </c>
      <c r="E264" s="408" t="s">
        <v>2246</v>
      </c>
      <c r="F264" s="408" t="s">
        <v>1322</v>
      </c>
      <c r="G264" s="408" t="s">
        <v>1322</v>
      </c>
      <c r="H264" s="408" t="s">
        <v>1322</v>
      </c>
      <c r="I264" s="408" t="s">
        <v>1322</v>
      </c>
      <c r="J264" s="408" t="s">
        <v>2236</v>
      </c>
      <c r="K264" s="824">
        <v>44501</v>
      </c>
      <c r="L264" s="408">
        <v>0</v>
      </c>
      <c r="M264" s="408">
        <v>0</v>
      </c>
      <c r="N264" s="408">
        <v>3.42</v>
      </c>
      <c r="O264" s="408">
        <v>3.42</v>
      </c>
      <c r="P264" s="408">
        <v>3.42</v>
      </c>
      <c r="Q264" s="408">
        <v>3.42</v>
      </c>
      <c r="R264" s="408"/>
      <c r="S264" s="408">
        <v>581.32000000000005</v>
      </c>
      <c r="T264" s="408">
        <v>209.4</v>
      </c>
      <c r="U264" s="408"/>
      <c r="V264" s="408">
        <v>2704.2624000000001</v>
      </c>
      <c r="W264" s="408">
        <v>2704.2624000000001</v>
      </c>
      <c r="X264" s="408">
        <v>2065.9193999999998</v>
      </c>
      <c r="Y264" s="408">
        <v>0</v>
      </c>
      <c r="Z264" s="408">
        <v>210.45964357023601</v>
      </c>
      <c r="AA264" s="408">
        <v>0</v>
      </c>
      <c r="AB264" s="408">
        <v>0</v>
      </c>
      <c r="AC264" s="408">
        <v>0</v>
      </c>
      <c r="AD264" s="408">
        <v>253.73371520168556</v>
      </c>
      <c r="AE264" s="408">
        <v>1318.0861666631195</v>
      </c>
      <c r="AF264" s="408">
        <v>706.74555060530554</v>
      </c>
      <c r="AG264" s="408">
        <v>9.4151401775227548</v>
      </c>
      <c r="AH264" s="408">
        <v>0</v>
      </c>
      <c r="AI264" s="408">
        <v>0</v>
      </c>
      <c r="AJ264" s="408">
        <v>0</v>
      </c>
      <c r="AK264" s="408">
        <v>0</v>
      </c>
      <c r="AL264" s="408">
        <v>32.522837626326201</v>
      </c>
      <c r="AM264" s="408"/>
      <c r="AN264" s="408">
        <v>6.2345379601347348</v>
      </c>
      <c r="AO264" s="408">
        <v>19.492224250705885</v>
      </c>
      <c r="AP264" s="408">
        <v>29.361349699094813</v>
      </c>
      <c r="AQ264" s="408">
        <v>0</v>
      </c>
      <c r="AR264" s="408">
        <v>0</v>
      </c>
      <c r="AS264" s="408">
        <v>0</v>
      </c>
      <c r="AT264" s="408">
        <v>0</v>
      </c>
      <c r="AU264" s="408">
        <v>0</v>
      </c>
      <c r="AV264" s="408">
        <v>0</v>
      </c>
      <c r="AW264" s="408">
        <v>0</v>
      </c>
      <c r="AX264" s="408">
        <v>0</v>
      </c>
      <c r="AY264" s="408">
        <v>0</v>
      </c>
      <c r="AZ264" s="408">
        <v>0</v>
      </c>
      <c r="BA264" s="408"/>
      <c r="BB264" s="408">
        <v>0</v>
      </c>
      <c r="BC264" s="408">
        <v>0</v>
      </c>
      <c r="BD264" s="408">
        <v>0</v>
      </c>
      <c r="BE264" s="408">
        <v>0</v>
      </c>
      <c r="BF264" s="408">
        <v>0</v>
      </c>
      <c r="BG264" s="408">
        <v>118.23720942444103</v>
      </c>
      <c r="BH264" s="408">
        <v>0</v>
      </c>
      <c r="BI264" s="408">
        <v>7.25</v>
      </c>
      <c r="BJ264" s="408">
        <v>33.96</v>
      </c>
      <c r="BK264" s="408">
        <v>485.67</v>
      </c>
      <c r="BL264" s="408">
        <v>3</v>
      </c>
      <c r="BM264" s="408"/>
      <c r="BN264" s="408"/>
      <c r="BO264" s="408"/>
      <c r="BP264" s="408"/>
      <c r="BQ264" s="408"/>
      <c r="BR264" s="408"/>
      <c r="BS264" s="408"/>
      <c r="BT264" s="408"/>
      <c r="BU264" s="408"/>
      <c r="BV264" s="408">
        <v>824.9827600297466</v>
      </c>
      <c r="BW264" s="408"/>
      <c r="BX264" s="408"/>
      <c r="BY264" s="408"/>
      <c r="BZ264" s="408"/>
      <c r="CA264" s="408"/>
      <c r="CB264" s="408"/>
      <c r="CC264" s="408"/>
      <c r="CD264" s="408"/>
      <c r="CE264" s="408"/>
      <c r="CF264" s="408"/>
      <c r="CG264" s="408"/>
      <c r="CH264" s="408"/>
      <c r="CI264" s="408">
        <v>2065.9193999999998</v>
      </c>
      <c r="CJ264" s="408">
        <v>-638.3730000000005</v>
      </c>
      <c r="CK264" s="408"/>
      <c r="CL264" s="408"/>
      <c r="CM264" s="408"/>
      <c r="CN264" s="408"/>
      <c r="CO264" s="408">
        <v>-716.42160000000024</v>
      </c>
      <c r="CP264" s="408">
        <v>78.078599999999938</v>
      </c>
      <c r="CQ264" s="408">
        <v>30</v>
      </c>
      <c r="CR264" s="408">
        <v>101.04003782511995</v>
      </c>
      <c r="CS264" s="408">
        <v>2.3533358127671811</v>
      </c>
      <c r="CT264" s="408">
        <v>3.544855367419526</v>
      </c>
      <c r="CU264" s="408">
        <v>0</v>
      </c>
      <c r="CV264" s="408">
        <v>0</v>
      </c>
      <c r="CW264" s="408">
        <v>0</v>
      </c>
      <c r="CX264" s="408">
        <v>0</v>
      </c>
      <c r="CY264" s="408">
        <v>0</v>
      </c>
      <c r="CZ264" s="408">
        <v>8.3180097135426365</v>
      </c>
      <c r="DA264" s="408">
        <v>0</v>
      </c>
      <c r="DB264" s="408">
        <v>0</v>
      </c>
      <c r="DC264" s="408">
        <v>78.054947712151147</v>
      </c>
      <c r="DD264" s="408">
        <v>0</v>
      </c>
      <c r="DE264" s="408">
        <v>0</v>
      </c>
      <c r="DF264" s="408">
        <v>0</v>
      </c>
      <c r="DG264" s="408">
        <v>13.058446836136</v>
      </c>
      <c r="DH264" s="408">
        <v>0</v>
      </c>
      <c r="DI264" s="408">
        <v>-3.6687583585170671</v>
      </c>
      <c r="DJ264" s="408"/>
      <c r="DK264" s="408">
        <v>0</v>
      </c>
      <c r="DL264" s="408">
        <v>0</v>
      </c>
      <c r="DM264" s="408">
        <v>0</v>
      </c>
      <c r="DN264" s="408">
        <v>0</v>
      </c>
      <c r="DO264" s="408">
        <v>-0.47665379961196663</v>
      </c>
      <c r="DP264" s="408">
        <v>-0.14414545876747464</v>
      </c>
      <c r="DQ264" s="408">
        <v>0</v>
      </c>
      <c r="DR264" s="408">
        <v>0</v>
      </c>
      <c r="DS264" s="408"/>
      <c r="DT264" s="408"/>
      <c r="DU264" s="408"/>
      <c r="DV264" s="408">
        <v>1318.0861666631195</v>
      </c>
      <c r="DW264" s="408">
        <v>0</v>
      </c>
      <c r="DX264" s="408">
        <v>0</v>
      </c>
      <c r="DY264" s="408">
        <v>-716.42160000000035</v>
      </c>
      <c r="DZ264" s="408">
        <v>78.078599999999938</v>
      </c>
      <c r="EA264" s="408">
        <v>0</v>
      </c>
      <c r="EB264" s="408">
        <v>0</v>
      </c>
      <c r="EC264" s="408">
        <v>-739.43276214984223</v>
      </c>
      <c r="ED264" s="408">
        <v>0</v>
      </c>
      <c r="EE264" s="408">
        <v>0</v>
      </c>
      <c r="EF264" s="408">
        <v>0</v>
      </c>
      <c r="EG264" s="408">
        <v>0</v>
      </c>
      <c r="EH264" s="408">
        <v>0</v>
      </c>
      <c r="EI264" s="408">
        <v>0</v>
      </c>
      <c r="EJ264" s="408">
        <v>0</v>
      </c>
      <c r="EK264" s="408">
        <v>0</v>
      </c>
      <c r="EL264" s="408">
        <v>0</v>
      </c>
      <c r="EM264" s="408">
        <v>0</v>
      </c>
      <c r="EN264" s="408">
        <v>0</v>
      </c>
      <c r="EO264" s="408">
        <v>0</v>
      </c>
      <c r="EP264" s="408">
        <v>0</v>
      </c>
      <c r="EQ264" s="408">
        <v>0</v>
      </c>
      <c r="ER264" s="408">
        <v>0</v>
      </c>
      <c r="ES264" s="408">
        <v>0</v>
      </c>
      <c r="ET264" s="408">
        <v>0</v>
      </c>
      <c r="EU264" s="408">
        <v>0</v>
      </c>
      <c r="EV264" s="408">
        <v>238</v>
      </c>
      <c r="EW264" s="408">
        <v>0</v>
      </c>
      <c r="EX264" s="408">
        <v>0</v>
      </c>
      <c r="EY264" s="408">
        <v>0</v>
      </c>
      <c r="EZ264" s="408"/>
      <c r="FA264" s="408">
        <v>0</v>
      </c>
      <c r="FB264" s="408"/>
      <c r="FC264" s="408"/>
      <c r="FD264" s="408"/>
      <c r="FE264" s="408"/>
      <c r="FF264" s="408">
        <v>0</v>
      </c>
      <c r="FG264" s="408">
        <v>0</v>
      </c>
      <c r="FH264" s="408">
        <v>0</v>
      </c>
      <c r="FI264" s="408">
        <v>0</v>
      </c>
    </row>
    <row r="265" spans="1:165">
      <c r="A265" s="408">
        <v>269</v>
      </c>
      <c r="B265" s="408" t="s">
        <v>1036</v>
      </c>
      <c r="C265" s="408" t="s">
        <v>2243</v>
      </c>
      <c r="D265" s="408" t="s">
        <v>597</v>
      </c>
      <c r="E265" s="408" t="s">
        <v>2246</v>
      </c>
      <c r="F265" s="408" t="s">
        <v>1322</v>
      </c>
      <c r="G265" s="408" t="s">
        <v>1322</v>
      </c>
      <c r="H265" s="408" t="s">
        <v>1322</v>
      </c>
      <c r="I265" s="408" t="s">
        <v>973</v>
      </c>
      <c r="J265" s="408" t="s">
        <v>2236</v>
      </c>
      <c r="K265" s="824">
        <v>44501</v>
      </c>
      <c r="L265" s="408">
        <v>0</v>
      </c>
      <c r="M265" s="408">
        <v>0</v>
      </c>
      <c r="N265" s="408">
        <v>0.36899999999999999</v>
      </c>
      <c r="O265" s="408">
        <v>0.36899999999999999</v>
      </c>
      <c r="P265" s="408">
        <v>0.36899999999999999</v>
      </c>
      <c r="Q265" s="408">
        <v>0.36899999999999999</v>
      </c>
      <c r="R265" s="408"/>
      <c r="S265" s="408">
        <v>1614.19</v>
      </c>
      <c r="T265" s="408">
        <v>209.4</v>
      </c>
      <c r="U265" s="408"/>
      <c r="V265" s="408">
        <v>672.90471000000002</v>
      </c>
      <c r="W265" s="408">
        <v>672.90471000000002</v>
      </c>
      <c r="X265" s="408">
        <v>447.28334999999993</v>
      </c>
      <c r="Y265" s="408">
        <v>0</v>
      </c>
      <c r="Z265" s="408">
        <v>19.755514437237693</v>
      </c>
      <c r="AA265" s="408">
        <v>0</v>
      </c>
      <c r="AB265" s="408">
        <v>0</v>
      </c>
      <c r="AC265" s="408">
        <v>0</v>
      </c>
      <c r="AD265" s="408">
        <v>114.9132384369349</v>
      </c>
      <c r="AE265" s="408">
        <v>429.08671135653088</v>
      </c>
      <c r="AF265" s="408">
        <v>76.254125196888225</v>
      </c>
      <c r="AG265" s="408">
        <v>1.0158440717853499</v>
      </c>
      <c r="AH265" s="408">
        <v>0</v>
      </c>
      <c r="AI265" s="408">
        <v>0</v>
      </c>
      <c r="AJ265" s="408">
        <v>0</v>
      </c>
      <c r="AK265" s="408">
        <v>0</v>
      </c>
      <c r="AL265" s="408">
        <v>3.5090430070509848</v>
      </c>
      <c r="AM265" s="408"/>
      <c r="AN265" s="408">
        <v>0.48997454983949629</v>
      </c>
      <c r="AO265" s="408">
        <v>8.9279274625496576</v>
      </c>
      <c r="AP265" s="408">
        <v>13.29828171486991</v>
      </c>
      <c r="AQ265" s="408">
        <v>0</v>
      </c>
      <c r="AR265" s="408">
        <v>0</v>
      </c>
      <c r="AS265" s="408">
        <v>0</v>
      </c>
      <c r="AT265" s="408">
        <v>0</v>
      </c>
      <c r="AU265" s="408">
        <v>0</v>
      </c>
      <c r="AV265" s="408">
        <v>0</v>
      </c>
      <c r="AW265" s="408">
        <v>0</v>
      </c>
      <c r="AX265" s="408">
        <v>0</v>
      </c>
      <c r="AY265" s="408">
        <v>0</v>
      </c>
      <c r="AZ265" s="408">
        <v>0</v>
      </c>
      <c r="BA265" s="408"/>
      <c r="BB265" s="408">
        <v>0</v>
      </c>
      <c r="BC265" s="408">
        <v>0</v>
      </c>
      <c r="BD265" s="408">
        <v>0</v>
      </c>
      <c r="BE265" s="408">
        <v>0</v>
      </c>
      <c r="BF265" s="408">
        <v>0</v>
      </c>
      <c r="BG265" s="408">
        <v>5.6547170172904018</v>
      </c>
      <c r="BH265" s="408">
        <v>0</v>
      </c>
      <c r="BI265" s="408">
        <v>0</v>
      </c>
      <c r="BJ265" s="408">
        <v>0</v>
      </c>
      <c r="BK265" s="408">
        <v>0</v>
      </c>
      <c r="BL265" s="408">
        <v>0</v>
      </c>
      <c r="BM265" s="408"/>
      <c r="BN265" s="408"/>
      <c r="BO265" s="408"/>
      <c r="BP265" s="408"/>
      <c r="BQ265" s="408"/>
      <c r="BR265" s="408"/>
      <c r="BS265" s="408"/>
      <c r="BT265" s="408"/>
      <c r="BU265" s="408"/>
      <c r="BV265" s="408">
        <v>81.908842214178634</v>
      </c>
      <c r="BW265" s="408"/>
      <c r="BX265" s="408"/>
      <c r="BY265" s="408"/>
      <c r="BZ265" s="408"/>
      <c r="CA265" s="408"/>
      <c r="CB265" s="408"/>
      <c r="CC265" s="408"/>
      <c r="CD265" s="408"/>
      <c r="CE265" s="408"/>
      <c r="CF265" s="408"/>
      <c r="CG265" s="408"/>
      <c r="CH265" s="408"/>
      <c r="CI265" s="408">
        <v>448.49549999999999</v>
      </c>
      <c r="CJ265" s="408">
        <v>-224.43921</v>
      </c>
      <c r="CK265" s="408"/>
      <c r="CL265" s="408"/>
      <c r="CM265" s="408"/>
      <c r="CN265" s="408"/>
      <c r="CO265" s="408">
        <v>-234.04563000000005</v>
      </c>
      <c r="CP265" s="408">
        <v>8.4242699999999946</v>
      </c>
      <c r="CQ265" s="408">
        <v>30</v>
      </c>
      <c r="CR265" s="408">
        <v>15.089654757040449</v>
      </c>
      <c r="CS265" s="408">
        <v>1.0778868107186046</v>
      </c>
      <c r="CT265" s="408">
        <v>1.6055285536096289</v>
      </c>
      <c r="CU265" s="408">
        <v>0</v>
      </c>
      <c r="CV265" s="408">
        <v>0</v>
      </c>
      <c r="CW265" s="408">
        <v>0</v>
      </c>
      <c r="CX265" s="408">
        <v>0</v>
      </c>
      <c r="CY265" s="408">
        <v>0</v>
      </c>
      <c r="CZ265" s="408">
        <v>3.7671360811207677</v>
      </c>
      <c r="DA265" s="408">
        <v>0</v>
      </c>
      <c r="DB265" s="408">
        <v>0</v>
      </c>
      <c r="DC265" s="408">
        <v>8.4217180426268357</v>
      </c>
      <c r="DD265" s="408">
        <v>0</v>
      </c>
      <c r="DE265" s="408">
        <v>0</v>
      </c>
      <c r="DF265" s="408">
        <v>0</v>
      </c>
      <c r="DG265" s="408">
        <v>0.62452270231284768</v>
      </c>
      <c r="DH265" s="408">
        <v>0</v>
      </c>
      <c r="DI265" s="408">
        <v>-0.34438055433765413</v>
      </c>
      <c r="DJ265" s="408"/>
      <c r="DK265" s="408">
        <v>0</v>
      </c>
      <c r="DL265" s="408">
        <v>0</v>
      </c>
      <c r="DM265" s="408">
        <v>0</v>
      </c>
      <c r="DN265" s="408">
        <v>0</v>
      </c>
      <c r="DO265" s="408">
        <v>-5.1428436273922795E-2</v>
      </c>
      <c r="DP265" s="408">
        <v>-1.1328442736675992E-2</v>
      </c>
      <c r="DQ265" s="408">
        <v>0</v>
      </c>
      <c r="DR265" s="408">
        <v>0</v>
      </c>
      <c r="DS265" s="408"/>
      <c r="DT265" s="408"/>
      <c r="DU265" s="408"/>
      <c r="DV265" s="408">
        <v>429.08671135653088</v>
      </c>
      <c r="DW265" s="408">
        <v>0</v>
      </c>
      <c r="DX265" s="408">
        <v>0</v>
      </c>
      <c r="DY265" s="408">
        <v>-234.04563000000007</v>
      </c>
      <c r="DZ265" s="408">
        <v>8.4242699999999928</v>
      </c>
      <c r="EA265" s="408">
        <v>0</v>
      </c>
      <c r="EB265" s="408">
        <v>0</v>
      </c>
      <c r="EC265" s="408">
        <v>-240.71322513260594</v>
      </c>
      <c r="ED265" s="408">
        <v>0</v>
      </c>
      <c r="EE265" s="408">
        <v>0</v>
      </c>
      <c r="EF265" s="408">
        <v>0</v>
      </c>
      <c r="EG265" s="408">
        <v>0</v>
      </c>
      <c r="EH265" s="408">
        <v>0</v>
      </c>
      <c r="EI265" s="408">
        <v>0</v>
      </c>
      <c r="EJ265" s="408">
        <v>0</v>
      </c>
      <c r="EK265" s="408">
        <v>0</v>
      </c>
      <c r="EL265" s="408">
        <v>0</v>
      </c>
      <c r="EM265" s="408">
        <v>0</v>
      </c>
      <c r="EN265" s="408">
        <v>0</v>
      </c>
      <c r="EO265" s="408">
        <v>0</v>
      </c>
      <c r="EP265" s="408">
        <v>0</v>
      </c>
      <c r="EQ265" s="408">
        <v>0</v>
      </c>
      <c r="ER265" s="408">
        <v>0</v>
      </c>
      <c r="ES265" s="408">
        <v>0</v>
      </c>
      <c r="ET265" s="408">
        <v>0</v>
      </c>
      <c r="EU265" s="408">
        <v>0</v>
      </c>
      <c r="EV265" s="408">
        <v>238</v>
      </c>
      <c r="EW265" s="408">
        <v>0</v>
      </c>
      <c r="EX265" s="408">
        <v>0</v>
      </c>
      <c r="EY265" s="408">
        <v>0</v>
      </c>
      <c r="EZ265" s="408"/>
      <c r="FA265" s="408">
        <v>0</v>
      </c>
      <c r="FB265" s="408"/>
      <c r="FC265" s="408"/>
      <c r="FD265" s="408"/>
      <c r="FE265" s="408"/>
      <c r="FF265" s="408">
        <v>0</v>
      </c>
      <c r="FG265" s="408">
        <v>0</v>
      </c>
      <c r="FH265" s="408">
        <v>0</v>
      </c>
      <c r="FI265" s="408">
        <v>0</v>
      </c>
    </row>
    <row r="266" spans="1:165">
      <c r="A266" s="408">
        <v>270</v>
      </c>
      <c r="B266" s="408" t="s">
        <v>1036</v>
      </c>
      <c r="C266" s="408" t="s">
        <v>2243</v>
      </c>
      <c r="D266" s="408" t="s">
        <v>597</v>
      </c>
      <c r="E266" s="408" t="s">
        <v>2246</v>
      </c>
      <c r="F266" s="408" t="s">
        <v>1322</v>
      </c>
      <c r="G266" s="408" t="s">
        <v>1322</v>
      </c>
      <c r="H266" s="408" t="s">
        <v>1322</v>
      </c>
      <c r="I266" s="408" t="s">
        <v>2244</v>
      </c>
      <c r="J266" s="408" t="s">
        <v>2236</v>
      </c>
      <c r="K266" s="824">
        <v>44501</v>
      </c>
      <c r="L266" s="408">
        <v>0</v>
      </c>
      <c r="M266" s="408">
        <v>0</v>
      </c>
      <c r="N266" s="408">
        <v>9.2490000000000006</v>
      </c>
      <c r="O266" s="408">
        <v>9.2490000000000006</v>
      </c>
      <c r="P266" s="408">
        <v>9.2490000000000006</v>
      </c>
      <c r="Q266" s="408">
        <v>9.2490000000000006</v>
      </c>
      <c r="R266" s="408"/>
      <c r="S266" s="408">
        <v>79.7</v>
      </c>
      <c r="T266" s="408">
        <v>209.4</v>
      </c>
      <c r="U266" s="408"/>
      <c r="V266" s="408">
        <v>2673.8859000000002</v>
      </c>
      <c r="W266" s="408">
        <v>2673.8859000000002</v>
      </c>
      <c r="X266" s="408">
        <v>2890.49748</v>
      </c>
      <c r="Y266" s="408">
        <v>0</v>
      </c>
      <c r="Z266" s="408">
        <v>495.17277243905539</v>
      </c>
      <c r="AA266" s="408">
        <v>0</v>
      </c>
      <c r="AB266" s="408">
        <v>0</v>
      </c>
      <c r="AC266" s="408">
        <v>0</v>
      </c>
      <c r="AD266" s="408">
        <v>0</v>
      </c>
      <c r="AE266" s="408">
        <v>0</v>
      </c>
      <c r="AF266" s="408">
        <v>1911.3127478211904</v>
      </c>
      <c r="AG266" s="408">
        <v>25.46217295377426</v>
      </c>
      <c r="AH266" s="408">
        <v>0</v>
      </c>
      <c r="AI266" s="408">
        <v>0</v>
      </c>
      <c r="AJ266" s="408">
        <v>0</v>
      </c>
      <c r="AK266" s="408">
        <v>0</v>
      </c>
      <c r="AL266" s="408">
        <v>87.954305615757619</v>
      </c>
      <c r="AM266" s="408"/>
      <c r="AN266" s="408">
        <v>12.281232009391601</v>
      </c>
      <c r="AO266" s="408">
        <v>0</v>
      </c>
      <c r="AP266" s="408">
        <v>0</v>
      </c>
      <c r="AQ266" s="408">
        <v>0</v>
      </c>
      <c r="AR266" s="408">
        <v>0</v>
      </c>
      <c r="AS266" s="408">
        <v>0</v>
      </c>
      <c r="AT266" s="408">
        <v>0</v>
      </c>
      <c r="AU266" s="408">
        <v>0</v>
      </c>
      <c r="AV266" s="408">
        <v>0</v>
      </c>
      <c r="AW266" s="408">
        <v>0</v>
      </c>
      <c r="AX266" s="408">
        <v>0</v>
      </c>
      <c r="AY266" s="408">
        <v>0</v>
      </c>
      <c r="AZ266" s="408">
        <v>0</v>
      </c>
      <c r="BA266" s="408"/>
      <c r="BB266" s="408">
        <v>0</v>
      </c>
      <c r="BC266" s="408">
        <v>0</v>
      </c>
      <c r="BD266" s="408">
        <v>0</v>
      </c>
      <c r="BE266" s="408">
        <v>0</v>
      </c>
      <c r="BF266" s="408">
        <v>0</v>
      </c>
      <c r="BG266" s="408">
        <v>141.73571190492933</v>
      </c>
      <c r="BH266" s="408">
        <v>0</v>
      </c>
      <c r="BI266" s="408">
        <v>0</v>
      </c>
      <c r="BJ266" s="408">
        <v>0</v>
      </c>
      <c r="BK266" s="408">
        <v>0</v>
      </c>
      <c r="BL266" s="408">
        <v>0</v>
      </c>
      <c r="BM266" s="408"/>
      <c r="BN266" s="408"/>
      <c r="BO266" s="408"/>
      <c r="BP266" s="408"/>
      <c r="BQ266" s="408"/>
      <c r="BR266" s="408"/>
      <c r="BS266" s="408"/>
      <c r="BT266" s="408"/>
      <c r="BU266" s="408"/>
      <c r="BV266" s="408">
        <v>2053.0484597261197</v>
      </c>
      <c r="BW266" s="408"/>
      <c r="BX266" s="408"/>
      <c r="BY266" s="408"/>
      <c r="BZ266" s="408"/>
      <c r="CA266" s="408"/>
      <c r="CB266" s="408"/>
      <c r="CC266" s="408"/>
      <c r="CD266" s="408"/>
      <c r="CE266" s="408"/>
      <c r="CF266" s="408"/>
      <c r="CG266" s="408"/>
      <c r="CH266" s="408"/>
      <c r="CI266" s="408">
        <v>2890.81</v>
      </c>
      <c r="CJ266" s="408">
        <v>216.89409999999953</v>
      </c>
      <c r="CK266" s="408"/>
      <c r="CL266" s="408"/>
      <c r="CM266" s="408"/>
      <c r="CN266" s="408"/>
      <c r="CO266" s="408">
        <v>5.4569100000000317</v>
      </c>
      <c r="CP266" s="408">
        <v>211.15466999999987</v>
      </c>
      <c r="CQ266" s="408">
        <v>30</v>
      </c>
      <c r="CR266" s="408">
        <v>216.53947568810054</v>
      </c>
      <c r="CS266" s="408">
        <v>0</v>
      </c>
      <c r="CT266" s="408">
        <v>0</v>
      </c>
      <c r="CU266" s="408">
        <v>0</v>
      </c>
      <c r="CV266" s="408">
        <v>0</v>
      </c>
      <c r="CW266" s="408">
        <v>0</v>
      </c>
      <c r="CX266" s="408">
        <v>0</v>
      </c>
      <c r="CY266" s="408">
        <v>0</v>
      </c>
      <c r="CZ266" s="408">
        <v>0</v>
      </c>
      <c r="DA266" s="408">
        <v>0</v>
      </c>
      <c r="DB266" s="408">
        <v>0</v>
      </c>
      <c r="DC266" s="408">
        <v>211.09070508470359</v>
      </c>
      <c r="DD266" s="408">
        <v>0</v>
      </c>
      <c r="DE266" s="408">
        <v>0</v>
      </c>
      <c r="DF266" s="408">
        <v>0</v>
      </c>
      <c r="DG266" s="408">
        <v>15.653686920573278</v>
      </c>
      <c r="DH266" s="408">
        <v>0</v>
      </c>
      <c r="DI266" s="408">
        <v>-8.6319125936828982</v>
      </c>
      <c r="DJ266" s="408"/>
      <c r="DK266" s="408">
        <v>0</v>
      </c>
      <c r="DL266" s="408">
        <v>0</v>
      </c>
      <c r="DM266" s="408">
        <v>0</v>
      </c>
      <c r="DN266" s="408">
        <v>0</v>
      </c>
      <c r="DO266" s="408">
        <v>-1.289055845792717</v>
      </c>
      <c r="DP266" s="408">
        <v>-0.28394787770058372</v>
      </c>
      <c r="DQ266" s="408">
        <v>0</v>
      </c>
      <c r="DR266" s="408">
        <v>0</v>
      </c>
      <c r="DS266" s="408"/>
      <c r="DT266" s="408"/>
      <c r="DU266" s="408"/>
      <c r="DV266" s="408">
        <v>0</v>
      </c>
      <c r="DW266" s="408">
        <v>0</v>
      </c>
      <c r="DX266" s="408">
        <v>0</v>
      </c>
      <c r="DY266" s="408">
        <v>5.4569100000001072</v>
      </c>
      <c r="DZ266" s="408">
        <v>211.1546699999999</v>
      </c>
      <c r="EA266" s="408">
        <v>0</v>
      </c>
      <c r="EB266" s="408">
        <v>0</v>
      </c>
      <c r="EC266" s="408">
        <v>0</v>
      </c>
      <c r="ED266" s="408">
        <v>0</v>
      </c>
      <c r="EE266" s="408">
        <v>0</v>
      </c>
      <c r="EF266" s="408">
        <v>0</v>
      </c>
      <c r="EG266" s="408">
        <v>0</v>
      </c>
      <c r="EH266" s="408">
        <v>0</v>
      </c>
      <c r="EI266" s="408">
        <v>0</v>
      </c>
      <c r="EJ266" s="408">
        <v>0</v>
      </c>
      <c r="EK266" s="408">
        <v>0</v>
      </c>
      <c r="EL266" s="408">
        <v>0</v>
      </c>
      <c r="EM266" s="408">
        <v>0</v>
      </c>
      <c r="EN266" s="408">
        <v>0</v>
      </c>
      <c r="EO266" s="408">
        <v>0</v>
      </c>
      <c r="EP266" s="408">
        <v>0</v>
      </c>
      <c r="EQ266" s="408">
        <v>0</v>
      </c>
      <c r="ER266" s="408">
        <v>0</v>
      </c>
      <c r="ES266" s="408">
        <v>0</v>
      </c>
      <c r="ET266" s="408">
        <v>0</v>
      </c>
      <c r="EU266" s="408">
        <v>0</v>
      </c>
      <c r="EV266" s="408">
        <v>238</v>
      </c>
      <c r="EW266" s="408">
        <v>0</v>
      </c>
      <c r="EX266" s="408">
        <v>0</v>
      </c>
      <c r="EY266" s="408">
        <v>0</v>
      </c>
      <c r="EZ266" s="408"/>
      <c r="FA266" s="408">
        <v>0</v>
      </c>
      <c r="FB266" s="408"/>
      <c r="FC266" s="408"/>
      <c r="FD266" s="408"/>
      <c r="FE266" s="408"/>
      <c r="FF266" s="408">
        <v>0</v>
      </c>
      <c r="FG266" s="408">
        <v>0</v>
      </c>
      <c r="FH266" s="408">
        <v>0</v>
      </c>
      <c r="FI266" s="408">
        <v>0</v>
      </c>
    </row>
    <row r="267" spans="1:165">
      <c r="A267" s="408">
        <v>271</v>
      </c>
      <c r="B267" s="408" t="s">
        <v>1036</v>
      </c>
      <c r="C267" s="408" t="s">
        <v>2243</v>
      </c>
      <c r="D267" s="408" t="s">
        <v>597</v>
      </c>
      <c r="E267" s="408" t="s">
        <v>2246</v>
      </c>
      <c r="F267" s="408" t="s">
        <v>1322</v>
      </c>
      <c r="G267" s="408" t="s">
        <v>1322</v>
      </c>
      <c r="H267" s="408" t="s">
        <v>1322</v>
      </c>
      <c r="I267" s="408" t="s">
        <v>1322</v>
      </c>
      <c r="J267" s="408" t="s">
        <v>2236</v>
      </c>
      <c r="K267" s="824">
        <v>44501</v>
      </c>
      <c r="L267" s="408">
        <v>143</v>
      </c>
      <c r="M267" s="408">
        <v>143</v>
      </c>
      <c r="N267" s="408">
        <v>0</v>
      </c>
      <c r="O267" s="408">
        <v>0</v>
      </c>
      <c r="P267" s="408">
        <v>0</v>
      </c>
      <c r="Q267" s="408">
        <v>0</v>
      </c>
      <c r="R267" s="408">
        <v>44.35</v>
      </c>
      <c r="S267" s="408"/>
      <c r="T267" s="408"/>
      <c r="U267" s="408">
        <v>6342.05</v>
      </c>
      <c r="V267" s="408"/>
      <c r="W267" s="408">
        <v>6342.05</v>
      </c>
      <c r="X267" s="408">
        <v>4142.71</v>
      </c>
      <c r="Y267" s="408">
        <v>0</v>
      </c>
      <c r="Z267" s="408">
        <v>0</v>
      </c>
      <c r="AA267" s="408">
        <v>0</v>
      </c>
      <c r="AB267" s="408">
        <v>0</v>
      </c>
      <c r="AC267" s="408">
        <v>0</v>
      </c>
      <c r="AD267" s="408">
        <v>1876.4551073961979</v>
      </c>
      <c r="AE267" s="408">
        <v>4106.6520188616778</v>
      </c>
      <c r="AF267" s="408"/>
      <c r="AG267" s="408"/>
      <c r="AH267" s="408"/>
      <c r="AI267" s="408">
        <v>0</v>
      </c>
      <c r="AJ267" s="408">
        <v>0</v>
      </c>
      <c r="AK267" s="408">
        <v>0</v>
      </c>
      <c r="AL267" s="408">
        <v>0</v>
      </c>
      <c r="AM267" s="408"/>
      <c r="AN267" s="408">
        <v>0</v>
      </c>
      <c r="AO267" s="408">
        <v>141.81605890751828</v>
      </c>
      <c r="AP267" s="408">
        <v>216.97266925736545</v>
      </c>
      <c r="AQ267" s="408">
        <v>0</v>
      </c>
      <c r="AR267" s="408">
        <v>0</v>
      </c>
      <c r="AS267" s="408"/>
      <c r="AT267" s="408"/>
      <c r="AU267" s="408">
        <v>0</v>
      </c>
      <c r="AV267" s="408">
        <v>0</v>
      </c>
      <c r="AW267" s="408">
        <v>0</v>
      </c>
      <c r="AX267" s="408"/>
      <c r="AY267" s="408"/>
      <c r="AZ267" s="408">
        <v>0</v>
      </c>
      <c r="BA267" s="408"/>
      <c r="BB267" s="408">
        <v>0</v>
      </c>
      <c r="BC267" s="408">
        <v>0</v>
      </c>
      <c r="BD267" s="408">
        <v>0</v>
      </c>
      <c r="BE267" s="408">
        <v>0</v>
      </c>
      <c r="BF267" s="408"/>
      <c r="BG267" s="408">
        <v>0</v>
      </c>
      <c r="BH267" s="408">
        <v>0</v>
      </c>
      <c r="BI267" s="408">
        <v>25.16</v>
      </c>
      <c r="BJ267" s="408">
        <v>117.75</v>
      </c>
      <c r="BK267" s="408">
        <v>3095.48</v>
      </c>
      <c r="BL267" s="408">
        <v>2</v>
      </c>
      <c r="BM267" s="408"/>
      <c r="BN267" s="408"/>
      <c r="BO267" s="408"/>
      <c r="BP267" s="408"/>
      <c r="BQ267" s="408"/>
      <c r="BR267" s="408"/>
      <c r="BS267" s="408"/>
      <c r="BT267" s="408"/>
      <c r="BU267" s="408"/>
      <c r="BV267" s="408">
        <v>0</v>
      </c>
      <c r="BW267" s="408"/>
      <c r="BX267" s="408"/>
      <c r="BY267" s="408"/>
      <c r="BZ267" s="408"/>
      <c r="CA267" s="408"/>
      <c r="CB267" s="408"/>
      <c r="CC267" s="408"/>
      <c r="CD267" s="408"/>
      <c r="CE267" s="408"/>
      <c r="CF267" s="408"/>
      <c r="CG267" s="408"/>
      <c r="CH267" s="408"/>
      <c r="CI267" s="408">
        <v>4142.71</v>
      </c>
      <c r="CJ267" s="408">
        <v>-2199.3700000000008</v>
      </c>
      <c r="CK267" s="408"/>
      <c r="CL267" s="408"/>
      <c r="CM267" s="408"/>
      <c r="CN267" s="408"/>
      <c r="CO267" s="408">
        <v>-2199.34</v>
      </c>
      <c r="CP267" s="408">
        <v>0</v>
      </c>
      <c r="CQ267" s="408">
        <v>30</v>
      </c>
      <c r="CR267" s="408">
        <v>104.83206434614658</v>
      </c>
      <c r="CS267" s="408">
        <v>17.121740749543847</v>
      </c>
      <c r="CT267" s="408">
        <v>26.195550922648238</v>
      </c>
      <c r="CU267" s="408">
        <v>0</v>
      </c>
      <c r="CV267" s="408">
        <v>0</v>
      </c>
      <c r="CW267" s="408"/>
      <c r="CX267" s="408"/>
      <c r="CY267" s="408"/>
      <c r="CZ267" s="408">
        <v>61.514772673954667</v>
      </c>
      <c r="DA267" s="408">
        <v>0</v>
      </c>
      <c r="DB267" s="408">
        <v>0</v>
      </c>
      <c r="DC267" s="408"/>
      <c r="DD267" s="408"/>
      <c r="DE267" s="408">
        <v>0</v>
      </c>
      <c r="DF267" s="408">
        <v>0</v>
      </c>
      <c r="DG267" s="408">
        <v>0</v>
      </c>
      <c r="DH267" s="408">
        <v>0</v>
      </c>
      <c r="DI267" s="408">
        <v>0</v>
      </c>
      <c r="DJ267" s="408"/>
      <c r="DK267" s="408">
        <v>0</v>
      </c>
      <c r="DL267" s="408">
        <v>0</v>
      </c>
      <c r="DM267" s="408"/>
      <c r="DN267" s="408">
        <v>0</v>
      </c>
      <c r="DO267" s="408">
        <v>0</v>
      </c>
      <c r="DP267" s="408">
        <v>0</v>
      </c>
      <c r="DQ267" s="408">
        <v>0</v>
      </c>
      <c r="DR267" s="408">
        <v>0</v>
      </c>
      <c r="DS267" s="408"/>
      <c r="DT267" s="408"/>
      <c r="DU267" s="408">
        <v>4106.6520188616778</v>
      </c>
      <c r="DV267" s="408"/>
      <c r="DW267" s="408">
        <v>0</v>
      </c>
      <c r="DX267" s="408">
        <v>0</v>
      </c>
      <c r="DY267" s="408">
        <v>-2199.34</v>
      </c>
      <c r="DZ267" s="408"/>
      <c r="EA267" s="408">
        <v>0</v>
      </c>
      <c r="EB267" s="408"/>
      <c r="EC267" s="408">
        <v>-2303.7894807610255</v>
      </c>
      <c r="ED267" s="408"/>
      <c r="EE267" s="408">
        <v>0</v>
      </c>
      <c r="EF267" s="408">
        <v>0</v>
      </c>
      <c r="EG267" s="408"/>
      <c r="EH267" s="408">
        <v>0</v>
      </c>
      <c r="EI267" s="408">
        <v>0</v>
      </c>
      <c r="EJ267" s="408">
        <v>0</v>
      </c>
      <c r="EK267" s="408">
        <v>0</v>
      </c>
      <c r="EL267" s="408">
        <v>0</v>
      </c>
      <c r="EM267" s="408"/>
      <c r="EN267" s="408"/>
      <c r="EO267" s="408">
        <v>0</v>
      </c>
      <c r="EP267" s="408">
        <v>0</v>
      </c>
      <c r="EQ267" s="408"/>
      <c r="ER267" s="408">
        <v>0</v>
      </c>
      <c r="ES267" s="408"/>
      <c r="ET267" s="408">
        <v>0</v>
      </c>
      <c r="EU267" s="408"/>
      <c r="EV267" s="408">
        <v>238</v>
      </c>
      <c r="EW267" s="408"/>
      <c r="EX267" s="408"/>
      <c r="EY267" s="408"/>
      <c r="EZ267" s="408"/>
      <c r="FA267" s="408">
        <v>0</v>
      </c>
      <c r="FB267" s="408"/>
      <c r="FC267" s="408"/>
      <c r="FD267" s="408"/>
      <c r="FE267" s="408"/>
      <c r="FF267" s="408">
        <v>0</v>
      </c>
      <c r="FG267" s="408">
        <v>0</v>
      </c>
      <c r="FH267" s="408">
        <v>0</v>
      </c>
      <c r="FI267" s="408">
        <v>0</v>
      </c>
    </row>
    <row r="268" spans="1:165">
      <c r="A268" s="408">
        <v>272</v>
      </c>
      <c r="B268" s="408" t="s">
        <v>1036</v>
      </c>
      <c r="C268" s="408" t="s">
        <v>2235</v>
      </c>
      <c r="D268" s="408" t="s">
        <v>2247</v>
      </c>
      <c r="E268" s="408" t="s">
        <v>2248</v>
      </c>
      <c r="F268" s="408" t="s">
        <v>2249</v>
      </c>
      <c r="G268" s="408" t="s">
        <v>1322</v>
      </c>
      <c r="H268" s="408" t="s">
        <v>1322</v>
      </c>
      <c r="I268" s="408" t="s">
        <v>1322</v>
      </c>
      <c r="J268" s="408" t="s">
        <v>2236</v>
      </c>
      <c r="K268" s="824">
        <v>44501</v>
      </c>
      <c r="L268" s="408">
        <v>0</v>
      </c>
      <c r="M268" s="408">
        <v>0</v>
      </c>
      <c r="N268" s="408">
        <v>427.82499999999999</v>
      </c>
      <c r="O268" s="408">
        <v>427.82499999999999</v>
      </c>
      <c r="P268" s="408">
        <v>427.82499999999999</v>
      </c>
      <c r="Q268" s="408">
        <v>427.82499999999999</v>
      </c>
      <c r="R268" s="408"/>
      <c r="S268" s="408">
        <v>319.73</v>
      </c>
      <c r="T268" s="408">
        <v>115.17</v>
      </c>
      <c r="U268" s="408"/>
      <c r="V268" s="408">
        <v>186061.0925</v>
      </c>
      <c r="W268" s="408">
        <v>186061.0925</v>
      </c>
      <c r="X268" s="408">
        <v>142136.29975000001</v>
      </c>
      <c r="Y268" s="408">
        <v>0</v>
      </c>
      <c r="Z268" s="408">
        <v>14480.100396415201</v>
      </c>
      <c r="AA268" s="408">
        <v>0</v>
      </c>
      <c r="AB268" s="408">
        <v>0</v>
      </c>
      <c r="AC268" s="408">
        <v>0</v>
      </c>
      <c r="AD268" s="408">
        <v>17457.454587248147</v>
      </c>
      <c r="AE268" s="408">
        <v>90687.315157589954</v>
      </c>
      <c r="AF268" s="408">
        <v>48625.695424925005</v>
      </c>
      <c r="AG268" s="408">
        <v>647.78297969203493</v>
      </c>
      <c r="AH268" s="408">
        <v>0</v>
      </c>
      <c r="AI268" s="408">
        <v>0</v>
      </c>
      <c r="AJ268" s="408">
        <v>0</v>
      </c>
      <c r="AK268" s="408">
        <v>0</v>
      </c>
      <c r="AL268" s="408">
        <v>2237.6449281039918</v>
      </c>
      <c r="AM268" s="408"/>
      <c r="AN268" s="408">
        <v>428.95033963071808</v>
      </c>
      <c r="AO268" s="408">
        <v>1341.1091994245714</v>
      </c>
      <c r="AP268" s="408">
        <v>2020.1273945199955</v>
      </c>
      <c r="AQ268" s="408">
        <v>0</v>
      </c>
      <c r="AR268" s="408">
        <v>0</v>
      </c>
      <c r="AS268" s="408">
        <v>0</v>
      </c>
      <c r="AT268" s="408">
        <v>0</v>
      </c>
      <c r="AU268" s="408">
        <v>0</v>
      </c>
      <c r="AV268" s="408">
        <v>0</v>
      </c>
      <c r="AW268" s="408">
        <v>0</v>
      </c>
      <c r="AX268" s="408">
        <v>0</v>
      </c>
      <c r="AY268" s="408">
        <v>0</v>
      </c>
      <c r="AZ268" s="408">
        <v>0</v>
      </c>
      <c r="BA268" s="408"/>
      <c r="BB268" s="408">
        <v>0</v>
      </c>
      <c r="BC268" s="408">
        <v>0</v>
      </c>
      <c r="BD268" s="408">
        <v>0</v>
      </c>
      <c r="BE268" s="408">
        <v>0</v>
      </c>
      <c r="BF268" s="408">
        <v>0</v>
      </c>
      <c r="BG268" s="408">
        <v>8134.9879435983403</v>
      </c>
      <c r="BH268" s="408">
        <v>0</v>
      </c>
      <c r="BI268" s="408">
        <v>577.07000000000005</v>
      </c>
      <c r="BJ268" s="408">
        <v>2700.71</v>
      </c>
      <c r="BK268" s="408">
        <v>51540.97</v>
      </c>
      <c r="BL268" s="408">
        <v>42</v>
      </c>
      <c r="BM268" s="408"/>
      <c r="BN268" s="408"/>
      <c r="BO268" s="408"/>
      <c r="BP268" s="408"/>
      <c r="BQ268" s="408"/>
      <c r="BR268" s="408"/>
      <c r="BS268" s="408"/>
      <c r="BT268" s="408"/>
      <c r="BU268" s="408"/>
      <c r="BV268" s="408">
        <v>56760.683368523343</v>
      </c>
      <c r="BW268" s="408"/>
      <c r="BX268" s="408"/>
      <c r="BY268" s="408"/>
      <c r="BZ268" s="408"/>
      <c r="CA268" s="408"/>
      <c r="CB268" s="408"/>
      <c r="CC268" s="408"/>
      <c r="CD268" s="408"/>
      <c r="CE268" s="408"/>
      <c r="CF268" s="408"/>
      <c r="CG268" s="408"/>
      <c r="CH268" s="408"/>
      <c r="CI268" s="408">
        <v>142137.96090000001</v>
      </c>
      <c r="CJ268" s="408">
        <v>-43923.161600000021</v>
      </c>
      <c r="CK268" s="408"/>
      <c r="CL268" s="408"/>
      <c r="CM268" s="408"/>
      <c r="CN268" s="408"/>
      <c r="CO268" s="408">
        <v>-49293.996500000008</v>
      </c>
      <c r="CP268" s="408">
        <v>5369.2037499999988</v>
      </c>
      <c r="CQ268" s="408">
        <v>30</v>
      </c>
      <c r="CR268" s="408">
        <v>6951.7835673661757</v>
      </c>
      <c r="CS268" s="408">
        <v>161.91483677000633</v>
      </c>
      <c r="CT268" s="408">
        <v>243.89408221094709</v>
      </c>
      <c r="CU268" s="408">
        <v>0</v>
      </c>
      <c r="CV268" s="408">
        <v>0</v>
      </c>
      <c r="CW268" s="408">
        <v>0</v>
      </c>
      <c r="CX268" s="408">
        <v>0</v>
      </c>
      <c r="CY268" s="408">
        <v>0</v>
      </c>
      <c r="CZ268" s="408">
        <v>572.29791758272404</v>
      </c>
      <c r="DA268" s="408">
        <v>0</v>
      </c>
      <c r="DB268" s="408">
        <v>0</v>
      </c>
      <c r="DC268" s="408">
        <v>5370.357281497978</v>
      </c>
      <c r="DD268" s="408">
        <v>0</v>
      </c>
      <c r="DE268" s="408">
        <v>0</v>
      </c>
      <c r="DF268" s="408">
        <v>0</v>
      </c>
      <c r="DG268" s="408">
        <v>898.45073383578529</v>
      </c>
      <c r="DH268" s="408">
        <v>0</v>
      </c>
      <c r="DI268" s="408">
        <v>-252.41888877281417</v>
      </c>
      <c r="DJ268" s="408"/>
      <c r="DK268" s="408">
        <v>0</v>
      </c>
      <c r="DL268" s="408">
        <v>0</v>
      </c>
      <c r="DM268" s="408">
        <v>0</v>
      </c>
      <c r="DN268" s="408">
        <v>0</v>
      </c>
      <c r="DO268" s="408">
        <v>-32.794861549837606</v>
      </c>
      <c r="DP268" s="408">
        <v>-9.9175342086130058</v>
      </c>
      <c r="DQ268" s="408">
        <v>0</v>
      </c>
      <c r="DR268" s="408">
        <v>0</v>
      </c>
      <c r="DS268" s="408"/>
      <c r="DT268" s="408"/>
      <c r="DU268" s="408"/>
      <c r="DV268" s="408">
        <v>90687.315157589954</v>
      </c>
      <c r="DW268" s="408">
        <v>0</v>
      </c>
      <c r="DX268" s="408">
        <v>0</v>
      </c>
      <c r="DY268" s="408">
        <v>-49293.996500000008</v>
      </c>
      <c r="DZ268" s="408">
        <v>5369.2037500000006</v>
      </c>
      <c r="EA268" s="408">
        <v>0</v>
      </c>
      <c r="EB268" s="408">
        <v>0</v>
      </c>
      <c r="EC268" s="408">
        <v>-50874.649651086744</v>
      </c>
      <c r="ED268" s="408">
        <v>0</v>
      </c>
      <c r="EE268" s="408">
        <v>0</v>
      </c>
      <c r="EF268" s="408">
        <v>0</v>
      </c>
      <c r="EG268" s="408">
        <v>0</v>
      </c>
      <c r="EH268" s="408">
        <v>0</v>
      </c>
      <c r="EI268" s="408">
        <v>0</v>
      </c>
      <c r="EJ268" s="408">
        <v>0</v>
      </c>
      <c r="EK268" s="408">
        <v>0</v>
      </c>
      <c r="EL268" s="408">
        <v>0</v>
      </c>
      <c r="EM268" s="408">
        <v>0</v>
      </c>
      <c r="EN268" s="408">
        <v>0</v>
      </c>
      <c r="EO268" s="408">
        <v>0</v>
      </c>
      <c r="EP268" s="408">
        <v>0</v>
      </c>
      <c r="EQ268" s="408">
        <v>0</v>
      </c>
      <c r="ER268" s="408">
        <v>0</v>
      </c>
      <c r="ES268" s="408">
        <v>0</v>
      </c>
      <c r="ET268" s="408">
        <v>0</v>
      </c>
      <c r="EU268" s="408">
        <v>0</v>
      </c>
      <c r="EV268" s="408">
        <v>238</v>
      </c>
      <c r="EW268" s="408">
        <v>0</v>
      </c>
      <c r="EX268" s="408">
        <v>0</v>
      </c>
      <c r="EY268" s="408">
        <v>0</v>
      </c>
      <c r="EZ268" s="408"/>
      <c r="FA268" s="408">
        <v>0</v>
      </c>
      <c r="FB268" s="408"/>
      <c r="FC268" s="408"/>
      <c r="FD268" s="408"/>
      <c r="FE268" s="408"/>
      <c r="FF268" s="408">
        <v>0</v>
      </c>
      <c r="FG268" s="408">
        <v>0</v>
      </c>
      <c r="FH268" s="408">
        <v>0</v>
      </c>
      <c r="FI268" s="408">
        <v>0</v>
      </c>
    </row>
    <row r="269" spans="1:165">
      <c r="A269" s="408">
        <v>273</v>
      </c>
      <c r="B269" s="408" t="s">
        <v>1036</v>
      </c>
      <c r="C269" s="408" t="s">
        <v>2235</v>
      </c>
      <c r="D269" s="408" t="s">
        <v>1958</v>
      </c>
      <c r="E269" s="408" t="s">
        <v>1001</v>
      </c>
      <c r="F269" s="408" t="s">
        <v>2250</v>
      </c>
      <c r="G269" s="408" t="s">
        <v>1322</v>
      </c>
      <c r="H269" s="408" t="s">
        <v>1322</v>
      </c>
      <c r="I269" s="408" t="s">
        <v>1322</v>
      </c>
      <c r="J269" s="408" t="s">
        <v>2236</v>
      </c>
      <c r="K269" s="824">
        <v>44501</v>
      </c>
      <c r="L269" s="408">
        <v>0</v>
      </c>
      <c r="M269" s="408">
        <v>0</v>
      </c>
      <c r="N269" s="408">
        <v>88.302000000000007</v>
      </c>
      <c r="O269" s="408">
        <v>83.003879999999995</v>
      </c>
      <c r="P269" s="408">
        <v>88.302000000000007</v>
      </c>
      <c r="Q269" s="408">
        <v>83.003879999999995</v>
      </c>
      <c r="R269" s="408"/>
      <c r="S269" s="408">
        <v>581.32000000000005</v>
      </c>
      <c r="T269" s="408">
        <v>209.4</v>
      </c>
      <c r="U269" s="408"/>
      <c r="V269" s="408">
        <v>69822.15744000001</v>
      </c>
      <c r="W269" s="408">
        <v>69822.15744000001</v>
      </c>
      <c r="X269" s="408">
        <v>53340.589139999996</v>
      </c>
      <c r="Y269" s="408">
        <v>0</v>
      </c>
      <c r="Z269" s="408">
        <v>5433.9203060055506</v>
      </c>
      <c r="AA269" s="408">
        <v>0</v>
      </c>
      <c r="AB269" s="408">
        <v>0</v>
      </c>
      <c r="AC269" s="408">
        <v>0</v>
      </c>
      <c r="AD269" s="408">
        <v>6551.2264677600124</v>
      </c>
      <c r="AE269" s="408">
        <v>34032.059850493213</v>
      </c>
      <c r="AF269" s="408">
        <v>18247.674154839093</v>
      </c>
      <c r="AG269" s="408">
        <v>243.09231226772351</v>
      </c>
      <c r="AH269" s="408">
        <v>0</v>
      </c>
      <c r="AI269" s="408">
        <v>0</v>
      </c>
      <c r="AJ269" s="408">
        <v>0</v>
      </c>
      <c r="AK269" s="408">
        <v>0</v>
      </c>
      <c r="AL269" s="408">
        <v>839.71684446779432</v>
      </c>
      <c r="AM269" s="408"/>
      <c r="AN269" s="408">
        <v>160.97139501632088</v>
      </c>
      <c r="AO269" s="408">
        <v>503.27555139936584</v>
      </c>
      <c r="AP269" s="408">
        <v>758.0894447746989</v>
      </c>
      <c r="AQ269" s="408">
        <v>0</v>
      </c>
      <c r="AR269" s="408">
        <v>0</v>
      </c>
      <c r="AS269" s="408">
        <v>0</v>
      </c>
      <c r="AT269" s="408">
        <v>0</v>
      </c>
      <c r="AU269" s="408">
        <v>0</v>
      </c>
      <c r="AV269" s="408">
        <v>0</v>
      </c>
      <c r="AW269" s="408">
        <v>0</v>
      </c>
      <c r="AX269" s="408">
        <v>0</v>
      </c>
      <c r="AY269" s="408">
        <v>0</v>
      </c>
      <c r="AZ269" s="408">
        <v>0</v>
      </c>
      <c r="BA269" s="408"/>
      <c r="BB269" s="408">
        <v>0</v>
      </c>
      <c r="BC269" s="408">
        <v>0</v>
      </c>
      <c r="BD269" s="408">
        <v>0</v>
      </c>
      <c r="BE269" s="408">
        <v>0</v>
      </c>
      <c r="BF269" s="408">
        <v>0</v>
      </c>
      <c r="BG269" s="408">
        <v>3052.80177385877</v>
      </c>
      <c r="BH269" s="408">
        <v>0</v>
      </c>
      <c r="BI269" s="408">
        <v>178.26</v>
      </c>
      <c r="BJ269" s="408">
        <v>834.33</v>
      </c>
      <c r="BK269" s="408">
        <v>28689.96</v>
      </c>
      <c r="BL269" s="408">
        <v>21</v>
      </c>
      <c r="BM269" s="408"/>
      <c r="BN269" s="408"/>
      <c r="BO269" s="408"/>
      <c r="BP269" s="408"/>
      <c r="BQ269" s="408">
        <v>3200.4353484000067</v>
      </c>
      <c r="BR269" s="408"/>
      <c r="BS269" s="408"/>
      <c r="BT269" s="408"/>
      <c r="BU269" s="408"/>
      <c r="BV269" s="408">
        <v>21300.475928697862</v>
      </c>
      <c r="BW269" s="408"/>
      <c r="BX269" s="408"/>
      <c r="BY269" s="408"/>
      <c r="BZ269" s="408"/>
      <c r="CA269" s="408"/>
      <c r="CB269" s="408"/>
      <c r="CC269" s="408"/>
      <c r="CD269" s="408"/>
      <c r="CE269" s="408"/>
      <c r="CF269" s="408"/>
      <c r="CG269" s="408"/>
      <c r="CH269" s="408"/>
      <c r="CI269" s="408">
        <v>50137.81</v>
      </c>
      <c r="CJ269" s="408">
        <v>-15495.047993600005</v>
      </c>
      <c r="CK269" s="408"/>
      <c r="CL269" s="408"/>
      <c r="CM269" s="408"/>
      <c r="CN269" s="408"/>
      <c r="CO269" s="408">
        <v>-18497.502960000009</v>
      </c>
      <c r="CP269" s="408">
        <v>2015.9346599999988</v>
      </c>
      <c r="CQ269" s="408">
        <v>30</v>
      </c>
      <c r="CR269" s="408">
        <v>2608.7828713548879</v>
      </c>
      <c r="CS269" s="408">
        <v>60.761479221920411</v>
      </c>
      <c r="CT269" s="408">
        <v>91.525677968970513</v>
      </c>
      <c r="CU269" s="408">
        <v>0</v>
      </c>
      <c r="CV269" s="408">
        <v>0</v>
      </c>
      <c r="CW269" s="408">
        <v>0</v>
      </c>
      <c r="CX269" s="408">
        <v>0</v>
      </c>
      <c r="CY269" s="408">
        <v>0</v>
      </c>
      <c r="CZ269" s="408">
        <v>214.76517360387152</v>
      </c>
      <c r="DA269" s="408">
        <v>0</v>
      </c>
      <c r="DB269" s="408">
        <v>0</v>
      </c>
      <c r="DC269" s="408">
        <v>2015.3239745258397</v>
      </c>
      <c r="DD269" s="408">
        <v>0</v>
      </c>
      <c r="DE269" s="408">
        <v>0</v>
      </c>
      <c r="DF269" s="408">
        <v>0</v>
      </c>
      <c r="DG269" s="408">
        <v>337.15993348669053</v>
      </c>
      <c r="DH269" s="408">
        <v>0</v>
      </c>
      <c r="DI269" s="408">
        <v>-94.724766249642016</v>
      </c>
      <c r="DJ269" s="408"/>
      <c r="DK269" s="408">
        <v>0</v>
      </c>
      <c r="DL269" s="408">
        <v>0</v>
      </c>
      <c r="DM269" s="408">
        <v>0</v>
      </c>
      <c r="DN269" s="408">
        <v>0</v>
      </c>
      <c r="DO269" s="408">
        <v>-12.306866612086537</v>
      </c>
      <c r="DP269" s="408">
        <v>-3.7217345906682908</v>
      </c>
      <c r="DQ269" s="408">
        <v>0</v>
      </c>
      <c r="DR269" s="408">
        <v>0</v>
      </c>
      <c r="DS269" s="408"/>
      <c r="DT269" s="408"/>
      <c r="DU269" s="408"/>
      <c r="DV269" s="408">
        <v>34032.059850493213</v>
      </c>
      <c r="DW269" s="408">
        <v>0</v>
      </c>
      <c r="DX269" s="408">
        <v>0</v>
      </c>
      <c r="DY269" s="408">
        <v>-18497.502960000005</v>
      </c>
      <c r="DZ269" s="408">
        <v>2015.9346599999953</v>
      </c>
      <c r="EA269" s="408">
        <v>0</v>
      </c>
      <c r="EB269" s="408">
        <v>0</v>
      </c>
      <c r="EC269" s="408">
        <v>-19091.635018524968</v>
      </c>
      <c r="ED269" s="408">
        <v>0</v>
      </c>
      <c r="EE269" s="408">
        <v>0</v>
      </c>
      <c r="EF269" s="408">
        <v>0</v>
      </c>
      <c r="EG269" s="408">
        <v>0</v>
      </c>
      <c r="EH269" s="408">
        <v>0</v>
      </c>
      <c r="EI269" s="408">
        <v>0</v>
      </c>
      <c r="EJ269" s="408">
        <v>0</v>
      </c>
      <c r="EK269" s="408">
        <v>0</v>
      </c>
      <c r="EL269" s="408">
        <v>0</v>
      </c>
      <c r="EM269" s="408">
        <v>0</v>
      </c>
      <c r="EN269" s="408">
        <v>0</v>
      </c>
      <c r="EO269" s="408">
        <v>0</v>
      </c>
      <c r="EP269" s="408">
        <v>0</v>
      </c>
      <c r="EQ269" s="408">
        <v>0</v>
      </c>
      <c r="ER269" s="408">
        <v>0</v>
      </c>
      <c r="ES269" s="408">
        <v>0</v>
      </c>
      <c r="ET269" s="408">
        <v>0</v>
      </c>
      <c r="EU269" s="408">
        <v>0</v>
      </c>
      <c r="EV269" s="408">
        <v>238</v>
      </c>
      <c r="EW269" s="408">
        <v>0</v>
      </c>
      <c r="EX269" s="408">
        <v>0</v>
      </c>
      <c r="EY269" s="408">
        <v>0</v>
      </c>
      <c r="EZ269" s="408"/>
      <c r="FA269" s="408">
        <v>0</v>
      </c>
      <c r="FB269" s="408"/>
      <c r="FC269" s="408"/>
      <c r="FD269" s="408"/>
      <c r="FE269" s="408"/>
      <c r="FF269" s="408">
        <v>0</v>
      </c>
      <c r="FG269" s="408">
        <v>0</v>
      </c>
      <c r="FH269" s="408">
        <v>0</v>
      </c>
      <c r="FI269" s="408">
        <v>0</v>
      </c>
    </row>
    <row r="270" spans="1:165">
      <c r="A270" s="408">
        <v>274</v>
      </c>
      <c r="B270" s="408" t="s">
        <v>1036</v>
      </c>
      <c r="C270" s="408" t="s">
        <v>2235</v>
      </c>
      <c r="D270" s="408" t="s">
        <v>1958</v>
      </c>
      <c r="E270" s="408" t="s">
        <v>2251</v>
      </c>
      <c r="F270" s="408" t="s">
        <v>1322</v>
      </c>
      <c r="G270" s="408" t="s">
        <v>1322</v>
      </c>
      <c r="H270" s="408" t="s">
        <v>1322</v>
      </c>
      <c r="I270" s="408" t="s">
        <v>1322</v>
      </c>
      <c r="J270" s="408" t="s">
        <v>2236</v>
      </c>
      <c r="K270" s="824">
        <v>44501</v>
      </c>
      <c r="L270" s="408">
        <v>0</v>
      </c>
      <c r="M270" s="408">
        <v>0</v>
      </c>
      <c r="N270" s="408">
        <v>31.928999999999998</v>
      </c>
      <c r="O270" s="408">
        <v>31.928999999999998</v>
      </c>
      <c r="P270" s="408">
        <v>31.928999999999998</v>
      </c>
      <c r="Q270" s="408">
        <v>31.928999999999998</v>
      </c>
      <c r="R270" s="408"/>
      <c r="S270" s="408">
        <v>581.32000000000005</v>
      </c>
      <c r="T270" s="408">
        <v>209.4</v>
      </c>
      <c r="U270" s="408"/>
      <c r="V270" s="408">
        <v>25246.898880000001</v>
      </c>
      <c r="W270" s="408">
        <v>25246.898880000001</v>
      </c>
      <c r="X270" s="408">
        <v>19287.351029999998</v>
      </c>
      <c r="Y270" s="408">
        <v>0</v>
      </c>
      <c r="Z270" s="408">
        <v>1964.8438478228261</v>
      </c>
      <c r="AA270" s="408">
        <v>0</v>
      </c>
      <c r="AB270" s="408">
        <v>0</v>
      </c>
      <c r="AC270" s="408">
        <v>0</v>
      </c>
      <c r="AD270" s="408">
        <v>2368.8490621855608</v>
      </c>
      <c r="AE270" s="408">
        <v>12305.606203329455</v>
      </c>
      <c r="AF270" s="408">
        <v>6598.1516623616371</v>
      </c>
      <c r="AG270" s="408">
        <v>87.899418341556739</v>
      </c>
      <c r="AH270" s="408">
        <v>0</v>
      </c>
      <c r="AI270" s="408">
        <v>0</v>
      </c>
      <c r="AJ270" s="408">
        <v>0</v>
      </c>
      <c r="AK270" s="408">
        <v>0</v>
      </c>
      <c r="AL270" s="408">
        <v>303.63207092718397</v>
      </c>
      <c r="AM270" s="408"/>
      <c r="AN270" s="408">
        <v>58.205427640099984</v>
      </c>
      <c r="AO270" s="408">
        <v>181.97872166689712</v>
      </c>
      <c r="AP270" s="408">
        <v>274.11653056795268</v>
      </c>
      <c r="AQ270" s="408">
        <v>0</v>
      </c>
      <c r="AR270" s="408">
        <v>0</v>
      </c>
      <c r="AS270" s="408">
        <v>0</v>
      </c>
      <c r="AT270" s="408">
        <v>0</v>
      </c>
      <c r="AU270" s="408">
        <v>0</v>
      </c>
      <c r="AV270" s="408">
        <v>0</v>
      </c>
      <c r="AW270" s="408">
        <v>0</v>
      </c>
      <c r="AX270" s="408">
        <v>0</v>
      </c>
      <c r="AY270" s="408">
        <v>0</v>
      </c>
      <c r="AZ270" s="408">
        <v>0</v>
      </c>
      <c r="BA270" s="408"/>
      <c r="BB270" s="408">
        <v>0</v>
      </c>
      <c r="BC270" s="408">
        <v>0</v>
      </c>
      <c r="BD270" s="408">
        <v>0</v>
      </c>
      <c r="BE270" s="408">
        <v>0</v>
      </c>
      <c r="BF270" s="408">
        <v>0</v>
      </c>
      <c r="BG270" s="408">
        <v>1103.8584385125666</v>
      </c>
      <c r="BH270" s="408">
        <v>0</v>
      </c>
      <c r="BI270" s="408">
        <v>67.69</v>
      </c>
      <c r="BJ270" s="408">
        <v>317.08</v>
      </c>
      <c r="BK270" s="408">
        <v>10373.81</v>
      </c>
      <c r="BL270" s="408">
        <v>17</v>
      </c>
      <c r="BM270" s="408"/>
      <c r="BN270" s="408"/>
      <c r="BO270" s="408"/>
      <c r="BP270" s="408"/>
      <c r="BQ270" s="408"/>
      <c r="BR270" s="408"/>
      <c r="BS270" s="408"/>
      <c r="BT270" s="408"/>
      <c r="BU270" s="408"/>
      <c r="BV270" s="408">
        <v>7702.010100874204</v>
      </c>
      <c r="BW270" s="408"/>
      <c r="BX270" s="408"/>
      <c r="BY270" s="408"/>
      <c r="BZ270" s="408"/>
      <c r="CA270" s="408"/>
      <c r="CB270" s="408"/>
      <c r="CC270" s="408"/>
      <c r="CD270" s="408"/>
      <c r="CE270" s="408"/>
      <c r="CF270" s="408"/>
      <c r="CG270" s="408"/>
      <c r="CH270" s="408"/>
      <c r="CI270" s="408">
        <v>19287.955099999999</v>
      </c>
      <c r="CJ270" s="408">
        <v>-5958.9737799999966</v>
      </c>
      <c r="CK270" s="408"/>
      <c r="CL270" s="408"/>
      <c r="CM270" s="408"/>
      <c r="CN270" s="408"/>
      <c r="CO270" s="408">
        <v>-6688.4869200000021</v>
      </c>
      <c r="CP270" s="408">
        <v>728.93906999999945</v>
      </c>
      <c r="CQ270" s="408">
        <v>30</v>
      </c>
      <c r="CR270" s="408">
        <v>943.30624787083434</v>
      </c>
      <c r="CS270" s="408">
        <v>21.970660574808022</v>
      </c>
      <c r="CT270" s="408">
        <v>33.094645329338618</v>
      </c>
      <c r="CU270" s="408">
        <v>0</v>
      </c>
      <c r="CV270" s="408">
        <v>0</v>
      </c>
      <c r="CW270" s="408">
        <v>0</v>
      </c>
      <c r="CX270" s="408">
        <v>0</v>
      </c>
      <c r="CY270" s="408">
        <v>0</v>
      </c>
      <c r="CZ270" s="408">
        <v>77.656646825644202</v>
      </c>
      <c r="DA270" s="408">
        <v>0</v>
      </c>
      <c r="DB270" s="408">
        <v>0</v>
      </c>
      <c r="DC270" s="408">
        <v>728.71825307054769</v>
      </c>
      <c r="DD270" s="408">
        <v>0</v>
      </c>
      <c r="DE270" s="408">
        <v>0</v>
      </c>
      <c r="DF270" s="408">
        <v>0</v>
      </c>
      <c r="DG270" s="408">
        <v>121.91320147104852</v>
      </c>
      <c r="DH270" s="408">
        <v>0</v>
      </c>
      <c r="DI270" s="408">
        <v>-34.251399306751864</v>
      </c>
      <c r="DJ270" s="408"/>
      <c r="DK270" s="408">
        <v>0</v>
      </c>
      <c r="DL270" s="408">
        <v>0</v>
      </c>
      <c r="DM270" s="408">
        <v>0</v>
      </c>
      <c r="DN270" s="408">
        <v>0</v>
      </c>
      <c r="DO270" s="408">
        <v>-4.4500231484825576</v>
      </c>
      <c r="DP270" s="408">
        <v>-1.3457369453177463</v>
      </c>
      <c r="DQ270" s="408">
        <v>0</v>
      </c>
      <c r="DR270" s="408">
        <v>0</v>
      </c>
      <c r="DS270" s="408"/>
      <c r="DT270" s="408"/>
      <c r="DU270" s="408"/>
      <c r="DV270" s="408">
        <v>12305.606203329455</v>
      </c>
      <c r="DW270" s="408">
        <v>0</v>
      </c>
      <c r="DX270" s="408">
        <v>0</v>
      </c>
      <c r="DY270" s="408">
        <v>-6688.4869200000012</v>
      </c>
      <c r="DZ270" s="408">
        <v>728.93906999999945</v>
      </c>
      <c r="EA270" s="408">
        <v>0</v>
      </c>
      <c r="EB270" s="408">
        <v>0</v>
      </c>
      <c r="EC270" s="408">
        <v>-6903.3183224217273</v>
      </c>
      <c r="ED270" s="408">
        <v>0</v>
      </c>
      <c r="EE270" s="408">
        <v>0</v>
      </c>
      <c r="EF270" s="408">
        <v>0</v>
      </c>
      <c r="EG270" s="408">
        <v>0</v>
      </c>
      <c r="EH270" s="408">
        <v>0</v>
      </c>
      <c r="EI270" s="408">
        <v>0</v>
      </c>
      <c r="EJ270" s="408">
        <v>0</v>
      </c>
      <c r="EK270" s="408">
        <v>0</v>
      </c>
      <c r="EL270" s="408">
        <v>0</v>
      </c>
      <c r="EM270" s="408">
        <v>0</v>
      </c>
      <c r="EN270" s="408">
        <v>0</v>
      </c>
      <c r="EO270" s="408">
        <v>0</v>
      </c>
      <c r="EP270" s="408">
        <v>0</v>
      </c>
      <c r="EQ270" s="408">
        <v>0</v>
      </c>
      <c r="ER270" s="408">
        <v>0</v>
      </c>
      <c r="ES270" s="408">
        <v>0</v>
      </c>
      <c r="ET270" s="408">
        <v>0</v>
      </c>
      <c r="EU270" s="408">
        <v>0</v>
      </c>
      <c r="EV270" s="408">
        <v>238</v>
      </c>
      <c r="EW270" s="408">
        <v>0</v>
      </c>
      <c r="EX270" s="408">
        <v>0</v>
      </c>
      <c r="EY270" s="408">
        <v>0</v>
      </c>
      <c r="EZ270" s="408"/>
      <c r="FA270" s="408">
        <v>0</v>
      </c>
      <c r="FB270" s="408"/>
      <c r="FC270" s="408"/>
      <c r="FD270" s="408"/>
      <c r="FE270" s="408"/>
      <c r="FF270" s="408">
        <v>0</v>
      </c>
      <c r="FG270" s="408">
        <v>0</v>
      </c>
      <c r="FH270" s="408">
        <v>0</v>
      </c>
      <c r="FI270" s="408">
        <v>0</v>
      </c>
    </row>
    <row r="271" spans="1:165">
      <c r="A271" s="408">
        <v>275</v>
      </c>
      <c r="B271" s="408" t="s">
        <v>1036</v>
      </c>
      <c r="C271" s="408" t="s">
        <v>2235</v>
      </c>
      <c r="D271" s="408" t="s">
        <v>2245</v>
      </c>
      <c r="E271" s="408" t="s">
        <v>974</v>
      </c>
      <c r="F271" s="408" t="s">
        <v>2252</v>
      </c>
      <c r="G271" s="408" t="s">
        <v>2253</v>
      </c>
      <c r="H271" s="408" t="s">
        <v>1322</v>
      </c>
      <c r="I271" s="408" t="s">
        <v>1322</v>
      </c>
      <c r="J271" s="408" t="s">
        <v>2236</v>
      </c>
      <c r="K271" s="824">
        <v>44501</v>
      </c>
      <c r="L271" s="408">
        <v>0</v>
      </c>
      <c r="M271" s="408">
        <v>0</v>
      </c>
      <c r="N271" s="408">
        <v>0</v>
      </c>
      <c r="O271" s="408">
        <v>0</v>
      </c>
      <c r="P271" s="408">
        <v>0</v>
      </c>
      <c r="Q271" s="408">
        <v>0</v>
      </c>
      <c r="R271" s="408"/>
      <c r="S271" s="408"/>
      <c r="T271" s="408"/>
      <c r="U271" s="408"/>
      <c r="V271" s="408"/>
      <c r="W271" s="408"/>
      <c r="X271" s="408"/>
      <c r="Y271" s="408"/>
      <c r="Z271" s="408"/>
      <c r="AA271" s="408">
        <v>0</v>
      </c>
      <c r="AB271" s="408"/>
      <c r="AC271" s="408"/>
      <c r="AD271" s="408"/>
      <c r="AE271" s="408"/>
      <c r="AF271" s="408"/>
      <c r="AG271" s="408"/>
      <c r="AH271" s="408"/>
      <c r="AI271" s="408"/>
      <c r="AJ271" s="408"/>
      <c r="AK271" s="408"/>
      <c r="AL271" s="408"/>
      <c r="AM271" s="408"/>
      <c r="AN271" s="408"/>
      <c r="AO271" s="408"/>
      <c r="AP271" s="408"/>
      <c r="AQ271" s="408"/>
      <c r="AR271" s="408"/>
      <c r="AS271" s="408"/>
      <c r="AT271" s="408"/>
      <c r="AU271" s="408"/>
      <c r="AV271" s="408"/>
      <c r="AW271" s="408"/>
      <c r="AX271" s="408"/>
      <c r="AY271" s="408"/>
      <c r="AZ271" s="408">
        <v>0</v>
      </c>
      <c r="BA271" s="408"/>
      <c r="BB271" s="408"/>
      <c r="BC271" s="408"/>
      <c r="BD271" s="408"/>
      <c r="BE271" s="408"/>
      <c r="BF271" s="408"/>
      <c r="BG271" s="408"/>
      <c r="BH271" s="408"/>
      <c r="BI271" s="408">
        <v>791.19</v>
      </c>
      <c r="BJ271" s="408">
        <v>3704.34</v>
      </c>
      <c r="BK271" s="408">
        <v>1254.6400000000001</v>
      </c>
      <c r="BL271" s="408">
        <v>126</v>
      </c>
      <c r="BM271" s="408"/>
      <c r="BN271" s="408"/>
      <c r="BO271" s="408"/>
      <c r="BP271" s="408"/>
      <c r="BQ271" s="408"/>
      <c r="BR271" s="408"/>
      <c r="BS271" s="408"/>
      <c r="BT271" s="408"/>
      <c r="BU271" s="408"/>
      <c r="BV271" s="408"/>
      <c r="BW271" s="408"/>
      <c r="BX271" s="408"/>
      <c r="BY271" s="408"/>
      <c r="BZ271" s="408"/>
      <c r="CA271" s="408"/>
      <c r="CB271" s="408"/>
      <c r="CC271" s="408"/>
      <c r="CD271" s="408"/>
      <c r="CE271" s="408"/>
      <c r="CF271" s="408"/>
      <c r="CG271" s="408"/>
      <c r="CH271" s="408"/>
      <c r="CI271" s="408"/>
      <c r="CJ271" s="408">
        <v>-0.03</v>
      </c>
      <c r="CK271" s="408"/>
      <c r="CL271" s="408"/>
      <c r="CM271" s="408"/>
      <c r="CN271" s="408"/>
      <c r="CO271" s="408">
        <v>0</v>
      </c>
      <c r="CP271" s="408">
        <v>0</v>
      </c>
      <c r="CQ271" s="408">
        <v>30</v>
      </c>
      <c r="CR271" s="408"/>
      <c r="CS271" s="408"/>
      <c r="CT271" s="408"/>
      <c r="CU271" s="408"/>
      <c r="CV271" s="408"/>
      <c r="CW271" s="408"/>
      <c r="CX271" s="408"/>
      <c r="CY271" s="408"/>
      <c r="CZ271" s="408"/>
      <c r="DA271" s="408"/>
      <c r="DB271" s="408"/>
      <c r="DC271" s="408"/>
      <c r="DD271" s="408"/>
      <c r="DE271" s="408"/>
      <c r="DF271" s="408"/>
      <c r="DG271" s="408"/>
      <c r="DH271" s="408"/>
      <c r="DI271" s="408"/>
      <c r="DJ271" s="408"/>
      <c r="DK271" s="408">
        <v>0</v>
      </c>
      <c r="DL271" s="408"/>
      <c r="DM271" s="408"/>
      <c r="DN271" s="408"/>
      <c r="DO271" s="408"/>
      <c r="DP271" s="408"/>
      <c r="DQ271" s="408"/>
      <c r="DR271" s="408"/>
      <c r="DS271" s="408"/>
      <c r="DT271" s="408"/>
      <c r="DU271" s="408"/>
      <c r="DV271" s="408"/>
      <c r="DW271" s="408"/>
      <c r="DX271" s="408"/>
      <c r="DY271" s="408"/>
      <c r="DZ271" s="408"/>
      <c r="EA271" s="408"/>
      <c r="EB271" s="408"/>
      <c r="EC271" s="408"/>
      <c r="ED271" s="408"/>
      <c r="EE271" s="408"/>
      <c r="EF271" s="408"/>
      <c r="EG271" s="408"/>
      <c r="EH271" s="408"/>
      <c r="EI271" s="408"/>
      <c r="EJ271" s="408"/>
      <c r="EK271" s="408"/>
      <c r="EL271" s="408"/>
      <c r="EM271" s="408"/>
      <c r="EN271" s="408"/>
      <c r="EO271" s="408"/>
      <c r="EP271" s="408"/>
      <c r="EQ271" s="408"/>
      <c r="ER271" s="408"/>
      <c r="ES271" s="408"/>
      <c r="ET271" s="408"/>
      <c r="EU271" s="408"/>
      <c r="EV271" s="408">
        <v>238</v>
      </c>
      <c r="EW271" s="408"/>
      <c r="EX271" s="408"/>
      <c r="EY271" s="408"/>
      <c r="EZ271" s="408"/>
      <c r="FA271" s="408">
        <v>0</v>
      </c>
      <c r="FB271" s="408"/>
      <c r="FC271" s="408"/>
      <c r="FD271" s="408"/>
      <c r="FE271" s="408"/>
      <c r="FF271" s="408">
        <v>0</v>
      </c>
      <c r="FG271" s="408">
        <v>0</v>
      </c>
      <c r="FH271" s="408">
        <v>0</v>
      </c>
      <c r="FI271" s="408">
        <v>0</v>
      </c>
    </row>
    <row r="272" spans="1:165">
      <c r="A272" s="408">
        <v>276</v>
      </c>
      <c r="B272" s="408" t="s">
        <v>2238</v>
      </c>
      <c r="C272" s="408" t="s">
        <v>2235</v>
      </c>
      <c r="D272" s="408" t="s">
        <v>2245</v>
      </c>
      <c r="E272" s="408" t="s">
        <v>974</v>
      </c>
      <c r="F272" s="408" t="s">
        <v>2252</v>
      </c>
      <c r="G272" s="408" t="s">
        <v>2253</v>
      </c>
      <c r="H272" s="408" t="s">
        <v>1322</v>
      </c>
      <c r="I272" s="408" t="s">
        <v>1322</v>
      </c>
      <c r="J272" s="408" t="s">
        <v>2236</v>
      </c>
      <c r="K272" s="824">
        <v>44501</v>
      </c>
      <c r="L272" s="408">
        <v>0</v>
      </c>
      <c r="M272" s="408">
        <v>0</v>
      </c>
      <c r="N272" s="408">
        <v>0</v>
      </c>
      <c r="O272" s="408">
        <v>0</v>
      </c>
      <c r="P272" s="408">
        <v>0</v>
      </c>
      <c r="Q272" s="408">
        <v>0</v>
      </c>
      <c r="R272" s="408"/>
      <c r="S272" s="408"/>
      <c r="T272" s="408"/>
      <c r="U272" s="408"/>
      <c r="V272" s="408"/>
      <c r="W272" s="408"/>
      <c r="X272" s="408"/>
      <c r="Y272" s="408"/>
      <c r="Z272" s="408"/>
      <c r="AA272" s="408">
        <v>0</v>
      </c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408"/>
      <c r="AL272" s="408"/>
      <c r="AM272" s="408"/>
      <c r="AN272" s="408"/>
      <c r="AO272" s="408"/>
      <c r="AP272" s="408"/>
      <c r="AQ272" s="408"/>
      <c r="AR272" s="408"/>
      <c r="AS272" s="408"/>
      <c r="AT272" s="408"/>
      <c r="AU272" s="408"/>
      <c r="AV272" s="408"/>
      <c r="AW272" s="408"/>
      <c r="AX272" s="408"/>
      <c r="AY272" s="408"/>
      <c r="AZ272" s="408">
        <v>0</v>
      </c>
      <c r="BA272" s="408"/>
      <c r="BB272" s="408"/>
      <c r="BC272" s="408"/>
      <c r="BD272" s="408"/>
      <c r="BE272" s="408"/>
      <c r="BF272" s="408"/>
      <c r="BG272" s="408"/>
      <c r="BH272" s="408"/>
      <c r="BI272" s="408">
        <v>72.89</v>
      </c>
      <c r="BJ272" s="408">
        <v>341.42</v>
      </c>
      <c r="BK272" s="408">
        <v>246.07</v>
      </c>
      <c r="BL272" s="408">
        <v>25</v>
      </c>
      <c r="BM272" s="408"/>
      <c r="BN272" s="408"/>
      <c r="BO272" s="408"/>
      <c r="BP272" s="408"/>
      <c r="BQ272" s="408"/>
      <c r="BR272" s="408"/>
      <c r="BS272" s="408"/>
      <c r="BT272" s="408"/>
      <c r="BU272" s="408"/>
      <c r="BV272" s="408"/>
      <c r="BW272" s="408"/>
      <c r="BX272" s="408"/>
      <c r="BY272" s="408"/>
      <c r="BZ272" s="408"/>
      <c r="CA272" s="408"/>
      <c r="CB272" s="408"/>
      <c r="CC272" s="408"/>
      <c r="CD272" s="408"/>
      <c r="CE272" s="408"/>
      <c r="CF272" s="408"/>
      <c r="CG272" s="408"/>
      <c r="CH272" s="408"/>
      <c r="CI272" s="408"/>
      <c r="CJ272" s="408">
        <v>-0.03</v>
      </c>
      <c r="CK272" s="408"/>
      <c r="CL272" s="408"/>
      <c r="CM272" s="408"/>
      <c r="CN272" s="408"/>
      <c r="CO272" s="408">
        <v>0</v>
      </c>
      <c r="CP272" s="408">
        <v>0</v>
      </c>
      <c r="CQ272" s="408">
        <v>30</v>
      </c>
      <c r="CR272" s="408"/>
      <c r="CS272" s="408"/>
      <c r="CT272" s="408"/>
      <c r="CU272" s="408"/>
      <c r="CV272" s="408"/>
      <c r="CW272" s="408"/>
      <c r="CX272" s="408"/>
      <c r="CY272" s="408"/>
      <c r="CZ272" s="408"/>
      <c r="DA272" s="408"/>
      <c r="DB272" s="408"/>
      <c r="DC272" s="408"/>
      <c r="DD272" s="408"/>
      <c r="DE272" s="408"/>
      <c r="DF272" s="408"/>
      <c r="DG272" s="408"/>
      <c r="DH272" s="408"/>
      <c r="DI272" s="408"/>
      <c r="DJ272" s="408"/>
      <c r="DK272" s="408">
        <v>0</v>
      </c>
      <c r="DL272" s="408"/>
      <c r="DM272" s="408"/>
      <c r="DN272" s="408"/>
      <c r="DO272" s="408"/>
      <c r="DP272" s="408"/>
      <c r="DQ272" s="408"/>
      <c r="DR272" s="408"/>
      <c r="DS272" s="408"/>
      <c r="DT272" s="408"/>
      <c r="DU272" s="408"/>
      <c r="DV272" s="408"/>
      <c r="DW272" s="408"/>
      <c r="DX272" s="408"/>
      <c r="DY272" s="408"/>
      <c r="DZ272" s="408"/>
      <c r="EA272" s="408"/>
      <c r="EB272" s="408"/>
      <c r="EC272" s="408"/>
      <c r="ED272" s="408"/>
      <c r="EE272" s="408"/>
      <c r="EF272" s="408"/>
      <c r="EG272" s="408"/>
      <c r="EH272" s="408"/>
      <c r="EI272" s="408"/>
      <c r="EJ272" s="408"/>
      <c r="EK272" s="408"/>
      <c r="EL272" s="408"/>
      <c r="EM272" s="408"/>
      <c r="EN272" s="408"/>
      <c r="EO272" s="408"/>
      <c r="EP272" s="408"/>
      <c r="EQ272" s="408"/>
      <c r="ER272" s="408"/>
      <c r="ES272" s="408"/>
      <c r="ET272" s="408"/>
      <c r="EU272" s="408"/>
      <c r="EV272" s="408">
        <v>238</v>
      </c>
      <c r="EW272" s="408"/>
      <c r="EX272" s="408"/>
      <c r="EY272" s="408"/>
      <c r="EZ272" s="408"/>
      <c r="FA272" s="408">
        <v>0</v>
      </c>
      <c r="FB272" s="408"/>
      <c r="FC272" s="408"/>
      <c r="FD272" s="408"/>
      <c r="FE272" s="408"/>
      <c r="FF272" s="408">
        <v>0</v>
      </c>
      <c r="FG272" s="408">
        <v>0</v>
      </c>
      <c r="FH272" s="408">
        <v>0</v>
      </c>
      <c r="FI272" s="408">
        <v>0</v>
      </c>
    </row>
    <row r="273" spans="1:165">
      <c r="A273" s="408">
        <v>277</v>
      </c>
      <c r="B273" s="408" t="s">
        <v>1036</v>
      </c>
      <c r="C273" s="408" t="s">
        <v>2235</v>
      </c>
      <c r="D273" s="408" t="s">
        <v>2245</v>
      </c>
      <c r="E273" s="408" t="s">
        <v>974</v>
      </c>
      <c r="F273" s="408" t="s">
        <v>2252</v>
      </c>
      <c r="G273" s="408" t="s">
        <v>2253</v>
      </c>
      <c r="H273" s="408" t="s">
        <v>1322</v>
      </c>
      <c r="I273" s="408" t="s">
        <v>1322</v>
      </c>
      <c r="J273" s="408" t="s">
        <v>2236</v>
      </c>
      <c r="K273" s="824">
        <v>44501</v>
      </c>
      <c r="L273" s="408">
        <v>0</v>
      </c>
      <c r="M273" s="408">
        <v>0</v>
      </c>
      <c r="N273" s="408">
        <v>268.68900000000002</v>
      </c>
      <c r="O273" s="408">
        <v>268.68900000000002</v>
      </c>
      <c r="P273" s="408">
        <v>268.68900000000002</v>
      </c>
      <c r="Q273" s="408">
        <v>268.68900000000002</v>
      </c>
      <c r="R273" s="408"/>
      <c r="S273" s="408">
        <v>581.32000000000005</v>
      </c>
      <c r="T273" s="408">
        <v>209.4</v>
      </c>
      <c r="U273" s="408"/>
      <c r="V273" s="408">
        <v>212457.76608000003</v>
      </c>
      <c r="W273" s="408">
        <v>212457.76608000003</v>
      </c>
      <c r="X273" s="408">
        <v>162306.96423000001</v>
      </c>
      <c r="Y273" s="408">
        <v>0</v>
      </c>
      <c r="Z273" s="408">
        <v>16534.558822000919</v>
      </c>
      <c r="AA273" s="408">
        <v>0</v>
      </c>
      <c r="AB273" s="408">
        <v>0</v>
      </c>
      <c r="AC273" s="408">
        <v>0</v>
      </c>
      <c r="AD273" s="408">
        <v>19934.344504042601</v>
      </c>
      <c r="AE273" s="408">
        <v>103554.16784635875</v>
      </c>
      <c r="AF273" s="408">
        <v>55524.782235844723</v>
      </c>
      <c r="AG273" s="408">
        <v>739.69140326269348</v>
      </c>
      <c r="AH273" s="408">
        <v>0</v>
      </c>
      <c r="AI273" s="408">
        <v>0</v>
      </c>
      <c r="AJ273" s="408">
        <v>0</v>
      </c>
      <c r="AK273" s="408">
        <v>0</v>
      </c>
      <c r="AL273" s="408">
        <v>2555.1253564268895</v>
      </c>
      <c r="AM273" s="408"/>
      <c r="AN273" s="408">
        <v>489.81045905574331</v>
      </c>
      <c r="AO273" s="408">
        <v>1531.3877899701504</v>
      </c>
      <c r="AP273" s="408">
        <v>2306.7461079824816</v>
      </c>
      <c r="AQ273" s="408">
        <v>0</v>
      </c>
      <c r="AR273" s="408">
        <v>0</v>
      </c>
      <c r="AS273" s="408">
        <v>0</v>
      </c>
      <c r="AT273" s="408">
        <v>0</v>
      </c>
      <c r="AU273" s="408">
        <v>0</v>
      </c>
      <c r="AV273" s="408">
        <v>0</v>
      </c>
      <c r="AW273" s="408">
        <v>0</v>
      </c>
      <c r="AX273" s="408">
        <v>0</v>
      </c>
      <c r="AY273" s="408">
        <v>0</v>
      </c>
      <c r="AZ273" s="408">
        <v>0</v>
      </c>
      <c r="BA273" s="408"/>
      <c r="BB273" s="408">
        <v>0</v>
      </c>
      <c r="BC273" s="408">
        <v>0</v>
      </c>
      <c r="BD273" s="408">
        <v>0</v>
      </c>
      <c r="BE273" s="408">
        <v>0</v>
      </c>
      <c r="BF273" s="408">
        <v>0</v>
      </c>
      <c r="BG273" s="408">
        <v>9289.1922698958006</v>
      </c>
      <c r="BH273" s="408">
        <v>0</v>
      </c>
      <c r="BI273" s="408">
        <v>0</v>
      </c>
      <c r="BJ273" s="408">
        <v>0</v>
      </c>
      <c r="BK273" s="408">
        <v>0</v>
      </c>
      <c r="BL273" s="408">
        <v>0</v>
      </c>
      <c r="BM273" s="408"/>
      <c r="BN273" s="408"/>
      <c r="BO273" s="408"/>
      <c r="BP273" s="408"/>
      <c r="BQ273" s="408"/>
      <c r="BR273" s="408">
        <v>19477.26560999998</v>
      </c>
      <c r="BS273" s="408"/>
      <c r="BT273" s="408"/>
      <c r="BU273" s="408"/>
      <c r="BV273" s="408">
        <v>64813.974505740523</v>
      </c>
      <c r="BW273" s="408"/>
      <c r="BX273" s="408"/>
      <c r="BY273" s="408"/>
      <c r="BZ273" s="408"/>
      <c r="CA273" s="408"/>
      <c r="CB273" s="408"/>
      <c r="CC273" s="408"/>
      <c r="CD273" s="408"/>
      <c r="CE273" s="408"/>
      <c r="CF273" s="408"/>
      <c r="CG273" s="408"/>
      <c r="CH273" s="408"/>
      <c r="CI273" s="408">
        <v>142830.23019999999</v>
      </c>
      <c r="CJ273" s="408">
        <v>-44137.04045000003</v>
      </c>
      <c r="CK273" s="408"/>
      <c r="CL273" s="408"/>
      <c r="CM273" s="408"/>
      <c r="CN273" s="408"/>
      <c r="CO273" s="408">
        <v>-56284.971720000023</v>
      </c>
      <c r="CP273" s="408">
        <v>6134.1698699999961</v>
      </c>
      <c r="CQ273" s="408">
        <v>30</v>
      </c>
      <c r="CR273" s="408">
        <v>7938.1130769572046</v>
      </c>
      <c r="CS273" s="408">
        <v>184.88755736742723</v>
      </c>
      <c r="CT273" s="408">
        <v>278.49814146683775</v>
      </c>
      <c r="CU273" s="408">
        <v>0</v>
      </c>
      <c r="CV273" s="408">
        <v>0</v>
      </c>
      <c r="CW273" s="408">
        <v>0</v>
      </c>
      <c r="CX273" s="408">
        <v>0</v>
      </c>
      <c r="CY273" s="408">
        <v>0</v>
      </c>
      <c r="CZ273" s="408">
        <v>653.49640699475276</v>
      </c>
      <c r="DA273" s="408">
        <v>0</v>
      </c>
      <c r="DB273" s="408">
        <v>0</v>
      </c>
      <c r="DC273" s="408">
        <v>6132.3116508275343</v>
      </c>
      <c r="DD273" s="408">
        <v>0</v>
      </c>
      <c r="DE273" s="408">
        <v>0</v>
      </c>
      <c r="DF273" s="408">
        <v>0</v>
      </c>
      <c r="DG273" s="408">
        <v>1025.9242754253064</v>
      </c>
      <c r="DH273" s="408">
        <v>0</v>
      </c>
      <c r="DI273" s="408">
        <v>-288.23246040689628</v>
      </c>
      <c r="DJ273" s="408"/>
      <c r="DK273" s="408">
        <v>0</v>
      </c>
      <c r="DL273" s="408">
        <v>0</v>
      </c>
      <c r="DM273" s="408">
        <v>0</v>
      </c>
      <c r="DN273" s="408">
        <v>0</v>
      </c>
      <c r="DO273" s="408">
        <v>-37.447845837409659</v>
      </c>
      <c r="DP273" s="408">
        <v>-11.324648880343318</v>
      </c>
      <c r="DQ273" s="408">
        <v>0</v>
      </c>
      <c r="DR273" s="408">
        <v>0</v>
      </c>
      <c r="DS273" s="408"/>
      <c r="DT273" s="408"/>
      <c r="DU273" s="408"/>
      <c r="DV273" s="408">
        <v>103554.16784635875</v>
      </c>
      <c r="DW273" s="408">
        <v>0</v>
      </c>
      <c r="DX273" s="408">
        <v>0</v>
      </c>
      <c r="DY273" s="408">
        <v>-56284.97172000003</v>
      </c>
      <c r="DZ273" s="408">
        <v>6134.1698699999906</v>
      </c>
      <c r="EA273" s="408">
        <v>0</v>
      </c>
      <c r="EB273" s="408">
        <v>0</v>
      </c>
      <c r="EC273" s="408">
        <v>-58092.821470549403</v>
      </c>
      <c r="ED273" s="408">
        <v>0</v>
      </c>
      <c r="EE273" s="408">
        <v>0</v>
      </c>
      <c r="EF273" s="408">
        <v>0</v>
      </c>
      <c r="EG273" s="408">
        <v>0</v>
      </c>
      <c r="EH273" s="408">
        <v>0</v>
      </c>
      <c r="EI273" s="408">
        <v>0</v>
      </c>
      <c r="EJ273" s="408">
        <v>0</v>
      </c>
      <c r="EK273" s="408">
        <v>0</v>
      </c>
      <c r="EL273" s="408">
        <v>0</v>
      </c>
      <c r="EM273" s="408">
        <v>0</v>
      </c>
      <c r="EN273" s="408">
        <v>0</v>
      </c>
      <c r="EO273" s="408">
        <v>0</v>
      </c>
      <c r="EP273" s="408">
        <v>0</v>
      </c>
      <c r="EQ273" s="408">
        <v>0</v>
      </c>
      <c r="ER273" s="408">
        <v>0</v>
      </c>
      <c r="ES273" s="408">
        <v>0</v>
      </c>
      <c r="ET273" s="408">
        <v>0</v>
      </c>
      <c r="EU273" s="408">
        <v>0</v>
      </c>
      <c r="EV273" s="408">
        <v>238</v>
      </c>
      <c r="EW273" s="408">
        <v>0</v>
      </c>
      <c r="EX273" s="408">
        <v>0</v>
      </c>
      <c r="EY273" s="408">
        <v>0</v>
      </c>
      <c r="EZ273" s="408"/>
      <c r="FA273" s="408">
        <v>0</v>
      </c>
      <c r="FB273" s="408"/>
      <c r="FC273" s="408"/>
      <c r="FD273" s="408"/>
      <c r="FE273" s="408"/>
      <c r="FF273" s="408">
        <v>0</v>
      </c>
      <c r="FG273" s="408">
        <v>0</v>
      </c>
      <c r="FH273" s="408">
        <v>0</v>
      </c>
      <c r="FI273" s="408">
        <v>0</v>
      </c>
    </row>
    <row r="274" spans="1:165">
      <c r="A274" s="408">
        <v>278</v>
      </c>
      <c r="B274" s="408" t="s">
        <v>2238</v>
      </c>
      <c r="C274" s="408" t="s">
        <v>2235</v>
      </c>
      <c r="D274" s="408" t="s">
        <v>2245</v>
      </c>
      <c r="E274" s="408" t="s">
        <v>974</v>
      </c>
      <c r="F274" s="408" t="s">
        <v>2252</v>
      </c>
      <c r="G274" s="408" t="s">
        <v>2253</v>
      </c>
      <c r="H274" s="408" t="s">
        <v>1322</v>
      </c>
      <c r="I274" s="408" t="s">
        <v>1322</v>
      </c>
      <c r="J274" s="408" t="s">
        <v>2236</v>
      </c>
      <c r="K274" s="824">
        <v>44501</v>
      </c>
      <c r="L274" s="408">
        <v>0</v>
      </c>
      <c r="M274" s="408">
        <v>0</v>
      </c>
      <c r="N274" s="408">
        <v>22.145</v>
      </c>
      <c r="O274" s="408">
        <v>22.145</v>
      </c>
      <c r="P274" s="408">
        <v>22.145</v>
      </c>
      <c r="Q274" s="408">
        <v>22.145</v>
      </c>
      <c r="R274" s="408"/>
      <c r="S274" s="408">
        <v>581.32000000000005</v>
      </c>
      <c r="T274" s="408">
        <v>209.4</v>
      </c>
      <c r="U274" s="408"/>
      <c r="V274" s="408">
        <v>17510.494400000003</v>
      </c>
      <c r="W274" s="408">
        <v>17510.494400000003</v>
      </c>
      <c r="X274" s="408">
        <v>13377.130149999997</v>
      </c>
      <c r="Y274" s="408">
        <v>0</v>
      </c>
      <c r="Z274" s="408">
        <v>1362.7569610710166</v>
      </c>
      <c r="AA274" s="408">
        <v>0</v>
      </c>
      <c r="AB274" s="408">
        <v>0</v>
      </c>
      <c r="AC274" s="408">
        <v>0</v>
      </c>
      <c r="AD274" s="408">
        <v>1642.962901503312</v>
      </c>
      <c r="AE274" s="408">
        <v>8534.8006317996424</v>
      </c>
      <c r="AF274" s="408">
        <v>4576.2807655422484</v>
      </c>
      <c r="AG274" s="408">
        <v>60.964409131941935</v>
      </c>
      <c r="AH274" s="408">
        <v>0</v>
      </c>
      <c r="AI274" s="408">
        <v>0</v>
      </c>
      <c r="AJ274" s="408">
        <v>0</v>
      </c>
      <c r="AK274" s="408">
        <v>0</v>
      </c>
      <c r="AL274" s="408">
        <v>210.59012843128471</v>
      </c>
      <c r="AM274" s="408"/>
      <c r="AN274" s="408">
        <v>40.369544774030324</v>
      </c>
      <c r="AO274" s="408">
        <v>126.21500176370813</v>
      </c>
      <c r="AP274" s="408">
        <v>190.11903189662416</v>
      </c>
      <c r="AQ274" s="408">
        <v>0</v>
      </c>
      <c r="AR274" s="408">
        <v>0</v>
      </c>
      <c r="AS274" s="408">
        <v>0</v>
      </c>
      <c r="AT274" s="408">
        <v>0</v>
      </c>
      <c r="AU274" s="408">
        <v>0</v>
      </c>
      <c r="AV274" s="408">
        <v>0</v>
      </c>
      <c r="AW274" s="408">
        <v>0</v>
      </c>
      <c r="AX274" s="408">
        <v>0</v>
      </c>
      <c r="AY274" s="408">
        <v>0</v>
      </c>
      <c r="AZ274" s="408">
        <v>0</v>
      </c>
      <c r="BA274" s="408"/>
      <c r="BB274" s="408">
        <v>0</v>
      </c>
      <c r="BC274" s="408">
        <v>0</v>
      </c>
      <c r="BD274" s="408">
        <v>0</v>
      </c>
      <c r="BE274" s="408">
        <v>0</v>
      </c>
      <c r="BF274" s="408">
        <v>0</v>
      </c>
      <c r="BG274" s="408">
        <v>765.60321716498447</v>
      </c>
      <c r="BH274" s="408">
        <v>0</v>
      </c>
      <c r="BI274" s="408">
        <v>0</v>
      </c>
      <c r="BJ274" s="408">
        <v>0</v>
      </c>
      <c r="BK274" s="408">
        <v>0</v>
      </c>
      <c r="BL274" s="408">
        <v>0</v>
      </c>
      <c r="BM274" s="408"/>
      <c r="BN274" s="408"/>
      <c r="BO274" s="408"/>
      <c r="BP274" s="408"/>
      <c r="BQ274" s="408"/>
      <c r="BR274" s="408">
        <v>1605.2910499999982</v>
      </c>
      <c r="BS274" s="408"/>
      <c r="BT274" s="408"/>
      <c r="BU274" s="408"/>
      <c r="BV274" s="408">
        <v>5341.8839827072334</v>
      </c>
      <c r="BW274" s="408"/>
      <c r="BX274" s="408"/>
      <c r="BY274" s="408"/>
      <c r="BZ274" s="408"/>
      <c r="CA274" s="408"/>
      <c r="CB274" s="408"/>
      <c r="CC274" s="408"/>
      <c r="CD274" s="408"/>
      <c r="CE274" s="408"/>
      <c r="CF274" s="408"/>
      <c r="CG274" s="408"/>
      <c r="CH274" s="408"/>
      <c r="CI274" s="408">
        <v>11774.496999999999</v>
      </c>
      <c r="CJ274" s="408">
        <v>-3635.1312500000022</v>
      </c>
      <c r="CK274" s="408"/>
      <c r="CL274" s="408"/>
      <c r="CM274" s="408"/>
      <c r="CN274" s="408"/>
      <c r="CO274" s="408">
        <v>-4638.9346000000014</v>
      </c>
      <c r="CP274" s="408">
        <v>505.57034999999962</v>
      </c>
      <c r="CQ274" s="408">
        <v>30</v>
      </c>
      <c r="CR274" s="408">
        <v>654.24901685300574</v>
      </c>
      <c r="CS274" s="408">
        <v>15.238193442610907</v>
      </c>
      <c r="CT274" s="408">
        <v>22.953456757750104</v>
      </c>
      <c r="CU274" s="408">
        <v>0</v>
      </c>
      <c r="CV274" s="408">
        <v>0</v>
      </c>
      <c r="CW274" s="408">
        <v>0</v>
      </c>
      <c r="CX274" s="408">
        <v>0</v>
      </c>
      <c r="CY274" s="408">
        <v>0</v>
      </c>
      <c r="CZ274" s="408">
        <v>53.860328978479856</v>
      </c>
      <c r="DA274" s="408">
        <v>0</v>
      </c>
      <c r="DB274" s="408">
        <v>0</v>
      </c>
      <c r="DC274" s="408">
        <v>505.41719797824226</v>
      </c>
      <c r="DD274" s="408">
        <v>0</v>
      </c>
      <c r="DE274" s="408">
        <v>0</v>
      </c>
      <c r="DF274" s="408">
        <v>0</v>
      </c>
      <c r="DG274" s="408">
        <v>84.555352393634962</v>
      </c>
      <c r="DH274" s="408">
        <v>0</v>
      </c>
      <c r="DI274" s="408">
        <v>-23.755746739579081</v>
      </c>
      <c r="DJ274" s="408"/>
      <c r="DK274" s="408">
        <v>0</v>
      </c>
      <c r="DL274" s="408">
        <v>0</v>
      </c>
      <c r="DM274" s="408">
        <v>0</v>
      </c>
      <c r="DN274" s="408">
        <v>0</v>
      </c>
      <c r="DO274" s="408">
        <v>-3.0864030387155026</v>
      </c>
      <c r="DP274" s="408">
        <v>-0.93336291941687932</v>
      </c>
      <c r="DQ274" s="408">
        <v>0</v>
      </c>
      <c r="DR274" s="408">
        <v>0</v>
      </c>
      <c r="DS274" s="408"/>
      <c r="DT274" s="408"/>
      <c r="DU274" s="408"/>
      <c r="DV274" s="408">
        <v>8534.8006317996424</v>
      </c>
      <c r="DW274" s="408">
        <v>0</v>
      </c>
      <c r="DX274" s="408">
        <v>0</v>
      </c>
      <c r="DY274" s="408">
        <v>-4638.9346000000023</v>
      </c>
      <c r="DZ274" s="408">
        <v>505.57034999999905</v>
      </c>
      <c r="EA274" s="408">
        <v>0</v>
      </c>
      <c r="EB274" s="408">
        <v>0</v>
      </c>
      <c r="EC274" s="408">
        <v>-4787.9352391252205</v>
      </c>
      <c r="ED274" s="408">
        <v>0</v>
      </c>
      <c r="EE274" s="408">
        <v>0</v>
      </c>
      <c r="EF274" s="408">
        <v>0</v>
      </c>
      <c r="EG274" s="408">
        <v>0</v>
      </c>
      <c r="EH274" s="408">
        <v>0</v>
      </c>
      <c r="EI274" s="408">
        <v>0</v>
      </c>
      <c r="EJ274" s="408">
        <v>0</v>
      </c>
      <c r="EK274" s="408">
        <v>0</v>
      </c>
      <c r="EL274" s="408">
        <v>0</v>
      </c>
      <c r="EM274" s="408">
        <v>0</v>
      </c>
      <c r="EN274" s="408">
        <v>0</v>
      </c>
      <c r="EO274" s="408">
        <v>0</v>
      </c>
      <c r="EP274" s="408">
        <v>0</v>
      </c>
      <c r="EQ274" s="408">
        <v>0</v>
      </c>
      <c r="ER274" s="408">
        <v>0</v>
      </c>
      <c r="ES274" s="408">
        <v>0</v>
      </c>
      <c r="ET274" s="408">
        <v>0</v>
      </c>
      <c r="EU274" s="408">
        <v>0</v>
      </c>
      <c r="EV274" s="408">
        <v>238</v>
      </c>
      <c r="EW274" s="408">
        <v>0</v>
      </c>
      <c r="EX274" s="408">
        <v>0</v>
      </c>
      <c r="EY274" s="408">
        <v>0</v>
      </c>
      <c r="EZ274" s="408"/>
      <c r="FA274" s="408">
        <v>0</v>
      </c>
      <c r="FB274" s="408"/>
      <c r="FC274" s="408"/>
      <c r="FD274" s="408"/>
      <c r="FE274" s="408"/>
      <c r="FF274" s="408">
        <v>0</v>
      </c>
      <c r="FG274" s="408">
        <v>0</v>
      </c>
      <c r="FH274" s="408">
        <v>0</v>
      </c>
      <c r="FI274" s="408">
        <v>0</v>
      </c>
    </row>
    <row r="275" spans="1:165">
      <c r="A275" s="408">
        <v>279</v>
      </c>
      <c r="B275" s="408" t="s">
        <v>1036</v>
      </c>
      <c r="C275" s="408" t="s">
        <v>2235</v>
      </c>
      <c r="D275" s="408" t="s">
        <v>2245</v>
      </c>
      <c r="E275" s="408" t="s">
        <v>974</v>
      </c>
      <c r="F275" s="408" t="s">
        <v>2252</v>
      </c>
      <c r="G275" s="408" t="s">
        <v>2254</v>
      </c>
      <c r="H275" s="408" t="s">
        <v>1322</v>
      </c>
      <c r="I275" s="408" t="s">
        <v>1322</v>
      </c>
      <c r="J275" s="408" t="s">
        <v>2236</v>
      </c>
      <c r="K275" s="824">
        <v>44501</v>
      </c>
      <c r="L275" s="408">
        <v>0</v>
      </c>
      <c r="M275" s="408">
        <v>0</v>
      </c>
      <c r="N275" s="408">
        <v>361.14</v>
      </c>
      <c r="O275" s="408">
        <v>144.45599999999999</v>
      </c>
      <c r="P275" s="408">
        <v>361.14</v>
      </c>
      <c r="Q275" s="408">
        <v>144.45599999999999</v>
      </c>
      <c r="R275" s="408"/>
      <c r="S275" s="408">
        <v>581.32000000000005</v>
      </c>
      <c r="T275" s="408">
        <v>209.4</v>
      </c>
      <c r="U275" s="408"/>
      <c r="V275" s="408">
        <v>285560.62080000003</v>
      </c>
      <c r="W275" s="408">
        <v>285560.62080000003</v>
      </c>
      <c r="X275" s="408">
        <v>218153.83979999999</v>
      </c>
      <c r="Y275" s="408">
        <v>0</v>
      </c>
      <c r="Z275" s="408">
        <v>22223.799906127202</v>
      </c>
      <c r="AA275" s="408">
        <v>0</v>
      </c>
      <c r="AB275" s="408">
        <v>0</v>
      </c>
      <c r="AC275" s="408">
        <v>0</v>
      </c>
      <c r="AD275" s="408">
        <v>26793.390031560444</v>
      </c>
      <c r="AE275" s="408">
        <v>139185.27433588271</v>
      </c>
      <c r="AF275" s="408">
        <v>74629.850334970761</v>
      </c>
      <c r="AG275" s="408">
        <v>994.20576716683263</v>
      </c>
      <c r="AH275" s="408">
        <v>0</v>
      </c>
      <c r="AI275" s="408">
        <v>0</v>
      </c>
      <c r="AJ275" s="408">
        <v>0</v>
      </c>
      <c r="AK275" s="408">
        <v>0</v>
      </c>
      <c r="AL275" s="408">
        <v>3434.2975381203055</v>
      </c>
      <c r="AM275" s="408"/>
      <c r="AN275" s="408">
        <v>658.34533301843805</v>
      </c>
      <c r="AO275" s="408">
        <v>2058.3104871052406</v>
      </c>
      <c r="AP275" s="408">
        <v>3100.4555059447662</v>
      </c>
      <c r="AQ275" s="408">
        <v>0</v>
      </c>
      <c r="AR275" s="408">
        <v>0</v>
      </c>
      <c r="AS275" s="408">
        <v>0</v>
      </c>
      <c r="AT275" s="408">
        <v>0</v>
      </c>
      <c r="AU275" s="408">
        <v>0</v>
      </c>
      <c r="AV275" s="408">
        <v>0</v>
      </c>
      <c r="AW275" s="408">
        <v>0</v>
      </c>
      <c r="AX275" s="408">
        <v>0</v>
      </c>
      <c r="AY275" s="408">
        <v>0</v>
      </c>
      <c r="AZ275" s="408">
        <v>0</v>
      </c>
      <c r="BA275" s="408"/>
      <c r="BB275" s="408">
        <v>0</v>
      </c>
      <c r="BC275" s="408">
        <v>0</v>
      </c>
      <c r="BD275" s="408">
        <v>0</v>
      </c>
      <c r="BE275" s="408">
        <v>0</v>
      </c>
      <c r="BF275" s="408">
        <v>0</v>
      </c>
      <c r="BG275" s="408">
        <v>12485.434447819483</v>
      </c>
      <c r="BH275" s="408">
        <v>0</v>
      </c>
      <c r="BI275" s="408">
        <v>0</v>
      </c>
      <c r="BJ275" s="408">
        <v>0</v>
      </c>
      <c r="BK275" s="408">
        <v>0</v>
      </c>
      <c r="BL275" s="408">
        <v>0</v>
      </c>
      <c r="BM275" s="408"/>
      <c r="BN275" s="408"/>
      <c r="BO275" s="408"/>
      <c r="BP275" s="408"/>
      <c r="BQ275" s="408"/>
      <c r="BR275" s="408"/>
      <c r="BS275" s="408">
        <v>141363.91931999999</v>
      </c>
      <c r="BT275" s="408"/>
      <c r="BU275" s="408"/>
      <c r="BV275" s="408">
        <v>87115.284782790244</v>
      </c>
      <c r="BW275" s="408"/>
      <c r="BX275" s="408"/>
      <c r="BY275" s="408"/>
      <c r="BZ275" s="408"/>
      <c r="CA275" s="408"/>
      <c r="CB275" s="408"/>
      <c r="CC275" s="408"/>
      <c r="CD275" s="408"/>
      <c r="CE275" s="408"/>
      <c r="CF275" s="408"/>
      <c r="CG275" s="408"/>
      <c r="CH275" s="408"/>
      <c r="CI275" s="408">
        <v>76792.046800000011</v>
      </c>
      <c r="CJ275" s="408">
        <v>-23727.690799999968</v>
      </c>
      <c r="CK275" s="408"/>
      <c r="CL275" s="408"/>
      <c r="CM275" s="408"/>
      <c r="CN275" s="408"/>
      <c r="CO275" s="408">
        <v>-75651.607200000028</v>
      </c>
      <c r="CP275" s="408">
        <v>8244.8261999999941</v>
      </c>
      <c r="CQ275" s="408">
        <v>30</v>
      </c>
      <c r="CR275" s="408">
        <v>10669.473467884178</v>
      </c>
      <c r="CS275" s="408">
        <v>248.50400450957341</v>
      </c>
      <c r="CT275" s="408">
        <v>374.32428871049342</v>
      </c>
      <c r="CU275" s="408">
        <v>0</v>
      </c>
      <c r="CV275" s="408">
        <v>0</v>
      </c>
      <c r="CW275" s="408">
        <v>0</v>
      </c>
      <c r="CX275" s="408">
        <v>0</v>
      </c>
      <c r="CY275" s="408">
        <v>0</v>
      </c>
      <c r="CZ275" s="408">
        <v>878.35263975110865</v>
      </c>
      <c r="DA275" s="408">
        <v>0</v>
      </c>
      <c r="DB275" s="408">
        <v>0</v>
      </c>
      <c r="DC275" s="408">
        <v>8242.3286013936449</v>
      </c>
      <c r="DD275" s="408">
        <v>0</v>
      </c>
      <c r="DE275" s="408">
        <v>0</v>
      </c>
      <c r="DF275" s="408">
        <v>0</v>
      </c>
      <c r="DG275" s="408">
        <v>1378.9261667842566</v>
      </c>
      <c r="DH275" s="408">
        <v>0</v>
      </c>
      <c r="DI275" s="408">
        <v>-387.40800982305518</v>
      </c>
      <c r="DJ275" s="408"/>
      <c r="DK275" s="408">
        <v>0</v>
      </c>
      <c r="DL275" s="408">
        <v>0</v>
      </c>
      <c r="DM275" s="408">
        <v>0</v>
      </c>
      <c r="DN275" s="408">
        <v>0</v>
      </c>
      <c r="DO275" s="408">
        <v>-50.332968769551371</v>
      </c>
      <c r="DP275" s="408">
        <v>-15.221254672305804</v>
      </c>
      <c r="DQ275" s="408">
        <v>0</v>
      </c>
      <c r="DR275" s="408">
        <v>0</v>
      </c>
      <c r="DS275" s="408"/>
      <c r="DT275" s="408"/>
      <c r="DU275" s="408"/>
      <c r="DV275" s="408">
        <v>139185.27433588271</v>
      </c>
      <c r="DW275" s="408">
        <v>0</v>
      </c>
      <c r="DX275" s="408">
        <v>0</v>
      </c>
      <c r="DY275" s="408">
        <v>-75651.607200000028</v>
      </c>
      <c r="DZ275" s="408">
        <v>8244.8261999999959</v>
      </c>
      <c r="EA275" s="408">
        <v>0</v>
      </c>
      <c r="EB275" s="408">
        <v>0</v>
      </c>
      <c r="EC275" s="408">
        <v>-78081.505182103501</v>
      </c>
      <c r="ED275" s="408">
        <v>0</v>
      </c>
      <c r="EE275" s="408">
        <v>0</v>
      </c>
      <c r="EF275" s="408">
        <v>0</v>
      </c>
      <c r="EG275" s="408">
        <v>0</v>
      </c>
      <c r="EH275" s="408">
        <v>0</v>
      </c>
      <c r="EI275" s="408">
        <v>0</v>
      </c>
      <c r="EJ275" s="408">
        <v>0</v>
      </c>
      <c r="EK275" s="408">
        <v>0</v>
      </c>
      <c r="EL275" s="408">
        <v>0</v>
      </c>
      <c r="EM275" s="408">
        <v>0</v>
      </c>
      <c r="EN275" s="408">
        <v>0</v>
      </c>
      <c r="EO275" s="408">
        <v>0</v>
      </c>
      <c r="EP275" s="408">
        <v>0</v>
      </c>
      <c r="EQ275" s="408">
        <v>0</v>
      </c>
      <c r="ER275" s="408">
        <v>0</v>
      </c>
      <c r="ES275" s="408">
        <v>0</v>
      </c>
      <c r="ET275" s="408">
        <v>0</v>
      </c>
      <c r="EU275" s="408">
        <v>0</v>
      </c>
      <c r="EV275" s="408">
        <v>238</v>
      </c>
      <c r="EW275" s="408">
        <v>0</v>
      </c>
      <c r="EX275" s="408">
        <v>0</v>
      </c>
      <c r="EY275" s="408">
        <v>0</v>
      </c>
      <c r="EZ275" s="408"/>
      <c r="FA275" s="408">
        <v>0</v>
      </c>
      <c r="FB275" s="408"/>
      <c r="FC275" s="408"/>
      <c r="FD275" s="408"/>
      <c r="FE275" s="408"/>
      <c r="FF275" s="408">
        <v>0</v>
      </c>
      <c r="FG275" s="408">
        <v>0</v>
      </c>
      <c r="FH275" s="408">
        <v>0</v>
      </c>
      <c r="FI275" s="408">
        <v>0</v>
      </c>
    </row>
    <row r="276" spans="1:165">
      <c r="A276" s="408">
        <v>280</v>
      </c>
      <c r="B276" s="408" t="s">
        <v>2238</v>
      </c>
      <c r="C276" s="408" t="s">
        <v>2235</v>
      </c>
      <c r="D276" s="408" t="s">
        <v>2245</v>
      </c>
      <c r="E276" s="408" t="s">
        <v>974</v>
      </c>
      <c r="F276" s="408" t="s">
        <v>2252</v>
      </c>
      <c r="G276" s="408" t="s">
        <v>2254</v>
      </c>
      <c r="H276" s="408" t="s">
        <v>1322</v>
      </c>
      <c r="I276" s="408" t="s">
        <v>1322</v>
      </c>
      <c r="J276" s="408" t="s">
        <v>2236</v>
      </c>
      <c r="K276" s="824">
        <v>44501</v>
      </c>
      <c r="L276" s="408">
        <v>0</v>
      </c>
      <c r="M276" s="408">
        <v>0</v>
      </c>
      <c r="N276" s="408">
        <v>34.149000000000001</v>
      </c>
      <c r="O276" s="408">
        <v>13.659599999999999</v>
      </c>
      <c r="P276" s="408">
        <v>34.149000000000001</v>
      </c>
      <c r="Q276" s="408">
        <v>13.659599999999999</v>
      </c>
      <c r="R276" s="408"/>
      <c r="S276" s="408">
        <v>581.32000000000005</v>
      </c>
      <c r="T276" s="408">
        <v>209.4</v>
      </c>
      <c r="U276" s="408"/>
      <c r="V276" s="408">
        <v>27002.297280000006</v>
      </c>
      <c r="W276" s="408">
        <v>27002.297280000006</v>
      </c>
      <c r="X276" s="408">
        <v>20628.386429999999</v>
      </c>
      <c r="Y276" s="408">
        <v>0</v>
      </c>
      <c r="Z276" s="408">
        <v>2101.4580024210495</v>
      </c>
      <c r="AA276" s="408">
        <v>0</v>
      </c>
      <c r="AB276" s="408">
        <v>0</v>
      </c>
      <c r="AC276" s="408">
        <v>0</v>
      </c>
      <c r="AD276" s="408">
        <v>2533.5534036322692</v>
      </c>
      <c r="AE276" s="408">
        <v>13161.205995724815</v>
      </c>
      <c r="AF276" s="408">
        <v>7056.9163180177129</v>
      </c>
      <c r="AG276" s="408">
        <v>94.011000562053965</v>
      </c>
      <c r="AH276" s="408">
        <v>0</v>
      </c>
      <c r="AI276" s="408">
        <v>0</v>
      </c>
      <c r="AJ276" s="408">
        <v>0</v>
      </c>
      <c r="AK276" s="408">
        <v>0</v>
      </c>
      <c r="AL276" s="408">
        <v>324.74338657936067</v>
      </c>
      <c r="AM276" s="408"/>
      <c r="AN276" s="408">
        <v>62.252408421240084</v>
      </c>
      <c r="AO276" s="408">
        <v>194.63156898753078</v>
      </c>
      <c r="AP276" s="408">
        <v>293.17565230245287</v>
      </c>
      <c r="AQ276" s="408">
        <v>0</v>
      </c>
      <c r="AR276" s="408">
        <v>0</v>
      </c>
      <c r="AS276" s="408">
        <v>0</v>
      </c>
      <c r="AT276" s="408">
        <v>0</v>
      </c>
      <c r="AU276" s="408">
        <v>0</v>
      </c>
      <c r="AV276" s="408">
        <v>0</v>
      </c>
      <c r="AW276" s="408">
        <v>0</v>
      </c>
      <c r="AX276" s="408">
        <v>0</v>
      </c>
      <c r="AY276" s="408">
        <v>0</v>
      </c>
      <c r="AZ276" s="408">
        <v>0</v>
      </c>
      <c r="BA276" s="408"/>
      <c r="BB276" s="408">
        <v>0</v>
      </c>
      <c r="BC276" s="408">
        <v>0</v>
      </c>
      <c r="BD276" s="408">
        <v>0</v>
      </c>
      <c r="BE276" s="408">
        <v>0</v>
      </c>
      <c r="BF276" s="408">
        <v>0</v>
      </c>
      <c r="BG276" s="408">
        <v>1180.6089077880811</v>
      </c>
      <c r="BH276" s="408">
        <v>0</v>
      </c>
      <c r="BI276" s="408">
        <v>0</v>
      </c>
      <c r="BJ276" s="408">
        <v>0</v>
      </c>
      <c r="BK276" s="408">
        <v>0</v>
      </c>
      <c r="BL276" s="408">
        <v>0</v>
      </c>
      <c r="BM276" s="408"/>
      <c r="BN276" s="408"/>
      <c r="BO276" s="408"/>
      <c r="BP276" s="408"/>
      <c r="BQ276" s="408"/>
      <c r="BR276" s="408"/>
      <c r="BS276" s="408">
        <v>13367.216262</v>
      </c>
      <c r="BT276" s="408"/>
      <c r="BU276" s="408"/>
      <c r="BV276" s="408">
        <v>8237.5252258057935</v>
      </c>
      <c r="BW276" s="408"/>
      <c r="BX276" s="408"/>
      <c r="BY276" s="408"/>
      <c r="BZ276" s="408"/>
      <c r="CA276" s="408"/>
      <c r="CB276" s="408"/>
      <c r="CC276" s="408"/>
      <c r="CD276" s="408"/>
      <c r="CE276" s="408"/>
      <c r="CF276" s="408"/>
      <c r="CG276" s="408"/>
      <c r="CH276" s="408"/>
      <c r="CI276" s="408">
        <v>7261.3828000000003</v>
      </c>
      <c r="CJ276" s="408">
        <v>-2243.6798599999993</v>
      </c>
      <c r="CK276" s="408"/>
      <c r="CL276" s="408"/>
      <c r="CM276" s="408"/>
      <c r="CN276" s="408"/>
      <c r="CO276" s="408">
        <v>-7153.5325200000025</v>
      </c>
      <c r="CP276" s="408">
        <v>779.62166999999943</v>
      </c>
      <c r="CQ276" s="408">
        <v>30</v>
      </c>
      <c r="CR276" s="408">
        <v>1008.8936408450372</v>
      </c>
      <c r="CS276" s="408">
        <v>23.498264523446352</v>
      </c>
      <c r="CT276" s="408">
        <v>35.395691795909158</v>
      </c>
      <c r="CU276" s="408">
        <v>0</v>
      </c>
      <c r="CV276" s="408">
        <v>0</v>
      </c>
      <c r="CW276" s="408">
        <v>0</v>
      </c>
      <c r="CX276" s="408">
        <v>0</v>
      </c>
      <c r="CY276" s="408">
        <v>0</v>
      </c>
      <c r="CZ276" s="408">
        <v>83.056056639697999</v>
      </c>
      <c r="DA276" s="408">
        <v>0</v>
      </c>
      <c r="DB276" s="408">
        <v>0</v>
      </c>
      <c r="DC276" s="408">
        <v>779.38549983106714</v>
      </c>
      <c r="DD276" s="408">
        <v>0</v>
      </c>
      <c r="DE276" s="408">
        <v>0</v>
      </c>
      <c r="DF276" s="408">
        <v>0</v>
      </c>
      <c r="DG276" s="408">
        <v>130.38973713661062</v>
      </c>
      <c r="DH276" s="408">
        <v>0</v>
      </c>
      <c r="DI276" s="408">
        <v>-36.632874030701259</v>
      </c>
      <c r="DJ276" s="408"/>
      <c r="DK276" s="408">
        <v>0</v>
      </c>
      <c r="DL276" s="408">
        <v>0</v>
      </c>
      <c r="DM276" s="408">
        <v>0</v>
      </c>
      <c r="DN276" s="408">
        <v>0</v>
      </c>
      <c r="DO276" s="408">
        <v>-4.7594300008623236</v>
      </c>
      <c r="DP276" s="408">
        <v>-1.4393050501317219</v>
      </c>
      <c r="DQ276" s="408">
        <v>0</v>
      </c>
      <c r="DR276" s="408">
        <v>0</v>
      </c>
      <c r="DS276" s="408"/>
      <c r="DT276" s="408"/>
      <c r="DU276" s="408"/>
      <c r="DV276" s="408">
        <v>13161.205995724815</v>
      </c>
      <c r="DW276" s="408">
        <v>0</v>
      </c>
      <c r="DX276" s="408">
        <v>0</v>
      </c>
      <c r="DY276" s="408">
        <v>-7153.5325200000043</v>
      </c>
      <c r="DZ276" s="408">
        <v>779.62166999999954</v>
      </c>
      <c r="EA276" s="408">
        <v>0</v>
      </c>
      <c r="EB276" s="408">
        <v>0</v>
      </c>
      <c r="EC276" s="408">
        <v>-7383.3009925891711</v>
      </c>
      <c r="ED276" s="408">
        <v>0</v>
      </c>
      <c r="EE276" s="408">
        <v>0</v>
      </c>
      <c r="EF276" s="408">
        <v>0</v>
      </c>
      <c r="EG276" s="408">
        <v>0</v>
      </c>
      <c r="EH276" s="408">
        <v>0</v>
      </c>
      <c r="EI276" s="408">
        <v>0</v>
      </c>
      <c r="EJ276" s="408">
        <v>0</v>
      </c>
      <c r="EK276" s="408">
        <v>0</v>
      </c>
      <c r="EL276" s="408">
        <v>0</v>
      </c>
      <c r="EM276" s="408">
        <v>0</v>
      </c>
      <c r="EN276" s="408">
        <v>0</v>
      </c>
      <c r="EO276" s="408">
        <v>0</v>
      </c>
      <c r="EP276" s="408">
        <v>0</v>
      </c>
      <c r="EQ276" s="408">
        <v>0</v>
      </c>
      <c r="ER276" s="408">
        <v>0</v>
      </c>
      <c r="ES276" s="408">
        <v>0</v>
      </c>
      <c r="ET276" s="408">
        <v>0</v>
      </c>
      <c r="EU276" s="408">
        <v>0</v>
      </c>
      <c r="EV276" s="408">
        <v>238</v>
      </c>
      <c r="EW276" s="408">
        <v>0</v>
      </c>
      <c r="EX276" s="408">
        <v>0</v>
      </c>
      <c r="EY276" s="408">
        <v>0</v>
      </c>
      <c r="EZ276" s="408"/>
      <c r="FA276" s="408">
        <v>0</v>
      </c>
      <c r="FB276" s="408"/>
      <c r="FC276" s="408"/>
      <c r="FD276" s="408"/>
      <c r="FE276" s="408"/>
      <c r="FF276" s="408">
        <v>0</v>
      </c>
      <c r="FG276" s="408">
        <v>0</v>
      </c>
      <c r="FH276" s="408">
        <v>0</v>
      </c>
      <c r="FI276" s="408">
        <v>0</v>
      </c>
    </row>
    <row r="277" spans="1:165">
      <c r="A277" s="408">
        <v>281</v>
      </c>
      <c r="B277" s="408" t="s">
        <v>1036</v>
      </c>
      <c r="C277" s="408" t="s">
        <v>2243</v>
      </c>
      <c r="D277" s="408" t="s">
        <v>597</v>
      </c>
      <c r="E277" s="408" t="s">
        <v>974</v>
      </c>
      <c r="F277" s="408" t="s">
        <v>2252</v>
      </c>
      <c r="G277" s="408" t="s">
        <v>1322</v>
      </c>
      <c r="H277" s="408" t="s">
        <v>1322</v>
      </c>
      <c r="I277" s="408" t="s">
        <v>973</v>
      </c>
      <c r="J277" s="408" t="s">
        <v>2236</v>
      </c>
      <c r="K277" s="824">
        <v>44501</v>
      </c>
      <c r="L277" s="408">
        <v>0</v>
      </c>
      <c r="M277" s="408">
        <v>0</v>
      </c>
      <c r="N277" s="408">
        <v>33.875</v>
      </c>
      <c r="O277" s="408">
        <v>32.520000000000003</v>
      </c>
      <c r="P277" s="408">
        <v>33.875</v>
      </c>
      <c r="Q277" s="408">
        <v>32.520000000000003</v>
      </c>
      <c r="R277" s="408"/>
      <c r="S277" s="408">
        <v>1614.19</v>
      </c>
      <c r="T277" s="408">
        <v>209.4</v>
      </c>
      <c r="U277" s="408"/>
      <c r="V277" s="408">
        <v>61774.111250000002</v>
      </c>
      <c r="W277" s="408">
        <v>61774.111250000002</v>
      </c>
      <c r="X277" s="408">
        <v>41061.581250000003</v>
      </c>
      <c r="Y277" s="408">
        <v>0</v>
      </c>
      <c r="Z277" s="408">
        <v>1813.5990557220241</v>
      </c>
      <c r="AA277" s="408">
        <v>0</v>
      </c>
      <c r="AB277" s="408">
        <v>0</v>
      </c>
      <c r="AC277" s="408">
        <v>0</v>
      </c>
      <c r="AD277" s="408">
        <v>10549.2844229029</v>
      </c>
      <c r="AE277" s="408">
        <v>39391.090371822451</v>
      </c>
      <c r="AF277" s="408">
        <v>7000.2940136709722</v>
      </c>
      <c r="AG277" s="408">
        <v>93.256688161866478</v>
      </c>
      <c r="AH277" s="408">
        <v>0</v>
      </c>
      <c r="AI277" s="408">
        <v>0</v>
      </c>
      <c r="AJ277" s="408">
        <v>0</v>
      </c>
      <c r="AK277" s="408">
        <v>0</v>
      </c>
      <c r="AL277" s="408">
        <v>322.13775572859652</v>
      </c>
      <c r="AM277" s="408"/>
      <c r="AN277" s="408">
        <v>44.980725950712561</v>
      </c>
      <c r="AO277" s="408">
        <v>819.60309700235678</v>
      </c>
      <c r="AP277" s="408">
        <v>1220.8110923881252</v>
      </c>
      <c r="AQ277" s="408">
        <v>0</v>
      </c>
      <c r="AR277" s="408">
        <v>0</v>
      </c>
      <c r="AS277" s="408">
        <v>0</v>
      </c>
      <c r="AT277" s="408">
        <v>0</v>
      </c>
      <c r="AU277" s="408">
        <v>0</v>
      </c>
      <c r="AV277" s="408">
        <v>0</v>
      </c>
      <c r="AW277" s="408">
        <v>0</v>
      </c>
      <c r="AX277" s="408">
        <v>0</v>
      </c>
      <c r="AY277" s="408">
        <v>0</v>
      </c>
      <c r="AZ277" s="408">
        <v>0</v>
      </c>
      <c r="BA277" s="408"/>
      <c r="BB277" s="408">
        <v>0</v>
      </c>
      <c r="BC277" s="408">
        <v>0</v>
      </c>
      <c r="BD277" s="408">
        <v>0</v>
      </c>
      <c r="BE277" s="408">
        <v>0</v>
      </c>
      <c r="BF277" s="408">
        <v>0</v>
      </c>
      <c r="BG277" s="408">
        <v>519.11528173634781</v>
      </c>
      <c r="BH277" s="408">
        <v>0</v>
      </c>
      <c r="BI277" s="408">
        <v>0</v>
      </c>
      <c r="BJ277" s="408">
        <v>0</v>
      </c>
      <c r="BK277" s="408">
        <v>0</v>
      </c>
      <c r="BL277" s="408">
        <v>0</v>
      </c>
      <c r="BM277" s="408"/>
      <c r="BN277" s="408"/>
      <c r="BO277" s="408"/>
      <c r="BP277" s="408"/>
      <c r="BQ277" s="408"/>
      <c r="BR277" s="408">
        <v>1642.4632499999962</v>
      </c>
      <c r="BS277" s="408"/>
      <c r="BT277" s="408"/>
      <c r="BU277" s="408"/>
      <c r="BV277" s="408">
        <v>7519.4092954073203</v>
      </c>
      <c r="BW277" s="408"/>
      <c r="BX277" s="408"/>
      <c r="BY277" s="408"/>
      <c r="BZ277" s="408"/>
      <c r="CA277" s="408"/>
      <c r="CB277" s="408"/>
      <c r="CC277" s="408"/>
      <c r="CD277" s="408"/>
      <c r="CE277" s="408"/>
      <c r="CF277" s="408"/>
      <c r="CG277" s="408"/>
      <c r="CH277" s="408"/>
      <c r="CI277" s="408">
        <v>39419.118000000002</v>
      </c>
      <c r="CJ277" s="408">
        <v>-19884.058800000013</v>
      </c>
      <c r="CK277" s="408"/>
      <c r="CL277" s="408"/>
      <c r="CM277" s="408"/>
      <c r="CN277" s="408"/>
      <c r="CO277" s="408">
        <v>-21485.896250000002</v>
      </c>
      <c r="CP277" s="408">
        <v>773.36624999999947</v>
      </c>
      <c r="CQ277" s="408">
        <v>30</v>
      </c>
      <c r="CR277" s="408">
        <v>1385.2630213949742</v>
      </c>
      <c r="CS277" s="408">
        <v>98.952346105942411</v>
      </c>
      <c r="CT277" s="408">
        <v>147.39100204207648</v>
      </c>
      <c r="CU277" s="408">
        <v>0</v>
      </c>
      <c r="CV277" s="408">
        <v>0</v>
      </c>
      <c r="CW277" s="408">
        <v>0</v>
      </c>
      <c r="CX277" s="408">
        <v>0</v>
      </c>
      <c r="CY277" s="408">
        <v>0</v>
      </c>
      <c r="CZ277" s="408">
        <v>345.83125947958251</v>
      </c>
      <c r="DA277" s="408">
        <v>0</v>
      </c>
      <c r="DB277" s="408">
        <v>0</v>
      </c>
      <c r="DC277" s="408">
        <v>773.13197478044458</v>
      </c>
      <c r="DD277" s="408">
        <v>0</v>
      </c>
      <c r="DE277" s="408">
        <v>0</v>
      </c>
      <c r="DF277" s="408">
        <v>0</v>
      </c>
      <c r="DG277" s="408">
        <v>57.332538051077904</v>
      </c>
      <c r="DH277" s="408">
        <v>0</v>
      </c>
      <c r="DI277" s="408">
        <v>-31.614881512704869</v>
      </c>
      <c r="DJ277" s="408"/>
      <c r="DK277" s="408">
        <v>0</v>
      </c>
      <c r="DL277" s="408">
        <v>0</v>
      </c>
      <c r="DM277" s="408">
        <v>0</v>
      </c>
      <c r="DN277" s="408">
        <v>0</v>
      </c>
      <c r="DO277" s="408">
        <v>-4.7212419479109258</v>
      </c>
      <c r="DP277" s="408">
        <v>-1.0399756035363055</v>
      </c>
      <c r="DQ277" s="408">
        <v>0</v>
      </c>
      <c r="DR277" s="408">
        <v>0</v>
      </c>
      <c r="DS277" s="408"/>
      <c r="DT277" s="408"/>
      <c r="DU277" s="408"/>
      <c r="DV277" s="408">
        <v>39391.090371822451</v>
      </c>
      <c r="DW277" s="408">
        <v>0</v>
      </c>
      <c r="DX277" s="408">
        <v>0</v>
      </c>
      <c r="DY277" s="408">
        <v>-21485.896249999998</v>
      </c>
      <c r="DZ277" s="408">
        <v>773.36624999999913</v>
      </c>
      <c r="EA277" s="408">
        <v>0</v>
      </c>
      <c r="EB277" s="408">
        <v>0</v>
      </c>
      <c r="EC277" s="408">
        <v>-22097.995938664029</v>
      </c>
      <c r="ED277" s="408">
        <v>0</v>
      </c>
      <c r="EE277" s="408">
        <v>0</v>
      </c>
      <c r="EF277" s="408">
        <v>0</v>
      </c>
      <c r="EG277" s="408">
        <v>0</v>
      </c>
      <c r="EH277" s="408">
        <v>0</v>
      </c>
      <c r="EI277" s="408">
        <v>0</v>
      </c>
      <c r="EJ277" s="408">
        <v>0</v>
      </c>
      <c r="EK277" s="408">
        <v>0</v>
      </c>
      <c r="EL277" s="408">
        <v>0</v>
      </c>
      <c r="EM277" s="408">
        <v>0</v>
      </c>
      <c r="EN277" s="408">
        <v>0</v>
      </c>
      <c r="EO277" s="408">
        <v>0</v>
      </c>
      <c r="EP277" s="408">
        <v>0</v>
      </c>
      <c r="EQ277" s="408">
        <v>0</v>
      </c>
      <c r="ER277" s="408">
        <v>0</v>
      </c>
      <c r="ES277" s="408">
        <v>0</v>
      </c>
      <c r="ET277" s="408">
        <v>0</v>
      </c>
      <c r="EU277" s="408">
        <v>0</v>
      </c>
      <c r="EV277" s="408">
        <v>238</v>
      </c>
      <c r="EW277" s="408">
        <v>0</v>
      </c>
      <c r="EX277" s="408">
        <v>0</v>
      </c>
      <c r="EY277" s="408">
        <v>0</v>
      </c>
      <c r="EZ277" s="408"/>
      <c r="FA277" s="408">
        <v>0</v>
      </c>
      <c r="FB277" s="408"/>
      <c r="FC277" s="408"/>
      <c r="FD277" s="408"/>
      <c r="FE277" s="408"/>
      <c r="FF277" s="408">
        <v>0</v>
      </c>
      <c r="FG277" s="408">
        <v>0</v>
      </c>
      <c r="FH277" s="408">
        <v>0</v>
      </c>
      <c r="FI277" s="408">
        <v>0</v>
      </c>
    </row>
    <row r="278" spans="1:165">
      <c r="A278" s="408">
        <v>282</v>
      </c>
      <c r="B278" s="408" t="s">
        <v>2238</v>
      </c>
      <c r="C278" s="408" t="s">
        <v>2243</v>
      </c>
      <c r="D278" s="408" t="s">
        <v>597</v>
      </c>
      <c r="E278" s="408" t="s">
        <v>974</v>
      </c>
      <c r="F278" s="408" t="s">
        <v>2252</v>
      </c>
      <c r="G278" s="408" t="s">
        <v>1322</v>
      </c>
      <c r="H278" s="408" t="s">
        <v>1322</v>
      </c>
      <c r="I278" s="408" t="s">
        <v>973</v>
      </c>
      <c r="J278" s="408" t="s">
        <v>2236</v>
      </c>
      <c r="K278" s="824">
        <v>44501</v>
      </c>
      <c r="L278" s="408">
        <v>0</v>
      </c>
      <c r="M278" s="408">
        <v>0</v>
      </c>
      <c r="N278" s="408">
        <v>1.0620000000000001</v>
      </c>
      <c r="O278" s="408">
        <v>1.01952</v>
      </c>
      <c r="P278" s="408">
        <v>1.0620000000000001</v>
      </c>
      <c r="Q278" s="408">
        <v>1.01952</v>
      </c>
      <c r="R278" s="408"/>
      <c r="S278" s="408">
        <v>1614.19</v>
      </c>
      <c r="T278" s="408">
        <v>209.4</v>
      </c>
      <c r="U278" s="408"/>
      <c r="V278" s="408">
        <v>1936.6525800000002</v>
      </c>
      <c r="W278" s="408">
        <v>1936.6525800000002</v>
      </c>
      <c r="X278" s="408">
        <v>1287.3033</v>
      </c>
      <c r="Y278" s="408">
        <v>0</v>
      </c>
      <c r="Z278" s="408">
        <v>56.857334234001172</v>
      </c>
      <c r="AA278" s="408">
        <v>0</v>
      </c>
      <c r="AB278" s="408">
        <v>0</v>
      </c>
      <c r="AC278" s="408">
        <v>0</v>
      </c>
      <c r="AD278" s="408">
        <v>330.72590574532484</v>
      </c>
      <c r="AE278" s="408">
        <v>1234.9324863431864</v>
      </c>
      <c r="AF278" s="408">
        <v>219.46309203006857</v>
      </c>
      <c r="AG278" s="408">
        <v>2.9236487919675924</v>
      </c>
      <c r="AH278" s="408">
        <v>0</v>
      </c>
      <c r="AI278" s="408">
        <v>0</v>
      </c>
      <c r="AJ278" s="408">
        <v>0</v>
      </c>
      <c r="AK278" s="408">
        <v>0</v>
      </c>
      <c r="AL278" s="408">
        <v>10.099196947122348</v>
      </c>
      <c r="AM278" s="408"/>
      <c r="AN278" s="408">
        <v>1.4101706556356235</v>
      </c>
      <c r="AO278" s="408">
        <v>25.695010745874626</v>
      </c>
      <c r="AP278" s="408">
        <v>38.273103472064619</v>
      </c>
      <c r="AQ278" s="408">
        <v>0</v>
      </c>
      <c r="AR278" s="408">
        <v>0</v>
      </c>
      <c r="AS278" s="408">
        <v>0</v>
      </c>
      <c r="AT278" s="408">
        <v>0</v>
      </c>
      <c r="AU278" s="408">
        <v>0</v>
      </c>
      <c r="AV278" s="408">
        <v>0</v>
      </c>
      <c r="AW278" s="408">
        <v>0</v>
      </c>
      <c r="AX278" s="408">
        <v>0</v>
      </c>
      <c r="AY278" s="408">
        <v>0</v>
      </c>
      <c r="AZ278" s="408">
        <v>0</v>
      </c>
      <c r="BA278" s="408"/>
      <c r="BB278" s="408">
        <v>0</v>
      </c>
      <c r="BC278" s="408">
        <v>0</v>
      </c>
      <c r="BD278" s="408">
        <v>0</v>
      </c>
      <c r="BE278" s="408">
        <v>0</v>
      </c>
      <c r="BF278" s="408">
        <v>0</v>
      </c>
      <c r="BG278" s="408">
        <v>16.27455141561628</v>
      </c>
      <c r="BH278" s="408">
        <v>0</v>
      </c>
      <c r="BI278" s="408">
        <v>0</v>
      </c>
      <c r="BJ278" s="408">
        <v>0</v>
      </c>
      <c r="BK278" s="408">
        <v>0</v>
      </c>
      <c r="BL278" s="408">
        <v>0</v>
      </c>
      <c r="BM278" s="408"/>
      <c r="BN278" s="408"/>
      <c r="BO278" s="408"/>
      <c r="BP278" s="408"/>
      <c r="BQ278" s="408"/>
      <c r="BR278" s="408">
        <v>51.492132000000083</v>
      </c>
      <c r="BS278" s="408"/>
      <c r="BT278" s="408"/>
      <c r="BU278" s="408"/>
      <c r="BV278" s="408">
        <v>235.73764344568485</v>
      </c>
      <c r="BW278" s="408"/>
      <c r="BX278" s="408"/>
      <c r="BY278" s="408"/>
      <c r="BZ278" s="408"/>
      <c r="CA278" s="408"/>
      <c r="CB278" s="408"/>
      <c r="CC278" s="408"/>
      <c r="CD278" s="408"/>
      <c r="CE278" s="408"/>
      <c r="CF278" s="408"/>
      <c r="CG278" s="408"/>
      <c r="CH278" s="408"/>
      <c r="CI278" s="408">
        <v>1236.393</v>
      </c>
      <c r="CJ278" s="408">
        <v>-622.82347679999998</v>
      </c>
      <c r="CK278" s="408"/>
      <c r="CL278" s="408"/>
      <c r="CM278" s="408"/>
      <c r="CN278" s="408"/>
      <c r="CO278" s="408">
        <v>-673.59474000000012</v>
      </c>
      <c r="CP278" s="408">
        <v>24.245459999999984</v>
      </c>
      <c r="CQ278" s="408">
        <v>30</v>
      </c>
      <c r="CR278" s="408">
        <v>43.428762471482287</v>
      </c>
      <c r="CS278" s="408">
        <v>3.1022108210925694</v>
      </c>
      <c r="CT278" s="408">
        <v>4.6207894957545435</v>
      </c>
      <c r="CU278" s="408">
        <v>0</v>
      </c>
      <c r="CV278" s="408">
        <v>0</v>
      </c>
      <c r="CW278" s="408">
        <v>0</v>
      </c>
      <c r="CX278" s="408">
        <v>0</v>
      </c>
      <c r="CY278" s="408">
        <v>0</v>
      </c>
      <c r="CZ278" s="408">
        <v>10.842001404201255</v>
      </c>
      <c r="DA278" s="408">
        <v>0</v>
      </c>
      <c r="DB278" s="408">
        <v>0</v>
      </c>
      <c r="DC278" s="408">
        <v>24.238115342194305</v>
      </c>
      <c r="DD278" s="408">
        <v>0</v>
      </c>
      <c r="DE278" s="408">
        <v>0</v>
      </c>
      <c r="DF278" s="408">
        <v>0</v>
      </c>
      <c r="DG278" s="408">
        <v>1.7974068017784397</v>
      </c>
      <c r="DH278" s="408">
        <v>0</v>
      </c>
      <c r="DI278" s="408">
        <v>-0.99114403443520871</v>
      </c>
      <c r="DJ278" s="408"/>
      <c r="DK278" s="408">
        <v>0</v>
      </c>
      <c r="DL278" s="408">
        <v>0</v>
      </c>
      <c r="DM278" s="408">
        <v>0</v>
      </c>
      <c r="DN278" s="408">
        <v>0</v>
      </c>
      <c r="DO278" s="408">
        <v>-0.14801354830055757</v>
      </c>
      <c r="DP278" s="408">
        <v>-3.260381080311614E-2</v>
      </c>
      <c r="DQ278" s="408">
        <v>0</v>
      </c>
      <c r="DR278" s="408">
        <v>0</v>
      </c>
      <c r="DS278" s="408"/>
      <c r="DT278" s="408"/>
      <c r="DU278" s="408"/>
      <c r="DV278" s="408">
        <v>1234.9324863431864</v>
      </c>
      <c r="DW278" s="408">
        <v>0</v>
      </c>
      <c r="DX278" s="408">
        <v>0</v>
      </c>
      <c r="DY278" s="408">
        <v>-673.59474</v>
      </c>
      <c r="DZ278" s="408">
        <v>24.24545999999998</v>
      </c>
      <c r="EA278" s="408">
        <v>0</v>
      </c>
      <c r="EB278" s="408">
        <v>0</v>
      </c>
      <c r="EC278" s="408">
        <v>-692.78440404018284</v>
      </c>
      <c r="ED278" s="408">
        <v>0</v>
      </c>
      <c r="EE278" s="408">
        <v>0</v>
      </c>
      <c r="EF278" s="408">
        <v>0</v>
      </c>
      <c r="EG278" s="408">
        <v>0</v>
      </c>
      <c r="EH278" s="408">
        <v>0</v>
      </c>
      <c r="EI278" s="408">
        <v>0</v>
      </c>
      <c r="EJ278" s="408">
        <v>0</v>
      </c>
      <c r="EK278" s="408">
        <v>0</v>
      </c>
      <c r="EL278" s="408">
        <v>0</v>
      </c>
      <c r="EM278" s="408">
        <v>0</v>
      </c>
      <c r="EN278" s="408">
        <v>0</v>
      </c>
      <c r="EO278" s="408">
        <v>0</v>
      </c>
      <c r="EP278" s="408">
        <v>0</v>
      </c>
      <c r="EQ278" s="408">
        <v>0</v>
      </c>
      <c r="ER278" s="408">
        <v>0</v>
      </c>
      <c r="ES278" s="408">
        <v>0</v>
      </c>
      <c r="ET278" s="408">
        <v>0</v>
      </c>
      <c r="EU278" s="408">
        <v>0</v>
      </c>
      <c r="EV278" s="408">
        <v>238</v>
      </c>
      <c r="EW278" s="408">
        <v>0</v>
      </c>
      <c r="EX278" s="408">
        <v>0</v>
      </c>
      <c r="EY278" s="408">
        <v>0</v>
      </c>
      <c r="EZ278" s="408"/>
      <c r="FA278" s="408">
        <v>0</v>
      </c>
      <c r="FB278" s="408"/>
      <c r="FC278" s="408"/>
      <c r="FD278" s="408"/>
      <c r="FE278" s="408"/>
      <c r="FF278" s="408">
        <v>0</v>
      </c>
      <c r="FG278" s="408">
        <v>0</v>
      </c>
      <c r="FH278" s="408">
        <v>0</v>
      </c>
      <c r="FI278" s="408">
        <v>0</v>
      </c>
    </row>
    <row r="279" spans="1:165">
      <c r="A279" s="408">
        <v>283</v>
      </c>
      <c r="B279" s="408" t="s">
        <v>1036</v>
      </c>
      <c r="C279" s="408" t="s">
        <v>2243</v>
      </c>
      <c r="D279" s="408" t="s">
        <v>597</v>
      </c>
      <c r="E279" s="408" t="s">
        <v>974</v>
      </c>
      <c r="F279" s="408" t="s">
        <v>2252</v>
      </c>
      <c r="G279" s="408" t="s">
        <v>1322</v>
      </c>
      <c r="H279" s="408" t="s">
        <v>1322</v>
      </c>
      <c r="I279" s="408" t="s">
        <v>2244</v>
      </c>
      <c r="J279" s="408" t="s">
        <v>2236</v>
      </c>
      <c r="K279" s="824">
        <v>44501</v>
      </c>
      <c r="L279" s="408">
        <v>0</v>
      </c>
      <c r="M279" s="408">
        <v>0</v>
      </c>
      <c r="N279" s="408">
        <v>3857.1840000000002</v>
      </c>
      <c r="O279" s="408">
        <v>3702.8966399999999</v>
      </c>
      <c r="P279" s="408">
        <v>3857.1840000000002</v>
      </c>
      <c r="Q279" s="408">
        <v>3702.8966399999999</v>
      </c>
      <c r="R279" s="408"/>
      <c r="S279" s="408">
        <v>79.7</v>
      </c>
      <c r="T279" s="408">
        <v>209.4</v>
      </c>
      <c r="U279" s="408"/>
      <c r="V279" s="408">
        <v>1115111.8944000001</v>
      </c>
      <c r="W279" s="408">
        <v>1115111.8944000001</v>
      </c>
      <c r="X279" s="408">
        <v>1205447.14368</v>
      </c>
      <c r="Y279" s="408">
        <v>0</v>
      </c>
      <c r="Z279" s="408">
        <v>206505.83793789227</v>
      </c>
      <c r="AA279" s="408">
        <v>0</v>
      </c>
      <c r="AB279" s="408">
        <v>0</v>
      </c>
      <c r="AC279" s="408">
        <v>0</v>
      </c>
      <c r="AD279" s="408">
        <v>0</v>
      </c>
      <c r="AE279" s="408">
        <v>0</v>
      </c>
      <c r="AF279" s="408">
        <v>797089.95025320898</v>
      </c>
      <c r="AG279" s="408">
        <v>10618.692412426297</v>
      </c>
      <c r="AH279" s="408">
        <v>0</v>
      </c>
      <c r="AI279" s="408">
        <v>0</v>
      </c>
      <c r="AJ279" s="408">
        <v>0</v>
      </c>
      <c r="AK279" s="408">
        <v>0</v>
      </c>
      <c r="AL279" s="408">
        <v>36680.283311948362</v>
      </c>
      <c r="AM279" s="408"/>
      <c r="AN279" s="408">
        <v>5121.7398212685848</v>
      </c>
      <c r="AO279" s="408">
        <v>0</v>
      </c>
      <c r="AP279" s="408">
        <v>0</v>
      </c>
      <c r="AQ279" s="408">
        <v>0</v>
      </c>
      <c r="AR279" s="408">
        <v>0</v>
      </c>
      <c r="AS279" s="408">
        <v>0</v>
      </c>
      <c r="AT279" s="408">
        <v>0</v>
      </c>
      <c r="AU279" s="408">
        <v>0</v>
      </c>
      <c r="AV279" s="408">
        <v>0</v>
      </c>
      <c r="AW279" s="408">
        <v>0</v>
      </c>
      <c r="AX279" s="408">
        <v>0</v>
      </c>
      <c r="AY279" s="408">
        <v>0</v>
      </c>
      <c r="AZ279" s="408">
        <v>0</v>
      </c>
      <c r="BA279" s="408"/>
      <c r="BB279" s="408">
        <v>0</v>
      </c>
      <c r="BC279" s="408">
        <v>0</v>
      </c>
      <c r="BD279" s="408">
        <v>0</v>
      </c>
      <c r="BE279" s="408">
        <v>0</v>
      </c>
      <c r="BF279" s="408">
        <v>0</v>
      </c>
      <c r="BG279" s="408">
        <v>59109.170741518326</v>
      </c>
      <c r="BH279" s="408">
        <v>0</v>
      </c>
      <c r="BI279" s="408">
        <v>0</v>
      </c>
      <c r="BJ279" s="408">
        <v>0</v>
      </c>
      <c r="BK279" s="408">
        <v>0</v>
      </c>
      <c r="BL279" s="408">
        <v>0</v>
      </c>
      <c r="BM279" s="408"/>
      <c r="BN279" s="408"/>
      <c r="BO279" s="408"/>
      <c r="BP279" s="408"/>
      <c r="BQ279" s="408"/>
      <c r="BR279" s="408">
        <v>48217.885747200082</v>
      </c>
      <c r="BS279" s="408"/>
      <c r="BT279" s="408"/>
      <c r="BU279" s="408"/>
      <c r="BV279" s="408">
        <v>856199.12099472736</v>
      </c>
      <c r="BW279" s="408"/>
      <c r="BX279" s="408"/>
      <c r="BY279" s="408"/>
      <c r="BZ279" s="408"/>
      <c r="CA279" s="408"/>
      <c r="CB279" s="408"/>
      <c r="CC279" s="408"/>
      <c r="CD279" s="408"/>
      <c r="CE279" s="408"/>
      <c r="CF279" s="408"/>
      <c r="CG279" s="408"/>
      <c r="CH279" s="408"/>
      <c r="CI279" s="408">
        <v>1157230.308</v>
      </c>
      <c r="CJ279" s="408">
        <v>86722.859376000008</v>
      </c>
      <c r="CK279" s="408"/>
      <c r="CL279" s="408"/>
      <c r="CM279" s="408"/>
      <c r="CN279" s="408"/>
      <c r="CO279" s="408">
        <v>2275.7385600000134</v>
      </c>
      <c r="CP279" s="408">
        <v>88059.510719999947</v>
      </c>
      <c r="CQ279" s="408">
        <v>30</v>
      </c>
      <c r="CR279" s="408">
        <v>90305.179045576137</v>
      </c>
      <c r="CS279" s="408">
        <v>0</v>
      </c>
      <c r="CT279" s="408">
        <v>0</v>
      </c>
      <c r="CU279" s="408">
        <v>0</v>
      </c>
      <c r="CV279" s="408">
        <v>0</v>
      </c>
      <c r="CW279" s="408">
        <v>0</v>
      </c>
      <c r="CX279" s="408">
        <v>0</v>
      </c>
      <c r="CY279" s="408">
        <v>0</v>
      </c>
      <c r="CZ279" s="408">
        <v>0</v>
      </c>
      <c r="DA279" s="408">
        <v>0</v>
      </c>
      <c r="DB279" s="408">
        <v>0</v>
      </c>
      <c r="DC279" s="408">
        <v>88032.834922849783</v>
      </c>
      <c r="DD279" s="408">
        <v>0</v>
      </c>
      <c r="DE279" s="408">
        <v>0</v>
      </c>
      <c r="DF279" s="408">
        <v>0</v>
      </c>
      <c r="DG279" s="408">
        <v>6528.1815040592992</v>
      </c>
      <c r="DH279" s="408">
        <v>0</v>
      </c>
      <c r="DI279" s="408">
        <v>-3599.8351330687001</v>
      </c>
      <c r="DJ279" s="408"/>
      <c r="DK279" s="408">
        <v>0</v>
      </c>
      <c r="DL279" s="408">
        <v>0</v>
      </c>
      <c r="DM279" s="408">
        <v>0</v>
      </c>
      <c r="DN279" s="408">
        <v>0</v>
      </c>
      <c r="DO279" s="408">
        <v>-537.5852074276263</v>
      </c>
      <c r="DP279" s="408">
        <v>-118.4170408369182</v>
      </c>
      <c r="DQ279" s="408">
        <v>0</v>
      </c>
      <c r="DR279" s="408">
        <v>0</v>
      </c>
      <c r="DS279" s="408"/>
      <c r="DT279" s="408"/>
      <c r="DU279" s="408"/>
      <c r="DV279" s="408">
        <v>0</v>
      </c>
      <c r="DW279" s="408">
        <v>0</v>
      </c>
      <c r="DX279" s="408">
        <v>0</v>
      </c>
      <c r="DY279" s="408">
        <v>2275.7385599999689</v>
      </c>
      <c r="DZ279" s="408">
        <v>88059.510719999904</v>
      </c>
      <c r="EA279" s="408">
        <v>0</v>
      </c>
      <c r="EB279" s="408">
        <v>0</v>
      </c>
      <c r="EC279" s="408">
        <v>0</v>
      </c>
      <c r="ED279" s="408">
        <v>0</v>
      </c>
      <c r="EE279" s="408">
        <v>0</v>
      </c>
      <c r="EF279" s="408">
        <v>0</v>
      </c>
      <c r="EG279" s="408">
        <v>0</v>
      </c>
      <c r="EH279" s="408">
        <v>0</v>
      </c>
      <c r="EI279" s="408">
        <v>0</v>
      </c>
      <c r="EJ279" s="408">
        <v>0</v>
      </c>
      <c r="EK279" s="408">
        <v>0</v>
      </c>
      <c r="EL279" s="408">
        <v>0</v>
      </c>
      <c r="EM279" s="408">
        <v>0</v>
      </c>
      <c r="EN279" s="408">
        <v>0</v>
      </c>
      <c r="EO279" s="408">
        <v>0</v>
      </c>
      <c r="EP279" s="408">
        <v>0</v>
      </c>
      <c r="EQ279" s="408">
        <v>0</v>
      </c>
      <c r="ER279" s="408">
        <v>0</v>
      </c>
      <c r="ES279" s="408">
        <v>0</v>
      </c>
      <c r="ET279" s="408">
        <v>0</v>
      </c>
      <c r="EU279" s="408">
        <v>0</v>
      </c>
      <c r="EV279" s="408">
        <v>238</v>
      </c>
      <c r="EW279" s="408">
        <v>0</v>
      </c>
      <c r="EX279" s="408">
        <v>0</v>
      </c>
      <c r="EY279" s="408">
        <v>0</v>
      </c>
      <c r="EZ279" s="408"/>
      <c r="FA279" s="408">
        <v>0</v>
      </c>
      <c r="FB279" s="408"/>
      <c r="FC279" s="408"/>
      <c r="FD279" s="408"/>
      <c r="FE279" s="408"/>
      <c r="FF279" s="408">
        <v>0</v>
      </c>
      <c r="FG279" s="408">
        <v>0</v>
      </c>
      <c r="FH279" s="408">
        <v>0</v>
      </c>
      <c r="FI279" s="408">
        <v>0</v>
      </c>
    </row>
    <row r="280" spans="1:165">
      <c r="A280" s="408">
        <v>284</v>
      </c>
      <c r="B280" s="408" t="s">
        <v>2238</v>
      </c>
      <c r="C280" s="408" t="s">
        <v>2243</v>
      </c>
      <c r="D280" s="408" t="s">
        <v>597</v>
      </c>
      <c r="E280" s="408" t="s">
        <v>974</v>
      </c>
      <c r="F280" s="408" t="s">
        <v>2252</v>
      </c>
      <c r="G280" s="408" t="s">
        <v>1322</v>
      </c>
      <c r="H280" s="408" t="s">
        <v>1322</v>
      </c>
      <c r="I280" s="408" t="s">
        <v>2244</v>
      </c>
      <c r="J280" s="408" t="s">
        <v>2236</v>
      </c>
      <c r="K280" s="824">
        <v>44501</v>
      </c>
      <c r="L280" s="408">
        <v>0</v>
      </c>
      <c r="M280" s="408">
        <v>0</v>
      </c>
      <c r="N280" s="408">
        <v>469.28100000000001</v>
      </c>
      <c r="O280" s="408">
        <v>450.50976000000003</v>
      </c>
      <c r="P280" s="408">
        <v>469.28100000000001</v>
      </c>
      <c r="Q280" s="408">
        <v>450.50976000000003</v>
      </c>
      <c r="R280" s="408"/>
      <c r="S280" s="408">
        <v>79.7</v>
      </c>
      <c r="T280" s="408">
        <v>209.4</v>
      </c>
      <c r="U280" s="408"/>
      <c r="V280" s="408">
        <v>135669.13710000002</v>
      </c>
      <c r="W280" s="408">
        <v>135669.13710000002</v>
      </c>
      <c r="X280" s="408">
        <v>146659.69812000002</v>
      </c>
      <c r="Y280" s="408">
        <v>0</v>
      </c>
      <c r="Z280" s="408">
        <v>25124.35655994944</v>
      </c>
      <c r="AA280" s="408">
        <v>0</v>
      </c>
      <c r="AB280" s="408">
        <v>0</v>
      </c>
      <c r="AC280" s="408">
        <v>0</v>
      </c>
      <c r="AD280" s="408">
        <v>0</v>
      </c>
      <c r="AE280" s="408">
        <v>0</v>
      </c>
      <c r="AF280" s="408">
        <v>96977.268635558008</v>
      </c>
      <c r="AG280" s="408">
        <v>1291.9141513590807</v>
      </c>
      <c r="AH280" s="408">
        <v>0</v>
      </c>
      <c r="AI280" s="408">
        <v>0</v>
      </c>
      <c r="AJ280" s="408">
        <v>0</v>
      </c>
      <c r="AK280" s="408">
        <v>0</v>
      </c>
      <c r="AL280" s="408">
        <v>4462.6753696257274</v>
      </c>
      <c r="AM280" s="408"/>
      <c r="AN280" s="408">
        <v>623.13210494099906</v>
      </c>
      <c r="AO280" s="408">
        <v>0</v>
      </c>
      <c r="AP280" s="408">
        <v>0</v>
      </c>
      <c r="AQ280" s="408">
        <v>0</v>
      </c>
      <c r="AR280" s="408">
        <v>0</v>
      </c>
      <c r="AS280" s="408">
        <v>0</v>
      </c>
      <c r="AT280" s="408">
        <v>0</v>
      </c>
      <c r="AU280" s="408">
        <v>0</v>
      </c>
      <c r="AV280" s="408">
        <v>0</v>
      </c>
      <c r="AW280" s="408">
        <v>0</v>
      </c>
      <c r="AX280" s="408">
        <v>0</v>
      </c>
      <c r="AY280" s="408">
        <v>0</v>
      </c>
      <c r="AZ280" s="408">
        <v>0</v>
      </c>
      <c r="BA280" s="408"/>
      <c r="BB280" s="408">
        <v>0</v>
      </c>
      <c r="BC280" s="408">
        <v>0</v>
      </c>
      <c r="BD280" s="408">
        <v>0</v>
      </c>
      <c r="BE280" s="408">
        <v>0</v>
      </c>
      <c r="BF280" s="408">
        <v>0</v>
      </c>
      <c r="BG280" s="408">
        <v>7191.4668200299648</v>
      </c>
      <c r="BH280" s="408">
        <v>0</v>
      </c>
      <c r="BI280" s="408">
        <v>0</v>
      </c>
      <c r="BJ280" s="408">
        <v>0</v>
      </c>
      <c r="BK280" s="408">
        <v>0</v>
      </c>
      <c r="BL280" s="408">
        <v>0</v>
      </c>
      <c r="BM280" s="408"/>
      <c r="BN280" s="408"/>
      <c r="BO280" s="408"/>
      <c r="BP280" s="408"/>
      <c r="BQ280" s="408"/>
      <c r="BR280" s="408">
        <v>5866.3879247999921</v>
      </c>
      <c r="BS280" s="408"/>
      <c r="BT280" s="408"/>
      <c r="BU280" s="408"/>
      <c r="BV280" s="408">
        <v>104168.73545558797</v>
      </c>
      <c r="BW280" s="408"/>
      <c r="BX280" s="408"/>
      <c r="BY280" s="408"/>
      <c r="BZ280" s="408"/>
      <c r="CA280" s="408"/>
      <c r="CB280" s="408"/>
      <c r="CC280" s="408"/>
      <c r="CD280" s="408"/>
      <c r="CE280" s="408"/>
      <c r="CF280" s="408"/>
      <c r="CG280" s="408"/>
      <c r="CH280" s="408"/>
      <c r="CI280" s="408">
        <v>140793.38519999999</v>
      </c>
      <c r="CJ280" s="408">
        <v>10550.983583999987</v>
      </c>
      <c r="CK280" s="408"/>
      <c r="CL280" s="408"/>
      <c r="CM280" s="408"/>
      <c r="CN280" s="408"/>
      <c r="CO280" s="408">
        <v>276.87579000000159</v>
      </c>
      <c r="CP280" s="408">
        <v>10713.685229999992</v>
      </c>
      <c r="CQ280" s="408">
        <v>30</v>
      </c>
      <c r="CR280" s="408">
        <v>10986.902550587896</v>
      </c>
      <c r="CS280" s="408">
        <v>0</v>
      </c>
      <c r="CT280" s="408">
        <v>0</v>
      </c>
      <c r="CU280" s="408">
        <v>0</v>
      </c>
      <c r="CV280" s="408">
        <v>0</v>
      </c>
      <c r="CW280" s="408">
        <v>0</v>
      </c>
      <c r="CX280" s="408">
        <v>0</v>
      </c>
      <c r="CY280" s="408">
        <v>0</v>
      </c>
      <c r="CZ280" s="408">
        <v>0</v>
      </c>
      <c r="DA280" s="408">
        <v>0</v>
      </c>
      <c r="DB280" s="408">
        <v>0</v>
      </c>
      <c r="DC280" s="408">
        <v>10710.439741902344</v>
      </c>
      <c r="DD280" s="408">
        <v>0</v>
      </c>
      <c r="DE280" s="408">
        <v>0</v>
      </c>
      <c r="DF280" s="408">
        <v>0</v>
      </c>
      <c r="DG280" s="408">
        <v>794.24563215196667</v>
      </c>
      <c r="DH280" s="408">
        <v>0</v>
      </c>
      <c r="DI280" s="408">
        <v>-437.97086970225064</v>
      </c>
      <c r="DJ280" s="408"/>
      <c r="DK280" s="408">
        <v>0</v>
      </c>
      <c r="DL280" s="408">
        <v>0</v>
      </c>
      <c r="DM280" s="408">
        <v>0</v>
      </c>
      <c r="DN280" s="408">
        <v>0</v>
      </c>
      <c r="DO280" s="408">
        <v>-65.404845536755602</v>
      </c>
      <c r="DP280" s="408">
        <v>-14.407108227398453</v>
      </c>
      <c r="DQ280" s="408">
        <v>0</v>
      </c>
      <c r="DR280" s="408">
        <v>0</v>
      </c>
      <c r="DS280" s="408"/>
      <c r="DT280" s="408"/>
      <c r="DU280" s="408"/>
      <c r="DV280" s="408">
        <v>0</v>
      </c>
      <c r="DW280" s="408">
        <v>0</v>
      </c>
      <c r="DX280" s="408">
        <v>0</v>
      </c>
      <c r="DY280" s="408">
        <v>276.87578999999823</v>
      </c>
      <c r="DZ280" s="408">
        <v>10713.685229999988</v>
      </c>
      <c r="EA280" s="408">
        <v>0</v>
      </c>
      <c r="EB280" s="408">
        <v>0</v>
      </c>
      <c r="EC280" s="408">
        <v>0</v>
      </c>
      <c r="ED280" s="408">
        <v>0</v>
      </c>
      <c r="EE280" s="408">
        <v>0</v>
      </c>
      <c r="EF280" s="408">
        <v>0</v>
      </c>
      <c r="EG280" s="408">
        <v>0</v>
      </c>
      <c r="EH280" s="408">
        <v>0</v>
      </c>
      <c r="EI280" s="408">
        <v>0</v>
      </c>
      <c r="EJ280" s="408">
        <v>0</v>
      </c>
      <c r="EK280" s="408">
        <v>0</v>
      </c>
      <c r="EL280" s="408">
        <v>0</v>
      </c>
      <c r="EM280" s="408">
        <v>0</v>
      </c>
      <c r="EN280" s="408">
        <v>0</v>
      </c>
      <c r="EO280" s="408">
        <v>0</v>
      </c>
      <c r="EP280" s="408">
        <v>0</v>
      </c>
      <c r="EQ280" s="408">
        <v>0</v>
      </c>
      <c r="ER280" s="408">
        <v>0</v>
      </c>
      <c r="ES280" s="408">
        <v>0</v>
      </c>
      <c r="ET280" s="408">
        <v>0</v>
      </c>
      <c r="EU280" s="408">
        <v>0</v>
      </c>
      <c r="EV280" s="408">
        <v>238</v>
      </c>
      <c r="EW280" s="408">
        <v>0</v>
      </c>
      <c r="EX280" s="408">
        <v>0</v>
      </c>
      <c r="EY280" s="408">
        <v>0</v>
      </c>
      <c r="EZ280" s="408"/>
      <c r="FA280" s="408">
        <v>0</v>
      </c>
      <c r="FB280" s="408"/>
      <c r="FC280" s="408"/>
      <c r="FD280" s="408"/>
      <c r="FE280" s="408"/>
      <c r="FF280" s="408">
        <v>0</v>
      </c>
      <c r="FG280" s="408">
        <v>0</v>
      </c>
      <c r="FH280" s="408">
        <v>0</v>
      </c>
      <c r="FI280" s="408">
        <v>0</v>
      </c>
    </row>
    <row r="281" spans="1:165">
      <c r="A281" s="408">
        <v>285</v>
      </c>
      <c r="B281" s="408" t="s">
        <v>1036</v>
      </c>
      <c r="C281" s="408" t="s">
        <v>2243</v>
      </c>
      <c r="D281" s="408" t="s">
        <v>597</v>
      </c>
      <c r="E281" s="408" t="s">
        <v>974</v>
      </c>
      <c r="F281" s="408" t="s">
        <v>2252</v>
      </c>
      <c r="G281" s="408" t="s">
        <v>1322</v>
      </c>
      <c r="H281" s="408" t="s">
        <v>1322</v>
      </c>
      <c r="I281" s="408" t="s">
        <v>1322</v>
      </c>
      <c r="J281" s="408" t="s">
        <v>2236</v>
      </c>
      <c r="K281" s="824">
        <v>44501</v>
      </c>
      <c r="L281" s="408">
        <v>30864</v>
      </c>
      <c r="M281" s="408">
        <v>29629.439999999999</v>
      </c>
      <c r="N281" s="408">
        <v>0</v>
      </c>
      <c r="O281" s="408">
        <v>0</v>
      </c>
      <c r="P281" s="408">
        <v>0</v>
      </c>
      <c r="Q281" s="408">
        <v>0</v>
      </c>
      <c r="R281" s="408">
        <v>44.35</v>
      </c>
      <c r="S281" s="408"/>
      <c r="T281" s="408"/>
      <c r="U281" s="408">
        <v>1368818.4000000001</v>
      </c>
      <c r="V281" s="408"/>
      <c r="W281" s="408">
        <v>1368818.4000000001</v>
      </c>
      <c r="X281" s="408">
        <v>894130.08</v>
      </c>
      <c r="Y281" s="408">
        <v>0</v>
      </c>
      <c r="Z281" s="408">
        <v>0</v>
      </c>
      <c r="AA281" s="408">
        <v>0</v>
      </c>
      <c r="AB281" s="408">
        <v>0</v>
      </c>
      <c r="AC281" s="408">
        <v>0</v>
      </c>
      <c r="AD281" s="408">
        <v>404999.37366906466</v>
      </c>
      <c r="AE281" s="408">
        <v>886347.60776326456</v>
      </c>
      <c r="AF281" s="408"/>
      <c r="AG281" s="408"/>
      <c r="AH281" s="408"/>
      <c r="AI281" s="408">
        <v>0</v>
      </c>
      <c r="AJ281" s="408">
        <v>0</v>
      </c>
      <c r="AK281" s="408">
        <v>0</v>
      </c>
      <c r="AL281" s="408">
        <v>0</v>
      </c>
      <c r="AM281" s="408"/>
      <c r="AN281" s="408">
        <v>0</v>
      </c>
      <c r="AO281" s="408">
        <v>30608.467427424086</v>
      </c>
      <c r="AP281" s="408">
        <v>46829.681566149142</v>
      </c>
      <c r="AQ281" s="408">
        <v>0</v>
      </c>
      <c r="AR281" s="408">
        <v>0</v>
      </c>
      <c r="AS281" s="408"/>
      <c r="AT281" s="408"/>
      <c r="AU281" s="408">
        <v>0</v>
      </c>
      <c r="AV281" s="408">
        <v>0</v>
      </c>
      <c r="AW281" s="408">
        <v>0</v>
      </c>
      <c r="AX281" s="408"/>
      <c r="AY281" s="408"/>
      <c r="AZ281" s="408">
        <v>0</v>
      </c>
      <c r="BA281" s="408"/>
      <c r="BB281" s="408">
        <v>0</v>
      </c>
      <c r="BC281" s="408">
        <v>0</v>
      </c>
      <c r="BD281" s="408">
        <v>0</v>
      </c>
      <c r="BE281" s="408">
        <v>0</v>
      </c>
      <c r="BF281" s="408"/>
      <c r="BG281" s="408">
        <v>0</v>
      </c>
      <c r="BH281" s="408">
        <v>0</v>
      </c>
      <c r="BI281" s="408">
        <v>9099.49</v>
      </c>
      <c r="BJ281" s="408">
        <v>42575.67</v>
      </c>
      <c r="BK281" s="408">
        <v>1455.32</v>
      </c>
      <c r="BL281" s="408">
        <v>121</v>
      </c>
      <c r="BM281" s="408"/>
      <c r="BN281" s="408"/>
      <c r="BO281" s="408"/>
      <c r="BP281" s="408"/>
      <c r="BQ281" s="408"/>
      <c r="BR281" s="408">
        <v>35765.20320000004</v>
      </c>
      <c r="BS281" s="408"/>
      <c r="BT281" s="408"/>
      <c r="BU281" s="408"/>
      <c r="BV281" s="408">
        <v>0</v>
      </c>
      <c r="BW281" s="408"/>
      <c r="BX281" s="408"/>
      <c r="BY281" s="408"/>
      <c r="BZ281" s="408"/>
      <c r="CA281" s="408"/>
      <c r="CB281" s="408"/>
      <c r="CC281" s="408"/>
      <c r="CD281" s="408"/>
      <c r="CE281" s="408"/>
      <c r="CF281" s="408"/>
      <c r="CG281" s="408"/>
      <c r="CH281" s="408"/>
      <c r="CI281" s="408">
        <v>858364.87679999997</v>
      </c>
      <c r="CJ281" s="408">
        <v>-455700.81719999993</v>
      </c>
      <c r="CK281" s="408"/>
      <c r="CL281" s="408"/>
      <c r="CM281" s="408"/>
      <c r="CN281" s="408"/>
      <c r="CO281" s="408">
        <v>-474688.32000000007</v>
      </c>
      <c r="CP281" s="408">
        <v>0</v>
      </c>
      <c r="CQ281" s="408">
        <v>30</v>
      </c>
      <c r="CR281" s="408">
        <v>22626.13170615019</v>
      </c>
      <c r="CS281" s="408">
        <v>3695.4224230344153</v>
      </c>
      <c r="CT281" s="408">
        <v>5653.8425431931173</v>
      </c>
      <c r="CU281" s="408">
        <v>0</v>
      </c>
      <c r="CV281" s="408">
        <v>0</v>
      </c>
      <c r="CW281" s="408"/>
      <c r="CX281" s="408"/>
      <c r="CY281" s="408"/>
      <c r="CZ281" s="408">
        <v>13276.866739922669</v>
      </c>
      <c r="DA281" s="408">
        <v>0</v>
      </c>
      <c r="DB281" s="408">
        <v>0</v>
      </c>
      <c r="DC281" s="408"/>
      <c r="DD281" s="408"/>
      <c r="DE281" s="408">
        <v>0</v>
      </c>
      <c r="DF281" s="408">
        <v>0</v>
      </c>
      <c r="DG281" s="408">
        <v>0</v>
      </c>
      <c r="DH281" s="408">
        <v>0</v>
      </c>
      <c r="DI281" s="408">
        <v>0</v>
      </c>
      <c r="DJ281" s="408"/>
      <c r="DK281" s="408">
        <v>0</v>
      </c>
      <c r="DL281" s="408">
        <v>0</v>
      </c>
      <c r="DM281" s="408"/>
      <c r="DN281" s="408">
        <v>0</v>
      </c>
      <c r="DO281" s="408">
        <v>0</v>
      </c>
      <c r="DP281" s="408">
        <v>0</v>
      </c>
      <c r="DQ281" s="408">
        <v>0</v>
      </c>
      <c r="DR281" s="408">
        <v>0</v>
      </c>
      <c r="DS281" s="408"/>
      <c r="DT281" s="408"/>
      <c r="DU281" s="408">
        <v>886347.60776326456</v>
      </c>
      <c r="DV281" s="408"/>
      <c r="DW281" s="408">
        <v>0</v>
      </c>
      <c r="DX281" s="408">
        <v>0</v>
      </c>
      <c r="DY281" s="408">
        <v>-474688.32000000018</v>
      </c>
      <c r="DZ281" s="408"/>
      <c r="EA281" s="408">
        <v>0</v>
      </c>
      <c r="EB281" s="408"/>
      <c r="EC281" s="408">
        <v>-497231.87786159641</v>
      </c>
      <c r="ED281" s="408"/>
      <c r="EE281" s="408">
        <v>0</v>
      </c>
      <c r="EF281" s="408">
        <v>0</v>
      </c>
      <c r="EG281" s="408"/>
      <c r="EH281" s="408">
        <v>0</v>
      </c>
      <c r="EI281" s="408">
        <v>0</v>
      </c>
      <c r="EJ281" s="408">
        <v>0</v>
      </c>
      <c r="EK281" s="408">
        <v>0</v>
      </c>
      <c r="EL281" s="408">
        <v>0</v>
      </c>
      <c r="EM281" s="408"/>
      <c r="EN281" s="408"/>
      <c r="EO281" s="408">
        <v>0</v>
      </c>
      <c r="EP281" s="408">
        <v>0</v>
      </c>
      <c r="EQ281" s="408"/>
      <c r="ER281" s="408">
        <v>0</v>
      </c>
      <c r="ES281" s="408"/>
      <c r="ET281" s="408">
        <v>0</v>
      </c>
      <c r="EU281" s="408"/>
      <c r="EV281" s="408">
        <v>238</v>
      </c>
      <c r="EW281" s="408"/>
      <c r="EX281" s="408"/>
      <c r="EY281" s="408"/>
      <c r="EZ281" s="408"/>
      <c r="FA281" s="408">
        <v>0</v>
      </c>
      <c r="FB281" s="408"/>
      <c r="FC281" s="408"/>
      <c r="FD281" s="408"/>
      <c r="FE281" s="408"/>
      <c r="FF281" s="408">
        <v>0</v>
      </c>
      <c r="FG281" s="408">
        <v>0</v>
      </c>
      <c r="FH281" s="408">
        <v>0</v>
      </c>
      <c r="FI281" s="408">
        <v>0</v>
      </c>
    </row>
    <row r="282" spans="1:165">
      <c r="A282" s="408">
        <v>286</v>
      </c>
      <c r="B282" s="408" t="s">
        <v>2238</v>
      </c>
      <c r="C282" s="408" t="s">
        <v>2243</v>
      </c>
      <c r="D282" s="408" t="s">
        <v>597</v>
      </c>
      <c r="E282" s="408" t="s">
        <v>974</v>
      </c>
      <c r="F282" s="408" t="s">
        <v>2252</v>
      </c>
      <c r="G282" s="408" t="s">
        <v>1322</v>
      </c>
      <c r="H282" s="408" t="s">
        <v>1322</v>
      </c>
      <c r="I282" s="408" t="s">
        <v>1322</v>
      </c>
      <c r="J282" s="408" t="s">
        <v>2236</v>
      </c>
      <c r="K282" s="824">
        <v>44501</v>
      </c>
      <c r="L282" s="408">
        <v>3001</v>
      </c>
      <c r="M282" s="408">
        <v>2880.96</v>
      </c>
      <c r="N282" s="408">
        <v>0</v>
      </c>
      <c r="O282" s="408">
        <v>0</v>
      </c>
      <c r="P282" s="408">
        <v>0</v>
      </c>
      <c r="Q282" s="408">
        <v>0</v>
      </c>
      <c r="R282" s="408">
        <v>44.35</v>
      </c>
      <c r="S282" s="408"/>
      <c r="T282" s="408"/>
      <c r="U282" s="408">
        <v>133094.35</v>
      </c>
      <c r="V282" s="408"/>
      <c r="W282" s="408">
        <v>133094.35</v>
      </c>
      <c r="X282" s="408">
        <v>86938.97</v>
      </c>
      <c r="Y282" s="408">
        <v>0</v>
      </c>
      <c r="Z282" s="408">
        <v>0</v>
      </c>
      <c r="AA282" s="408">
        <v>0</v>
      </c>
      <c r="AB282" s="408">
        <v>0</v>
      </c>
      <c r="AC282" s="408">
        <v>0</v>
      </c>
      <c r="AD282" s="408">
        <v>39379.313127943984</v>
      </c>
      <c r="AE282" s="408">
        <v>86182.256703523744</v>
      </c>
      <c r="AF282" s="408"/>
      <c r="AG282" s="408"/>
      <c r="AH282" s="408"/>
      <c r="AI282" s="408">
        <v>0</v>
      </c>
      <c r="AJ282" s="408">
        <v>0</v>
      </c>
      <c r="AK282" s="408">
        <v>0</v>
      </c>
      <c r="AL282" s="408">
        <v>0</v>
      </c>
      <c r="AM282" s="408"/>
      <c r="AN282" s="408">
        <v>0</v>
      </c>
      <c r="AO282" s="408">
        <v>2976.1537956745619</v>
      </c>
      <c r="AP282" s="408">
        <v>4553.3914716178579</v>
      </c>
      <c r="AQ282" s="408">
        <v>0</v>
      </c>
      <c r="AR282" s="408">
        <v>0</v>
      </c>
      <c r="AS282" s="408"/>
      <c r="AT282" s="408"/>
      <c r="AU282" s="408">
        <v>0</v>
      </c>
      <c r="AV282" s="408">
        <v>0</v>
      </c>
      <c r="AW282" s="408">
        <v>0</v>
      </c>
      <c r="AX282" s="408"/>
      <c r="AY282" s="408"/>
      <c r="AZ282" s="408">
        <v>0</v>
      </c>
      <c r="BA282" s="408"/>
      <c r="BB282" s="408">
        <v>0</v>
      </c>
      <c r="BC282" s="408">
        <v>0</v>
      </c>
      <c r="BD282" s="408">
        <v>0</v>
      </c>
      <c r="BE282" s="408">
        <v>0</v>
      </c>
      <c r="BF282" s="408"/>
      <c r="BG282" s="408">
        <v>0</v>
      </c>
      <c r="BH282" s="408">
        <v>0</v>
      </c>
      <c r="BI282" s="408">
        <v>664.74</v>
      </c>
      <c r="BJ282" s="408">
        <v>3110.29</v>
      </c>
      <c r="BK282" s="408">
        <v>3407.78</v>
      </c>
      <c r="BL282" s="408">
        <v>14</v>
      </c>
      <c r="BM282" s="408"/>
      <c r="BN282" s="408"/>
      <c r="BO282" s="408"/>
      <c r="BP282" s="408"/>
      <c r="BQ282" s="408"/>
      <c r="BR282" s="408">
        <v>3477.5587999999989</v>
      </c>
      <c r="BS282" s="408"/>
      <c r="BT282" s="408"/>
      <c r="BU282" s="408"/>
      <c r="BV282" s="408">
        <v>0</v>
      </c>
      <c r="BW282" s="408"/>
      <c r="BX282" s="408"/>
      <c r="BY282" s="408"/>
      <c r="BZ282" s="408"/>
      <c r="CA282" s="408"/>
      <c r="CB282" s="408"/>
      <c r="CC282" s="408"/>
      <c r="CD282" s="408"/>
      <c r="CE282" s="408"/>
      <c r="CF282" s="408"/>
      <c r="CG282" s="408"/>
      <c r="CH282" s="408"/>
      <c r="CI282" s="408">
        <v>83461.411200000002</v>
      </c>
      <c r="CJ282" s="408">
        <v>-44309.194799999983</v>
      </c>
      <c r="CK282" s="408"/>
      <c r="CL282" s="408"/>
      <c r="CM282" s="408"/>
      <c r="CN282" s="408"/>
      <c r="CO282" s="408">
        <v>-46155.380000000005</v>
      </c>
      <c r="CP282" s="408">
        <v>0</v>
      </c>
      <c r="CQ282" s="408">
        <v>30</v>
      </c>
      <c r="CR282" s="408">
        <v>2200.0071685509611</v>
      </c>
      <c r="CS282" s="408">
        <v>359.31709083483292</v>
      </c>
      <c r="CT282" s="408">
        <v>549.74019803403826</v>
      </c>
      <c r="CU282" s="408">
        <v>0</v>
      </c>
      <c r="CV282" s="408">
        <v>0</v>
      </c>
      <c r="CW282" s="408"/>
      <c r="CX282" s="408"/>
      <c r="CY282" s="408"/>
      <c r="CZ282" s="408">
        <v>1290.9498796820844</v>
      </c>
      <c r="DA282" s="408">
        <v>0</v>
      </c>
      <c r="DB282" s="408">
        <v>0</v>
      </c>
      <c r="DC282" s="408"/>
      <c r="DD282" s="408"/>
      <c r="DE282" s="408">
        <v>0</v>
      </c>
      <c r="DF282" s="408">
        <v>0</v>
      </c>
      <c r="DG282" s="408">
        <v>0</v>
      </c>
      <c r="DH282" s="408">
        <v>0</v>
      </c>
      <c r="DI282" s="408">
        <v>0</v>
      </c>
      <c r="DJ282" s="408"/>
      <c r="DK282" s="408">
        <v>0</v>
      </c>
      <c r="DL282" s="408">
        <v>0</v>
      </c>
      <c r="DM282" s="408"/>
      <c r="DN282" s="408">
        <v>0</v>
      </c>
      <c r="DO282" s="408">
        <v>0</v>
      </c>
      <c r="DP282" s="408">
        <v>0</v>
      </c>
      <c r="DQ282" s="408">
        <v>0</v>
      </c>
      <c r="DR282" s="408">
        <v>0</v>
      </c>
      <c r="DS282" s="408"/>
      <c r="DT282" s="408"/>
      <c r="DU282" s="408">
        <v>86182.256703523744</v>
      </c>
      <c r="DV282" s="408"/>
      <c r="DW282" s="408">
        <v>0</v>
      </c>
      <c r="DX282" s="408">
        <v>0</v>
      </c>
      <c r="DY282" s="408">
        <v>-46155.380000000005</v>
      </c>
      <c r="DZ282" s="408"/>
      <c r="EA282" s="408">
        <v>0</v>
      </c>
      <c r="EB282" s="408"/>
      <c r="EC282" s="408">
        <v>-48347.358264082774</v>
      </c>
      <c r="ED282" s="408"/>
      <c r="EE282" s="408">
        <v>0</v>
      </c>
      <c r="EF282" s="408">
        <v>0</v>
      </c>
      <c r="EG282" s="408"/>
      <c r="EH282" s="408">
        <v>0</v>
      </c>
      <c r="EI282" s="408">
        <v>0</v>
      </c>
      <c r="EJ282" s="408">
        <v>0</v>
      </c>
      <c r="EK282" s="408">
        <v>0</v>
      </c>
      <c r="EL282" s="408">
        <v>0</v>
      </c>
      <c r="EM282" s="408"/>
      <c r="EN282" s="408"/>
      <c r="EO282" s="408">
        <v>0</v>
      </c>
      <c r="EP282" s="408">
        <v>0</v>
      </c>
      <c r="EQ282" s="408"/>
      <c r="ER282" s="408">
        <v>0</v>
      </c>
      <c r="ES282" s="408"/>
      <c r="ET282" s="408">
        <v>0</v>
      </c>
      <c r="EU282" s="408"/>
      <c r="EV282" s="408">
        <v>238</v>
      </c>
      <c r="EW282" s="408"/>
      <c r="EX282" s="408"/>
      <c r="EY282" s="408"/>
      <c r="EZ282" s="408"/>
      <c r="FA282" s="408">
        <v>0</v>
      </c>
      <c r="FB282" s="408"/>
      <c r="FC282" s="408"/>
      <c r="FD282" s="408"/>
      <c r="FE282" s="408"/>
      <c r="FF282" s="408">
        <v>0</v>
      </c>
      <c r="FG282" s="408">
        <v>0</v>
      </c>
      <c r="FH282" s="408">
        <v>0</v>
      </c>
      <c r="FI282" s="408">
        <v>0</v>
      </c>
    </row>
    <row r="283" spans="1:165">
      <c r="A283" s="408">
        <v>287</v>
      </c>
      <c r="B283" s="408" t="s">
        <v>1036</v>
      </c>
      <c r="C283" s="408" t="s">
        <v>2243</v>
      </c>
      <c r="D283" s="408" t="s">
        <v>597</v>
      </c>
      <c r="E283" s="408" t="s">
        <v>974</v>
      </c>
      <c r="F283" s="408" t="s">
        <v>2252</v>
      </c>
      <c r="G283" s="408" t="s">
        <v>2254</v>
      </c>
      <c r="H283" s="408" t="s">
        <v>1322</v>
      </c>
      <c r="I283" s="408" t="s">
        <v>2244</v>
      </c>
      <c r="J283" s="408" t="s">
        <v>2236</v>
      </c>
      <c r="K283" s="824">
        <v>44501</v>
      </c>
      <c r="L283" s="408">
        <v>0</v>
      </c>
      <c r="M283" s="408">
        <v>0</v>
      </c>
      <c r="N283" s="408">
        <v>3657.2269999999999</v>
      </c>
      <c r="O283" s="408">
        <v>1097.1681000000001</v>
      </c>
      <c r="P283" s="408">
        <v>3657.2269999999999</v>
      </c>
      <c r="Q283" s="408">
        <v>1097.1681000000001</v>
      </c>
      <c r="R283" s="408"/>
      <c r="S283" s="408">
        <v>79.7</v>
      </c>
      <c r="T283" s="408">
        <v>209.4</v>
      </c>
      <c r="U283" s="408"/>
      <c r="V283" s="408">
        <v>1057304.3256999999</v>
      </c>
      <c r="W283" s="408">
        <v>1057304.3256999999</v>
      </c>
      <c r="X283" s="408">
        <v>1142956.58204</v>
      </c>
      <c r="Y283" s="408">
        <v>0</v>
      </c>
      <c r="Z283" s="408">
        <v>195800.5441700691</v>
      </c>
      <c r="AA283" s="408">
        <v>0</v>
      </c>
      <c r="AB283" s="408">
        <v>0</v>
      </c>
      <c r="AC283" s="408">
        <v>0</v>
      </c>
      <c r="AD283" s="408">
        <v>0</v>
      </c>
      <c r="AE283" s="408">
        <v>0</v>
      </c>
      <c r="AF283" s="408">
        <v>755768.68707707291</v>
      </c>
      <c r="AG283" s="408">
        <v>10068.217797082167</v>
      </c>
      <c r="AH283" s="408">
        <v>0</v>
      </c>
      <c r="AI283" s="408">
        <v>0</v>
      </c>
      <c r="AJ283" s="408">
        <v>0</v>
      </c>
      <c r="AK283" s="408">
        <v>0</v>
      </c>
      <c r="AL283" s="408">
        <v>34778.771895794176</v>
      </c>
      <c r="AM283" s="408"/>
      <c r="AN283" s="408">
        <v>4856.2280568722263</v>
      </c>
      <c r="AO283" s="408">
        <v>0</v>
      </c>
      <c r="AP283" s="408">
        <v>0</v>
      </c>
      <c r="AQ283" s="408">
        <v>0</v>
      </c>
      <c r="AR283" s="408">
        <v>0</v>
      </c>
      <c r="AS283" s="408">
        <v>0</v>
      </c>
      <c r="AT283" s="408">
        <v>0</v>
      </c>
      <c r="AU283" s="408">
        <v>0</v>
      </c>
      <c r="AV283" s="408">
        <v>0</v>
      </c>
      <c r="AW283" s="408">
        <v>0</v>
      </c>
      <c r="AX283" s="408">
        <v>0</v>
      </c>
      <c r="AY283" s="408">
        <v>0</v>
      </c>
      <c r="AZ283" s="408">
        <v>0</v>
      </c>
      <c r="BA283" s="408"/>
      <c r="BB283" s="408">
        <v>0</v>
      </c>
      <c r="BC283" s="408">
        <v>0</v>
      </c>
      <c r="BD283" s="408">
        <v>0</v>
      </c>
      <c r="BE283" s="408">
        <v>0</v>
      </c>
      <c r="BF283" s="408">
        <v>0</v>
      </c>
      <c r="BG283" s="408">
        <v>56044.942420037733</v>
      </c>
      <c r="BH283" s="408">
        <v>0</v>
      </c>
      <c r="BI283" s="408">
        <v>0</v>
      </c>
      <c r="BJ283" s="408">
        <v>0</v>
      </c>
      <c r="BK283" s="408">
        <v>0</v>
      </c>
      <c r="BL283" s="408">
        <v>0</v>
      </c>
      <c r="BM283" s="408"/>
      <c r="BN283" s="408"/>
      <c r="BO283" s="408"/>
      <c r="BP283" s="408"/>
      <c r="BQ283" s="408"/>
      <c r="BR283" s="408"/>
      <c r="BS283" s="408">
        <v>800069.60742799996</v>
      </c>
      <c r="BT283" s="408"/>
      <c r="BU283" s="408"/>
      <c r="BV283" s="408">
        <v>811813.62949711061</v>
      </c>
      <c r="BW283" s="408"/>
      <c r="BX283" s="408"/>
      <c r="BY283" s="408"/>
      <c r="BZ283" s="408"/>
      <c r="CA283" s="408"/>
      <c r="CB283" s="408"/>
      <c r="CC283" s="408"/>
      <c r="CD283" s="408"/>
      <c r="CE283" s="408"/>
      <c r="CF283" s="408"/>
      <c r="CG283" s="408"/>
      <c r="CH283" s="408"/>
      <c r="CI283" s="408">
        <v>342887.56839999999</v>
      </c>
      <c r="CJ283" s="408">
        <v>25696.240689999948</v>
      </c>
      <c r="CK283" s="408"/>
      <c r="CL283" s="408"/>
      <c r="CM283" s="408"/>
      <c r="CN283" s="408"/>
      <c r="CO283" s="408">
        <v>2157.7639300000124</v>
      </c>
      <c r="CP283" s="408">
        <v>83494.492409999933</v>
      </c>
      <c r="CQ283" s="408">
        <v>30</v>
      </c>
      <c r="CR283" s="408">
        <v>85623.744951061439</v>
      </c>
      <c r="CS283" s="408">
        <v>0</v>
      </c>
      <c r="CT283" s="408">
        <v>0</v>
      </c>
      <c r="CU283" s="408">
        <v>0</v>
      </c>
      <c r="CV283" s="408">
        <v>0</v>
      </c>
      <c r="CW283" s="408">
        <v>0</v>
      </c>
      <c r="CX283" s="408">
        <v>0</v>
      </c>
      <c r="CY283" s="408">
        <v>0</v>
      </c>
      <c r="CZ283" s="408">
        <v>0</v>
      </c>
      <c r="DA283" s="408">
        <v>0</v>
      </c>
      <c r="DB283" s="408">
        <v>0</v>
      </c>
      <c r="DC283" s="408">
        <v>83469.199490195257</v>
      </c>
      <c r="DD283" s="408">
        <v>0</v>
      </c>
      <c r="DE283" s="408">
        <v>0</v>
      </c>
      <c r="DF283" s="408">
        <v>0</v>
      </c>
      <c r="DG283" s="408">
        <v>6189.7595908170988</v>
      </c>
      <c r="DH283" s="408">
        <v>0</v>
      </c>
      <c r="DI283" s="408">
        <v>-3413.2191371236986</v>
      </c>
      <c r="DJ283" s="408"/>
      <c r="DK283" s="408">
        <v>0</v>
      </c>
      <c r="DL283" s="408">
        <v>0</v>
      </c>
      <c r="DM283" s="408">
        <v>0</v>
      </c>
      <c r="DN283" s="408">
        <v>0</v>
      </c>
      <c r="DO283" s="408">
        <v>-509.71670923785859</v>
      </c>
      <c r="DP283" s="408">
        <v>-112.27828358949955</v>
      </c>
      <c r="DQ283" s="408">
        <v>0</v>
      </c>
      <c r="DR283" s="408">
        <v>0</v>
      </c>
      <c r="DS283" s="408"/>
      <c r="DT283" s="408"/>
      <c r="DU283" s="408"/>
      <c r="DV283" s="408">
        <v>0</v>
      </c>
      <c r="DW283" s="408">
        <v>0</v>
      </c>
      <c r="DX283" s="408">
        <v>0</v>
      </c>
      <c r="DY283" s="408">
        <v>2157.7639300000155</v>
      </c>
      <c r="DZ283" s="408">
        <v>83494.492409999948</v>
      </c>
      <c r="EA283" s="408">
        <v>0</v>
      </c>
      <c r="EB283" s="408">
        <v>0</v>
      </c>
      <c r="EC283" s="408">
        <v>0</v>
      </c>
      <c r="ED283" s="408">
        <v>0</v>
      </c>
      <c r="EE283" s="408">
        <v>0</v>
      </c>
      <c r="EF283" s="408">
        <v>0</v>
      </c>
      <c r="EG283" s="408">
        <v>0</v>
      </c>
      <c r="EH283" s="408">
        <v>0</v>
      </c>
      <c r="EI283" s="408">
        <v>0</v>
      </c>
      <c r="EJ283" s="408">
        <v>0</v>
      </c>
      <c r="EK283" s="408">
        <v>0</v>
      </c>
      <c r="EL283" s="408">
        <v>0</v>
      </c>
      <c r="EM283" s="408">
        <v>0</v>
      </c>
      <c r="EN283" s="408">
        <v>0</v>
      </c>
      <c r="EO283" s="408">
        <v>0</v>
      </c>
      <c r="EP283" s="408">
        <v>0</v>
      </c>
      <c r="EQ283" s="408">
        <v>0</v>
      </c>
      <c r="ER283" s="408">
        <v>0</v>
      </c>
      <c r="ES283" s="408">
        <v>0</v>
      </c>
      <c r="ET283" s="408">
        <v>0</v>
      </c>
      <c r="EU283" s="408">
        <v>0</v>
      </c>
      <c r="EV283" s="408">
        <v>238</v>
      </c>
      <c r="EW283" s="408">
        <v>0</v>
      </c>
      <c r="EX283" s="408">
        <v>0</v>
      </c>
      <c r="EY283" s="408">
        <v>0</v>
      </c>
      <c r="EZ283" s="408"/>
      <c r="FA283" s="408">
        <v>0</v>
      </c>
      <c r="FB283" s="408"/>
      <c r="FC283" s="408"/>
      <c r="FD283" s="408"/>
      <c r="FE283" s="408"/>
      <c r="FF283" s="408">
        <v>0</v>
      </c>
      <c r="FG283" s="408">
        <v>0</v>
      </c>
      <c r="FH283" s="408">
        <v>0</v>
      </c>
      <c r="FI283" s="408">
        <v>0</v>
      </c>
    </row>
    <row r="284" spans="1:165">
      <c r="A284" s="408">
        <v>288</v>
      </c>
      <c r="B284" s="408" t="s">
        <v>1036</v>
      </c>
      <c r="C284" s="408" t="s">
        <v>2235</v>
      </c>
      <c r="D284" s="408" t="s">
        <v>1955</v>
      </c>
      <c r="E284" s="408" t="s">
        <v>969</v>
      </c>
      <c r="F284" s="408" t="s">
        <v>969</v>
      </c>
      <c r="G284" s="408" t="s">
        <v>1322</v>
      </c>
      <c r="H284" s="408" t="s">
        <v>1322</v>
      </c>
      <c r="I284" s="408" t="s">
        <v>1322</v>
      </c>
      <c r="J284" s="408" t="s">
        <v>2236</v>
      </c>
      <c r="K284" s="824">
        <v>44531</v>
      </c>
      <c r="L284" s="408">
        <v>0</v>
      </c>
      <c r="M284" s="408">
        <v>0</v>
      </c>
      <c r="N284" s="408">
        <v>1719.5820000000001</v>
      </c>
      <c r="O284" s="408">
        <v>1719.5820000000001</v>
      </c>
      <c r="P284" s="408">
        <v>1719.5820000000001</v>
      </c>
      <c r="Q284" s="408">
        <v>1719.5820000000001</v>
      </c>
      <c r="R284" s="408"/>
      <c r="S284" s="408">
        <v>581.32000000000005</v>
      </c>
      <c r="T284" s="408">
        <v>209.4</v>
      </c>
      <c r="U284" s="408"/>
      <c r="V284" s="408">
        <v>1359707.87904</v>
      </c>
      <c r="W284" s="408">
        <v>1359707.87904</v>
      </c>
      <c r="X284" s="408">
        <v>1038747.89874</v>
      </c>
      <c r="Y284" s="408">
        <v>0</v>
      </c>
      <c r="Z284" s="408">
        <v>105819.47801455953</v>
      </c>
      <c r="AA284" s="408">
        <v>0</v>
      </c>
      <c r="AB284" s="408">
        <v>0</v>
      </c>
      <c r="AC284" s="408">
        <v>0</v>
      </c>
      <c r="AD284" s="408">
        <v>127577.75715027629</v>
      </c>
      <c r="AE284" s="408">
        <v>662736.03703008778</v>
      </c>
      <c r="AF284" s="408">
        <v>355352.90274882235</v>
      </c>
      <c r="AG284" s="408">
        <v>4733.9489990482271</v>
      </c>
      <c r="AH284" s="408">
        <v>0</v>
      </c>
      <c r="AI284" s="408">
        <v>0</v>
      </c>
      <c r="AJ284" s="408">
        <v>0</v>
      </c>
      <c r="AK284" s="408">
        <v>0</v>
      </c>
      <c r="AL284" s="408">
        <v>16352.539816126686</v>
      </c>
      <c r="AM284" s="408"/>
      <c r="AN284" s="408">
        <v>3134.7366241416403</v>
      </c>
      <c r="AO284" s="408">
        <v>9800.7245501395701</v>
      </c>
      <c r="AP284" s="408">
        <v>14762.938139844695</v>
      </c>
      <c r="AQ284" s="408">
        <v>0</v>
      </c>
      <c r="AR284" s="408">
        <v>0</v>
      </c>
      <c r="AS284" s="408">
        <v>0</v>
      </c>
      <c r="AT284" s="408">
        <v>0</v>
      </c>
      <c r="AU284" s="408">
        <v>0</v>
      </c>
      <c r="AV284" s="408">
        <v>0</v>
      </c>
      <c r="AW284" s="408">
        <v>0</v>
      </c>
      <c r="AX284" s="408">
        <v>0</v>
      </c>
      <c r="AY284" s="408">
        <v>0</v>
      </c>
      <c r="AZ284" s="408">
        <v>0</v>
      </c>
      <c r="BA284" s="408"/>
      <c r="BB284" s="408">
        <v>0</v>
      </c>
      <c r="BC284" s="408">
        <v>0</v>
      </c>
      <c r="BD284" s="408">
        <v>0</v>
      </c>
      <c r="BE284" s="408">
        <v>0</v>
      </c>
      <c r="BF284" s="408">
        <v>0</v>
      </c>
      <c r="BG284" s="408">
        <v>59449.876332309701</v>
      </c>
      <c r="BH284" s="408">
        <v>0</v>
      </c>
      <c r="BI284" s="408">
        <v>3203.34</v>
      </c>
      <c r="BJ284" s="408">
        <v>14960.16</v>
      </c>
      <c r="BK284" s="408">
        <v>546455.57999999996</v>
      </c>
      <c r="BL284" s="408">
        <v>9286</v>
      </c>
      <c r="BM284" s="408"/>
      <c r="BN284" s="408"/>
      <c r="BO284" s="408"/>
      <c r="BP284" s="408"/>
      <c r="BQ284" s="408"/>
      <c r="BR284" s="408"/>
      <c r="BS284" s="408"/>
      <c r="BT284" s="408"/>
      <c r="BU284" s="408"/>
      <c r="BV284" s="408">
        <v>414802.77908113203</v>
      </c>
      <c r="BW284" s="408"/>
      <c r="BX284" s="408"/>
      <c r="BY284" s="408"/>
      <c r="BZ284" s="408"/>
      <c r="CA284" s="408"/>
      <c r="CB284" s="408"/>
      <c r="CC284" s="408"/>
      <c r="CD284" s="408"/>
      <c r="CE284" s="408"/>
      <c r="CF284" s="408"/>
      <c r="CG284" s="408"/>
      <c r="CH284" s="408"/>
      <c r="CI284" s="408">
        <v>1038746.6906</v>
      </c>
      <c r="CJ284" s="408">
        <v>-320961.21844000008</v>
      </c>
      <c r="CK284" s="408"/>
      <c r="CL284" s="408"/>
      <c r="CM284" s="408"/>
      <c r="CN284" s="408"/>
      <c r="CO284" s="408">
        <v>-360218.03736000013</v>
      </c>
      <c r="CP284" s="408">
        <v>39258.057059999977</v>
      </c>
      <c r="CQ284" s="408"/>
      <c r="CR284" s="408">
        <v>50803.108281694469</v>
      </c>
      <c r="CS284" s="408">
        <v>1183.2613753186597</v>
      </c>
      <c r="CT284" s="408">
        <v>1782.3594977830417</v>
      </c>
      <c r="CU284" s="408">
        <v>0</v>
      </c>
      <c r="CV284" s="408">
        <v>0</v>
      </c>
      <c r="CW284" s="408">
        <v>0</v>
      </c>
      <c r="CX284" s="408">
        <v>0</v>
      </c>
      <c r="CY284" s="408">
        <v>0</v>
      </c>
      <c r="CZ284" s="408">
        <v>4182.3098769687203</v>
      </c>
      <c r="DA284" s="408">
        <v>0</v>
      </c>
      <c r="DB284" s="408">
        <v>0</v>
      </c>
      <c r="DC284" s="408">
        <v>39246.164648174366</v>
      </c>
      <c r="DD284" s="408">
        <v>0</v>
      </c>
      <c r="DE284" s="408">
        <v>0</v>
      </c>
      <c r="DF284" s="408">
        <v>0</v>
      </c>
      <c r="DG284" s="408">
        <v>6565.8099787650353</v>
      </c>
      <c r="DH284" s="408">
        <v>0</v>
      </c>
      <c r="DI284" s="408">
        <v>-1844.6581390805513</v>
      </c>
      <c r="DJ284" s="408"/>
      <c r="DK284" s="408">
        <v>0</v>
      </c>
      <c r="DL284" s="408">
        <v>0</v>
      </c>
      <c r="DM284" s="408">
        <v>0</v>
      </c>
      <c r="DN284" s="408">
        <v>0</v>
      </c>
      <c r="DO284" s="408">
        <v>-239.66236667963312</v>
      </c>
      <c r="DP284" s="408">
        <v>-72.476589555056307</v>
      </c>
      <c r="DQ284" s="408">
        <v>0</v>
      </c>
      <c r="DR284" s="408">
        <v>0</v>
      </c>
      <c r="DS284" s="408"/>
      <c r="DT284" s="408"/>
      <c r="DU284" s="408"/>
      <c r="DV284" s="408">
        <v>662736.03703008778</v>
      </c>
      <c r="DW284" s="408">
        <v>0</v>
      </c>
      <c r="DX284" s="408">
        <v>0</v>
      </c>
      <c r="DY284" s="408">
        <v>-360218.03736000019</v>
      </c>
      <c r="DZ284" s="408">
        <v>39258.057060000021</v>
      </c>
      <c r="EA284" s="408">
        <v>0</v>
      </c>
      <c r="EB284" s="408">
        <v>0</v>
      </c>
      <c r="EC284" s="408">
        <v>-371788.09005940059</v>
      </c>
      <c r="ED284" s="408">
        <v>0</v>
      </c>
      <c r="EE284" s="408">
        <v>0</v>
      </c>
      <c r="EF284" s="408">
        <v>0</v>
      </c>
      <c r="EG284" s="408">
        <v>0</v>
      </c>
      <c r="EH284" s="408">
        <v>0</v>
      </c>
      <c r="EI284" s="408">
        <v>0</v>
      </c>
      <c r="EJ284" s="408">
        <v>0</v>
      </c>
      <c r="EK284" s="408">
        <v>0</v>
      </c>
      <c r="EL284" s="408">
        <v>0</v>
      </c>
      <c r="EM284" s="408">
        <v>0</v>
      </c>
      <c r="EN284" s="408">
        <v>0</v>
      </c>
      <c r="EO284" s="408">
        <v>0</v>
      </c>
      <c r="EP284" s="408">
        <v>0</v>
      </c>
      <c r="EQ284" s="408">
        <v>0</v>
      </c>
      <c r="ER284" s="408">
        <v>0</v>
      </c>
      <c r="ES284" s="408">
        <v>0</v>
      </c>
      <c r="ET284" s="408">
        <v>0</v>
      </c>
      <c r="EU284" s="408">
        <v>0</v>
      </c>
      <c r="EV284" s="408">
        <v>238</v>
      </c>
      <c r="EW284" s="408">
        <v>0</v>
      </c>
      <c r="EX284" s="408">
        <v>0</v>
      </c>
      <c r="EY284" s="408">
        <v>0</v>
      </c>
      <c r="EZ284" s="408"/>
      <c r="FA284" s="408">
        <v>0</v>
      </c>
      <c r="FB284" s="408"/>
      <c r="FC284" s="408"/>
      <c r="FD284" s="408"/>
      <c r="FE284" s="408"/>
      <c r="FF284" s="408">
        <v>0</v>
      </c>
      <c r="FG284" s="408">
        <v>0</v>
      </c>
      <c r="FH284" s="408">
        <v>0</v>
      </c>
      <c r="FI284" s="408">
        <v>0</v>
      </c>
    </row>
    <row r="285" spans="1:165">
      <c r="A285" s="408">
        <v>289</v>
      </c>
      <c r="B285" s="408" t="s">
        <v>2237</v>
      </c>
      <c r="C285" s="408" t="s">
        <v>2235</v>
      </c>
      <c r="D285" s="408" t="s">
        <v>1955</v>
      </c>
      <c r="E285" s="408" t="s">
        <v>969</v>
      </c>
      <c r="F285" s="408" t="s">
        <v>969</v>
      </c>
      <c r="G285" s="408" t="s">
        <v>1322</v>
      </c>
      <c r="H285" s="408" t="s">
        <v>1322</v>
      </c>
      <c r="I285" s="408" t="s">
        <v>1322</v>
      </c>
      <c r="J285" s="408" t="s">
        <v>2236</v>
      </c>
      <c r="K285" s="824">
        <v>44531</v>
      </c>
      <c r="L285" s="408">
        <v>0</v>
      </c>
      <c r="M285" s="408">
        <v>0</v>
      </c>
      <c r="N285" s="408">
        <v>-4.2359999999999998</v>
      </c>
      <c r="O285" s="408">
        <v>-4.2359999999999998</v>
      </c>
      <c r="P285" s="408">
        <v>-4.2359999999999998</v>
      </c>
      <c r="Q285" s="408">
        <v>-4.2359999999999998</v>
      </c>
      <c r="R285" s="408"/>
      <c r="S285" s="408">
        <v>581.32000000000005</v>
      </c>
      <c r="T285" s="408">
        <v>209.4</v>
      </c>
      <c r="U285" s="408"/>
      <c r="V285" s="408">
        <v>-3349.48992</v>
      </c>
      <c r="W285" s="408">
        <v>-3349.48992</v>
      </c>
      <c r="X285" s="408">
        <v>-2558.8405199999997</v>
      </c>
      <c r="Y285" s="408">
        <v>0</v>
      </c>
      <c r="Z285" s="408">
        <v>-260.67457607120457</v>
      </c>
      <c r="AA285" s="408">
        <v>0</v>
      </c>
      <c r="AB285" s="408">
        <v>0</v>
      </c>
      <c r="AC285" s="408">
        <v>0</v>
      </c>
      <c r="AD285" s="408">
        <v>-314.27368935507019</v>
      </c>
      <c r="AE285" s="408">
        <v>-1632.5769011651969</v>
      </c>
      <c r="AF285" s="408">
        <v>-875.37255917078187</v>
      </c>
      <c r="AG285" s="408">
        <v>-11.661559588300113</v>
      </c>
      <c r="AH285" s="408">
        <v>0</v>
      </c>
      <c r="AI285" s="408">
        <v>0</v>
      </c>
      <c r="AJ285" s="408">
        <v>0</v>
      </c>
      <c r="AK285" s="408">
        <v>0</v>
      </c>
      <c r="AL285" s="408">
        <v>-40.282672568747891</v>
      </c>
      <c r="AM285" s="408"/>
      <c r="AN285" s="408">
        <v>-7.7220768418510932</v>
      </c>
      <c r="AO285" s="408">
        <v>-24.143000563155006</v>
      </c>
      <c r="AP285" s="408">
        <v>-36.36686471501919</v>
      </c>
      <c r="AQ285" s="408">
        <v>0</v>
      </c>
      <c r="AR285" s="408">
        <v>0</v>
      </c>
      <c r="AS285" s="408">
        <v>0</v>
      </c>
      <c r="AT285" s="408">
        <v>0</v>
      </c>
      <c r="AU285" s="408">
        <v>0</v>
      </c>
      <c r="AV285" s="408">
        <v>0</v>
      </c>
      <c r="AW285" s="408">
        <v>0</v>
      </c>
      <c r="AX285" s="408">
        <v>0</v>
      </c>
      <c r="AY285" s="408">
        <v>0</v>
      </c>
      <c r="AZ285" s="408">
        <v>0</v>
      </c>
      <c r="BA285" s="408"/>
      <c r="BB285" s="408">
        <v>0</v>
      </c>
      <c r="BC285" s="408">
        <v>0</v>
      </c>
      <c r="BD285" s="408">
        <v>0</v>
      </c>
      <c r="BE285" s="408">
        <v>0</v>
      </c>
      <c r="BF285" s="408">
        <v>0</v>
      </c>
      <c r="BG285" s="408">
        <v>-146.44819272571118</v>
      </c>
      <c r="BH285" s="408">
        <v>0</v>
      </c>
      <c r="BI285" s="408">
        <v>-9.1999999999999993</v>
      </c>
      <c r="BJ285" s="408">
        <v>-43.02</v>
      </c>
      <c r="BK285" s="408">
        <v>-1405.98</v>
      </c>
      <c r="BL285" s="408">
        <v>0</v>
      </c>
      <c r="BM285" s="408"/>
      <c r="BN285" s="408"/>
      <c r="BO285" s="408"/>
      <c r="BP285" s="408"/>
      <c r="BQ285" s="408"/>
      <c r="BR285" s="408"/>
      <c r="BS285" s="408"/>
      <c r="BT285" s="408"/>
      <c r="BU285" s="408"/>
      <c r="BV285" s="408">
        <v>-1021.820751896493</v>
      </c>
      <c r="BW285" s="408"/>
      <c r="BX285" s="408"/>
      <c r="BY285" s="408"/>
      <c r="BZ285" s="408"/>
      <c r="CA285" s="408"/>
      <c r="CB285" s="408"/>
      <c r="CC285" s="408"/>
      <c r="CD285" s="408"/>
      <c r="CE285" s="408"/>
      <c r="CF285" s="408"/>
      <c r="CG285" s="408"/>
      <c r="CH285" s="408"/>
      <c r="CI285" s="408">
        <v>-2561.2568000000001</v>
      </c>
      <c r="CJ285" s="408">
        <v>788.20311999999922</v>
      </c>
      <c r="CK285" s="408"/>
      <c r="CL285" s="408"/>
      <c r="CM285" s="408"/>
      <c r="CN285" s="408"/>
      <c r="CO285" s="408">
        <v>887.35728000000029</v>
      </c>
      <c r="CP285" s="408">
        <v>-96.707879999999932</v>
      </c>
      <c r="CQ285" s="408"/>
      <c r="CR285" s="408">
        <v>-125.14783632374542</v>
      </c>
      <c r="CS285" s="408">
        <v>-2.9148334803747922</v>
      </c>
      <c r="CT285" s="408">
        <v>-4.3906454199968152</v>
      </c>
      <c r="CU285" s="408">
        <v>0</v>
      </c>
      <c r="CV285" s="408">
        <v>0</v>
      </c>
      <c r="CW285" s="408">
        <v>0</v>
      </c>
      <c r="CX285" s="408">
        <v>0</v>
      </c>
      <c r="CY285" s="408">
        <v>0</v>
      </c>
      <c r="CZ285" s="408">
        <v>-10.30265764519487</v>
      </c>
      <c r="DA285" s="408">
        <v>0</v>
      </c>
      <c r="DB285" s="408">
        <v>0</v>
      </c>
      <c r="DC285" s="408">
        <v>-96.678584359260867</v>
      </c>
      <c r="DD285" s="408">
        <v>0</v>
      </c>
      <c r="DE285" s="408">
        <v>0</v>
      </c>
      <c r="DF285" s="408">
        <v>0</v>
      </c>
      <c r="DG285" s="408">
        <v>-16.174146432126349</v>
      </c>
      <c r="DH285" s="408">
        <v>0</v>
      </c>
      <c r="DI285" s="408">
        <v>4.5441112300228497</v>
      </c>
      <c r="DJ285" s="408"/>
      <c r="DK285" s="408">
        <v>0</v>
      </c>
      <c r="DL285" s="408">
        <v>0</v>
      </c>
      <c r="DM285" s="408">
        <v>0</v>
      </c>
      <c r="DN285" s="408">
        <v>0</v>
      </c>
      <c r="DO285" s="408">
        <v>0.59038172372991227</v>
      </c>
      <c r="DP285" s="408">
        <v>0.17853805945585499</v>
      </c>
      <c r="DQ285" s="408">
        <v>0</v>
      </c>
      <c r="DR285" s="408">
        <v>0</v>
      </c>
      <c r="DS285" s="408"/>
      <c r="DT285" s="408"/>
      <c r="DU285" s="408"/>
      <c r="DV285" s="408">
        <v>-1632.5769011651969</v>
      </c>
      <c r="DW285" s="408">
        <v>0</v>
      </c>
      <c r="DX285" s="408">
        <v>0</v>
      </c>
      <c r="DY285" s="408">
        <v>887.35728000000017</v>
      </c>
      <c r="DZ285" s="408">
        <v>-96.707879999999932</v>
      </c>
      <c r="EA285" s="408">
        <v>0</v>
      </c>
      <c r="EB285" s="408">
        <v>0</v>
      </c>
      <c r="EC285" s="408">
        <v>915.85882469787464</v>
      </c>
      <c r="ED285" s="408">
        <v>0</v>
      </c>
      <c r="EE285" s="408">
        <v>0</v>
      </c>
      <c r="EF285" s="408">
        <v>0</v>
      </c>
      <c r="EG285" s="408">
        <v>0</v>
      </c>
      <c r="EH285" s="408">
        <v>0</v>
      </c>
      <c r="EI285" s="408">
        <v>0</v>
      </c>
      <c r="EJ285" s="408">
        <v>0</v>
      </c>
      <c r="EK285" s="408">
        <v>0</v>
      </c>
      <c r="EL285" s="408">
        <v>0</v>
      </c>
      <c r="EM285" s="408">
        <v>0</v>
      </c>
      <c r="EN285" s="408">
        <v>0</v>
      </c>
      <c r="EO285" s="408">
        <v>0</v>
      </c>
      <c r="EP285" s="408">
        <v>0</v>
      </c>
      <c r="EQ285" s="408">
        <v>0</v>
      </c>
      <c r="ER285" s="408">
        <v>0</v>
      </c>
      <c r="ES285" s="408">
        <v>0</v>
      </c>
      <c r="ET285" s="408">
        <v>0</v>
      </c>
      <c r="EU285" s="408">
        <v>0</v>
      </c>
      <c r="EV285" s="408">
        <v>238</v>
      </c>
      <c r="EW285" s="408">
        <v>0</v>
      </c>
      <c r="EX285" s="408">
        <v>0</v>
      </c>
      <c r="EY285" s="408">
        <v>0</v>
      </c>
      <c r="EZ285" s="408"/>
      <c r="FA285" s="408">
        <v>0</v>
      </c>
      <c r="FB285" s="408"/>
      <c r="FC285" s="408"/>
      <c r="FD285" s="408"/>
      <c r="FE285" s="408"/>
      <c r="FF285" s="408">
        <v>0</v>
      </c>
      <c r="FG285" s="408">
        <v>0</v>
      </c>
      <c r="FH285" s="408">
        <v>0</v>
      </c>
      <c r="FI285" s="408">
        <v>0</v>
      </c>
    </row>
    <row r="286" spans="1:165">
      <c r="A286" s="408">
        <v>290</v>
      </c>
      <c r="B286" s="408" t="s">
        <v>2238</v>
      </c>
      <c r="C286" s="408" t="s">
        <v>2235</v>
      </c>
      <c r="D286" s="408" t="s">
        <v>1955</v>
      </c>
      <c r="E286" s="408" t="s">
        <v>969</v>
      </c>
      <c r="F286" s="408" t="s">
        <v>969</v>
      </c>
      <c r="G286" s="408" t="s">
        <v>1322</v>
      </c>
      <c r="H286" s="408" t="s">
        <v>1322</v>
      </c>
      <c r="I286" s="408" t="s">
        <v>1322</v>
      </c>
      <c r="J286" s="408" t="s">
        <v>2236</v>
      </c>
      <c r="K286" s="824">
        <v>44531</v>
      </c>
      <c r="L286" s="408">
        <v>0</v>
      </c>
      <c r="M286" s="408">
        <v>0</v>
      </c>
      <c r="N286" s="408">
        <v>56.95</v>
      </c>
      <c r="O286" s="408">
        <v>56.95</v>
      </c>
      <c r="P286" s="408">
        <v>56.95</v>
      </c>
      <c r="Q286" s="408">
        <v>56.95</v>
      </c>
      <c r="R286" s="408"/>
      <c r="S286" s="408">
        <v>581.32000000000005</v>
      </c>
      <c r="T286" s="408">
        <v>209.4</v>
      </c>
      <c r="U286" s="408"/>
      <c r="V286" s="408">
        <v>45031.504000000008</v>
      </c>
      <c r="W286" s="408">
        <v>45031.504000000008</v>
      </c>
      <c r="X286" s="408">
        <v>34401.786500000002</v>
      </c>
      <c r="Y286" s="408">
        <v>0</v>
      </c>
      <c r="Z286" s="408">
        <v>3504.5838307967665</v>
      </c>
      <c r="AA286" s="408">
        <v>0</v>
      </c>
      <c r="AB286" s="408">
        <v>0</v>
      </c>
      <c r="AC286" s="408">
        <v>0</v>
      </c>
      <c r="AD286" s="408">
        <v>4225.1856961216354</v>
      </c>
      <c r="AE286" s="408">
        <v>21948.832512124169</v>
      </c>
      <c r="AF286" s="408">
        <v>11768.759972798875</v>
      </c>
      <c r="AG286" s="408">
        <v>156.78135471050319</v>
      </c>
      <c r="AH286" s="408">
        <v>0</v>
      </c>
      <c r="AI286" s="408">
        <v>0</v>
      </c>
      <c r="AJ286" s="408">
        <v>0</v>
      </c>
      <c r="AK286" s="408">
        <v>0</v>
      </c>
      <c r="AL286" s="408">
        <v>541.5718136898472</v>
      </c>
      <c r="AM286" s="408"/>
      <c r="AN286" s="408">
        <v>103.81781778645416</v>
      </c>
      <c r="AO286" s="408">
        <v>324.58543013967841</v>
      </c>
      <c r="AP286" s="408">
        <v>488.92656881972215</v>
      </c>
      <c r="AQ286" s="408">
        <v>0</v>
      </c>
      <c r="AR286" s="408">
        <v>0</v>
      </c>
      <c r="AS286" s="408">
        <v>0</v>
      </c>
      <c r="AT286" s="408">
        <v>0</v>
      </c>
      <c r="AU286" s="408">
        <v>0</v>
      </c>
      <c r="AV286" s="408">
        <v>0</v>
      </c>
      <c r="AW286" s="408">
        <v>0</v>
      </c>
      <c r="AX286" s="408">
        <v>0</v>
      </c>
      <c r="AY286" s="408">
        <v>0</v>
      </c>
      <c r="AZ286" s="408">
        <v>0</v>
      </c>
      <c r="BA286" s="408"/>
      <c r="BB286" s="408">
        <v>0</v>
      </c>
      <c r="BC286" s="408">
        <v>0</v>
      </c>
      <c r="BD286" s="408">
        <v>0</v>
      </c>
      <c r="BE286" s="408">
        <v>0</v>
      </c>
      <c r="BF286" s="408">
        <v>0</v>
      </c>
      <c r="BG286" s="408">
        <v>1968.8915429011454</v>
      </c>
      <c r="BH286" s="408">
        <v>0</v>
      </c>
      <c r="BI286" s="408">
        <v>103.96</v>
      </c>
      <c r="BJ286" s="408">
        <v>498.85</v>
      </c>
      <c r="BK286" s="408">
        <v>55257.3</v>
      </c>
      <c r="BL286" s="408">
        <v>708</v>
      </c>
      <c r="BM286" s="408"/>
      <c r="BN286" s="408"/>
      <c r="BO286" s="408"/>
      <c r="BP286" s="408"/>
      <c r="BQ286" s="408"/>
      <c r="BR286" s="408"/>
      <c r="BS286" s="408"/>
      <c r="BT286" s="408"/>
      <c r="BU286" s="408"/>
      <c r="BV286" s="408">
        <v>13737.651515700019</v>
      </c>
      <c r="BW286" s="408"/>
      <c r="BX286" s="408"/>
      <c r="BY286" s="408"/>
      <c r="BZ286" s="408"/>
      <c r="CA286" s="408"/>
      <c r="CB286" s="408"/>
      <c r="CC286" s="408"/>
      <c r="CD286" s="408"/>
      <c r="CE286" s="408"/>
      <c r="CF286" s="408"/>
      <c r="CG286" s="408"/>
      <c r="CH286" s="408"/>
      <c r="CI286" s="408">
        <v>34401.786500000002</v>
      </c>
      <c r="CJ286" s="408">
        <v>-10629.747500000012</v>
      </c>
      <c r="CK286" s="408"/>
      <c r="CL286" s="408"/>
      <c r="CM286" s="408"/>
      <c r="CN286" s="408"/>
      <c r="CO286" s="408">
        <v>-11929.886000000004</v>
      </c>
      <c r="CP286" s="408">
        <v>1300.1684999999991</v>
      </c>
      <c r="CQ286" s="408"/>
      <c r="CR286" s="408">
        <v>1682.5234368832134</v>
      </c>
      <c r="CS286" s="408">
        <v>39.187858051781006</v>
      </c>
      <c r="CT286" s="408">
        <v>59.029097419456718</v>
      </c>
      <c r="CU286" s="408">
        <v>0</v>
      </c>
      <c r="CV286" s="408">
        <v>0</v>
      </c>
      <c r="CW286" s="408">
        <v>0</v>
      </c>
      <c r="CX286" s="408">
        <v>0</v>
      </c>
      <c r="CY286" s="408">
        <v>0</v>
      </c>
      <c r="CZ286" s="408">
        <v>138.51188689656556</v>
      </c>
      <c r="DA286" s="408">
        <v>0</v>
      </c>
      <c r="DB286" s="408">
        <v>0</v>
      </c>
      <c r="DC286" s="408">
        <v>1299.7746409962019</v>
      </c>
      <c r="DD286" s="408">
        <v>0</v>
      </c>
      <c r="DE286" s="408">
        <v>0</v>
      </c>
      <c r="DF286" s="408">
        <v>0</v>
      </c>
      <c r="DG286" s="408">
        <v>217.44986763682618</v>
      </c>
      <c r="DH286" s="408">
        <v>0</v>
      </c>
      <c r="DI286" s="408">
        <v>-61.092335823844223</v>
      </c>
      <c r="DJ286" s="408"/>
      <c r="DK286" s="408">
        <v>0</v>
      </c>
      <c r="DL286" s="408">
        <v>0</v>
      </c>
      <c r="DM286" s="408">
        <v>0</v>
      </c>
      <c r="DN286" s="408">
        <v>0</v>
      </c>
      <c r="DO286" s="408">
        <v>-7.9372613707314486</v>
      </c>
      <c r="DP286" s="408">
        <v>-2.4003169230431922</v>
      </c>
      <c r="DQ286" s="408">
        <v>0</v>
      </c>
      <c r="DR286" s="408">
        <v>0</v>
      </c>
      <c r="DS286" s="408"/>
      <c r="DT286" s="408"/>
      <c r="DU286" s="408"/>
      <c r="DV286" s="408">
        <v>21948.832512124169</v>
      </c>
      <c r="DW286" s="408">
        <v>0</v>
      </c>
      <c r="DX286" s="408">
        <v>0</v>
      </c>
      <c r="DY286" s="408">
        <v>-11929.886000000006</v>
      </c>
      <c r="DZ286" s="408">
        <v>1300.1684999999979</v>
      </c>
      <c r="EA286" s="408">
        <v>0</v>
      </c>
      <c r="EB286" s="408">
        <v>0</v>
      </c>
      <c r="EC286" s="408">
        <v>-12313.068948664772</v>
      </c>
      <c r="ED286" s="408">
        <v>0</v>
      </c>
      <c r="EE286" s="408">
        <v>0</v>
      </c>
      <c r="EF286" s="408">
        <v>0</v>
      </c>
      <c r="EG286" s="408">
        <v>0</v>
      </c>
      <c r="EH286" s="408">
        <v>0</v>
      </c>
      <c r="EI286" s="408">
        <v>0</v>
      </c>
      <c r="EJ286" s="408">
        <v>0</v>
      </c>
      <c r="EK286" s="408">
        <v>0</v>
      </c>
      <c r="EL286" s="408">
        <v>0</v>
      </c>
      <c r="EM286" s="408">
        <v>0</v>
      </c>
      <c r="EN286" s="408">
        <v>0</v>
      </c>
      <c r="EO286" s="408">
        <v>0</v>
      </c>
      <c r="EP286" s="408">
        <v>0</v>
      </c>
      <c r="EQ286" s="408">
        <v>0</v>
      </c>
      <c r="ER286" s="408">
        <v>0</v>
      </c>
      <c r="ES286" s="408">
        <v>0</v>
      </c>
      <c r="ET286" s="408">
        <v>0</v>
      </c>
      <c r="EU286" s="408">
        <v>0</v>
      </c>
      <c r="EV286" s="408">
        <v>238</v>
      </c>
      <c r="EW286" s="408">
        <v>0</v>
      </c>
      <c r="EX286" s="408">
        <v>0</v>
      </c>
      <c r="EY286" s="408">
        <v>0</v>
      </c>
      <c r="EZ286" s="408"/>
      <c r="FA286" s="408">
        <v>0</v>
      </c>
      <c r="FB286" s="408"/>
      <c r="FC286" s="408"/>
      <c r="FD286" s="408"/>
      <c r="FE286" s="408"/>
      <c r="FF286" s="408">
        <v>0</v>
      </c>
      <c r="FG286" s="408">
        <v>0</v>
      </c>
      <c r="FH286" s="408">
        <v>0</v>
      </c>
      <c r="FI286" s="408">
        <v>0</v>
      </c>
    </row>
    <row r="287" spans="1:165">
      <c r="A287" s="408">
        <v>291</v>
      </c>
      <c r="B287" s="408" t="s">
        <v>1036</v>
      </c>
      <c r="C287" s="408" t="s">
        <v>2235</v>
      </c>
      <c r="D287" s="408" t="s">
        <v>1955</v>
      </c>
      <c r="E287" s="408" t="s">
        <v>969</v>
      </c>
      <c r="F287" s="408" t="s">
        <v>2239</v>
      </c>
      <c r="G287" s="408" t="s">
        <v>1322</v>
      </c>
      <c r="H287" s="408" t="s">
        <v>1322</v>
      </c>
      <c r="I287" s="408" t="s">
        <v>1322</v>
      </c>
      <c r="J287" s="408" t="s">
        <v>2236</v>
      </c>
      <c r="K287" s="824">
        <v>44531</v>
      </c>
      <c r="L287" s="408">
        <v>0</v>
      </c>
      <c r="M287" s="408">
        <v>0</v>
      </c>
      <c r="N287" s="408">
        <v>38.22</v>
      </c>
      <c r="O287" s="408">
        <v>38.22</v>
      </c>
      <c r="P287" s="408">
        <v>38.22</v>
      </c>
      <c r="Q287" s="408">
        <v>38.22</v>
      </c>
      <c r="R287" s="408"/>
      <c r="S287" s="408">
        <v>510.28</v>
      </c>
      <c r="T287" s="408">
        <v>209.4</v>
      </c>
      <c r="U287" s="408"/>
      <c r="V287" s="408">
        <v>27506.169599999997</v>
      </c>
      <c r="W287" s="408">
        <v>27506.169599999997</v>
      </c>
      <c r="X287" s="408">
        <v>20418.2706</v>
      </c>
      <c r="Y287" s="408">
        <v>0</v>
      </c>
      <c r="Z287" s="408">
        <v>0</v>
      </c>
      <c r="AA287" s="408">
        <v>0</v>
      </c>
      <c r="AB287" s="408">
        <v>0</v>
      </c>
      <c r="AC287" s="408">
        <v>0</v>
      </c>
      <c r="AD287" s="408">
        <v>2835.5855540960297</v>
      </c>
      <c r="AE287" s="408">
        <v>14730.191020428194</v>
      </c>
      <c r="AF287" s="408">
        <v>7898.1915041329758</v>
      </c>
      <c r="AG287" s="408">
        <v>105.21832093126307</v>
      </c>
      <c r="AH287" s="408">
        <v>0</v>
      </c>
      <c r="AI287" s="408">
        <v>0</v>
      </c>
      <c r="AJ287" s="408">
        <v>0</v>
      </c>
      <c r="AK287" s="408">
        <v>0</v>
      </c>
      <c r="AL287" s="408">
        <v>0</v>
      </c>
      <c r="AM287" s="408"/>
      <c r="AN287" s="408">
        <v>69.67369615097941</v>
      </c>
      <c r="AO287" s="408">
        <v>217.83415522280086</v>
      </c>
      <c r="AP287" s="408">
        <v>328.12596067234028</v>
      </c>
      <c r="AQ287" s="408">
        <v>0</v>
      </c>
      <c r="AR287" s="408">
        <v>0</v>
      </c>
      <c r="AS287" s="408">
        <v>0</v>
      </c>
      <c r="AT287" s="408">
        <v>0</v>
      </c>
      <c r="AU287" s="408">
        <v>0</v>
      </c>
      <c r="AV287" s="408">
        <v>0</v>
      </c>
      <c r="AW287" s="408">
        <v>0</v>
      </c>
      <c r="AX287" s="408">
        <v>0</v>
      </c>
      <c r="AY287" s="408">
        <v>0</v>
      </c>
      <c r="AZ287" s="408">
        <v>0</v>
      </c>
      <c r="BA287" s="408"/>
      <c r="BB287" s="408">
        <v>0</v>
      </c>
      <c r="BC287" s="408">
        <v>0</v>
      </c>
      <c r="BD287" s="408">
        <v>0</v>
      </c>
      <c r="BE287" s="408">
        <v>0</v>
      </c>
      <c r="BF287" s="408">
        <v>0</v>
      </c>
      <c r="BG287" s="408">
        <v>1321.3526737433147</v>
      </c>
      <c r="BH287" s="408">
        <v>0</v>
      </c>
      <c r="BI287" s="408">
        <v>12.74</v>
      </c>
      <c r="BJ287" s="408">
        <v>77.28</v>
      </c>
      <c r="BK287" s="408">
        <v>2922.35</v>
      </c>
      <c r="BL287" s="408">
        <v>74</v>
      </c>
      <c r="BM287" s="408"/>
      <c r="BN287" s="408"/>
      <c r="BO287" s="408"/>
      <c r="BP287" s="408"/>
      <c r="BQ287" s="408"/>
      <c r="BR287" s="408"/>
      <c r="BS287" s="408"/>
      <c r="BT287" s="408">
        <v>13271.895</v>
      </c>
      <c r="BU287" s="408"/>
      <c r="BV287" s="408">
        <v>9219.5441778762906</v>
      </c>
      <c r="BW287" s="408"/>
      <c r="BX287" s="408"/>
      <c r="BY287" s="408"/>
      <c r="BZ287" s="408"/>
      <c r="CA287" s="408"/>
      <c r="CB287" s="408"/>
      <c r="CC287" s="408"/>
      <c r="CD287" s="408"/>
      <c r="CE287" s="408"/>
      <c r="CF287" s="408"/>
      <c r="CG287" s="408"/>
      <c r="CH287" s="408"/>
      <c r="CI287" s="408">
        <v>7146.3755999999994</v>
      </c>
      <c r="CJ287" s="408">
        <v>-2480.8902000000016</v>
      </c>
      <c r="CK287" s="408"/>
      <c r="CL287" s="408"/>
      <c r="CM287" s="408"/>
      <c r="CN287" s="408"/>
      <c r="CO287" s="408">
        <v>-7960.4615999999987</v>
      </c>
      <c r="CP287" s="408">
        <v>872.56259999999941</v>
      </c>
      <c r="CQ287" s="408"/>
      <c r="CR287" s="408">
        <v>1175.4935375321002</v>
      </c>
      <c r="CS287" s="408">
        <v>26.299559872503409</v>
      </c>
      <c r="CT287" s="408">
        <v>39.615313492039263</v>
      </c>
      <c r="CU287" s="408">
        <v>0</v>
      </c>
      <c r="CV287" s="408">
        <v>0</v>
      </c>
      <c r="CW287" s="408">
        <v>0</v>
      </c>
      <c r="CX287" s="408">
        <v>0</v>
      </c>
      <c r="CY287" s="408">
        <v>0</v>
      </c>
      <c r="CZ287" s="408">
        <v>92.957406798713237</v>
      </c>
      <c r="DA287" s="408">
        <v>0</v>
      </c>
      <c r="DB287" s="408">
        <v>0</v>
      </c>
      <c r="DC287" s="408">
        <v>872.29827530947841</v>
      </c>
      <c r="DD287" s="408">
        <v>0</v>
      </c>
      <c r="DE287" s="408">
        <v>0</v>
      </c>
      <c r="DF287" s="408">
        <v>0</v>
      </c>
      <c r="DG287" s="408">
        <v>145.93387078278306</v>
      </c>
      <c r="DH287" s="408">
        <v>0</v>
      </c>
      <c r="DI287" s="408">
        <v>0</v>
      </c>
      <c r="DJ287" s="408"/>
      <c r="DK287" s="408">
        <v>0</v>
      </c>
      <c r="DL287" s="408">
        <v>0</v>
      </c>
      <c r="DM287" s="408">
        <v>0</v>
      </c>
      <c r="DN287" s="408">
        <v>0</v>
      </c>
      <c r="DO287" s="408">
        <v>0</v>
      </c>
      <c r="DP287" s="408">
        <v>-1.6108887234189666</v>
      </c>
      <c r="DQ287" s="408">
        <v>0</v>
      </c>
      <c r="DR287" s="408">
        <v>0</v>
      </c>
      <c r="DS287" s="408"/>
      <c r="DT287" s="408"/>
      <c r="DU287" s="408"/>
      <c r="DV287" s="408">
        <v>14730.191020428194</v>
      </c>
      <c r="DW287" s="408">
        <v>0</v>
      </c>
      <c r="DX287" s="408">
        <v>0</v>
      </c>
      <c r="DY287" s="408">
        <v>-7960.4615999999969</v>
      </c>
      <c r="DZ287" s="408">
        <v>872.56259999999929</v>
      </c>
      <c r="EA287" s="408">
        <v>0</v>
      </c>
      <c r="EB287" s="408">
        <v>0</v>
      </c>
      <c r="EC287" s="408">
        <v>-8263.485429639466</v>
      </c>
      <c r="ED287" s="408">
        <v>0</v>
      </c>
      <c r="EE287" s="408">
        <v>0</v>
      </c>
      <c r="EF287" s="408">
        <v>0</v>
      </c>
      <c r="EG287" s="408">
        <v>0</v>
      </c>
      <c r="EH287" s="408">
        <v>0</v>
      </c>
      <c r="EI287" s="408">
        <v>0</v>
      </c>
      <c r="EJ287" s="408">
        <v>0</v>
      </c>
      <c r="EK287" s="408">
        <v>0</v>
      </c>
      <c r="EL287" s="408">
        <v>0</v>
      </c>
      <c r="EM287" s="408">
        <v>0</v>
      </c>
      <c r="EN287" s="408">
        <v>0</v>
      </c>
      <c r="EO287" s="408">
        <v>0</v>
      </c>
      <c r="EP287" s="408">
        <v>0</v>
      </c>
      <c r="EQ287" s="408">
        <v>0</v>
      </c>
      <c r="ER287" s="408">
        <v>0</v>
      </c>
      <c r="ES287" s="408">
        <v>0</v>
      </c>
      <c r="ET287" s="408">
        <v>0</v>
      </c>
      <c r="EU287" s="408">
        <v>0</v>
      </c>
      <c r="EV287" s="408">
        <v>238</v>
      </c>
      <c r="EW287" s="408">
        <v>0</v>
      </c>
      <c r="EX287" s="408">
        <v>0</v>
      </c>
      <c r="EY287" s="408">
        <v>0</v>
      </c>
      <c r="EZ287" s="408"/>
      <c r="FA287" s="408">
        <v>0</v>
      </c>
      <c r="FB287" s="408"/>
      <c r="FC287" s="408"/>
      <c r="FD287" s="408"/>
      <c r="FE287" s="408"/>
      <c r="FF287" s="408">
        <v>0</v>
      </c>
      <c r="FG287" s="408">
        <v>0</v>
      </c>
      <c r="FH287" s="408">
        <v>0</v>
      </c>
      <c r="FI287" s="408">
        <v>0</v>
      </c>
    </row>
    <row r="288" spans="1:165">
      <c r="A288" s="408">
        <v>292</v>
      </c>
      <c r="B288" s="408" t="s">
        <v>1036</v>
      </c>
      <c r="C288" s="408" t="s">
        <v>2235</v>
      </c>
      <c r="D288" s="408" t="s">
        <v>1955</v>
      </c>
      <c r="E288" s="408" t="s">
        <v>969</v>
      </c>
      <c r="F288" s="408" t="s">
        <v>2240</v>
      </c>
      <c r="G288" s="408" t="s">
        <v>1322</v>
      </c>
      <c r="H288" s="408" t="s">
        <v>1322</v>
      </c>
      <c r="I288" s="408" t="s">
        <v>1322</v>
      </c>
      <c r="J288" s="408" t="s">
        <v>2236</v>
      </c>
      <c r="K288" s="824">
        <v>44531</v>
      </c>
      <c r="L288" s="408">
        <v>0</v>
      </c>
      <c r="M288" s="408">
        <v>0</v>
      </c>
      <c r="N288" s="408">
        <v>78.841999999999999</v>
      </c>
      <c r="O288" s="408">
        <v>78.841999999999999</v>
      </c>
      <c r="P288" s="408">
        <v>78.841999999999999</v>
      </c>
      <c r="Q288" s="408">
        <v>78.841999999999999</v>
      </c>
      <c r="R288" s="408"/>
      <c r="S288" s="408">
        <v>510.28</v>
      </c>
      <c r="T288" s="408">
        <v>209.4</v>
      </c>
      <c r="U288" s="408"/>
      <c r="V288" s="408">
        <v>56741.010559999995</v>
      </c>
      <c r="W288" s="408">
        <v>56741.010559999995</v>
      </c>
      <c r="X288" s="408">
        <v>42119.761660000004</v>
      </c>
      <c r="Y288" s="408">
        <v>0</v>
      </c>
      <c r="Z288" s="408">
        <v>0</v>
      </c>
      <c r="AA288" s="408">
        <v>0</v>
      </c>
      <c r="AB288" s="408">
        <v>0</v>
      </c>
      <c r="AC288" s="408">
        <v>0</v>
      </c>
      <c r="AD288" s="408">
        <v>5849.3782379916065</v>
      </c>
      <c r="AE288" s="408">
        <v>30386.12560001569</v>
      </c>
      <c r="AF288" s="408">
        <v>16292.758099655994</v>
      </c>
      <c r="AG288" s="408">
        <v>217.04926370650557</v>
      </c>
      <c r="AH288" s="408">
        <v>0</v>
      </c>
      <c r="AI288" s="408">
        <v>0</v>
      </c>
      <c r="AJ288" s="408">
        <v>0</v>
      </c>
      <c r="AK288" s="408">
        <v>0</v>
      </c>
      <c r="AL288" s="408">
        <v>0</v>
      </c>
      <c r="AM288" s="408"/>
      <c r="AN288" s="408">
        <v>143.72615258857977</v>
      </c>
      <c r="AO288" s="408">
        <v>449.35846326729632</v>
      </c>
      <c r="AP288" s="408">
        <v>676.87354765381087</v>
      </c>
      <c r="AQ288" s="408">
        <v>0</v>
      </c>
      <c r="AR288" s="408">
        <v>0</v>
      </c>
      <c r="AS288" s="408">
        <v>0</v>
      </c>
      <c r="AT288" s="408">
        <v>0</v>
      </c>
      <c r="AU288" s="408">
        <v>0</v>
      </c>
      <c r="AV288" s="408">
        <v>0</v>
      </c>
      <c r="AW288" s="408">
        <v>0</v>
      </c>
      <c r="AX288" s="408">
        <v>0</v>
      </c>
      <c r="AY288" s="408">
        <v>0</v>
      </c>
      <c r="AZ288" s="408">
        <v>0</v>
      </c>
      <c r="BA288" s="408"/>
      <c r="BB288" s="408">
        <v>0</v>
      </c>
      <c r="BC288" s="408">
        <v>0</v>
      </c>
      <c r="BD288" s="408">
        <v>0</v>
      </c>
      <c r="BE288" s="408">
        <v>0</v>
      </c>
      <c r="BF288" s="408">
        <v>0</v>
      </c>
      <c r="BG288" s="408">
        <v>2725.7479723513975</v>
      </c>
      <c r="BH288" s="408">
        <v>0</v>
      </c>
      <c r="BI288" s="408">
        <v>64.430000000000007</v>
      </c>
      <c r="BJ288" s="408">
        <v>297.64999999999998</v>
      </c>
      <c r="BK288" s="408">
        <v>10978.16</v>
      </c>
      <c r="BL288" s="408">
        <v>207</v>
      </c>
      <c r="BM288" s="408"/>
      <c r="BN288" s="408"/>
      <c r="BO288" s="408"/>
      <c r="BP288" s="408"/>
      <c r="BQ288" s="408"/>
      <c r="BR288" s="408"/>
      <c r="BS288" s="408"/>
      <c r="BT288" s="408">
        <v>16847.74698</v>
      </c>
      <c r="BU288" s="408"/>
      <c r="BV288" s="408">
        <v>19018.506072007393</v>
      </c>
      <c r="BW288" s="408"/>
      <c r="BX288" s="408"/>
      <c r="BY288" s="408"/>
      <c r="BZ288" s="408"/>
      <c r="CA288" s="408"/>
      <c r="CB288" s="408"/>
      <c r="CC288" s="408"/>
      <c r="CD288" s="408"/>
      <c r="CE288" s="408"/>
      <c r="CF288" s="408"/>
      <c r="CG288" s="408"/>
      <c r="CH288" s="408"/>
      <c r="CI288" s="408">
        <v>25271.373599999999</v>
      </c>
      <c r="CJ288" s="408">
        <v>-8773.4204200000022</v>
      </c>
      <c r="CK288" s="408"/>
      <c r="CL288" s="408"/>
      <c r="CM288" s="408"/>
      <c r="CN288" s="408"/>
      <c r="CO288" s="408">
        <v>-16421.211759999998</v>
      </c>
      <c r="CP288" s="408">
        <v>1799.9628599999987</v>
      </c>
      <c r="CQ288" s="408"/>
      <c r="CR288" s="408">
        <v>2424.8629378886872</v>
      </c>
      <c r="CS288" s="408">
        <v>54.251959693038089</v>
      </c>
      <c r="CT288" s="408">
        <v>81.720317800611156</v>
      </c>
      <c r="CU288" s="408">
        <v>0</v>
      </c>
      <c r="CV288" s="408">
        <v>0</v>
      </c>
      <c r="CW288" s="408">
        <v>0</v>
      </c>
      <c r="CX288" s="408">
        <v>0</v>
      </c>
      <c r="CY288" s="408">
        <v>0</v>
      </c>
      <c r="CZ288" s="408">
        <v>191.75687772956917</v>
      </c>
      <c r="DA288" s="408">
        <v>0</v>
      </c>
      <c r="DB288" s="408">
        <v>0</v>
      </c>
      <c r="DC288" s="408">
        <v>1799.417598690472</v>
      </c>
      <c r="DD288" s="408">
        <v>0</v>
      </c>
      <c r="DE288" s="408">
        <v>0</v>
      </c>
      <c r="DF288" s="408">
        <v>0</v>
      </c>
      <c r="DG288" s="408">
        <v>301.03920042533218</v>
      </c>
      <c r="DH288" s="408">
        <v>0</v>
      </c>
      <c r="DI288" s="408">
        <v>0</v>
      </c>
      <c r="DJ288" s="408"/>
      <c r="DK288" s="408">
        <v>0</v>
      </c>
      <c r="DL288" s="408">
        <v>0</v>
      </c>
      <c r="DM288" s="408">
        <v>0</v>
      </c>
      <c r="DN288" s="408">
        <v>0</v>
      </c>
      <c r="DO288" s="408">
        <v>0</v>
      </c>
      <c r="DP288" s="408">
        <v>-3.323016450334876</v>
      </c>
      <c r="DQ288" s="408">
        <v>0</v>
      </c>
      <c r="DR288" s="408">
        <v>0</v>
      </c>
      <c r="DS288" s="408"/>
      <c r="DT288" s="408"/>
      <c r="DU288" s="408"/>
      <c r="DV288" s="408">
        <v>30386.12560001569</v>
      </c>
      <c r="DW288" s="408">
        <v>0</v>
      </c>
      <c r="DX288" s="408">
        <v>0</v>
      </c>
      <c r="DY288" s="408">
        <v>-16421.211759999998</v>
      </c>
      <c r="DZ288" s="408">
        <v>1799.9628599999996</v>
      </c>
      <c r="EA288" s="408">
        <v>0</v>
      </c>
      <c r="EB288" s="408">
        <v>0</v>
      </c>
      <c r="EC288" s="408">
        <v>-17046.303460063704</v>
      </c>
      <c r="ED288" s="408">
        <v>0</v>
      </c>
      <c r="EE288" s="408">
        <v>0</v>
      </c>
      <c r="EF288" s="408">
        <v>0</v>
      </c>
      <c r="EG288" s="408">
        <v>0</v>
      </c>
      <c r="EH288" s="408">
        <v>0</v>
      </c>
      <c r="EI288" s="408">
        <v>0</v>
      </c>
      <c r="EJ288" s="408">
        <v>0</v>
      </c>
      <c r="EK288" s="408">
        <v>0</v>
      </c>
      <c r="EL288" s="408">
        <v>0</v>
      </c>
      <c r="EM288" s="408">
        <v>0</v>
      </c>
      <c r="EN288" s="408">
        <v>0</v>
      </c>
      <c r="EO288" s="408">
        <v>0</v>
      </c>
      <c r="EP288" s="408">
        <v>0</v>
      </c>
      <c r="EQ288" s="408">
        <v>0</v>
      </c>
      <c r="ER288" s="408">
        <v>0</v>
      </c>
      <c r="ES288" s="408">
        <v>0</v>
      </c>
      <c r="ET288" s="408">
        <v>0</v>
      </c>
      <c r="EU288" s="408">
        <v>0</v>
      </c>
      <c r="EV288" s="408">
        <v>238</v>
      </c>
      <c r="EW288" s="408">
        <v>0</v>
      </c>
      <c r="EX288" s="408">
        <v>0</v>
      </c>
      <c r="EY288" s="408">
        <v>0</v>
      </c>
      <c r="EZ288" s="408"/>
      <c r="FA288" s="408">
        <v>0</v>
      </c>
      <c r="FB288" s="408"/>
      <c r="FC288" s="408"/>
      <c r="FD288" s="408"/>
      <c r="FE288" s="408"/>
      <c r="FF288" s="408">
        <v>0</v>
      </c>
      <c r="FG288" s="408">
        <v>0</v>
      </c>
      <c r="FH288" s="408">
        <v>0</v>
      </c>
      <c r="FI288" s="408">
        <v>0</v>
      </c>
    </row>
    <row r="289" spans="1:165">
      <c r="A289" s="408">
        <v>293</v>
      </c>
      <c r="B289" s="408" t="s">
        <v>1036</v>
      </c>
      <c r="C289" s="408" t="s">
        <v>2235</v>
      </c>
      <c r="D289" s="408" t="s">
        <v>1955</v>
      </c>
      <c r="E289" s="408" t="s">
        <v>969</v>
      </c>
      <c r="F289" s="408" t="s">
        <v>2241</v>
      </c>
      <c r="G289" s="408" t="s">
        <v>1322</v>
      </c>
      <c r="H289" s="408" t="s">
        <v>1322</v>
      </c>
      <c r="I289" s="408" t="s">
        <v>1322</v>
      </c>
      <c r="J289" s="408" t="s">
        <v>2236</v>
      </c>
      <c r="K289" s="824">
        <v>44531</v>
      </c>
      <c r="L289" s="408">
        <v>0</v>
      </c>
      <c r="M289" s="408">
        <v>0</v>
      </c>
      <c r="N289" s="408">
        <v>76.704999999999998</v>
      </c>
      <c r="O289" s="408">
        <v>76.704999999999998</v>
      </c>
      <c r="P289" s="408">
        <v>76.704999999999998</v>
      </c>
      <c r="Q289" s="408">
        <v>76.704999999999998</v>
      </c>
      <c r="R289" s="408"/>
      <c r="S289" s="408">
        <v>510.28</v>
      </c>
      <c r="T289" s="408">
        <v>209.4</v>
      </c>
      <c r="U289" s="408"/>
      <c r="V289" s="408">
        <v>55203.054400000001</v>
      </c>
      <c r="W289" s="408">
        <v>55203.054400000001</v>
      </c>
      <c r="X289" s="408">
        <v>40978.112150000001</v>
      </c>
      <c r="Y289" s="408">
        <v>0</v>
      </c>
      <c r="Z289" s="408">
        <v>0</v>
      </c>
      <c r="AA289" s="408">
        <v>0</v>
      </c>
      <c r="AB289" s="408">
        <v>0</v>
      </c>
      <c r="AC289" s="408">
        <v>0</v>
      </c>
      <c r="AD289" s="408">
        <v>5690.8317615629503</v>
      </c>
      <c r="AE289" s="408">
        <v>29562.514448507183</v>
      </c>
      <c r="AF289" s="408">
        <v>15851.145455900572</v>
      </c>
      <c r="AG289" s="408">
        <v>211.16617757803596</v>
      </c>
      <c r="AH289" s="408">
        <v>0</v>
      </c>
      <c r="AI289" s="408">
        <v>0</v>
      </c>
      <c r="AJ289" s="408">
        <v>0</v>
      </c>
      <c r="AK289" s="408">
        <v>0</v>
      </c>
      <c r="AL289" s="408">
        <v>0</v>
      </c>
      <c r="AM289" s="408"/>
      <c r="AN289" s="408">
        <v>139.83047784565346</v>
      </c>
      <c r="AO289" s="408">
        <v>437.17867285099265</v>
      </c>
      <c r="AP289" s="408">
        <v>658.52699668686182</v>
      </c>
      <c r="AQ289" s="408">
        <v>0</v>
      </c>
      <c r="AR289" s="408">
        <v>0</v>
      </c>
      <c r="AS289" s="408">
        <v>0</v>
      </c>
      <c r="AT289" s="408">
        <v>0</v>
      </c>
      <c r="AU289" s="408">
        <v>0</v>
      </c>
      <c r="AV289" s="408">
        <v>0</v>
      </c>
      <c r="AW289" s="408">
        <v>0</v>
      </c>
      <c r="AX289" s="408">
        <v>0</v>
      </c>
      <c r="AY289" s="408">
        <v>0</v>
      </c>
      <c r="AZ289" s="408">
        <v>0</v>
      </c>
      <c r="BA289" s="408"/>
      <c r="BB289" s="408">
        <v>0</v>
      </c>
      <c r="BC289" s="408">
        <v>0</v>
      </c>
      <c r="BD289" s="408">
        <v>0</v>
      </c>
      <c r="BE289" s="408">
        <v>0</v>
      </c>
      <c r="BF289" s="408">
        <v>0</v>
      </c>
      <c r="BG289" s="408">
        <v>2651.8670026028508</v>
      </c>
      <c r="BH289" s="408">
        <v>0</v>
      </c>
      <c r="BI289" s="408">
        <v>94.27</v>
      </c>
      <c r="BJ289" s="408">
        <v>440.64</v>
      </c>
      <c r="BK289" s="408">
        <v>16300.04</v>
      </c>
      <c r="BL289" s="408">
        <v>676</v>
      </c>
      <c r="BM289" s="408"/>
      <c r="BN289" s="408"/>
      <c r="BO289" s="408"/>
      <c r="BP289" s="408"/>
      <c r="BQ289" s="408"/>
      <c r="BR289" s="408"/>
      <c r="BS289" s="408"/>
      <c r="BT289" s="408">
        <v>4098.348149999998</v>
      </c>
      <c r="BU289" s="408"/>
      <c r="BV289" s="408">
        <v>18503.012458503425</v>
      </c>
      <c r="BW289" s="408"/>
      <c r="BX289" s="408"/>
      <c r="BY289" s="408"/>
      <c r="BZ289" s="408"/>
      <c r="CA289" s="408"/>
      <c r="CB289" s="408"/>
      <c r="CC289" s="408"/>
      <c r="CD289" s="408"/>
      <c r="CE289" s="408"/>
      <c r="CF289" s="408"/>
      <c r="CG289" s="408"/>
      <c r="CH289" s="408"/>
      <c r="CI289" s="408">
        <v>36882.167999999998</v>
      </c>
      <c r="CJ289" s="408">
        <v>-12800.457550000006</v>
      </c>
      <c r="CK289" s="408"/>
      <c r="CL289" s="408"/>
      <c r="CM289" s="408"/>
      <c r="CN289" s="408"/>
      <c r="CO289" s="408">
        <v>-15976.117399999997</v>
      </c>
      <c r="CP289" s="408">
        <v>1751.1751499999987</v>
      </c>
      <c r="CQ289" s="408"/>
      <c r="CR289" s="408">
        <v>2359.1374096389191</v>
      </c>
      <c r="CS289" s="408">
        <v>52.781468865001955</v>
      </c>
      <c r="CT289" s="408">
        <v>79.505301449682634</v>
      </c>
      <c r="CU289" s="408">
        <v>0</v>
      </c>
      <c r="CV289" s="408">
        <v>0</v>
      </c>
      <c r="CW289" s="408">
        <v>0</v>
      </c>
      <c r="CX289" s="408">
        <v>0</v>
      </c>
      <c r="CY289" s="408">
        <v>0</v>
      </c>
      <c r="CZ289" s="408">
        <v>186.55933774189725</v>
      </c>
      <c r="DA289" s="408">
        <v>0</v>
      </c>
      <c r="DB289" s="408">
        <v>0</v>
      </c>
      <c r="DC289" s="408">
        <v>1750.6446679124419</v>
      </c>
      <c r="DD289" s="408">
        <v>0</v>
      </c>
      <c r="DE289" s="408">
        <v>0</v>
      </c>
      <c r="DF289" s="408">
        <v>0</v>
      </c>
      <c r="DG289" s="408">
        <v>292.87958028240109</v>
      </c>
      <c r="DH289" s="408">
        <v>0</v>
      </c>
      <c r="DI289" s="408">
        <v>0</v>
      </c>
      <c r="DJ289" s="408"/>
      <c r="DK289" s="408">
        <v>0</v>
      </c>
      <c r="DL289" s="408">
        <v>0</v>
      </c>
      <c r="DM289" s="408">
        <v>0</v>
      </c>
      <c r="DN289" s="408">
        <v>0</v>
      </c>
      <c r="DO289" s="408">
        <v>0</v>
      </c>
      <c r="DP289" s="408">
        <v>-3.2329466125026727</v>
      </c>
      <c r="DQ289" s="408">
        <v>0</v>
      </c>
      <c r="DR289" s="408">
        <v>0</v>
      </c>
      <c r="DS289" s="408"/>
      <c r="DT289" s="408"/>
      <c r="DU289" s="408"/>
      <c r="DV289" s="408">
        <v>29562.514448507183</v>
      </c>
      <c r="DW289" s="408">
        <v>0</v>
      </c>
      <c r="DX289" s="408">
        <v>0</v>
      </c>
      <c r="DY289" s="408">
        <v>-15976.117399999999</v>
      </c>
      <c r="DZ289" s="408">
        <v>1751.1751499999973</v>
      </c>
      <c r="EA289" s="408">
        <v>0</v>
      </c>
      <c r="EB289" s="408">
        <v>0</v>
      </c>
      <c r="EC289" s="408">
        <v>-16584.26608792504</v>
      </c>
      <c r="ED289" s="408">
        <v>0</v>
      </c>
      <c r="EE289" s="408">
        <v>0</v>
      </c>
      <c r="EF289" s="408">
        <v>0</v>
      </c>
      <c r="EG289" s="408">
        <v>0</v>
      </c>
      <c r="EH289" s="408">
        <v>0</v>
      </c>
      <c r="EI289" s="408">
        <v>0</v>
      </c>
      <c r="EJ289" s="408">
        <v>0</v>
      </c>
      <c r="EK289" s="408">
        <v>0</v>
      </c>
      <c r="EL289" s="408">
        <v>0</v>
      </c>
      <c r="EM289" s="408">
        <v>0</v>
      </c>
      <c r="EN289" s="408">
        <v>0</v>
      </c>
      <c r="EO289" s="408">
        <v>0</v>
      </c>
      <c r="EP289" s="408">
        <v>0</v>
      </c>
      <c r="EQ289" s="408">
        <v>0</v>
      </c>
      <c r="ER289" s="408">
        <v>0</v>
      </c>
      <c r="ES289" s="408">
        <v>0</v>
      </c>
      <c r="ET289" s="408">
        <v>0</v>
      </c>
      <c r="EU289" s="408">
        <v>0</v>
      </c>
      <c r="EV289" s="408">
        <v>238</v>
      </c>
      <c r="EW289" s="408">
        <v>0</v>
      </c>
      <c r="EX289" s="408">
        <v>0</v>
      </c>
      <c r="EY289" s="408">
        <v>0</v>
      </c>
      <c r="EZ289" s="408"/>
      <c r="FA289" s="408">
        <v>0</v>
      </c>
      <c r="FB289" s="408"/>
      <c r="FC289" s="408"/>
      <c r="FD289" s="408"/>
      <c r="FE289" s="408"/>
      <c r="FF289" s="408">
        <v>0</v>
      </c>
      <c r="FG289" s="408">
        <v>0</v>
      </c>
      <c r="FH289" s="408">
        <v>0</v>
      </c>
      <c r="FI289" s="408">
        <v>0</v>
      </c>
    </row>
    <row r="290" spans="1:165">
      <c r="A290" s="408">
        <v>294</v>
      </c>
      <c r="B290" s="408" t="s">
        <v>1036</v>
      </c>
      <c r="C290" s="408" t="s">
        <v>2235</v>
      </c>
      <c r="D290" s="408" t="s">
        <v>1955</v>
      </c>
      <c r="E290" s="408" t="s">
        <v>969</v>
      </c>
      <c r="F290" s="408" t="s">
        <v>2242</v>
      </c>
      <c r="G290" s="408" t="s">
        <v>1322</v>
      </c>
      <c r="H290" s="408" t="s">
        <v>1322</v>
      </c>
      <c r="I290" s="408" t="s">
        <v>1322</v>
      </c>
      <c r="J290" s="408" t="s">
        <v>2236</v>
      </c>
      <c r="K290" s="824">
        <v>44531</v>
      </c>
      <c r="L290" s="408">
        <v>0</v>
      </c>
      <c r="M290" s="408">
        <v>0</v>
      </c>
      <c r="N290" s="408">
        <v>25.765000000000001</v>
      </c>
      <c r="O290" s="408">
        <v>25.765000000000001</v>
      </c>
      <c r="P290" s="408">
        <v>25.765000000000001</v>
      </c>
      <c r="Q290" s="408">
        <v>25.765000000000001</v>
      </c>
      <c r="R290" s="408"/>
      <c r="S290" s="408">
        <v>510.28</v>
      </c>
      <c r="T290" s="408">
        <v>209.4</v>
      </c>
      <c r="U290" s="408"/>
      <c r="V290" s="408">
        <v>18542.555200000003</v>
      </c>
      <c r="W290" s="408">
        <v>18542.555200000003</v>
      </c>
      <c r="X290" s="408">
        <v>13764.435949999999</v>
      </c>
      <c r="Y290" s="408">
        <v>0</v>
      </c>
      <c r="Z290" s="408">
        <v>0</v>
      </c>
      <c r="AA290" s="408">
        <v>0</v>
      </c>
      <c r="AB290" s="408">
        <v>0</v>
      </c>
      <c r="AC290" s="408">
        <v>0</v>
      </c>
      <c r="AD290" s="408">
        <v>1911.5348456641605</v>
      </c>
      <c r="AE290" s="408">
        <v>9929.967860840723</v>
      </c>
      <c r="AF290" s="408">
        <v>5324.3564653057592</v>
      </c>
      <c r="AG290" s="408">
        <v>70.930142302302272</v>
      </c>
      <c r="AH290" s="408">
        <v>0</v>
      </c>
      <c r="AI290" s="408">
        <v>0</v>
      </c>
      <c r="AJ290" s="408">
        <v>0</v>
      </c>
      <c r="AK290" s="408">
        <v>0</v>
      </c>
      <c r="AL290" s="408">
        <v>0</v>
      </c>
      <c r="AM290" s="408"/>
      <c r="AN290" s="408">
        <v>46.968675597330837</v>
      </c>
      <c r="AO290" s="408">
        <v>146.84712216942606</v>
      </c>
      <c r="AP290" s="408">
        <v>221.19741958981808</v>
      </c>
      <c r="AQ290" s="408">
        <v>0</v>
      </c>
      <c r="AR290" s="408">
        <v>0</v>
      </c>
      <c r="AS290" s="408">
        <v>0</v>
      </c>
      <c r="AT290" s="408">
        <v>0</v>
      </c>
      <c r="AU290" s="408">
        <v>0</v>
      </c>
      <c r="AV290" s="408">
        <v>0</v>
      </c>
      <c r="AW290" s="408">
        <v>0</v>
      </c>
      <c r="AX290" s="408">
        <v>0</v>
      </c>
      <c r="AY290" s="408">
        <v>0</v>
      </c>
      <c r="AZ290" s="408">
        <v>0</v>
      </c>
      <c r="BA290" s="408"/>
      <c r="BB290" s="408">
        <v>0</v>
      </c>
      <c r="BC290" s="408">
        <v>0</v>
      </c>
      <c r="BD290" s="408">
        <v>0</v>
      </c>
      <c r="BE290" s="408">
        <v>0</v>
      </c>
      <c r="BF290" s="408">
        <v>0</v>
      </c>
      <c r="BG290" s="408">
        <v>890.7548832809133</v>
      </c>
      <c r="BH290" s="408">
        <v>0</v>
      </c>
      <c r="BI290" s="408">
        <v>36.090000000000003</v>
      </c>
      <c r="BJ290" s="408">
        <v>169.42</v>
      </c>
      <c r="BK290" s="408">
        <v>6269</v>
      </c>
      <c r="BL290" s="408">
        <v>317</v>
      </c>
      <c r="BM290" s="408"/>
      <c r="BN290" s="408"/>
      <c r="BO290" s="408"/>
      <c r="BP290" s="408"/>
      <c r="BQ290" s="408"/>
      <c r="BR290" s="408"/>
      <c r="BS290" s="408"/>
      <c r="BT290" s="408"/>
      <c r="BU290" s="408"/>
      <c r="BV290" s="408">
        <v>6215.1113485866726</v>
      </c>
      <c r="BW290" s="408"/>
      <c r="BX290" s="408"/>
      <c r="BY290" s="408"/>
      <c r="BZ290" s="408"/>
      <c r="CA290" s="408"/>
      <c r="CB290" s="408"/>
      <c r="CC290" s="408"/>
      <c r="CD290" s="408"/>
      <c r="CE290" s="408"/>
      <c r="CF290" s="408"/>
      <c r="CG290" s="408"/>
      <c r="CH290" s="408"/>
      <c r="CI290" s="408">
        <v>13767.107099999999</v>
      </c>
      <c r="CJ290" s="408">
        <v>-4775.4780999999984</v>
      </c>
      <c r="CK290" s="408"/>
      <c r="CL290" s="408"/>
      <c r="CM290" s="408"/>
      <c r="CN290" s="408"/>
      <c r="CO290" s="408">
        <v>-5366.3341999999993</v>
      </c>
      <c r="CP290" s="408">
        <v>588.21494999999959</v>
      </c>
      <c r="CQ290" s="408"/>
      <c r="CR290" s="408">
        <v>792.42781252000532</v>
      </c>
      <c r="CS290" s="408">
        <v>17.729151232732903</v>
      </c>
      <c r="CT290" s="408">
        <v>26.705613608644484</v>
      </c>
      <c r="CU290" s="408">
        <v>0</v>
      </c>
      <c r="CV290" s="408">
        <v>0</v>
      </c>
      <c r="CW290" s="408">
        <v>0</v>
      </c>
      <c r="CX290" s="408">
        <v>0</v>
      </c>
      <c r="CY290" s="408">
        <v>0</v>
      </c>
      <c r="CZ290" s="408">
        <v>62.664772008604132</v>
      </c>
      <c r="DA290" s="408">
        <v>0</v>
      </c>
      <c r="DB290" s="408">
        <v>0</v>
      </c>
      <c r="DC290" s="408">
        <v>588.03676251566503</v>
      </c>
      <c r="DD290" s="408">
        <v>0</v>
      </c>
      <c r="DE290" s="408">
        <v>0</v>
      </c>
      <c r="DF290" s="408">
        <v>0</v>
      </c>
      <c r="DG290" s="408">
        <v>98.377451091533317</v>
      </c>
      <c r="DH290" s="408">
        <v>0</v>
      </c>
      <c r="DI290" s="408">
        <v>0</v>
      </c>
      <c r="DJ290" s="408"/>
      <c r="DK290" s="408">
        <v>0</v>
      </c>
      <c r="DL290" s="408">
        <v>0</v>
      </c>
      <c r="DM290" s="408">
        <v>0</v>
      </c>
      <c r="DN290" s="408">
        <v>0</v>
      </c>
      <c r="DO290" s="408">
        <v>0</v>
      </c>
      <c r="DP290" s="408">
        <v>-1.0859379371766025</v>
      </c>
      <c r="DQ290" s="408">
        <v>0</v>
      </c>
      <c r="DR290" s="408">
        <v>0</v>
      </c>
      <c r="DS290" s="408"/>
      <c r="DT290" s="408"/>
      <c r="DU290" s="408"/>
      <c r="DV290" s="408">
        <v>9929.967860840723</v>
      </c>
      <c r="DW290" s="408">
        <v>0</v>
      </c>
      <c r="DX290" s="408">
        <v>0</v>
      </c>
      <c r="DY290" s="408">
        <v>-5366.3342000000002</v>
      </c>
      <c r="DZ290" s="408">
        <v>588.21494999999959</v>
      </c>
      <c r="EA290" s="408">
        <v>0</v>
      </c>
      <c r="EB290" s="408">
        <v>0</v>
      </c>
      <c r="EC290" s="408">
        <v>-5570.6096832721305</v>
      </c>
      <c r="ED290" s="408">
        <v>0</v>
      </c>
      <c r="EE290" s="408">
        <v>0</v>
      </c>
      <c r="EF290" s="408">
        <v>0</v>
      </c>
      <c r="EG290" s="408">
        <v>0</v>
      </c>
      <c r="EH290" s="408">
        <v>0</v>
      </c>
      <c r="EI290" s="408">
        <v>0</v>
      </c>
      <c r="EJ290" s="408">
        <v>0</v>
      </c>
      <c r="EK290" s="408">
        <v>0</v>
      </c>
      <c r="EL290" s="408">
        <v>0</v>
      </c>
      <c r="EM290" s="408">
        <v>0</v>
      </c>
      <c r="EN290" s="408">
        <v>0</v>
      </c>
      <c r="EO290" s="408">
        <v>0</v>
      </c>
      <c r="EP290" s="408">
        <v>0</v>
      </c>
      <c r="EQ290" s="408">
        <v>0</v>
      </c>
      <c r="ER290" s="408">
        <v>0</v>
      </c>
      <c r="ES290" s="408">
        <v>0</v>
      </c>
      <c r="ET290" s="408">
        <v>0</v>
      </c>
      <c r="EU290" s="408">
        <v>0</v>
      </c>
      <c r="EV290" s="408">
        <v>238</v>
      </c>
      <c r="EW290" s="408">
        <v>0</v>
      </c>
      <c r="EX290" s="408">
        <v>0</v>
      </c>
      <c r="EY290" s="408">
        <v>0</v>
      </c>
      <c r="EZ290" s="408"/>
      <c r="FA290" s="408">
        <v>0</v>
      </c>
      <c r="FB290" s="408"/>
      <c r="FC290" s="408"/>
      <c r="FD290" s="408"/>
      <c r="FE290" s="408"/>
      <c r="FF290" s="408">
        <v>0</v>
      </c>
      <c r="FG290" s="408">
        <v>0</v>
      </c>
      <c r="FH290" s="408">
        <v>0</v>
      </c>
      <c r="FI290" s="408">
        <v>0</v>
      </c>
    </row>
    <row r="291" spans="1:165">
      <c r="A291" s="408">
        <v>295</v>
      </c>
      <c r="B291" s="408" t="s">
        <v>1036</v>
      </c>
      <c r="C291" s="408" t="s">
        <v>2321</v>
      </c>
      <c r="D291" s="408" t="s">
        <v>1955</v>
      </c>
      <c r="E291" s="408" t="s">
        <v>969</v>
      </c>
      <c r="F291" s="408" t="s">
        <v>969</v>
      </c>
      <c r="G291" s="408" t="s">
        <v>1322</v>
      </c>
      <c r="H291" s="408" t="s">
        <v>1322</v>
      </c>
      <c r="I291" s="408" t="s">
        <v>973</v>
      </c>
      <c r="J291" s="408" t="s">
        <v>2236</v>
      </c>
      <c r="K291" s="824">
        <v>44531</v>
      </c>
      <c r="L291" s="408">
        <v>0</v>
      </c>
      <c r="M291" s="408">
        <v>0</v>
      </c>
      <c r="N291" s="408">
        <v>9.6000000000000002E-2</v>
      </c>
      <c r="O291" s="408">
        <v>9.6000000000000002E-2</v>
      </c>
      <c r="P291" s="408">
        <v>9.6000000000000002E-2</v>
      </c>
      <c r="Q291" s="408">
        <v>9.6000000000000002E-2</v>
      </c>
      <c r="R291" s="408"/>
      <c r="S291" s="408">
        <v>1292.1099999999999</v>
      </c>
      <c r="T291" s="408">
        <v>209.4</v>
      </c>
      <c r="U291" s="408"/>
      <c r="V291" s="408">
        <v>144.14496</v>
      </c>
      <c r="W291" s="408">
        <v>144.14496</v>
      </c>
      <c r="X291" s="408">
        <v>95.690879999999993</v>
      </c>
      <c r="Y291" s="408">
        <v>0</v>
      </c>
      <c r="Z291" s="408">
        <v>5.9076391177610112</v>
      </c>
      <c r="AA291" s="408">
        <v>0</v>
      </c>
      <c r="AB291" s="408">
        <v>0</v>
      </c>
      <c r="AC291" s="408">
        <v>0</v>
      </c>
      <c r="AD291" s="408">
        <v>17.802706445879618</v>
      </c>
      <c r="AE291" s="408">
        <v>92.497307558701351</v>
      </c>
      <c r="AF291" s="408">
        <v>19.838471595938401</v>
      </c>
      <c r="AG291" s="408">
        <v>0.26428463656204226</v>
      </c>
      <c r="AH291" s="408">
        <v>0</v>
      </c>
      <c r="AI291" s="408">
        <v>0</v>
      </c>
      <c r="AJ291" s="408">
        <v>0</v>
      </c>
      <c r="AK291" s="408">
        <v>0</v>
      </c>
      <c r="AL291" s="408">
        <v>0.91292175793196362</v>
      </c>
      <c r="AM291" s="408"/>
      <c r="AN291" s="408">
        <v>0.17500457431957153</v>
      </c>
      <c r="AO291" s="408">
        <v>1.3678877061638304</v>
      </c>
      <c r="AP291" s="408">
        <v>2.0604455929189345</v>
      </c>
      <c r="AQ291" s="408">
        <v>0</v>
      </c>
      <c r="AR291" s="408">
        <v>0</v>
      </c>
      <c r="AS291" s="408">
        <v>0</v>
      </c>
      <c r="AT291" s="408">
        <v>0</v>
      </c>
      <c r="AU291" s="408">
        <v>0</v>
      </c>
      <c r="AV291" s="408">
        <v>0</v>
      </c>
      <c r="AW291" s="408">
        <v>0</v>
      </c>
      <c r="AX291" s="408">
        <v>0</v>
      </c>
      <c r="AY291" s="408">
        <v>0</v>
      </c>
      <c r="AZ291" s="408">
        <v>0</v>
      </c>
      <c r="BA291" s="408"/>
      <c r="BB291" s="408">
        <v>0</v>
      </c>
      <c r="BC291" s="408">
        <v>0</v>
      </c>
      <c r="BD291" s="408">
        <v>0</v>
      </c>
      <c r="BE291" s="408">
        <v>0</v>
      </c>
      <c r="BF291" s="408">
        <v>0</v>
      </c>
      <c r="BG291" s="408">
        <v>3.3189392119141345</v>
      </c>
      <c r="BH291" s="408">
        <v>0</v>
      </c>
      <c r="BI291" s="408">
        <v>0</v>
      </c>
      <c r="BJ291" s="408">
        <v>0</v>
      </c>
      <c r="BK291" s="408">
        <v>0</v>
      </c>
      <c r="BL291" s="408">
        <v>0</v>
      </c>
      <c r="BM291" s="408"/>
      <c r="BN291" s="408"/>
      <c r="BO291" s="408"/>
      <c r="BP291" s="408"/>
      <c r="BQ291" s="408"/>
      <c r="BR291" s="408"/>
      <c r="BS291" s="408"/>
      <c r="BT291" s="408"/>
      <c r="BU291" s="408"/>
      <c r="BV291" s="408">
        <v>23.157410807852536</v>
      </c>
      <c r="BW291" s="408"/>
      <c r="BX291" s="408"/>
      <c r="BY291" s="408"/>
      <c r="BZ291" s="408"/>
      <c r="CA291" s="408"/>
      <c r="CB291" s="408"/>
      <c r="CC291" s="408"/>
      <c r="CD291" s="408"/>
      <c r="CE291" s="408"/>
      <c r="CF291" s="408"/>
      <c r="CG291" s="408"/>
      <c r="CH291" s="408"/>
      <c r="CI291" s="408">
        <v>99.677999999999997</v>
      </c>
      <c r="CJ291" s="408">
        <v>-44.496960000000001</v>
      </c>
      <c r="CK291" s="408"/>
      <c r="CL291" s="408"/>
      <c r="CM291" s="408"/>
      <c r="CN291" s="408"/>
      <c r="CO291" s="408">
        <v>-50.645759999999996</v>
      </c>
      <c r="CP291" s="408">
        <v>2.1916799999999985</v>
      </c>
      <c r="CQ291" s="408"/>
      <c r="CR291" s="408">
        <v>3.4346860904811152</v>
      </c>
      <c r="CS291" s="408">
        <v>0.16514786026242234</v>
      </c>
      <c r="CT291" s="408">
        <v>0.24876178016978878</v>
      </c>
      <c r="CU291" s="408">
        <v>0</v>
      </c>
      <c r="CV291" s="408">
        <v>0</v>
      </c>
      <c r="CW291" s="408">
        <v>0</v>
      </c>
      <c r="CX291" s="408">
        <v>0</v>
      </c>
      <c r="CY291" s="408">
        <v>0</v>
      </c>
      <c r="CZ291" s="408">
        <v>0.58361611513267064</v>
      </c>
      <c r="DA291" s="408">
        <v>0</v>
      </c>
      <c r="DB291" s="408">
        <v>0</v>
      </c>
      <c r="DC291" s="408">
        <v>2.191016076130559</v>
      </c>
      <c r="DD291" s="408">
        <v>0</v>
      </c>
      <c r="DE291" s="408">
        <v>0</v>
      </c>
      <c r="DF291" s="408">
        <v>0</v>
      </c>
      <c r="DG291" s="408">
        <v>0.36655289364592303</v>
      </c>
      <c r="DH291" s="408">
        <v>0</v>
      </c>
      <c r="DI291" s="408">
        <v>-0.10298269076539146</v>
      </c>
      <c r="DJ291" s="408"/>
      <c r="DK291" s="408">
        <v>0</v>
      </c>
      <c r="DL291" s="408">
        <v>0</v>
      </c>
      <c r="DM291" s="408">
        <v>0</v>
      </c>
      <c r="DN291" s="408">
        <v>0</v>
      </c>
      <c r="DO291" s="408">
        <v>-1.3379755778581526E-2</v>
      </c>
      <c r="DP291" s="408">
        <v>-4.0461883162800083E-3</v>
      </c>
      <c r="DQ291" s="408">
        <v>0</v>
      </c>
      <c r="DR291" s="408">
        <v>0</v>
      </c>
      <c r="DS291" s="408"/>
      <c r="DT291" s="408"/>
      <c r="DU291" s="408"/>
      <c r="DV291" s="408">
        <v>92.497307558701351</v>
      </c>
      <c r="DW291" s="408">
        <v>0</v>
      </c>
      <c r="DX291" s="408">
        <v>0</v>
      </c>
      <c r="DY291" s="408">
        <v>-50.645759999999996</v>
      </c>
      <c r="DZ291" s="408">
        <v>2.1916800000000016</v>
      </c>
      <c r="EA291" s="408">
        <v>0</v>
      </c>
      <c r="EB291" s="408">
        <v>0</v>
      </c>
      <c r="EC291" s="408">
        <v>-51.89003674373194</v>
      </c>
      <c r="ED291" s="408">
        <v>0</v>
      </c>
      <c r="EE291" s="408">
        <v>0</v>
      </c>
      <c r="EF291" s="408">
        <v>0</v>
      </c>
      <c r="EG291" s="408">
        <v>0</v>
      </c>
      <c r="EH291" s="408">
        <v>0</v>
      </c>
      <c r="EI291" s="408">
        <v>0</v>
      </c>
      <c r="EJ291" s="408">
        <v>0</v>
      </c>
      <c r="EK291" s="408">
        <v>0</v>
      </c>
      <c r="EL291" s="408">
        <v>0</v>
      </c>
      <c r="EM291" s="408">
        <v>0</v>
      </c>
      <c r="EN291" s="408">
        <v>0</v>
      </c>
      <c r="EO291" s="408">
        <v>0</v>
      </c>
      <c r="EP291" s="408">
        <v>0</v>
      </c>
      <c r="EQ291" s="408">
        <v>0</v>
      </c>
      <c r="ER291" s="408">
        <v>0</v>
      </c>
      <c r="ES291" s="408">
        <v>0</v>
      </c>
      <c r="ET291" s="408">
        <v>0</v>
      </c>
      <c r="EU291" s="408">
        <v>0</v>
      </c>
      <c r="EV291" s="408">
        <v>238</v>
      </c>
      <c r="EW291" s="408">
        <v>0</v>
      </c>
      <c r="EX291" s="408">
        <v>0</v>
      </c>
      <c r="EY291" s="408">
        <v>0</v>
      </c>
      <c r="EZ291" s="408"/>
      <c r="FA291" s="408">
        <v>0</v>
      </c>
      <c r="FB291" s="408"/>
      <c r="FC291" s="408"/>
      <c r="FD291" s="408"/>
      <c r="FE291" s="408"/>
      <c r="FF291" s="408">
        <v>0</v>
      </c>
      <c r="FG291" s="408">
        <v>0</v>
      </c>
      <c r="FH291" s="408">
        <v>0</v>
      </c>
      <c r="FI291" s="408">
        <v>0</v>
      </c>
    </row>
    <row r="292" spans="1:165">
      <c r="A292" s="408">
        <v>296</v>
      </c>
      <c r="B292" s="408" t="s">
        <v>1036</v>
      </c>
      <c r="C292" s="408" t="s">
        <v>2321</v>
      </c>
      <c r="D292" s="408" t="s">
        <v>1955</v>
      </c>
      <c r="E292" s="408" t="s">
        <v>969</v>
      </c>
      <c r="F292" s="408" t="s">
        <v>969</v>
      </c>
      <c r="G292" s="408" t="s">
        <v>1322</v>
      </c>
      <c r="H292" s="408" t="s">
        <v>1322</v>
      </c>
      <c r="I292" s="408" t="s">
        <v>2244</v>
      </c>
      <c r="J292" s="408" t="s">
        <v>2236</v>
      </c>
      <c r="K292" s="824">
        <v>44531</v>
      </c>
      <c r="L292" s="408">
        <v>0</v>
      </c>
      <c r="M292" s="408">
        <v>0</v>
      </c>
      <c r="N292" s="408">
        <v>1.163</v>
      </c>
      <c r="O292" s="408">
        <v>1.163</v>
      </c>
      <c r="P292" s="408">
        <v>1.163</v>
      </c>
      <c r="Q292" s="408">
        <v>1.163</v>
      </c>
      <c r="R292" s="408"/>
      <c r="S292" s="408">
        <v>344.38</v>
      </c>
      <c r="T292" s="408">
        <v>209.4</v>
      </c>
      <c r="U292" s="408"/>
      <c r="V292" s="408">
        <v>644.04614000000004</v>
      </c>
      <c r="W292" s="408">
        <v>644.04614000000004</v>
      </c>
      <c r="X292" s="408">
        <v>550.27344999999991</v>
      </c>
      <c r="Y292" s="408">
        <v>0</v>
      </c>
      <c r="Z292" s="408">
        <v>71.56858639537559</v>
      </c>
      <c r="AA292" s="408">
        <v>0</v>
      </c>
      <c r="AB292" s="408">
        <v>0</v>
      </c>
      <c r="AC292" s="408">
        <v>0</v>
      </c>
      <c r="AD292" s="408">
        <v>43.142150698766187</v>
      </c>
      <c r="AE292" s="408">
        <v>224.11318886391987</v>
      </c>
      <c r="AF292" s="408">
        <v>240.3348173549621</v>
      </c>
      <c r="AG292" s="408">
        <v>3.2016982533505747</v>
      </c>
      <c r="AH292" s="408">
        <v>0</v>
      </c>
      <c r="AI292" s="408">
        <v>0</v>
      </c>
      <c r="AJ292" s="408">
        <v>0</v>
      </c>
      <c r="AK292" s="408">
        <v>0</v>
      </c>
      <c r="AL292" s="408">
        <v>11.059666713279935</v>
      </c>
      <c r="AM292" s="408"/>
      <c r="AN292" s="408">
        <v>2.1201074993089759</v>
      </c>
      <c r="AO292" s="408">
        <v>3.3142480706975066</v>
      </c>
      <c r="AP292" s="408">
        <v>4.9922879678431675</v>
      </c>
      <c r="AQ292" s="408">
        <v>0</v>
      </c>
      <c r="AR292" s="408">
        <v>0</v>
      </c>
      <c r="AS292" s="408">
        <v>0</v>
      </c>
      <c r="AT292" s="408">
        <v>0</v>
      </c>
      <c r="AU292" s="408">
        <v>0</v>
      </c>
      <c r="AV292" s="408">
        <v>0</v>
      </c>
      <c r="AW292" s="408">
        <v>0</v>
      </c>
      <c r="AX292" s="408">
        <v>0</v>
      </c>
      <c r="AY292" s="408">
        <v>0</v>
      </c>
      <c r="AZ292" s="408">
        <v>0</v>
      </c>
      <c r="BA292" s="408"/>
      <c r="BB292" s="408">
        <v>0</v>
      </c>
      <c r="BC292" s="408">
        <v>0</v>
      </c>
      <c r="BD292" s="408">
        <v>0</v>
      </c>
      <c r="BE292" s="408">
        <v>0</v>
      </c>
      <c r="BF292" s="408">
        <v>0</v>
      </c>
      <c r="BG292" s="408">
        <v>40.207565661001439</v>
      </c>
      <c r="BH292" s="408">
        <v>0</v>
      </c>
      <c r="BI292" s="408">
        <v>0</v>
      </c>
      <c r="BJ292" s="408">
        <v>0</v>
      </c>
      <c r="BK292" s="408">
        <v>0</v>
      </c>
      <c r="BL292" s="408">
        <v>0</v>
      </c>
      <c r="BM292" s="408"/>
      <c r="BN292" s="408"/>
      <c r="BO292" s="408"/>
      <c r="BP292" s="408"/>
      <c r="BQ292" s="408"/>
      <c r="BR292" s="408"/>
      <c r="BS292" s="408"/>
      <c r="BT292" s="408"/>
      <c r="BU292" s="408"/>
      <c r="BV292" s="408">
        <v>280.54238301596354</v>
      </c>
      <c r="BW292" s="408"/>
      <c r="BX292" s="408"/>
      <c r="BY292" s="408"/>
      <c r="BZ292" s="408"/>
      <c r="CA292" s="408"/>
      <c r="CB292" s="408"/>
      <c r="CC292" s="408"/>
      <c r="CD292" s="408"/>
      <c r="CE292" s="408"/>
      <c r="CF292" s="408"/>
      <c r="CG292" s="408"/>
      <c r="CH292" s="408"/>
      <c r="CI292" s="408">
        <v>548.85400000000004</v>
      </c>
      <c r="CJ292" s="408">
        <v>-95.222139999999968</v>
      </c>
      <c r="CK292" s="408"/>
      <c r="CL292" s="408"/>
      <c r="CM292" s="408"/>
      <c r="CN292" s="408"/>
      <c r="CO292" s="408">
        <v>-120.32398000000001</v>
      </c>
      <c r="CP292" s="408">
        <v>26.551289999999984</v>
      </c>
      <c r="CQ292" s="408"/>
      <c r="CR292" s="408">
        <v>31.942351804359987</v>
      </c>
      <c r="CS292" s="408">
        <v>0.4001358991590922</v>
      </c>
      <c r="CT292" s="408">
        <v>0.6027290632030633</v>
      </c>
      <c r="CU292" s="408">
        <v>0</v>
      </c>
      <c r="CV292" s="408">
        <v>0</v>
      </c>
      <c r="CW292" s="408">
        <v>0</v>
      </c>
      <c r="CX292" s="408">
        <v>0</v>
      </c>
      <c r="CY292" s="408">
        <v>0</v>
      </c>
      <c r="CZ292" s="408">
        <v>1.4143048679605386</v>
      </c>
      <c r="DA292" s="408">
        <v>0</v>
      </c>
      <c r="DB292" s="408">
        <v>0</v>
      </c>
      <c r="DC292" s="408">
        <v>26.543246838956662</v>
      </c>
      <c r="DD292" s="408">
        <v>0</v>
      </c>
      <c r="DE292" s="408">
        <v>0</v>
      </c>
      <c r="DF292" s="408">
        <v>0</v>
      </c>
      <c r="DG292" s="408">
        <v>4.4406355761480043</v>
      </c>
      <c r="DH292" s="408">
        <v>0</v>
      </c>
      <c r="DI292" s="408">
        <v>-1.2475923891682328</v>
      </c>
      <c r="DJ292" s="408"/>
      <c r="DK292" s="408">
        <v>0</v>
      </c>
      <c r="DL292" s="408">
        <v>0</v>
      </c>
      <c r="DM292" s="408">
        <v>0</v>
      </c>
      <c r="DN292" s="408">
        <v>0</v>
      </c>
      <c r="DO292" s="408">
        <v>-0.16209016635927398</v>
      </c>
      <c r="DP292" s="408">
        <v>-4.901788553993347E-2</v>
      </c>
      <c r="DQ292" s="408">
        <v>0</v>
      </c>
      <c r="DR292" s="408">
        <v>0</v>
      </c>
      <c r="DS292" s="408"/>
      <c r="DT292" s="408"/>
      <c r="DU292" s="408"/>
      <c r="DV292" s="408">
        <v>224.11318886391987</v>
      </c>
      <c r="DW292" s="408">
        <v>0</v>
      </c>
      <c r="DX292" s="408">
        <v>0</v>
      </c>
      <c r="DY292" s="408">
        <v>-120.32398000000001</v>
      </c>
      <c r="DZ292" s="408">
        <v>26.551289999999966</v>
      </c>
      <c r="EA292" s="408">
        <v>0</v>
      </c>
      <c r="EB292" s="408">
        <v>0</v>
      </c>
      <c r="EC292" s="408">
        <v>-125.72519040647231</v>
      </c>
      <c r="ED292" s="408">
        <v>0</v>
      </c>
      <c r="EE292" s="408">
        <v>0</v>
      </c>
      <c r="EF292" s="408">
        <v>0</v>
      </c>
      <c r="EG292" s="408">
        <v>0</v>
      </c>
      <c r="EH292" s="408">
        <v>0</v>
      </c>
      <c r="EI292" s="408">
        <v>0</v>
      </c>
      <c r="EJ292" s="408">
        <v>0</v>
      </c>
      <c r="EK292" s="408">
        <v>0</v>
      </c>
      <c r="EL292" s="408">
        <v>0</v>
      </c>
      <c r="EM292" s="408">
        <v>0</v>
      </c>
      <c r="EN292" s="408">
        <v>0</v>
      </c>
      <c r="EO292" s="408">
        <v>0</v>
      </c>
      <c r="EP292" s="408">
        <v>0</v>
      </c>
      <c r="EQ292" s="408">
        <v>0</v>
      </c>
      <c r="ER292" s="408">
        <v>0</v>
      </c>
      <c r="ES292" s="408">
        <v>0</v>
      </c>
      <c r="ET292" s="408">
        <v>0</v>
      </c>
      <c r="EU292" s="408">
        <v>0</v>
      </c>
      <c r="EV292" s="408">
        <v>238</v>
      </c>
      <c r="EW292" s="408">
        <v>0</v>
      </c>
      <c r="EX292" s="408">
        <v>0</v>
      </c>
      <c r="EY292" s="408">
        <v>0</v>
      </c>
      <c r="EZ292" s="408"/>
      <c r="FA292" s="408">
        <v>0</v>
      </c>
      <c r="FB292" s="408"/>
      <c r="FC292" s="408"/>
      <c r="FD292" s="408"/>
      <c r="FE292" s="408"/>
      <c r="FF292" s="408">
        <v>0</v>
      </c>
      <c r="FG292" s="408">
        <v>0</v>
      </c>
      <c r="FH292" s="408">
        <v>0</v>
      </c>
      <c r="FI292" s="408">
        <v>0</v>
      </c>
    </row>
    <row r="293" spans="1:165">
      <c r="A293" s="408">
        <v>297</v>
      </c>
      <c r="B293" s="408" t="s">
        <v>1036</v>
      </c>
      <c r="C293" s="408" t="s">
        <v>2321</v>
      </c>
      <c r="D293" s="408" t="s">
        <v>1955</v>
      </c>
      <c r="E293" s="408" t="s">
        <v>969</v>
      </c>
      <c r="F293" s="408" t="s">
        <v>969</v>
      </c>
      <c r="G293" s="408" t="s">
        <v>1322</v>
      </c>
      <c r="H293" s="408" t="s">
        <v>1322</v>
      </c>
      <c r="I293" s="408" t="s">
        <v>1322</v>
      </c>
      <c r="J293" s="408" t="s">
        <v>2236</v>
      </c>
      <c r="K293" s="824">
        <v>44531</v>
      </c>
      <c r="L293" s="408">
        <v>0</v>
      </c>
      <c r="M293" s="408">
        <v>0</v>
      </c>
      <c r="N293" s="408">
        <v>0</v>
      </c>
      <c r="O293" s="408">
        <v>0</v>
      </c>
      <c r="P293" s="408">
        <v>0</v>
      </c>
      <c r="Q293" s="408">
        <v>0</v>
      </c>
      <c r="R293" s="408"/>
      <c r="S293" s="408"/>
      <c r="T293" s="408"/>
      <c r="U293" s="408"/>
      <c r="V293" s="408"/>
      <c r="W293" s="408"/>
      <c r="X293" s="408"/>
      <c r="Y293" s="408"/>
      <c r="Z293" s="408"/>
      <c r="AA293" s="408">
        <v>0</v>
      </c>
      <c r="AB293" s="408"/>
      <c r="AC293" s="408"/>
      <c r="AD293" s="408"/>
      <c r="AE293" s="408"/>
      <c r="AF293" s="408"/>
      <c r="AG293" s="408"/>
      <c r="AH293" s="408"/>
      <c r="AI293" s="408"/>
      <c r="AJ293" s="408"/>
      <c r="AK293" s="408"/>
      <c r="AL293" s="408"/>
      <c r="AM293" s="408"/>
      <c r="AN293" s="408"/>
      <c r="AO293" s="408"/>
      <c r="AP293" s="408"/>
      <c r="AQ293" s="408"/>
      <c r="AR293" s="408"/>
      <c r="AS293" s="408"/>
      <c r="AT293" s="408"/>
      <c r="AU293" s="408"/>
      <c r="AV293" s="408"/>
      <c r="AW293" s="408"/>
      <c r="AX293" s="408"/>
      <c r="AY293" s="408"/>
      <c r="AZ293" s="408">
        <v>0</v>
      </c>
      <c r="BA293" s="408"/>
      <c r="BB293" s="408"/>
      <c r="BC293" s="408"/>
      <c r="BD293" s="408"/>
      <c r="BE293" s="408"/>
      <c r="BF293" s="408"/>
      <c r="BG293" s="408"/>
      <c r="BH293" s="408"/>
      <c r="BI293" s="408">
        <v>2.34</v>
      </c>
      <c r="BJ293" s="408">
        <v>10.79</v>
      </c>
      <c r="BK293" s="408">
        <v>402.26</v>
      </c>
      <c r="BL293" s="408">
        <v>2</v>
      </c>
      <c r="BM293" s="408"/>
      <c r="BN293" s="408"/>
      <c r="BO293" s="408"/>
      <c r="BP293" s="408"/>
      <c r="BQ293" s="408"/>
      <c r="BR293" s="408"/>
      <c r="BS293" s="408"/>
      <c r="BT293" s="408"/>
      <c r="BU293" s="408"/>
      <c r="BV293" s="408"/>
      <c r="BW293" s="408"/>
      <c r="BX293" s="408"/>
      <c r="BY293" s="408"/>
      <c r="BZ293" s="408"/>
      <c r="CA293" s="408"/>
      <c r="CB293" s="408"/>
      <c r="CC293" s="408"/>
      <c r="CD293" s="408"/>
      <c r="CE293" s="408"/>
      <c r="CF293" s="408"/>
      <c r="CG293" s="408"/>
      <c r="CH293" s="408"/>
      <c r="CI293" s="408"/>
      <c r="CJ293" s="408">
        <v>-0.03</v>
      </c>
      <c r="CK293" s="408"/>
      <c r="CL293" s="408"/>
      <c r="CM293" s="408"/>
      <c r="CN293" s="408"/>
      <c r="CO293" s="408">
        <v>0</v>
      </c>
      <c r="CP293" s="408">
        <v>0</v>
      </c>
      <c r="CQ293" s="408"/>
      <c r="CR293" s="408"/>
      <c r="CS293" s="408"/>
      <c r="CT293" s="408"/>
      <c r="CU293" s="408"/>
      <c r="CV293" s="408"/>
      <c r="CW293" s="408"/>
      <c r="CX293" s="408"/>
      <c r="CY293" s="408"/>
      <c r="CZ293" s="408"/>
      <c r="DA293" s="408"/>
      <c r="DB293" s="408"/>
      <c r="DC293" s="408"/>
      <c r="DD293" s="408"/>
      <c r="DE293" s="408"/>
      <c r="DF293" s="408"/>
      <c r="DG293" s="408"/>
      <c r="DH293" s="408"/>
      <c r="DI293" s="408"/>
      <c r="DJ293" s="408"/>
      <c r="DK293" s="408">
        <v>0</v>
      </c>
      <c r="DL293" s="408"/>
      <c r="DM293" s="408"/>
      <c r="DN293" s="408"/>
      <c r="DO293" s="408"/>
      <c r="DP293" s="408"/>
      <c r="DQ293" s="408"/>
      <c r="DR293" s="408"/>
      <c r="DS293" s="408"/>
      <c r="DT293" s="408"/>
      <c r="DU293" s="408"/>
      <c r="DV293" s="408"/>
      <c r="DW293" s="408"/>
      <c r="DX293" s="408"/>
      <c r="DY293" s="408"/>
      <c r="DZ293" s="408"/>
      <c r="EA293" s="408"/>
      <c r="EB293" s="408"/>
      <c r="EC293" s="408"/>
      <c r="ED293" s="408"/>
      <c r="EE293" s="408"/>
      <c r="EF293" s="408"/>
      <c r="EG293" s="408"/>
      <c r="EH293" s="408"/>
      <c r="EI293" s="408"/>
      <c r="EJ293" s="408"/>
      <c r="EK293" s="408"/>
      <c r="EL293" s="408"/>
      <c r="EM293" s="408"/>
      <c r="EN293" s="408"/>
      <c r="EO293" s="408"/>
      <c r="EP293" s="408"/>
      <c r="EQ293" s="408"/>
      <c r="ER293" s="408"/>
      <c r="ES293" s="408"/>
      <c r="ET293" s="408"/>
      <c r="EU293" s="408"/>
      <c r="EV293" s="408">
        <v>238</v>
      </c>
      <c r="EW293" s="408"/>
      <c r="EX293" s="408"/>
      <c r="EY293" s="408"/>
      <c r="EZ293" s="408"/>
      <c r="FA293" s="408">
        <v>0</v>
      </c>
      <c r="FB293" s="408"/>
      <c r="FC293" s="408"/>
      <c r="FD293" s="408"/>
      <c r="FE293" s="408"/>
      <c r="FF293" s="408">
        <v>0</v>
      </c>
      <c r="FG293" s="408">
        <v>0</v>
      </c>
      <c r="FH293" s="408">
        <v>0</v>
      </c>
      <c r="FI293" s="408">
        <v>0</v>
      </c>
    </row>
    <row r="294" spans="1:165">
      <c r="A294" s="408">
        <v>298</v>
      </c>
      <c r="B294" s="408" t="s">
        <v>1036</v>
      </c>
      <c r="C294" s="408" t="s">
        <v>2321</v>
      </c>
      <c r="D294" s="408" t="s">
        <v>1955</v>
      </c>
      <c r="E294" s="408" t="s">
        <v>969</v>
      </c>
      <c r="F294" s="408" t="s">
        <v>969</v>
      </c>
      <c r="G294" s="408" t="s">
        <v>1322</v>
      </c>
      <c r="H294" s="408" t="s">
        <v>1322</v>
      </c>
      <c r="I294" s="408" t="s">
        <v>2322</v>
      </c>
      <c r="J294" s="408" t="s">
        <v>2236</v>
      </c>
      <c r="K294" s="824">
        <v>44531</v>
      </c>
      <c r="L294" s="408">
        <v>0</v>
      </c>
      <c r="M294" s="408">
        <v>0</v>
      </c>
      <c r="N294" s="408">
        <v>0.115</v>
      </c>
      <c r="O294" s="408">
        <v>0.115</v>
      </c>
      <c r="P294" s="408">
        <v>0.115</v>
      </c>
      <c r="Q294" s="408">
        <v>0.115</v>
      </c>
      <c r="R294" s="408"/>
      <c r="S294" s="408">
        <v>818.26</v>
      </c>
      <c r="T294" s="408">
        <v>209.4</v>
      </c>
      <c r="U294" s="408"/>
      <c r="V294" s="408">
        <v>118.18090000000001</v>
      </c>
      <c r="W294" s="408">
        <v>118.18090000000001</v>
      </c>
      <c r="X294" s="408">
        <v>84.5227</v>
      </c>
      <c r="Y294" s="408">
        <v>0</v>
      </c>
      <c r="Z294" s="408">
        <v>7.0768593598178784</v>
      </c>
      <c r="AA294" s="408">
        <v>0</v>
      </c>
      <c r="AB294" s="408">
        <v>0</v>
      </c>
      <c r="AC294" s="408">
        <v>0</v>
      </c>
      <c r="AD294" s="408">
        <v>12.79797247727803</v>
      </c>
      <c r="AE294" s="408">
        <v>66.482455479033874</v>
      </c>
      <c r="AF294" s="408">
        <v>23.764835765967877</v>
      </c>
      <c r="AG294" s="408">
        <v>0.31659097088161314</v>
      </c>
      <c r="AH294" s="408">
        <v>0</v>
      </c>
      <c r="AI294" s="408">
        <v>0</v>
      </c>
      <c r="AJ294" s="408">
        <v>0</v>
      </c>
      <c r="AK294" s="408">
        <v>0</v>
      </c>
      <c r="AL294" s="408">
        <v>1.0936041891893313</v>
      </c>
      <c r="AM294" s="408"/>
      <c r="AN294" s="408">
        <v>0.20964089632032007</v>
      </c>
      <c r="AO294" s="408">
        <v>0.98317519221017124</v>
      </c>
      <c r="AP294" s="408">
        <v>1.4809452699104795</v>
      </c>
      <c r="AQ294" s="408">
        <v>0</v>
      </c>
      <c r="AR294" s="408">
        <v>0</v>
      </c>
      <c r="AS294" s="408">
        <v>0</v>
      </c>
      <c r="AT294" s="408">
        <v>0</v>
      </c>
      <c r="AU294" s="408">
        <v>0</v>
      </c>
      <c r="AV294" s="408">
        <v>0</v>
      </c>
      <c r="AW294" s="408">
        <v>0</v>
      </c>
      <c r="AX294" s="408">
        <v>0</v>
      </c>
      <c r="AY294" s="408">
        <v>0</v>
      </c>
      <c r="AZ294" s="408">
        <v>0</v>
      </c>
      <c r="BA294" s="408"/>
      <c r="BB294" s="408">
        <v>0</v>
      </c>
      <c r="BC294" s="408">
        <v>0</v>
      </c>
      <c r="BD294" s="408">
        <v>0</v>
      </c>
      <c r="BE294" s="408">
        <v>0</v>
      </c>
      <c r="BF294" s="408">
        <v>0</v>
      </c>
      <c r="BG294" s="408">
        <v>3.9758125976054735</v>
      </c>
      <c r="BH294" s="408">
        <v>0</v>
      </c>
      <c r="BI294" s="408">
        <v>0</v>
      </c>
      <c r="BJ294" s="408">
        <v>0</v>
      </c>
      <c r="BK294" s="408">
        <v>0</v>
      </c>
      <c r="BL294" s="408">
        <v>0</v>
      </c>
      <c r="BM294" s="408"/>
      <c r="BN294" s="408"/>
      <c r="BO294" s="408"/>
      <c r="BP294" s="408"/>
      <c r="BQ294" s="408"/>
      <c r="BR294" s="408"/>
      <c r="BS294" s="408"/>
      <c r="BT294" s="408"/>
      <c r="BU294" s="408"/>
      <c r="BV294" s="408">
        <v>27.740648363573349</v>
      </c>
      <c r="BW294" s="408"/>
      <c r="BX294" s="408"/>
      <c r="BY294" s="408"/>
      <c r="BZ294" s="408"/>
      <c r="CA294" s="408"/>
      <c r="CB294" s="408"/>
      <c r="CC294" s="408"/>
      <c r="CD294" s="408"/>
      <c r="CE294" s="408"/>
      <c r="CF294" s="408"/>
      <c r="CG294" s="408"/>
      <c r="CH294" s="408"/>
      <c r="CI294" s="408">
        <v>88.197599999999994</v>
      </c>
      <c r="CJ294" s="408">
        <v>-30.013300000000029</v>
      </c>
      <c r="CK294" s="408"/>
      <c r="CL294" s="408"/>
      <c r="CM294" s="408"/>
      <c r="CN294" s="408"/>
      <c r="CO294" s="408">
        <v>-36.283650000000002</v>
      </c>
      <c r="CP294" s="408">
        <v>2.6254499999999981</v>
      </c>
      <c r="CQ294" s="408"/>
      <c r="CR294" s="408">
        <v>3.6365619868772967</v>
      </c>
      <c r="CS294" s="408">
        <v>0.11870073729367436</v>
      </c>
      <c r="CT294" s="408">
        <v>0.17879752949703809</v>
      </c>
      <c r="CU294" s="408">
        <v>0</v>
      </c>
      <c r="CV294" s="408">
        <v>0</v>
      </c>
      <c r="CW294" s="408">
        <v>0</v>
      </c>
      <c r="CX294" s="408">
        <v>0</v>
      </c>
      <c r="CY294" s="408">
        <v>0</v>
      </c>
      <c r="CZ294" s="408">
        <v>0.41954873555151551</v>
      </c>
      <c r="DA294" s="408">
        <v>0</v>
      </c>
      <c r="DB294" s="408">
        <v>0</v>
      </c>
      <c r="DC294" s="408">
        <v>2.6246546745313992</v>
      </c>
      <c r="DD294" s="408">
        <v>0</v>
      </c>
      <c r="DE294" s="408">
        <v>0</v>
      </c>
      <c r="DF294" s="408">
        <v>0</v>
      </c>
      <c r="DG294" s="408">
        <v>0.4390998205133454</v>
      </c>
      <c r="DH294" s="408">
        <v>0</v>
      </c>
      <c r="DI294" s="408">
        <v>-0.12336468164604231</v>
      </c>
      <c r="DJ294" s="408"/>
      <c r="DK294" s="408">
        <v>0</v>
      </c>
      <c r="DL294" s="408">
        <v>0</v>
      </c>
      <c r="DM294" s="408">
        <v>0</v>
      </c>
      <c r="DN294" s="408">
        <v>0</v>
      </c>
      <c r="DO294" s="408">
        <v>-1.6027832443092471E-2</v>
      </c>
      <c r="DP294" s="408">
        <v>-4.8469964205437588E-3</v>
      </c>
      <c r="DQ294" s="408">
        <v>0</v>
      </c>
      <c r="DR294" s="408">
        <v>0</v>
      </c>
      <c r="DS294" s="408"/>
      <c r="DT294" s="408"/>
      <c r="DU294" s="408"/>
      <c r="DV294" s="408">
        <v>66.482455479033874</v>
      </c>
      <c r="DW294" s="408">
        <v>0</v>
      </c>
      <c r="DX294" s="408">
        <v>0</v>
      </c>
      <c r="DY294" s="408">
        <v>-36.283650000000002</v>
      </c>
      <c r="DZ294" s="408">
        <v>2.6254499999999972</v>
      </c>
      <c r="EA294" s="408">
        <v>0</v>
      </c>
      <c r="EB294" s="408">
        <v>0</v>
      </c>
      <c r="EC294" s="408">
        <v>-37.295972700948809</v>
      </c>
      <c r="ED294" s="408">
        <v>0</v>
      </c>
      <c r="EE294" s="408">
        <v>0</v>
      </c>
      <c r="EF294" s="408">
        <v>0</v>
      </c>
      <c r="EG294" s="408">
        <v>0</v>
      </c>
      <c r="EH294" s="408">
        <v>0</v>
      </c>
      <c r="EI294" s="408">
        <v>0</v>
      </c>
      <c r="EJ294" s="408">
        <v>0</v>
      </c>
      <c r="EK294" s="408">
        <v>0</v>
      </c>
      <c r="EL294" s="408">
        <v>0</v>
      </c>
      <c r="EM294" s="408">
        <v>0</v>
      </c>
      <c r="EN294" s="408">
        <v>0</v>
      </c>
      <c r="EO294" s="408">
        <v>0</v>
      </c>
      <c r="EP294" s="408">
        <v>0</v>
      </c>
      <c r="EQ294" s="408">
        <v>0</v>
      </c>
      <c r="ER294" s="408">
        <v>0</v>
      </c>
      <c r="ES294" s="408">
        <v>0</v>
      </c>
      <c r="ET294" s="408">
        <v>0</v>
      </c>
      <c r="EU294" s="408">
        <v>0</v>
      </c>
      <c r="EV294" s="408">
        <v>238</v>
      </c>
      <c r="EW294" s="408">
        <v>0</v>
      </c>
      <c r="EX294" s="408">
        <v>0</v>
      </c>
      <c r="EY294" s="408">
        <v>0</v>
      </c>
      <c r="EZ294" s="408"/>
      <c r="FA294" s="408">
        <v>0</v>
      </c>
      <c r="FB294" s="408"/>
      <c r="FC294" s="408"/>
      <c r="FD294" s="408"/>
      <c r="FE294" s="408"/>
      <c r="FF294" s="408">
        <v>0</v>
      </c>
      <c r="FG294" s="408">
        <v>0</v>
      </c>
      <c r="FH294" s="408">
        <v>0</v>
      </c>
      <c r="FI294" s="408">
        <v>0</v>
      </c>
    </row>
    <row r="295" spans="1:165">
      <c r="A295" s="408">
        <v>299</v>
      </c>
      <c r="B295" s="408" t="s">
        <v>1036</v>
      </c>
      <c r="C295" s="408" t="s">
        <v>2235</v>
      </c>
      <c r="D295" s="408" t="s">
        <v>1958</v>
      </c>
      <c r="E295" s="408" t="s">
        <v>970</v>
      </c>
      <c r="F295" s="408" t="s">
        <v>1322</v>
      </c>
      <c r="G295" s="408" t="s">
        <v>1322</v>
      </c>
      <c r="H295" s="408" t="s">
        <v>1322</v>
      </c>
      <c r="I295" s="408" t="s">
        <v>1322</v>
      </c>
      <c r="J295" s="408" t="s">
        <v>2236</v>
      </c>
      <c r="K295" s="824">
        <v>44531</v>
      </c>
      <c r="L295" s="408">
        <v>0</v>
      </c>
      <c r="M295" s="408">
        <v>0</v>
      </c>
      <c r="N295" s="408">
        <v>10.944000000000001</v>
      </c>
      <c r="O295" s="408">
        <v>10.944000000000001</v>
      </c>
      <c r="P295" s="408">
        <v>10.944000000000001</v>
      </c>
      <c r="Q295" s="408">
        <v>10.944000000000001</v>
      </c>
      <c r="R295" s="408"/>
      <c r="S295" s="408">
        <v>581.32000000000005</v>
      </c>
      <c r="T295" s="408">
        <v>209.4</v>
      </c>
      <c r="U295" s="408"/>
      <c r="V295" s="408">
        <v>8653.6396800000002</v>
      </c>
      <c r="W295" s="408">
        <v>8653.6396800000002</v>
      </c>
      <c r="X295" s="408">
        <v>6610.9420800000007</v>
      </c>
      <c r="Y295" s="408">
        <v>0</v>
      </c>
      <c r="Z295" s="408">
        <v>673.4708594247553</v>
      </c>
      <c r="AA295" s="408">
        <v>0</v>
      </c>
      <c r="AB295" s="408">
        <v>0</v>
      </c>
      <c r="AC295" s="408">
        <v>0</v>
      </c>
      <c r="AD295" s="408">
        <v>811.94788864539385</v>
      </c>
      <c r="AE295" s="408">
        <v>4217.8757333219828</v>
      </c>
      <c r="AF295" s="408">
        <v>2261.5857619369776</v>
      </c>
      <c r="AG295" s="408">
        <v>30.12844856807282</v>
      </c>
      <c r="AH295" s="408">
        <v>0</v>
      </c>
      <c r="AI295" s="408">
        <v>0</v>
      </c>
      <c r="AJ295" s="408">
        <v>0</v>
      </c>
      <c r="AK295" s="408">
        <v>0</v>
      </c>
      <c r="AL295" s="408">
        <v>104.07308040424385</v>
      </c>
      <c r="AM295" s="408"/>
      <c r="AN295" s="408">
        <v>19.950521472431156</v>
      </c>
      <c r="AO295" s="408">
        <v>62.37511760225884</v>
      </c>
      <c r="AP295" s="408">
        <v>93.956319037103412</v>
      </c>
      <c r="AQ295" s="408">
        <v>0</v>
      </c>
      <c r="AR295" s="408">
        <v>0</v>
      </c>
      <c r="AS295" s="408">
        <v>0</v>
      </c>
      <c r="AT295" s="408">
        <v>0</v>
      </c>
      <c r="AU295" s="408">
        <v>0</v>
      </c>
      <c r="AV295" s="408">
        <v>0</v>
      </c>
      <c r="AW295" s="408">
        <v>0</v>
      </c>
      <c r="AX295" s="408">
        <v>0</v>
      </c>
      <c r="AY295" s="408">
        <v>0</v>
      </c>
      <c r="AZ295" s="408">
        <v>0</v>
      </c>
      <c r="BA295" s="408"/>
      <c r="BB295" s="408">
        <v>0</v>
      </c>
      <c r="BC295" s="408">
        <v>0</v>
      </c>
      <c r="BD295" s="408">
        <v>0</v>
      </c>
      <c r="BE295" s="408">
        <v>0</v>
      </c>
      <c r="BF295" s="408">
        <v>0</v>
      </c>
      <c r="BG295" s="408">
        <v>378.35907015821135</v>
      </c>
      <c r="BH295" s="408">
        <v>0</v>
      </c>
      <c r="BI295" s="408">
        <v>20.66</v>
      </c>
      <c r="BJ295" s="408">
        <v>95.23</v>
      </c>
      <c r="BK295" s="408">
        <v>1756.48</v>
      </c>
      <c r="BL295" s="408">
        <v>7</v>
      </c>
      <c r="BM295" s="408"/>
      <c r="BN295" s="408"/>
      <c r="BO295" s="408"/>
      <c r="BP295" s="408"/>
      <c r="BQ295" s="408"/>
      <c r="BR295" s="408"/>
      <c r="BS295" s="408"/>
      <c r="BT295" s="408"/>
      <c r="BU295" s="408"/>
      <c r="BV295" s="408">
        <v>2639.9448320951888</v>
      </c>
      <c r="BW295" s="408"/>
      <c r="BX295" s="408"/>
      <c r="BY295" s="408"/>
      <c r="BZ295" s="408"/>
      <c r="CA295" s="408"/>
      <c r="CB295" s="408"/>
      <c r="CC295" s="408"/>
      <c r="CD295" s="408"/>
      <c r="CE295" s="408"/>
      <c r="CF295" s="408"/>
      <c r="CG295" s="408"/>
      <c r="CH295" s="408"/>
      <c r="CI295" s="408">
        <v>6608.5257999999994</v>
      </c>
      <c r="CJ295" s="408">
        <v>-2045.1438800000014</v>
      </c>
      <c r="CK295" s="408"/>
      <c r="CL295" s="408"/>
      <c r="CM295" s="408"/>
      <c r="CN295" s="408"/>
      <c r="CO295" s="408">
        <v>-2292.549120000001</v>
      </c>
      <c r="CP295" s="408">
        <v>249.85151999999985</v>
      </c>
      <c r="CQ295" s="408"/>
      <c r="CR295" s="408">
        <v>323.32812104038294</v>
      </c>
      <c r="CS295" s="408">
        <v>7.5306746008549794</v>
      </c>
      <c r="CT295" s="408">
        <v>11.343537175742483</v>
      </c>
      <c r="CU295" s="408">
        <v>0</v>
      </c>
      <c r="CV295" s="408">
        <v>0</v>
      </c>
      <c r="CW295" s="408">
        <v>0</v>
      </c>
      <c r="CX295" s="408">
        <v>0</v>
      </c>
      <c r="CY295" s="408">
        <v>0</v>
      </c>
      <c r="CZ295" s="408">
        <v>26.617631083336505</v>
      </c>
      <c r="DA295" s="408">
        <v>0</v>
      </c>
      <c r="DB295" s="408">
        <v>0</v>
      </c>
      <c r="DC295" s="408">
        <v>249.77583267888394</v>
      </c>
      <c r="DD295" s="408">
        <v>0</v>
      </c>
      <c r="DE295" s="408">
        <v>0</v>
      </c>
      <c r="DF295" s="408">
        <v>0</v>
      </c>
      <c r="DG295" s="408">
        <v>41.787029875635199</v>
      </c>
      <c r="DH295" s="408">
        <v>0</v>
      </c>
      <c r="DI295" s="408">
        <v>-11.74002674725466</v>
      </c>
      <c r="DJ295" s="408"/>
      <c r="DK295" s="408">
        <v>0</v>
      </c>
      <c r="DL295" s="408">
        <v>0</v>
      </c>
      <c r="DM295" s="408">
        <v>0</v>
      </c>
      <c r="DN295" s="408">
        <v>0</v>
      </c>
      <c r="DO295" s="408">
        <v>-1.5252921587582904</v>
      </c>
      <c r="DP295" s="408">
        <v>-0.46126546805592028</v>
      </c>
      <c r="DQ295" s="408">
        <v>0</v>
      </c>
      <c r="DR295" s="408">
        <v>0</v>
      </c>
      <c r="DS295" s="408"/>
      <c r="DT295" s="408"/>
      <c r="DU295" s="408"/>
      <c r="DV295" s="408">
        <v>4217.8757333219828</v>
      </c>
      <c r="DW295" s="408">
        <v>0</v>
      </c>
      <c r="DX295" s="408">
        <v>0</v>
      </c>
      <c r="DY295" s="408">
        <v>-2292.549120000001</v>
      </c>
      <c r="DZ295" s="408">
        <v>249.85152000000016</v>
      </c>
      <c r="EA295" s="408">
        <v>0</v>
      </c>
      <c r="EB295" s="408">
        <v>0</v>
      </c>
      <c r="EC295" s="408">
        <v>-2366.1848388794956</v>
      </c>
      <c r="ED295" s="408">
        <v>0</v>
      </c>
      <c r="EE295" s="408">
        <v>0</v>
      </c>
      <c r="EF295" s="408">
        <v>0</v>
      </c>
      <c r="EG295" s="408">
        <v>0</v>
      </c>
      <c r="EH295" s="408">
        <v>0</v>
      </c>
      <c r="EI295" s="408">
        <v>0</v>
      </c>
      <c r="EJ295" s="408">
        <v>0</v>
      </c>
      <c r="EK295" s="408">
        <v>0</v>
      </c>
      <c r="EL295" s="408">
        <v>0</v>
      </c>
      <c r="EM295" s="408">
        <v>0</v>
      </c>
      <c r="EN295" s="408">
        <v>0</v>
      </c>
      <c r="EO295" s="408">
        <v>0</v>
      </c>
      <c r="EP295" s="408">
        <v>0</v>
      </c>
      <c r="EQ295" s="408">
        <v>0</v>
      </c>
      <c r="ER295" s="408">
        <v>0</v>
      </c>
      <c r="ES295" s="408">
        <v>0</v>
      </c>
      <c r="ET295" s="408">
        <v>0</v>
      </c>
      <c r="EU295" s="408">
        <v>0</v>
      </c>
      <c r="EV295" s="408">
        <v>238</v>
      </c>
      <c r="EW295" s="408">
        <v>0</v>
      </c>
      <c r="EX295" s="408">
        <v>0</v>
      </c>
      <c r="EY295" s="408">
        <v>0</v>
      </c>
      <c r="EZ295" s="408"/>
      <c r="FA295" s="408">
        <v>0</v>
      </c>
      <c r="FB295" s="408"/>
      <c r="FC295" s="408"/>
      <c r="FD295" s="408"/>
      <c r="FE295" s="408"/>
      <c r="FF295" s="408">
        <v>0</v>
      </c>
      <c r="FG295" s="408">
        <v>0</v>
      </c>
      <c r="FH295" s="408">
        <v>0</v>
      </c>
      <c r="FI295" s="408">
        <v>0</v>
      </c>
    </row>
    <row r="296" spans="1:165">
      <c r="A296" s="408">
        <v>300</v>
      </c>
      <c r="B296" s="408" t="s">
        <v>2238</v>
      </c>
      <c r="C296" s="408" t="s">
        <v>2235</v>
      </c>
      <c r="D296" s="408" t="s">
        <v>1958</v>
      </c>
      <c r="E296" s="408" t="s">
        <v>970</v>
      </c>
      <c r="F296" s="408" t="s">
        <v>1322</v>
      </c>
      <c r="G296" s="408" t="s">
        <v>1322</v>
      </c>
      <c r="H296" s="408" t="s">
        <v>1322</v>
      </c>
      <c r="I296" s="408" t="s">
        <v>1322</v>
      </c>
      <c r="J296" s="408" t="s">
        <v>2236</v>
      </c>
      <c r="K296" s="824">
        <v>44531</v>
      </c>
      <c r="L296" s="408">
        <v>0</v>
      </c>
      <c r="M296" s="408">
        <v>0</v>
      </c>
      <c r="N296" s="408">
        <v>2.2149999999999999</v>
      </c>
      <c r="O296" s="408">
        <v>2.2149999999999999</v>
      </c>
      <c r="P296" s="408">
        <v>2.2149999999999999</v>
      </c>
      <c r="Q296" s="408">
        <v>2.2149999999999999</v>
      </c>
      <c r="R296" s="408"/>
      <c r="S296" s="408">
        <v>581.32000000000005</v>
      </c>
      <c r="T296" s="408">
        <v>209.4</v>
      </c>
      <c r="U296" s="408"/>
      <c r="V296" s="408">
        <v>1751.4448</v>
      </c>
      <c r="W296" s="408">
        <v>1751.4448</v>
      </c>
      <c r="X296" s="408">
        <v>1338.0150499999997</v>
      </c>
      <c r="Y296" s="408">
        <v>0</v>
      </c>
      <c r="Z296" s="408">
        <v>136.30646506084</v>
      </c>
      <c r="AA296" s="408">
        <v>0</v>
      </c>
      <c r="AB296" s="408">
        <v>0</v>
      </c>
      <c r="AC296" s="408">
        <v>0</v>
      </c>
      <c r="AD296" s="408">
        <v>164.3333857227291</v>
      </c>
      <c r="AE296" s="408">
        <v>853.6727658359091</v>
      </c>
      <c r="AF296" s="408">
        <v>457.73140192712037</v>
      </c>
      <c r="AG296" s="408">
        <v>6.0978173956762873</v>
      </c>
      <c r="AH296" s="408">
        <v>0</v>
      </c>
      <c r="AI296" s="408">
        <v>0</v>
      </c>
      <c r="AJ296" s="408">
        <v>0</v>
      </c>
      <c r="AK296" s="408">
        <v>0</v>
      </c>
      <c r="AL296" s="408">
        <v>21.063767643951032</v>
      </c>
      <c r="AM296" s="408"/>
      <c r="AN296" s="408">
        <v>4.0378659595609463</v>
      </c>
      <c r="AO296" s="408">
        <v>12.624349916758343</v>
      </c>
      <c r="AP296" s="408">
        <v>19.016195784647664</v>
      </c>
      <c r="AQ296" s="408">
        <v>0</v>
      </c>
      <c r="AR296" s="408">
        <v>0</v>
      </c>
      <c r="AS296" s="408">
        <v>0</v>
      </c>
      <c r="AT296" s="408">
        <v>0</v>
      </c>
      <c r="AU296" s="408">
        <v>0</v>
      </c>
      <c r="AV296" s="408">
        <v>0</v>
      </c>
      <c r="AW296" s="408">
        <v>0</v>
      </c>
      <c r="AX296" s="408">
        <v>0</v>
      </c>
      <c r="AY296" s="408">
        <v>0</v>
      </c>
      <c r="AZ296" s="408">
        <v>0</v>
      </c>
      <c r="BA296" s="408"/>
      <c r="BB296" s="408">
        <v>0</v>
      </c>
      <c r="BC296" s="408">
        <v>0</v>
      </c>
      <c r="BD296" s="408">
        <v>0</v>
      </c>
      <c r="BE296" s="408">
        <v>0</v>
      </c>
      <c r="BF296" s="408">
        <v>0</v>
      </c>
      <c r="BG296" s="408">
        <v>76.577607858227154</v>
      </c>
      <c r="BH296" s="408">
        <v>0</v>
      </c>
      <c r="BI296" s="408">
        <v>4.17</v>
      </c>
      <c r="BJ296" s="408">
        <v>19.27</v>
      </c>
      <c r="BK296" s="408">
        <v>442.08</v>
      </c>
      <c r="BL296" s="408">
        <v>3</v>
      </c>
      <c r="BM296" s="408"/>
      <c r="BN296" s="408"/>
      <c r="BO296" s="408"/>
      <c r="BP296" s="408"/>
      <c r="BQ296" s="408"/>
      <c r="BR296" s="408"/>
      <c r="BS296" s="408"/>
      <c r="BT296" s="408"/>
      <c r="BU296" s="408"/>
      <c r="BV296" s="408">
        <v>534.30900978534748</v>
      </c>
      <c r="BW296" s="408"/>
      <c r="BX296" s="408"/>
      <c r="BY296" s="408"/>
      <c r="BZ296" s="408"/>
      <c r="CA296" s="408"/>
      <c r="CB296" s="408"/>
      <c r="CC296" s="408"/>
      <c r="CD296" s="408"/>
      <c r="CE296" s="408"/>
      <c r="CF296" s="408"/>
      <c r="CG296" s="408"/>
      <c r="CH296" s="408"/>
      <c r="CI296" s="408">
        <v>1341.0354000000002</v>
      </c>
      <c r="CJ296" s="408">
        <v>-410.43939999999975</v>
      </c>
      <c r="CK296" s="408"/>
      <c r="CL296" s="408"/>
      <c r="CM296" s="408"/>
      <c r="CN296" s="408"/>
      <c r="CO296" s="408">
        <v>-463.99820000000011</v>
      </c>
      <c r="CP296" s="408">
        <v>50.568449999999963</v>
      </c>
      <c r="CQ296" s="408"/>
      <c r="CR296" s="408">
        <v>65.439673620655412</v>
      </c>
      <c r="CS296" s="408">
        <v>1.5241633992044772</v>
      </c>
      <c r="CT296" s="408">
        <v>2.2958639294836978</v>
      </c>
      <c r="CU296" s="408">
        <v>0</v>
      </c>
      <c r="CV296" s="408">
        <v>0</v>
      </c>
      <c r="CW296" s="408">
        <v>0</v>
      </c>
      <c r="CX296" s="408">
        <v>0</v>
      </c>
      <c r="CY296" s="408">
        <v>0</v>
      </c>
      <c r="CZ296" s="408">
        <v>5.387248981139436</v>
      </c>
      <c r="DA296" s="408">
        <v>0</v>
      </c>
      <c r="DB296" s="408">
        <v>0</v>
      </c>
      <c r="DC296" s="408">
        <v>50.553131339887329</v>
      </c>
      <c r="DD296" s="408">
        <v>0</v>
      </c>
      <c r="DE296" s="408">
        <v>0</v>
      </c>
      <c r="DF296" s="408">
        <v>0</v>
      </c>
      <c r="DG296" s="408">
        <v>8.4574443690179066</v>
      </c>
      <c r="DH296" s="408">
        <v>0</v>
      </c>
      <c r="DI296" s="408">
        <v>-2.3761110421390015</v>
      </c>
      <c r="DJ296" s="408"/>
      <c r="DK296" s="408">
        <v>0</v>
      </c>
      <c r="DL296" s="408">
        <v>0</v>
      </c>
      <c r="DM296" s="408">
        <v>0</v>
      </c>
      <c r="DN296" s="408">
        <v>0</v>
      </c>
      <c r="DO296" s="408">
        <v>-0.30870999009956179</v>
      </c>
      <c r="DP296" s="408">
        <v>-9.3357365839167983E-2</v>
      </c>
      <c r="DQ296" s="408">
        <v>0</v>
      </c>
      <c r="DR296" s="408">
        <v>0</v>
      </c>
      <c r="DS296" s="408"/>
      <c r="DT296" s="408"/>
      <c r="DU296" s="408"/>
      <c r="DV296" s="408">
        <v>853.6727658359091</v>
      </c>
      <c r="DW296" s="408">
        <v>0</v>
      </c>
      <c r="DX296" s="408">
        <v>0</v>
      </c>
      <c r="DY296" s="408">
        <v>-463.99820000000022</v>
      </c>
      <c r="DZ296" s="408">
        <v>50.568449999999928</v>
      </c>
      <c r="EA296" s="408">
        <v>0</v>
      </c>
      <c r="EB296" s="408">
        <v>0</v>
      </c>
      <c r="EC296" s="408">
        <v>-478.90162811751469</v>
      </c>
      <c r="ED296" s="408">
        <v>0</v>
      </c>
      <c r="EE296" s="408">
        <v>0</v>
      </c>
      <c r="EF296" s="408">
        <v>0</v>
      </c>
      <c r="EG296" s="408">
        <v>0</v>
      </c>
      <c r="EH296" s="408">
        <v>0</v>
      </c>
      <c r="EI296" s="408">
        <v>0</v>
      </c>
      <c r="EJ296" s="408">
        <v>0</v>
      </c>
      <c r="EK296" s="408">
        <v>0</v>
      </c>
      <c r="EL296" s="408">
        <v>0</v>
      </c>
      <c r="EM296" s="408">
        <v>0</v>
      </c>
      <c r="EN296" s="408">
        <v>0</v>
      </c>
      <c r="EO296" s="408">
        <v>0</v>
      </c>
      <c r="EP296" s="408">
        <v>0</v>
      </c>
      <c r="EQ296" s="408">
        <v>0</v>
      </c>
      <c r="ER296" s="408">
        <v>0</v>
      </c>
      <c r="ES296" s="408">
        <v>0</v>
      </c>
      <c r="ET296" s="408">
        <v>0</v>
      </c>
      <c r="EU296" s="408">
        <v>0</v>
      </c>
      <c r="EV296" s="408">
        <v>238</v>
      </c>
      <c r="EW296" s="408">
        <v>0</v>
      </c>
      <c r="EX296" s="408">
        <v>0</v>
      </c>
      <c r="EY296" s="408">
        <v>0</v>
      </c>
      <c r="EZ296" s="408"/>
      <c r="FA296" s="408">
        <v>0</v>
      </c>
      <c r="FB296" s="408"/>
      <c r="FC296" s="408"/>
      <c r="FD296" s="408"/>
      <c r="FE296" s="408"/>
      <c r="FF296" s="408">
        <v>0</v>
      </c>
      <c r="FG296" s="408">
        <v>0</v>
      </c>
      <c r="FH296" s="408">
        <v>0</v>
      </c>
      <c r="FI296" s="408">
        <v>0</v>
      </c>
    </row>
    <row r="297" spans="1:165">
      <c r="A297" s="408">
        <v>301</v>
      </c>
      <c r="B297" s="408" t="s">
        <v>1036</v>
      </c>
      <c r="C297" s="408" t="s">
        <v>2243</v>
      </c>
      <c r="D297" s="408" t="s">
        <v>597</v>
      </c>
      <c r="E297" s="408" t="s">
        <v>970</v>
      </c>
      <c r="F297" s="408" t="s">
        <v>1322</v>
      </c>
      <c r="G297" s="408" t="s">
        <v>1322</v>
      </c>
      <c r="H297" s="408" t="s">
        <v>1322</v>
      </c>
      <c r="I297" s="408" t="s">
        <v>973</v>
      </c>
      <c r="J297" s="408" t="s">
        <v>2236</v>
      </c>
      <c r="K297" s="824">
        <v>44531</v>
      </c>
      <c r="L297" s="408">
        <v>0</v>
      </c>
      <c r="M297" s="408">
        <v>0</v>
      </c>
      <c r="N297" s="408">
        <v>9.7379999999999995</v>
      </c>
      <c r="O297" s="408">
        <v>9.7379999999999995</v>
      </c>
      <c r="P297" s="408">
        <v>9.7379999999999995</v>
      </c>
      <c r="Q297" s="408">
        <v>9.7379999999999995</v>
      </c>
      <c r="R297" s="408"/>
      <c r="S297" s="408">
        <v>1614.19</v>
      </c>
      <c r="T297" s="408">
        <v>209.4</v>
      </c>
      <c r="U297" s="408"/>
      <c r="V297" s="408">
        <v>17758.119419999999</v>
      </c>
      <c r="W297" s="408">
        <v>17758.119419999999</v>
      </c>
      <c r="X297" s="408">
        <v>11803.916699999998</v>
      </c>
      <c r="Y297" s="408">
        <v>0</v>
      </c>
      <c r="Z297" s="408">
        <v>521.35284441685815</v>
      </c>
      <c r="AA297" s="408">
        <v>0</v>
      </c>
      <c r="AB297" s="408">
        <v>0</v>
      </c>
      <c r="AC297" s="408">
        <v>0</v>
      </c>
      <c r="AD297" s="408">
        <v>3032.5883899698429</v>
      </c>
      <c r="AE297" s="408">
        <v>11323.702967994303</v>
      </c>
      <c r="AF297" s="408">
        <v>2012.3649625130013</v>
      </c>
      <c r="AG297" s="408">
        <v>26.808372821262161</v>
      </c>
      <c r="AH297" s="408">
        <v>0</v>
      </c>
      <c r="AI297" s="408">
        <v>0</v>
      </c>
      <c r="AJ297" s="408">
        <v>0</v>
      </c>
      <c r="AK297" s="408">
        <v>0</v>
      </c>
      <c r="AL297" s="408">
        <v>92.604500820223549</v>
      </c>
      <c r="AM297" s="408"/>
      <c r="AN297" s="408">
        <v>12.930547876252072</v>
      </c>
      <c r="AO297" s="408">
        <v>235.61018327996902</v>
      </c>
      <c r="AP297" s="408">
        <v>350.94489793876198</v>
      </c>
      <c r="AQ297" s="408">
        <v>0</v>
      </c>
      <c r="AR297" s="408">
        <v>0</v>
      </c>
      <c r="AS297" s="408">
        <v>0</v>
      </c>
      <c r="AT297" s="408">
        <v>0</v>
      </c>
      <c r="AU297" s="408">
        <v>0</v>
      </c>
      <c r="AV297" s="408">
        <v>0</v>
      </c>
      <c r="AW297" s="408">
        <v>0</v>
      </c>
      <c r="AX297" s="408">
        <v>0</v>
      </c>
      <c r="AY297" s="408">
        <v>0</v>
      </c>
      <c r="AZ297" s="408">
        <v>0</v>
      </c>
      <c r="BA297" s="408"/>
      <c r="BB297" s="408">
        <v>0</v>
      </c>
      <c r="BC297" s="408">
        <v>0</v>
      </c>
      <c r="BD297" s="408">
        <v>0</v>
      </c>
      <c r="BE297" s="408">
        <v>0</v>
      </c>
      <c r="BF297" s="408">
        <v>0</v>
      </c>
      <c r="BG297" s="408">
        <v>149.2293612855662</v>
      </c>
      <c r="BH297" s="408">
        <v>0</v>
      </c>
      <c r="BI297" s="408">
        <v>0</v>
      </c>
      <c r="BJ297" s="408">
        <v>0</v>
      </c>
      <c r="BK297" s="408">
        <v>0</v>
      </c>
      <c r="BL297" s="408">
        <v>0</v>
      </c>
      <c r="BM297" s="408"/>
      <c r="BN297" s="408"/>
      <c r="BO297" s="408"/>
      <c r="BP297" s="408"/>
      <c r="BQ297" s="408"/>
      <c r="BR297" s="408"/>
      <c r="BS297" s="408"/>
      <c r="BT297" s="408"/>
      <c r="BU297" s="408"/>
      <c r="BV297" s="408">
        <v>2161.5943237985675</v>
      </c>
      <c r="BW297" s="408"/>
      <c r="BX297" s="408"/>
      <c r="BY297" s="408"/>
      <c r="BZ297" s="408"/>
      <c r="CA297" s="408"/>
      <c r="CB297" s="408"/>
      <c r="CC297" s="408"/>
      <c r="CD297" s="408"/>
      <c r="CE297" s="408"/>
      <c r="CF297" s="408"/>
      <c r="CG297" s="408"/>
      <c r="CH297" s="408"/>
      <c r="CI297" s="408">
        <v>11806.341</v>
      </c>
      <c r="CJ297" s="408">
        <v>-5951.8084199999976</v>
      </c>
      <c r="CK297" s="408"/>
      <c r="CL297" s="408"/>
      <c r="CM297" s="408"/>
      <c r="CN297" s="408"/>
      <c r="CO297" s="408">
        <v>-6176.5212600000004</v>
      </c>
      <c r="CP297" s="408">
        <v>222.31853999999984</v>
      </c>
      <c r="CQ297" s="408"/>
      <c r="CR297" s="408">
        <v>398.21966944189717</v>
      </c>
      <c r="CS297" s="408">
        <v>28.445695834086109</v>
      </c>
      <c r="CT297" s="408">
        <v>42.370290122088306</v>
      </c>
      <c r="CU297" s="408">
        <v>0</v>
      </c>
      <c r="CV297" s="408">
        <v>0</v>
      </c>
      <c r="CW297" s="408">
        <v>0</v>
      </c>
      <c r="CX297" s="408">
        <v>0</v>
      </c>
      <c r="CY297" s="408">
        <v>0</v>
      </c>
      <c r="CZ297" s="408">
        <v>99.415639994455432</v>
      </c>
      <c r="DA297" s="408">
        <v>0</v>
      </c>
      <c r="DB297" s="408">
        <v>0</v>
      </c>
      <c r="DC297" s="408">
        <v>222.25119322249361</v>
      </c>
      <c r="DD297" s="408">
        <v>0</v>
      </c>
      <c r="DE297" s="408">
        <v>0</v>
      </c>
      <c r="DF297" s="408">
        <v>0</v>
      </c>
      <c r="DG297" s="408">
        <v>16.481306436646378</v>
      </c>
      <c r="DH297" s="408">
        <v>0</v>
      </c>
      <c r="DI297" s="408">
        <v>-9.0882868242279073</v>
      </c>
      <c r="DJ297" s="408"/>
      <c r="DK297" s="408">
        <v>0</v>
      </c>
      <c r="DL297" s="408">
        <v>0</v>
      </c>
      <c r="DM297" s="408">
        <v>0</v>
      </c>
      <c r="DN297" s="408">
        <v>0</v>
      </c>
      <c r="DO297" s="408">
        <v>-1.3572089767898632</v>
      </c>
      <c r="DP297" s="408">
        <v>-0.29896036685569349</v>
      </c>
      <c r="DQ297" s="408">
        <v>0</v>
      </c>
      <c r="DR297" s="408">
        <v>0</v>
      </c>
      <c r="DS297" s="408"/>
      <c r="DT297" s="408"/>
      <c r="DU297" s="408"/>
      <c r="DV297" s="408">
        <v>11323.702967994303</v>
      </c>
      <c r="DW297" s="408">
        <v>0</v>
      </c>
      <c r="DX297" s="408">
        <v>0</v>
      </c>
      <c r="DY297" s="408">
        <v>-6176.5212600000013</v>
      </c>
      <c r="DZ297" s="408">
        <v>222.31853999999998</v>
      </c>
      <c r="EA297" s="408">
        <v>0</v>
      </c>
      <c r="EB297" s="408">
        <v>0</v>
      </c>
      <c r="EC297" s="408">
        <v>-6352.4807217921862</v>
      </c>
      <c r="ED297" s="408">
        <v>0</v>
      </c>
      <c r="EE297" s="408">
        <v>0</v>
      </c>
      <c r="EF297" s="408">
        <v>0</v>
      </c>
      <c r="EG297" s="408">
        <v>0</v>
      </c>
      <c r="EH297" s="408">
        <v>0</v>
      </c>
      <c r="EI297" s="408">
        <v>0</v>
      </c>
      <c r="EJ297" s="408">
        <v>0</v>
      </c>
      <c r="EK297" s="408">
        <v>0</v>
      </c>
      <c r="EL297" s="408">
        <v>0</v>
      </c>
      <c r="EM297" s="408">
        <v>0</v>
      </c>
      <c r="EN297" s="408">
        <v>0</v>
      </c>
      <c r="EO297" s="408">
        <v>0</v>
      </c>
      <c r="EP297" s="408">
        <v>0</v>
      </c>
      <c r="EQ297" s="408">
        <v>0</v>
      </c>
      <c r="ER297" s="408">
        <v>0</v>
      </c>
      <c r="ES297" s="408">
        <v>0</v>
      </c>
      <c r="ET297" s="408">
        <v>0</v>
      </c>
      <c r="EU297" s="408">
        <v>0</v>
      </c>
      <c r="EV297" s="408">
        <v>238</v>
      </c>
      <c r="EW297" s="408">
        <v>0</v>
      </c>
      <c r="EX297" s="408">
        <v>0</v>
      </c>
      <c r="EY297" s="408">
        <v>0</v>
      </c>
      <c r="EZ297" s="408"/>
      <c r="FA297" s="408">
        <v>0</v>
      </c>
      <c r="FB297" s="408"/>
      <c r="FC297" s="408"/>
      <c r="FD297" s="408"/>
      <c r="FE297" s="408"/>
      <c r="FF297" s="408">
        <v>0</v>
      </c>
      <c r="FG297" s="408">
        <v>0</v>
      </c>
      <c r="FH297" s="408">
        <v>0</v>
      </c>
      <c r="FI297" s="408">
        <v>0</v>
      </c>
    </row>
    <row r="298" spans="1:165">
      <c r="A298" s="408">
        <v>302</v>
      </c>
      <c r="B298" s="408" t="s">
        <v>1036</v>
      </c>
      <c r="C298" s="408" t="s">
        <v>2243</v>
      </c>
      <c r="D298" s="408" t="s">
        <v>597</v>
      </c>
      <c r="E298" s="408" t="s">
        <v>970</v>
      </c>
      <c r="F298" s="408" t="s">
        <v>1322</v>
      </c>
      <c r="G298" s="408" t="s">
        <v>1322</v>
      </c>
      <c r="H298" s="408" t="s">
        <v>1322</v>
      </c>
      <c r="I298" s="408" t="s">
        <v>2244</v>
      </c>
      <c r="J298" s="408" t="s">
        <v>2236</v>
      </c>
      <c r="K298" s="824">
        <v>44531</v>
      </c>
      <c r="L298" s="408">
        <v>0</v>
      </c>
      <c r="M298" s="408">
        <v>0</v>
      </c>
      <c r="N298" s="408">
        <v>287.71100000000001</v>
      </c>
      <c r="O298" s="408">
        <v>287.71100000000001</v>
      </c>
      <c r="P298" s="408">
        <v>287.71100000000001</v>
      </c>
      <c r="Q298" s="408">
        <v>287.71100000000001</v>
      </c>
      <c r="R298" s="408"/>
      <c r="S298" s="408">
        <v>79.7</v>
      </c>
      <c r="T298" s="408">
        <v>209.4</v>
      </c>
      <c r="U298" s="408"/>
      <c r="V298" s="408">
        <v>83177.250100000005</v>
      </c>
      <c r="W298" s="408">
        <v>83177.250100000005</v>
      </c>
      <c r="X298" s="408">
        <v>89915.441720000003</v>
      </c>
      <c r="Y298" s="408">
        <v>0</v>
      </c>
      <c r="Z298" s="408">
        <v>15403.465621279389</v>
      </c>
      <c r="AA298" s="408">
        <v>0</v>
      </c>
      <c r="AB298" s="408">
        <v>0</v>
      </c>
      <c r="AC298" s="408">
        <v>0</v>
      </c>
      <c r="AD298" s="408">
        <v>0</v>
      </c>
      <c r="AE298" s="408">
        <v>0</v>
      </c>
      <c r="AF298" s="408">
        <v>59455.692722281594</v>
      </c>
      <c r="AG298" s="408">
        <v>792.05830281147644</v>
      </c>
      <c r="AH298" s="408">
        <v>0</v>
      </c>
      <c r="AI298" s="408">
        <v>0</v>
      </c>
      <c r="AJ298" s="408">
        <v>0</v>
      </c>
      <c r="AK298" s="408">
        <v>0</v>
      </c>
      <c r="AL298" s="408">
        <v>2736.0169989204496</v>
      </c>
      <c r="AM298" s="408"/>
      <c r="AN298" s="408">
        <v>382.03541384517973</v>
      </c>
      <c r="AO298" s="408">
        <v>0</v>
      </c>
      <c r="AP298" s="408">
        <v>0</v>
      </c>
      <c r="AQ298" s="408">
        <v>0</v>
      </c>
      <c r="AR298" s="408">
        <v>0</v>
      </c>
      <c r="AS298" s="408">
        <v>0</v>
      </c>
      <c r="AT298" s="408">
        <v>0</v>
      </c>
      <c r="AU298" s="408">
        <v>0</v>
      </c>
      <c r="AV298" s="408">
        <v>0</v>
      </c>
      <c r="AW298" s="408">
        <v>0</v>
      </c>
      <c r="AX298" s="408">
        <v>0</v>
      </c>
      <c r="AY298" s="408">
        <v>0</v>
      </c>
      <c r="AZ298" s="408">
        <v>0</v>
      </c>
      <c r="BA298" s="408"/>
      <c r="BB298" s="408">
        <v>0</v>
      </c>
      <c r="BC298" s="408">
        <v>0</v>
      </c>
      <c r="BD298" s="408">
        <v>0</v>
      </c>
      <c r="BE298" s="408">
        <v>0</v>
      </c>
      <c r="BF298" s="408">
        <v>0</v>
      </c>
      <c r="BG298" s="408">
        <v>4409.00890992314</v>
      </c>
      <c r="BH298" s="408">
        <v>0</v>
      </c>
      <c r="BI298" s="408">
        <v>0</v>
      </c>
      <c r="BJ298" s="408">
        <v>0</v>
      </c>
      <c r="BK298" s="408">
        <v>0</v>
      </c>
      <c r="BL298" s="408">
        <v>0</v>
      </c>
      <c r="BM298" s="408"/>
      <c r="BN298" s="408"/>
      <c r="BO298" s="408"/>
      <c r="BP298" s="408"/>
      <c r="BQ298" s="408"/>
      <c r="BR298" s="408"/>
      <c r="BS298" s="408"/>
      <c r="BT298" s="408"/>
      <c r="BU298" s="408"/>
      <c r="BV298" s="408">
        <v>63864.701632204735</v>
      </c>
      <c r="BW298" s="408"/>
      <c r="BX298" s="408"/>
      <c r="BY298" s="408"/>
      <c r="BZ298" s="408"/>
      <c r="CA298" s="408"/>
      <c r="CB298" s="408"/>
      <c r="CC298" s="408"/>
      <c r="CD298" s="408"/>
      <c r="CE298" s="408"/>
      <c r="CF298" s="408"/>
      <c r="CG298" s="408"/>
      <c r="CH298" s="408"/>
      <c r="CI298" s="408">
        <v>89915.129199999996</v>
      </c>
      <c r="CJ298" s="408">
        <v>6737.8491000000067</v>
      </c>
      <c r="CK298" s="408"/>
      <c r="CL298" s="408"/>
      <c r="CM298" s="408"/>
      <c r="CN298" s="408"/>
      <c r="CO298" s="408">
        <v>169.74949000000097</v>
      </c>
      <c r="CP298" s="408">
        <v>6568.4421299999958</v>
      </c>
      <c r="CQ298" s="408"/>
      <c r="CR298" s="408">
        <v>6735.9486527948029</v>
      </c>
      <c r="CS298" s="408">
        <v>0</v>
      </c>
      <c r="CT298" s="408">
        <v>0</v>
      </c>
      <c r="CU298" s="408">
        <v>0</v>
      </c>
      <c r="CV298" s="408">
        <v>0</v>
      </c>
      <c r="CW298" s="408">
        <v>0</v>
      </c>
      <c r="CX298" s="408">
        <v>0</v>
      </c>
      <c r="CY298" s="408">
        <v>0</v>
      </c>
      <c r="CZ298" s="408">
        <v>0</v>
      </c>
      <c r="DA298" s="408">
        <v>0</v>
      </c>
      <c r="DB298" s="408">
        <v>0</v>
      </c>
      <c r="DC298" s="408">
        <v>6566.4523570791571</v>
      </c>
      <c r="DD298" s="408">
        <v>0</v>
      </c>
      <c r="DE298" s="408">
        <v>0</v>
      </c>
      <c r="DF298" s="408">
        <v>0</v>
      </c>
      <c r="DG298" s="408">
        <v>486.9432281981899</v>
      </c>
      <c r="DH298" s="408">
        <v>0</v>
      </c>
      <c r="DI298" s="408">
        <v>-268.51510479415083</v>
      </c>
      <c r="DJ298" s="408"/>
      <c r="DK298" s="408">
        <v>0</v>
      </c>
      <c r="DL298" s="408">
        <v>0</v>
      </c>
      <c r="DM298" s="408">
        <v>0</v>
      </c>
      <c r="DN298" s="408">
        <v>0</v>
      </c>
      <c r="DO298" s="408">
        <v>-40.098988695952812</v>
      </c>
      <c r="DP298" s="408">
        <v>-8.8328389924438397</v>
      </c>
      <c r="DQ298" s="408">
        <v>0</v>
      </c>
      <c r="DR298" s="408">
        <v>0</v>
      </c>
      <c r="DS298" s="408"/>
      <c r="DT298" s="408"/>
      <c r="DU298" s="408"/>
      <c r="DV298" s="408">
        <v>0</v>
      </c>
      <c r="DW298" s="408">
        <v>0</v>
      </c>
      <c r="DX298" s="408">
        <v>0</v>
      </c>
      <c r="DY298" s="408">
        <v>169.74948999999833</v>
      </c>
      <c r="DZ298" s="408">
        <v>6568.4421300000031</v>
      </c>
      <c r="EA298" s="408">
        <v>0</v>
      </c>
      <c r="EB298" s="408">
        <v>0</v>
      </c>
      <c r="EC298" s="408">
        <v>0</v>
      </c>
      <c r="ED298" s="408">
        <v>0</v>
      </c>
      <c r="EE298" s="408">
        <v>0</v>
      </c>
      <c r="EF298" s="408">
        <v>0</v>
      </c>
      <c r="EG298" s="408">
        <v>0</v>
      </c>
      <c r="EH298" s="408">
        <v>0</v>
      </c>
      <c r="EI298" s="408">
        <v>0</v>
      </c>
      <c r="EJ298" s="408">
        <v>0</v>
      </c>
      <c r="EK298" s="408">
        <v>0</v>
      </c>
      <c r="EL298" s="408">
        <v>0</v>
      </c>
      <c r="EM298" s="408">
        <v>0</v>
      </c>
      <c r="EN298" s="408">
        <v>0</v>
      </c>
      <c r="EO298" s="408">
        <v>0</v>
      </c>
      <c r="EP298" s="408">
        <v>0</v>
      </c>
      <c r="EQ298" s="408">
        <v>0</v>
      </c>
      <c r="ER298" s="408">
        <v>0</v>
      </c>
      <c r="ES298" s="408">
        <v>0</v>
      </c>
      <c r="ET298" s="408">
        <v>0</v>
      </c>
      <c r="EU298" s="408">
        <v>0</v>
      </c>
      <c r="EV298" s="408">
        <v>238</v>
      </c>
      <c r="EW298" s="408">
        <v>0</v>
      </c>
      <c r="EX298" s="408">
        <v>0</v>
      </c>
      <c r="EY298" s="408">
        <v>0</v>
      </c>
      <c r="EZ298" s="408"/>
      <c r="FA298" s="408">
        <v>0</v>
      </c>
      <c r="FB298" s="408"/>
      <c r="FC298" s="408"/>
      <c r="FD298" s="408"/>
      <c r="FE298" s="408"/>
      <c r="FF298" s="408">
        <v>0</v>
      </c>
      <c r="FG298" s="408">
        <v>0</v>
      </c>
      <c r="FH298" s="408">
        <v>0</v>
      </c>
      <c r="FI298" s="408">
        <v>0</v>
      </c>
    </row>
    <row r="299" spans="1:165">
      <c r="A299" s="408">
        <v>303</v>
      </c>
      <c r="B299" s="408" t="s">
        <v>1036</v>
      </c>
      <c r="C299" s="408" t="s">
        <v>2243</v>
      </c>
      <c r="D299" s="408" t="s">
        <v>597</v>
      </c>
      <c r="E299" s="408" t="s">
        <v>970</v>
      </c>
      <c r="F299" s="408" t="s">
        <v>1322</v>
      </c>
      <c r="G299" s="408" t="s">
        <v>1322</v>
      </c>
      <c r="H299" s="408" t="s">
        <v>1322</v>
      </c>
      <c r="I299" s="408" t="s">
        <v>1322</v>
      </c>
      <c r="J299" s="408" t="s">
        <v>2236</v>
      </c>
      <c r="K299" s="824">
        <v>44531</v>
      </c>
      <c r="L299" s="408">
        <v>1700</v>
      </c>
      <c r="M299" s="408">
        <v>1700</v>
      </c>
      <c r="N299" s="408">
        <v>0</v>
      </c>
      <c r="O299" s="408">
        <v>0</v>
      </c>
      <c r="P299" s="408">
        <v>0</v>
      </c>
      <c r="Q299" s="408">
        <v>0</v>
      </c>
      <c r="R299" s="408">
        <v>44.35</v>
      </c>
      <c r="S299" s="408"/>
      <c r="T299" s="408"/>
      <c r="U299" s="408">
        <v>75395</v>
      </c>
      <c r="V299" s="408"/>
      <c r="W299" s="408">
        <v>75395</v>
      </c>
      <c r="X299" s="408">
        <v>49249</v>
      </c>
      <c r="Y299" s="408">
        <v>0</v>
      </c>
      <c r="Z299" s="408">
        <v>0</v>
      </c>
      <c r="AA299" s="408">
        <v>0</v>
      </c>
      <c r="AB299" s="408">
        <v>0</v>
      </c>
      <c r="AC299" s="408">
        <v>0</v>
      </c>
      <c r="AD299" s="408">
        <v>22307.508269745009</v>
      </c>
      <c r="AE299" s="408">
        <v>48820.338685768198</v>
      </c>
      <c r="AF299" s="408"/>
      <c r="AG299" s="408"/>
      <c r="AH299" s="408"/>
      <c r="AI299" s="408">
        <v>0</v>
      </c>
      <c r="AJ299" s="408">
        <v>0</v>
      </c>
      <c r="AK299" s="408">
        <v>0</v>
      </c>
      <c r="AL299" s="408">
        <v>0</v>
      </c>
      <c r="AM299" s="408"/>
      <c r="AN299" s="408">
        <v>0</v>
      </c>
      <c r="AO299" s="408">
        <v>1685.9251758236439</v>
      </c>
      <c r="AP299" s="408">
        <v>2579.3953687938551</v>
      </c>
      <c r="AQ299" s="408">
        <v>0</v>
      </c>
      <c r="AR299" s="408">
        <v>0</v>
      </c>
      <c r="AS299" s="408"/>
      <c r="AT299" s="408"/>
      <c r="AU299" s="408">
        <v>0</v>
      </c>
      <c r="AV299" s="408">
        <v>0</v>
      </c>
      <c r="AW299" s="408">
        <v>0</v>
      </c>
      <c r="AX299" s="408"/>
      <c r="AY299" s="408"/>
      <c r="AZ299" s="408">
        <v>0</v>
      </c>
      <c r="BA299" s="408"/>
      <c r="BB299" s="408">
        <v>0</v>
      </c>
      <c r="BC299" s="408">
        <v>0</v>
      </c>
      <c r="BD299" s="408">
        <v>0</v>
      </c>
      <c r="BE299" s="408">
        <v>0</v>
      </c>
      <c r="BF299" s="408"/>
      <c r="BG299" s="408">
        <v>0</v>
      </c>
      <c r="BH299" s="408">
        <v>0</v>
      </c>
      <c r="BI299" s="408">
        <v>495.26</v>
      </c>
      <c r="BJ299" s="408">
        <v>2278.4299999999998</v>
      </c>
      <c r="BK299" s="408">
        <v>41091.279999999999</v>
      </c>
      <c r="BL299" s="408">
        <v>7</v>
      </c>
      <c r="BM299" s="408"/>
      <c r="BN299" s="408"/>
      <c r="BO299" s="408"/>
      <c r="BP299" s="408"/>
      <c r="BQ299" s="408"/>
      <c r="BR299" s="408"/>
      <c r="BS299" s="408"/>
      <c r="BT299" s="408"/>
      <c r="BU299" s="408"/>
      <c r="BV299" s="408">
        <v>0</v>
      </c>
      <c r="BW299" s="408"/>
      <c r="BX299" s="408"/>
      <c r="BY299" s="408"/>
      <c r="BZ299" s="408"/>
      <c r="CA299" s="408"/>
      <c r="CB299" s="408"/>
      <c r="CC299" s="408"/>
      <c r="CD299" s="408"/>
      <c r="CE299" s="408"/>
      <c r="CF299" s="408"/>
      <c r="CG299" s="408"/>
      <c r="CH299" s="408"/>
      <c r="CI299" s="408">
        <v>49249</v>
      </c>
      <c r="CJ299" s="408">
        <v>-26146.029999999984</v>
      </c>
      <c r="CK299" s="408"/>
      <c r="CL299" s="408"/>
      <c r="CM299" s="408"/>
      <c r="CN299" s="408"/>
      <c r="CO299" s="408">
        <v>-26146.000000000004</v>
      </c>
      <c r="CP299" s="408">
        <v>0</v>
      </c>
      <c r="CQ299" s="408"/>
      <c r="CR299" s="408">
        <v>1246.2553104087419</v>
      </c>
      <c r="CS299" s="408">
        <v>203.54516974982198</v>
      </c>
      <c r="CT299" s="408">
        <v>311.41564033917484</v>
      </c>
      <c r="CU299" s="408">
        <v>0</v>
      </c>
      <c r="CV299" s="408">
        <v>0</v>
      </c>
      <c r="CW299" s="408"/>
      <c r="CX299" s="408"/>
      <c r="CY299" s="408"/>
      <c r="CZ299" s="408">
        <v>731.29450031974193</v>
      </c>
      <c r="DA299" s="408">
        <v>0</v>
      </c>
      <c r="DB299" s="408">
        <v>0</v>
      </c>
      <c r="DC299" s="408"/>
      <c r="DD299" s="408"/>
      <c r="DE299" s="408">
        <v>0</v>
      </c>
      <c r="DF299" s="408">
        <v>0</v>
      </c>
      <c r="DG299" s="408">
        <v>0</v>
      </c>
      <c r="DH299" s="408">
        <v>0</v>
      </c>
      <c r="DI299" s="408">
        <v>0</v>
      </c>
      <c r="DJ299" s="408"/>
      <c r="DK299" s="408">
        <v>0</v>
      </c>
      <c r="DL299" s="408">
        <v>0</v>
      </c>
      <c r="DM299" s="408"/>
      <c r="DN299" s="408">
        <v>0</v>
      </c>
      <c r="DO299" s="408">
        <v>0</v>
      </c>
      <c r="DP299" s="408">
        <v>0</v>
      </c>
      <c r="DQ299" s="408">
        <v>0</v>
      </c>
      <c r="DR299" s="408">
        <v>0</v>
      </c>
      <c r="DS299" s="408"/>
      <c r="DT299" s="408"/>
      <c r="DU299" s="408">
        <v>48820.338685768198</v>
      </c>
      <c r="DV299" s="408"/>
      <c r="DW299" s="408">
        <v>0</v>
      </c>
      <c r="DX299" s="408">
        <v>0</v>
      </c>
      <c r="DY299" s="408">
        <v>-26146</v>
      </c>
      <c r="DZ299" s="408"/>
      <c r="EA299" s="408">
        <v>0</v>
      </c>
      <c r="EB299" s="408"/>
      <c r="EC299" s="408">
        <v>-27387.707113942259</v>
      </c>
      <c r="ED299" s="408"/>
      <c r="EE299" s="408">
        <v>0</v>
      </c>
      <c r="EF299" s="408">
        <v>0</v>
      </c>
      <c r="EG299" s="408"/>
      <c r="EH299" s="408">
        <v>0</v>
      </c>
      <c r="EI299" s="408">
        <v>0</v>
      </c>
      <c r="EJ299" s="408">
        <v>0</v>
      </c>
      <c r="EK299" s="408">
        <v>0</v>
      </c>
      <c r="EL299" s="408">
        <v>0</v>
      </c>
      <c r="EM299" s="408"/>
      <c r="EN299" s="408"/>
      <c r="EO299" s="408">
        <v>0</v>
      </c>
      <c r="EP299" s="408">
        <v>0</v>
      </c>
      <c r="EQ299" s="408"/>
      <c r="ER299" s="408">
        <v>0</v>
      </c>
      <c r="ES299" s="408"/>
      <c r="ET299" s="408">
        <v>0</v>
      </c>
      <c r="EU299" s="408"/>
      <c r="EV299" s="408">
        <v>238</v>
      </c>
      <c r="EW299" s="408"/>
      <c r="EX299" s="408"/>
      <c r="EY299" s="408"/>
      <c r="EZ299" s="408"/>
      <c r="FA299" s="408">
        <v>0</v>
      </c>
      <c r="FB299" s="408"/>
      <c r="FC299" s="408"/>
      <c r="FD299" s="408"/>
      <c r="FE299" s="408"/>
      <c r="FF299" s="408">
        <v>0</v>
      </c>
      <c r="FG299" s="408">
        <v>0</v>
      </c>
      <c r="FH299" s="408">
        <v>0</v>
      </c>
      <c r="FI299" s="408">
        <v>0</v>
      </c>
    </row>
    <row r="300" spans="1:165">
      <c r="A300" s="408">
        <v>304</v>
      </c>
      <c r="B300" s="408" t="s">
        <v>1036</v>
      </c>
      <c r="C300" s="408" t="s">
        <v>2235</v>
      </c>
      <c r="D300" s="408" t="s">
        <v>1958</v>
      </c>
      <c r="E300" s="408" t="s">
        <v>998</v>
      </c>
      <c r="F300" s="408" t="s">
        <v>1322</v>
      </c>
      <c r="G300" s="408" t="s">
        <v>1322</v>
      </c>
      <c r="H300" s="408" t="s">
        <v>1322</v>
      </c>
      <c r="I300" s="408" t="s">
        <v>1322</v>
      </c>
      <c r="J300" s="408" t="s">
        <v>2236</v>
      </c>
      <c r="K300" s="824">
        <v>44531</v>
      </c>
      <c r="L300" s="408">
        <v>0</v>
      </c>
      <c r="M300" s="408">
        <v>0</v>
      </c>
      <c r="N300" s="408">
        <v>411.03100000000001</v>
      </c>
      <c r="O300" s="408">
        <v>411.03100000000001</v>
      </c>
      <c r="P300" s="408">
        <v>411.03100000000001</v>
      </c>
      <c r="Q300" s="408">
        <v>411.03100000000001</v>
      </c>
      <c r="R300" s="408"/>
      <c r="S300" s="408">
        <v>581.32000000000005</v>
      </c>
      <c r="T300" s="408">
        <v>209.4</v>
      </c>
      <c r="U300" s="408"/>
      <c r="V300" s="408">
        <v>325010.43232000002</v>
      </c>
      <c r="W300" s="408">
        <v>325010.43232000002</v>
      </c>
      <c r="X300" s="408">
        <v>248291.49617</v>
      </c>
      <c r="Y300" s="408">
        <v>0</v>
      </c>
      <c r="Z300" s="408">
        <v>25293.987648046106</v>
      </c>
      <c r="AA300" s="408">
        <v>0</v>
      </c>
      <c r="AB300" s="408">
        <v>0</v>
      </c>
      <c r="AC300" s="408">
        <v>0</v>
      </c>
      <c r="AD300" s="408">
        <v>30494.86043656843</v>
      </c>
      <c r="AE300" s="408">
        <v>158413.53075137679</v>
      </c>
      <c r="AF300" s="408">
        <v>84939.862693230796</v>
      </c>
      <c r="AG300" s="408">
        <v>1131.5539421951332</v>
      </c>
      <c r="AH300" s="408">
        <v>0</v>
      </c>
      <c r="AI300" s="408">
        <v>0</v>
      </c>
      <c r="AJ300" s="408">
        <v>0</v>
      </c>
      <c r="AK300" s="408">
        <v>0</v>
      </c>
      <c r="AL300" s="408">
        <v>3908.7410737972177</v>
      </c>
      <c r="AM300" s="408"/>
      <c r="AN300" s="408">
        <v>749.29484569945623</v>
      </c>
      <c r="AO300" s="408">
        <v>2342.6632824537692</v>
      </c>
      <c r="AP300" s="408">
        <v>3528.7792187627601</v>
      </c>
      <c r="AQ300" s="408">
        <v>0</v>
      </c>
      <c r="AR300" s="408">
        <v>0</v>
      </c>
      <c r="AS300" s="408">
        <v>0</v>
      </c>
      <c r="AT300" s="408">
        <v>0</v>
      </c>
      <c r="AU300" s="408">
        <v>0</v>
      </c>
      <c r="AV300" s="408">
        <v>0</v>
      </c>
      <c r="AW300" s="408">
        <v>0</v>
      </c>
      <c r="AX300" s="408">
        <v>0</v>
      </c>
      <c r="AY300" s="408">
        <v>0</v>
      </c>
      <c r="AZ300" s="408">
        <v>0</v>
      </c>
      <c r="BA300" s="408"/>
      <c r="BB300" s="408">
        <v>0</v>
      </c>
      <c r="BC300" s="408">
        <v>0</v>
      </c>
      <c r="BD300" s="408">
        <v>0</v>
      </c>
      <c r="BE300" s="408">
        <v>0</v>
      </c>
      <c r="BF300" s="408">
        <v>0</v>
      </c>
      <c r="BG300" s="408">
        <v>14210.280241794568</v>
      </c>
      <c r="BH300" s="408">
        <v>0</v>
      </c>
      <c r="BI300" s="408">
        <v>772.85</v>
      </c>
      <c r="BJ300" s="408">
        <v>3576.09</v>
      </c>
      <c r="BK300" s="408">
        <v>133277.73000000001</v>
      </c>
      <c r="BL300" s="408">
        <v>814</v>
      </c>
      <c r="BM300" s="408"/>
      <c r="BN300" s="408"/>
      <c r="BO300" s="408"/>
      <c r="BP300" s="408"/>
      <c r="BQ300" s="408"/>
      <c r="BR300" s="408"/>
      <c r="BS300" s="408"/>
      <c r="BT300" s="408"/>
      <c r="BU300" s="408"/>
      <c r="BV300" s="408">
        <v>99150.14293502536</v>
      </c>
      <c r="BW300" s="408"/>
      <c r="BX300" s="408"/>
      <c r="BY300" s="408"/>
      <c r="BZ300" s="408"/>
      <c r="CA300" s="408"/>
      <c r="CB300" s="408"/>
      <c r="CC300" s="408"/>
      <c r="CD300" s="408"/>
      <c r="CE300" s="408"/>
      <c r="CF300" s="408"/>
      <c r="CG300" s="408"/>
      <c r="CH300" s="408"/>
      <c r="CI300" s="408">
        <v>248290.89209999994</v>
      </c>
      <c r="CJ300" s="408">
        <v>-76719.570220000111</v>
      </c>
      <c r="CK300" s="408"/>
      <c r="CL300" s="408"/>
      <c r="CM300" s="408"/>
      <c r="CN300" s="408"/>
      <c r="CO300" s="408">
        <v>-86102.773880000037</v>
      </c>
      <c r="CP300" s="408">
        <v>9383.8377299999938</v>
      </c>
      <c r="CQ300" s="408"/>
      <c r="CR300" s="408">
        <v>12143.446721431828</v>
      </c>
      <c r="CS300" s="408">
        <v>282.83449487061625</v>
      </c>
      <c r="CT300" s="408">
        <v>426.03668027070626</v>
      </c>
      <c r="CU300" s="408">
        <v>0</v>
      </c>
      <c r="CV300" s="408">
        <v>0</v>
      </c>
      <c r="CW300" s="408">
        <v>0</v>
      </c>
      <c r="CX300" s="408">
        <v>0</v>
      </c>
      <c r="CY300" s="408">
        <v>0</v>
      </c>
      <c r="CZ300" s="408">
        <v>999.69586273892855</v>
      </c>
      <c r="DA300" s="408">
        <v>0</v>
      </c>
      <c r="DB300" s="408">
        <v>0</v>
      </c>
      <c r="DC300" s="408">
        <v>9380.995091541874</v>
      </c>
      <c r="DD300" s="408">
        <v>0</v>
      </c>
      <c r="DE300" s="408">
        <v>0</v>
      </c>
      <c r="DF300" s="408">
        <v>0</v>
      </c>
      <c r="DG300" s="408">
        <v>1569.4229419601816</v>
      </c>
      <c r="DH300" s="408">
        <v>0</v>
      </c>
      <c r="DI300" s="408">
        <v>-440.92789966655982</v>
      </c>
      <c r="DJ300" s="408"/>
      <c r="DK300" s="408">
        <v>0</v>
      </c>
      <c r="DL300" s="408">
        <v>0</v>
      </c>
      <c r="DM300" s="408">
        <v>0</v>
      </c>
      <c r="DN300" s="408">
        <v>0</v>
      </c>
      <c r="DO300" s="408">
        <v>-57.286399973188963</v>
      </c>
      <c r="DP300" s="408">
        <v>-17.324050310717439</v>
      </c>
      <c r="DQ300" s="408">
        <v>0</v>
      </c>
      <c r="DR300" s="408">
        <v>0</v>
      </c>
      <c r="DS300" s="408"/>
      <c r="DT300" s="408"/>
      <c r="DU300" s="408"/>
      <c r="DV300" s="408">
        <v>158413.53075137679</v>
      </c>
      <c r="DW300" s="408">
        <v>0</v>
      </c>
      <c r="DX300" s="408">
        <v>0</v>
      </c>
      <c r="DY300" s="408">
        <v>-86102.773880000022</v>
      </c>
      <c r="DZ300" s="408">
        <v>9383.8377299999847</v>
      </c>
      <c r="EA300" s="408">
        <v>0</v>
      </c>
      <c r="EB300" s="408">
        <v>0</v>
      </c>
      <c r="EC300" s="408">
        <v>-88868.358964681815</v>
      </c>
      <c r="ED300" s="408">
        <v>0</v>
      </c>
      <c r="EE300" s="408">
        <v>0</v>
      </c>
      <c r="EF300" s="408">
        <v>0</v>
      </c>
      <c r="EG300" s="408">
        <v>0</v>
      </c>
      <c r="EH300" s="408">
        <v>0</v>
      </c>
      <c r="EI300" s="408">
        <v>0</v>
      </c>
      <c r="EJ300" s="408">
        <v>0</v>
      </c>
      <c r="EK300" s="408">
        <v>0</v>
      </c>
      <c r="EL300" s="408">
        <v>0</v>
      </c>
      <c r="EM300" s="408">
        <v>0</v>
      </c>
      <c r="EN300" s="408">
        <v>0</v>
      </c>
      <c r="EO300" s="408">
        <v>0</v>
      </c>
      <c r="EP300" s="408">
        <v>0</v>
      </c>
      <c r="EQ300" s="408">
        <v>0</v>
      </c>
      <c r="ER300" s="408">
        <v>0</v>
      </c>
      <c r="ES300" s="408">
        <v>0</v>
      </c>
      <c r="ET300" s="408">
        <v>0</v>
      </c>
      <c r="EU300" s="408">
        <v>0</v>
      </c>
      <c r="EV300" s="408">
        <v>238</v>
      </c>
      <c r="EW300" s="408">
        <v>0</v>
      </c>
      <c r="EX300" s="408">
        <v>0</v>
      </c>
      <c r="EY300" s="408">
        <v>0</v>
      </c>
      <c r="EZ300" s="408"/>
      <c r="FA300" s="408">
        <v>0</v>
      </c>
      <c r="FB300" s="408"/>
      <c r="FC300" s="408"/>
      <c r="FD300" s="408"/>
      <c r="FE300" s="408"/>
      <c r="FF300" s="408">
        <v>0</v>
      </c>
      <c r="FG300" s="408">
        <v>0</v>
      </c>
      <c r="FH300" s="408">
        <v>0</v>
      </c>
      <c r="FI300" s="408">
        <v>0</v>
      </c>
    </row>
    <row r="301" spans="1:165">
      <c r="A301" s="408">
        <v>305</v>
      </c>
      <c r="B301" s="408" t="s">
        <v>2237</v>
      </c>
      <c r="C301" s="408" t="s">
        <v>2235</v>
      </c>
      <c r="D301" s="408" t="s">
        <v>1958</v>
      </c>
      <c r="E301" s="408" t="s">
        <v>998</v>
      </c>
      <c r="F301" s="408" t="s">
        <v>1322</v>
      </c>
      <c r="G301" s="408" t="s">
        <v>1322</v>
      </c>
      <c r="H301" s="408" t="s">
        <v>1322</v>
      </c>
      <c r="I301" s="408" t="s">
        <v>1322</v>
      </c>
      <c r="J301" s="408" t="s">
        <v>2236</v>
      </c>
      <c r="K301" s="824">
        <v>44531</v>
      </c>
      <c r="L301" s="408">
        <v>0</v>
      </c>
      <c r="M301" s="408">
        <v>0</v>
      </c>
      <c r="N301" s="408">
        <v>-0.129</v>
      </c>
      <c r="O301" s="408">
        <v>-0.129</v>
      </c>
      <c r="P301" s="408">
        <v>-0.129</v>
      </c>
      <c r="Q301" s="408">
        <v>-0.129</v>
      </c>
      <c r="R301" s="408"/>
      <c r="S301" s="408">
        <v>581.32000000000005</v>
      </c>
      <c r="T301" s="408">
        <v>209.4</v>
      </c>
      <c r="U301" s="408"/>
      <c r="V301" s="408">
        <v>-102.00288000000002</v>
      </c>
      <c r="W301" s="408">
        <v>-102.00288000000002</v>
      </c>
      <c r="X301" s="408">
        <v>-77.925029999999992</v>
      </c>
      <c r="Y301" s="408">
        <v>0</v>
      </c>
      <c r="Z301" s="408">
        <v>-7.938390064491359</v>
      </c>
      <c r="AA301" s="408">
        <v>0</v>
      </c>
      <c r="AB301" s="408">
        <v>0</v>
      </c>
      <c r="AC301" s="408">
        <v>0</v>
      </c>
      <c r="AD301" s="408">
        <v>-9.5706576786600692</v>
      </c>
      <c r="AE301" s="408">
        <v>-49.717285233784331</v>
      </c>
      <c r="AF301" s="408">
        <v>-26.657946207042226</v>
      </c>
      <c r="AG301" s="408">
        <v>-0.35513248038024431</v>
      </c>
      <c r="AH301" s="408">
        <v>0</v>
      </c>
      <c r="AI301" s="408">
        <v>0</v>
      </c>
      <c r="AJ301" s="408">
        <v>0</v>
      </c>
      <c r="AK301" s="408">
        <v>0</v>
      </c>
      <c r="AL301" s="408">
        <v>-1.2267386122210762</v>
      </c>
      <c r="AM301" s="408"/>
      <c r="AN301" s="408">
        <v>-0.23516239674192424</v>
      </c>
      <c r="AO301" s="408">
        <v>-0.73523301998276591</v>
      </c>
      <c r="AP301" s="408">
        <v>-1.1074895061939272</v>
      </c>
      <c r="AQ301" s="408">
        <v>0</v>
      </c>
      <c r="AR301" s="408">
        <v>0</v>
      </c>
      <c r="AS301" s="408">
        <v>0</v>
      </c>
      <c r="AT301" s="408">
        <v>0</v>
      </c>
      <c r="AU301" s="408">
        <v>0</v>
      </c>
      <c r="AV301" s="408">
        <v>0</v>
      </c>
      <c r="AW301" s="408">
        <v>0</v>
      </c>
      <c r="AX301" s="408">
        <v>0</v>
      </c>
      <c r="AY301" s="408">
        <v>0</v>
      </c>
      <c r="AZ301" s="408">
        <v>0</v>
      </c>
      <c r="BA301" s="408"/>
      <c r="BB301" s="408">
        <v>0</v>
      </c>
      <c r="BC301" s="408">
        <v>0</v>
      </c>
      <c r="BD301" s="408">
        <v>0</v>
      </c>
      <c r="BE301" s="408">
        <v>0</v>
      </c>
      <c r="BF301" s="408">
        <v>0</v>
      </c>
      <c r="BG301" s="408">
        <v>-4.4598245660096181</v>
      </c>
      <c r="BH301" s="408">
        <v>0</v>
      </c>
      <c r="BI301" s="408">
        <v>-0.35</v>
      </c>
      <c r="BJ301" s="408">
        <v>-1.6</v>
      </c>
      <c r="BK301" s="408">
        <v>-42.07</v>
      </c>
      <c r="BL301" s="408">
        <v>0</v>
      </c>
      <c r="BM301" s="408"/>
      <c r="BN301" s="408"/>
      <c r="BO301" s="408"/>
      <c r="BP301" s="408"/>
      <c r="BQ301" s="408"/>
      <c r="BR301" s="408"/>
      <c r="BS301" s="408"/>
      <c r="BT301" s="408"/>
      <c r="BU301" s="408"/>
      <c r="BV301" s="408">
        <v>-31.117770773051845</v>
      </c>
      <c r="BW301" s="408"/>
      <c r="BX301" s="408"/>
      <c r="BY301" s="408"/>
      <c r="BZ301" s="408"/>
      <c r="CA301" s="408"/>
      <c r="CB301" s="408"/>
      <c r="CC301" s="408"/>
      <c r="CD301" s="408"/>
      <c r="CE301" s="408"/>
      <c r="CF301" s="408"/>
      <c r="CG301" s="408"/>
      <c r="CH301" s="408"/>
      <c r="CI301" s="408">
        <v>-78.5291</v>
      </c>
      <c r="CJ301" s="408">
        <v>23.443780000000004</v>
      </c>
      <c r="CK301" s="408"/>
      <c r="CL301" s="408"/>
      <c r="CM301" s="408"/>
      <c r="CN301" s="408"/>
      <c r="CO301" s="408">
        <v>27.02292000000001</v>
      </c>
      <c r="CP301" s="408">
        <v>-2.9450699999999981</v>
      </c>
      <c r="CQ301" s="408"/>
      <c r="CR301" s="408">
        <v>-3.8111593214738164</v>
      </c>
      <c r="CS301" s="408">
        <v>-8.8766175393849789E-2</v>
      </c>
      <c r="CT301" s="408">
        <v>-0.1337094568412629</v>
      </c>
      <c r="CU301" s="408">
        <v>0</v>
      </c>
      <c r="CV301" s="408">
        <v>0</v>
      </c>
      <c r="CW301" s="408">
        <v>0</v>
      </c>
      <c r="CX301" s="408">
        <v>0</v>
      </c>
      <c r="CY301" s="408">
        <v>0</v>
      </c>
      <c r="CZ301" s="408">
        <v>-0.31374948919502899</v>
      </c>
      <c r="DA301" s="408">
        <v>0</v>
      </c>
      <c r="DB301" s="408">
        <v>0</v>
      </c>
      <c r="DC301" s="408">
        <v>-2.944177852300438</v>
      </c>
      <c r="DD301" s="408">
        <v>0</v>
      </c>
      <c r="DE301" s="408">
        <v>0</v>
      </c>
      <c r="DF301" s="408">
        <v>0</v>
      </c>
      <c r="DG301" s="408">
        <v>-0.49255545083670871</v>
      </c>
      <c r="DH301" s="408">
        <v>0</v>
      </c>
      <c r="DI301" s="408">
        <v>0.13838299071599458</v>
      </c>
      <c r="DJ301" s="408"/>
      <c r="DK301" s="408">
        <v>0</v>
      </c>
      <c r="DL301" s="408">
        <v>0</v>
      </c>
      <c r="DM301" s="408">
        <v>0</v>
      </c>
      <c r="DN301" s="408">
        <v>0</v>
      </c>
      <c r="DO301" s="408">
        <v>1.7979046827468981E-2</v>
      </c>
      <c r="DP301" s="408">
        <v>5.4370655500012299E-3</v>
      </c>
      <c r="DQ301" s="408">
        <v>0</v>
      </c>
      <c r="DR301" s="408">
        <v>0</v>
      </c>
      <c r="DS301" s="408"/>
      <c r="DT301" s="408"/>
      <c r="DU301" s="408"/>
      <c r="DV301" s="408">
        <v>-49.717285233784331</v>
      </c>
      <c r="DW301" s="408">
        <v>0</v>
      </c>
      <c r="DX301" s="408">
        <v>0</v>
      </c>
      <c r="DY301" s="408">
        <v>27.022920000000013</v>
      </c>
      <c r="DZ301" s="408">
        <v>-2.9450699999999976</v>
      </c>
      <c r="EA301" s="408">
        <v>0</v>
      </c>
      <c r="EB301" s="408">
        <v>0</v>
      </c>
      <c r="EC301" s="408">
        <v>27.890884888108086</v>
      </c>
      <c r="ED301" s="408">
        <v>0</v>
      </c>
      <c r="EE301" s="408">
        <v>0</v>
      </c>
      <c r="EF301" s="408">
        <v>0</v>
      </c>
      <c r="EG301" s="408">
        <v>0</v>
      </c>
      <c r="EH301" s="408">
        <v>0</v>
      </c>
      <c r="EI301" s="408">
        <v>0</v>
      </c>
      <c r="EJ301" s="408">
        <v>0</v>
      </c>
      <c r="EK301" s="408">
        <v>0</v>
      </c>
      <c r="EL301" s="408">
        <v>0</v>
      </c>
      <c r="EM301" s="408">
        <v>0</v>
      </c>
      <c r="EN301" s="408">
        <v>0</v>
      </c>
      <c r="EO301" s="408">
        <v>0</v>
      </c>
      <c r="EP301" s="408">
        <v>0</v>
      </c>
      <c r="EQ301" s="408">
        <v>0</v>
      </c>
      <c r="ER301" s="408">
        <v>0</v>
      </c>
      <c r="ES301" s="408">
        <v>0</v>
      </c>
      <c r="ET301" s="408">
        <v>0</v>
      </c>
      <c r="EU301" s="408">
        <v>0</v>
      </c>
      <c r="EV301" s="408">
        <v>238</v>
      </c>
      <c r="EW301" s="408">
        <v>0</v>
      </c>
      <c r="EX301" s="408">
        <v>0</v>
      </c>
      <c r="EY301" s="408">
        <v>0</v>
      </c>
      <c r="EZ301" s="408"/>
      <c r="FA301" s="408">
        <v>0</v>
      </c>
      <c r="FB301" s="408"/>
      <c r="FC301" s="408"/>
      <c r="FD301" s="408"/>
      <c r="FE301" s="408"/>
      <c r="FF301" s="408">
        <v>0</v>
      </c>
      <c r="FG301" s="408">
        <v>0</v>
      </c>
      <c r="FH301" s="408">
        <v>0</v>
      </c>
      <c r="FI301" s="408">
        <v>0</v>
      </c>
    </row>
    <row r="302" spans="1:165">
      <c r="A302" s="408">
        <v>306</v>
      </c>
      <c r="B302" s="408" t="s">
        <v>2238</v>
      </c>
      <c r="C302" s="408" t="s">
        <v>2235</v>
      </c>
      <c r="D302" s="408" t="s">
        <v>1958</v>
      </c>
      <c r="E302" s="408" t="s">
        <v>998</v>
      </c>
      <c r="F302" s="408" t="s">
        <v>1322</v>
      </c>
      <c r="G302" s="408" t="s">
        <v>1322</v>
      </c>
      <c r="H302" s="408" t="s">
        <v>1322</v>
      </c>
      <c r="I302" s="408" t="s">
        <v>1322</v>
      </c>
      <c r="J302" s="408" t="s">
        <v>2236</v>
      </c>
      <c r="K302" s="824">
        <v>44531</v>
      </c>
      <c r="L302" s="408">
        <v>0</v>
      </c>
      <c r="M302" s="408">
        <v>0</v>
      </c>
      <c r="N302" s="408">
        <v>28.027000000000001</v>
      </c>
      <c r="O302" s="408">
        <v>28.027000000000001</v>
      </c>
      <c r="P302" s="408">
        <v>28.027000000000001</v>
      </c>
      <c r="Q302" s="408">
        <v>28.027000000000001</v>
      </c>
      <c r="R302" s="408"/>
      <c r="S302" s="408">
        <v>581.32000000000005</v>
      </c>
      <c r="T302" s="408">
        <v>209.4</v>
      </c>
      <c r="U302" s="408"/>
      <c r="V302" s="408">
        <v>22161.509440000002</v>
      </c>
      <c r="W302" s="408">
        <v>22161.509440000002</v>
      </c>
      <c r="X302" s="408">
        <v>16930.26989</v>
      </c>
      <c r="Y302" s="408">
        <v>0</v>
      </c>
      <c r="Z302" s="408">
        <v>1724.722932848832</v>
      </c>
      <c r="AA302" s="408">
        <v>0</v>
      </c>
      <c r="AB302" s="408">
        <v>0</v>
      </c>
      <c r="AC302" s="408">
        <v>0</v>
      </c>
      <c r="AD302" s="408">
        <v>2079.3552151922931</v>
      </c>
      <c r="AE302" s="408">
        <v>10801.754676335453</v>
      </c>
      <c r="AF302" s="408">
        <v>5791.8004522850579</v>
      </c>
      <c r="AG302" s="408">
        <v>77.157349051295398</v>
      </c>
      <c r="AH302" s="408">
        <v>0</v>
      </c>
      <c r="AI302" s="408">
        <v>0</v>
      </c>
      <c r="AJ302" s="408">
        <v>0</v>
      </c>
      <c r="AK302" s="408">
        <v>0</v>
      </c>
      <c r="AL302" s="408">
        <v>266.52560530790777</v>
      </c>
      <c r="AM302" s="408"/>
      <c r="AN302" s="408">
        <v>51.092220879735741</v>
      </c>
      <c r="AO302" s="408">
        <v>159.73934768261225</v>
      </c>
      <c r="AP302" s="408">
        <v>240.61711930307905</v>
      </c>
      <c r="AQ302" s="408">
        <v>0</v>
      </c>
      <c r="AR302" s="408">
        <v>0</v>
      </c>
      <c r="AS302" s="408">
        <v>0</v>
      </c>
      <c r="AT302" s="408">
        <v>0</v>
      </c>
      <c r="AU302" s="408">
        <v>0</v>
      </c>
      <c r="AV302" s="408">
        <v>0</v>
      </c>
      <c r="AW302" s="408">
        <v>0</v>
      </c>
      <c r="AX302" s="408">
        <v>0</v>
      </c>
      <c r="AY302" s="408">
        <v>0</v>
      </c>
      <c r="AZ302" s="408">
        <v>0</v>
      </c>
      <c r="BA302" s="408"/>
      <c r="BB302" s="408">
        <v>0</v>
      </c>
      <c r="BC302" s="408">
        <v>0</v>
      </c>
      <c r="BD302" s="408">
        <v>0</v>
      </c>
      <c r="BE302" s="408">
        <v>0</v>
      </c>
      <c r="BF302" s="408">
        <v>0</v>
      </c>
      <c r="BG302" s="408">
        <v>968.95738846164011</v>
      </c>
      <c r="BH302" s="408">
        <v>0</v>
      </c>
      <c r="BI302" s="408">
        <v>55.74</v>
      </c>
      <c r="BJ302" s="408">
        <v>259.25</v>
      </c>
      <c r="BK302" s="408">
        <v>25721.41</v>
      </c>
      <c r="BL302" s="408">
        <v>81</v>
      </c>
      <c r="BM302" s="408"/>
      <c r="BN302" s="408"/>
      <c r="BO302" s="408"/>
      <c r="BP302" s="408"/>
      <c r="BQ302" s="408"/>
      <c r="BR302" s="408"/>
      <c r="BS302" s="408"/>
      <c r="BT302" s="408"/>
      <c r="BU302" s="408"/>
      <c r="BV302" s="408">
        <v>6760.7578407466981</v>
      </c>
      <c r="BW302" s="408"/>
      <c r="BX302" s="408"/>
      <c r="BY302" s="408"/>
      <c r="BZ302" s="408"/>
      <c r="CA302" s="408"/>
      <c r="CB302" s="408"/>
      <c r="CC302" s="408"/>
      <c r="CD302" s="408"/>
      <c r="CE302" s="408"/>
      <c r="CF302" s="408"/>
      <c r="CG302" s="408"/>
      <c r="CH302" s="408"/>
      <c r="CI302" s="408">
        <v>16932.0821</v>
      </c>
      <c r="CJ302" s="408">
        <v>-5229.4573400000045</v>
      </c>
      <c r="CK302" s="408"/>
      <c r="CL302" s="408"/>
      <c r="CM302" s="408"/>
      <c r="CN302" s="408"/>
      <c r="CO302" s="408">
        <v>-5871.0959600000024</v>
      </c>
      <c r="CP302" s="408">
        <v>639.85640999999953</v>
      </c>
      <c r="CQ302" s="408"/>
      <c r="CR302" s="408">
        <v>828.02606436393035</v>
      </c>
      <c r="CS302" s="408">
        <v>19.285655796615742</v>
      </c>
      <c r="CT302" s="408">
        <v>29.050193386744752</v>
      </c>
      <c r="CU302" s="408">
        <v>0</v>
      </c>
      <c r="CV302" s="408">
        <v>0</v>
      </c>
      <c r="CW302" s="408">
        <v>0</v>
      </c>
      <c r="CX302" s="408">
        <v>0</v>
      </c>
      <c r="CY302" s="408">
        <v>0</v>
      </c>
      <c r="CZ302" s="408">
        <v>68.166332819139825</v>
      </c>
      <c r="DA302" s="408">
        <v>0</v>
      </c>
      <c r="DB302" s="408">
        <v>0</v>
      </c>
      <c r="DC302" s="408">
        <v>639.66257880949161</v>
      </c>
      <c r="DD302" s="408">
        <v>0</v>
      </c>
      <c r="DE302" s="408">
        <v>0</v>
      </c>
      <c r="DF302" s="408">
        <v>0</v>
      </c>
      <c r="DG302" s="408">
        <v>107.01435364806537</v>
      </c>
      <c r="DH302" s="408">
        <v>0</v>
      </c>
      <c r="DI302" s="408">
        <v>-30.065582021683667</v>
      </c>
      <c r="DJ302" s="408"/>
      <c r="DK302" s="408">
        <v>0</v>
      </c>
      <c r="DL302" s="408">
        <v>0</v>
      </c>
      <c r="DM302" s="408">
        <v>0</v>
      </c>
      <c r="DN302" s="408">
        <v>0</v>
      </c>
      <c r="DO302" s="408">
        <v>-3.9061918250656618</v>
      </c>
      <c r="DP302" s="408">
        <v>-1.1812762493789535</v>
      </c>
      <c r="DQ302" s="408">
        <v>0</v>
      </c>
      <c r="DR302" s="408">
        <v>0</v>
      </c>
      <c r="DS302" s="408"/>
      <c r="DT302" s="408"/>
      <c r="DU302" s="408"/>
      <c r="DV302" s="408">
        <v>10801.754676335453</v>
      </c>
      <c r="DW302" s="408">
        <v>0</v>
      </c>
      <c r="DX302" s="408">
        <v>0</v>
      </c>
      <c r="DY302" s="408">
        <v>-5871.0959600000024</v>
      </c>
      <c r="DZ302" s="408">
        <v>639.85640999999941</v>
      </c>
      <c r="EA302" s="408">
        <v>0</v>
      </c>
      <c r="EB302" s="408">
        <v>0</v>
      </c>
      <c r="EC302" s="408">
        <v>-6059.6731066589555</v>
      </c>
      <c r="ED302" s="408">
        <v>0</v>
      </c>
      <c r="EE302" s="408">
        <v>0</v>
      </c>
      <c r="EF302" s="408">
        <v>0</v>
      </c>
      <c r="EG302" s="408">
        <v>0</v>
      </c>
      <c r="EH302" s="408">
        <v>0</v>
      </c>
      <c r="EI302" s="408">
        <v>0</v>
      </c>
      <c r="EJ302" s="408">
        <v>0</v>
      </c>
      <c r="EK302" s="408">
        <v>0</v>
      </c>
      <c r="EL302" s="408">
        <v>0</v>
      </c>
      <c r="EM302" s="408">
        <v>0</v>
      </c>
      <c r="EN302" s="408">
        <v>0</v>
      </c>
      <c r="EO302" s="408">
        <v>0</v>
      </c>
      <c r="EP302" s="408">
        <v>0</v>
      </c>
      <c r="EQ302" s="408">
        <v>0</v>
      </c>
      <c r="ER302" s="408">
        <v>0</v>
      </c>
      <c r="ES302" s="408">
        <v>0</v>
      </c>
      <c r="ET302" s="408">
        <v>0</v>
      </c>
      <c r="EU302" s="408">
        <v>0</v>
      </c>
      <c r="EV302" s="408">
        <v>238</v>
      </c>
      <c r="EW302" s="408">
        <v>0</v>
      </c>
      <c r="EX302" s="408">
        <v>0</v>
      </c>
      <c r="EY302" s="408">
        <v>0</v>
      </c>
      <c r="EZ302" s="408"/>
      <c r="FA302" s="408">
        <v>0</v>
      </c>
      <c r="FB302" s="408"/>
      <c r="FC302" s="408"/>
      <c r="FD302" s="408"/>
      <c r="FE302" s="408"/>
      <c r="FF302" s="408">
        <v>0</v>
      </c>
      <c r="FG302" s="408">
        <v>0</v>
      </c>
      <c r="FH302" s="408">
        <v>0</v>
      </c>
      <c r="FI302" s="408">
        <v>0</v>
      </c>
    </row>
    <row r="303" spans="1:165">
      <c r="A303" s="408">
        <v>307</v>
      </c>
      <c r="B303" s="408" t="s">
        <v>1036</v>
      </c>
      <c r="C303" s="408" t="s">
        <v>2243</v>
      </c>
      <c r="D303" s="408" t="s">
        <v>597</v>
      </c>
      <c r="E303" s="408" t="s">
        <v>998</v>
      </c>
      <c r="F303" s="408" t="s">
        <v>1322</v>
      </c>
      <c r="G303" s="408" t="s">
        <v>1322</v>
      </c>
      <c r="H303" s="408" t="s">
        <v>1322</v>
      </c>
      <c r="I303" s="408" t="s">
        <v>973</v>
      </c>
      <c r="J303" s="408" t="s">
        <v>2236</v>
      </c>
      <c r="K303" s="824">
        <v>44531</v>
      </c>
      <c r="L303" s="408">
        <v>0</v>
      </c>
      <c r="M303" s="408">
        <v>0</v>
      </c>
      <c r="N303" s="408">
        <v>25.207000000000001</v>
      </c>
      <c r="O303" s="408">
        <v>25.207000000000001</v>
      </c>
      <c r="P303" s="408">
        <v>25.207000000000001</v>
      </c>
      <c r="Q303" s="408">
        <v>25.207000000000001</v>
      </c>
      <c r="R303" s="408"/>
      <c r="S303" s="408">
        <v>1614.19</v>
      </c>
      <c r="T303" s="408">
        <v>209.4</v>
      </c>
      <c r="U303" s="408"/>
      <c r="V303" s="408">
        <v>45967.233130000008</v>
      </c>
      <c r="W303" s="408">
        <v>45967.233130000008</v>
      </c>
      <c r="X303" s="408">
        <v>30554.66505</v>
      </c>
      <c r="Y303" s="408">
        <v>0</v>
      </c>
      <c r="Z303" s="408">
        <v>1349.5318493752047</v>
      </c>
      <c r="AA303" s="408">
        <v>0</v>
      </c>
      <c r="AB303" s="408">
        <v>0</v>
      </c>
      <c r="AC303" s="408">
        <v>0</v>
      </c>
      <c r="AD303" s="408">
        <v>7849.9132826011328</v>
      </c>
      <c r="AE303" s="408">
        <v>29311.62258310047</v>
      </c>
      <c r="AF303" s="408">
        <v>5209.0453491543676</v>
      </c>
      <c r="AG303" s="408">
        <v>69.393987852285406</v>
      </c>
      <c r="AH303" s="408">
        <v>0</v>
      </c>
      <c r="AI303" s="408">
        <v>0</v>
      </c>
      <c r="AJ303" s="408">
        <v>0</v>
      </c>
      <c r="AK303" s="408">
        <v>0</v>
      </c>
      <c r="AL303" s="408">
        <v>239.7085286686563</v>
      </c>
      <c r="AM303" s="408"/>
      <c r="AN303" s="408">
        <v>33.470971484564181</v>
      </c>
      <c r="AO303" s="408">
        <v>609.88148387124454</v>
      </c>
      <c r="AP303" s="408">
        <v>908.42760755210247</v>
      </c>
      <c r="AQ303" s="408">
        <v>0</v>
      </c>
      <c r="AR303" s="408">
        <v>0</v>
      </c>
      <c r="AS303" s="408">
        <v>0</v>
      </c>
      <c r="AT303" s="408">
        <v>0</v>
      </c>
      <c r="AU303" s="408">
        <v>0</v>
      </c>
      <c r="AV303" s="408">
        <v>0</v>
      </c>
      <c r="AW303" s="408">
        <v>0</v>
      </c>
      <c r="AX303" s="408">
        <v>0</v>
      </c>
      <c r="AY303" s="408">
        <v>0</v>
      </c>
      <c r="AZ303" s="408">
        <v>0</v>
      </c>
      <c r="BA303" s="408"/>
      <c r="BB303" s="408">
        <v>0</v>
      </c>
      <c r="BC303" s="408">
        <v>0</v>
      </c>
      <c r="BD303" s="408">
        <v>0</v>
      </c>
      <c r="BE303" s="408">
        <v>0</v>
      </c>
      <c r="BF303" s="408">
        <v>0</v>
      </c>
      <c r="BG303" s="408">
        <v>386.28306735728768</v>
      </c>
      <c r="BH303" s="408">
        <v>0</v>
      </c>
      <c r="BI303" s="408">
        <v>0</v>
      </c>
      <c r="BJ303" s="408">
        <v>0</v>
      </c>
      <c r="BK303" s="408">
        <v>0</v>
      </c>
      <c r="BL303" s="408">
        <v>0</v>
      </c>
      <c r="BM303" s="408"/>
      <c r="BN303" s="408"/>
      <c r="BO303" s="408"/>
      <c r="BP303" s="408"/>
      <c r="BQ303" s="408"/>
      <c r="BR303" s="408"/>
      <c r="BS303" s="408"/>
      <c r="BT303" s="408"/>
      <c r="BU303" s="408"/>
      <c r="BV303" s="408">
        <v>5595.3284165116556</v>
      </c>
      <c r="BW303" s="408"/>
      <c r="BX303" s="408"/>
      <c r="BY303" s="408"/>
      <c r="BZ303" s="408"/>
      <c r="CA303" s="408"/>
      <c r="CB303" s="408"/>
      <c r="CC303" s="408"/>
      <c r="CD303" s="408"/>
      <c r="CE303" s="408"/>
      <c r="CF303" s="408"/>
      <c r="CG303" s="408"/>
      <c r="CH303" s="408"/>
      <c r="CI303" s="408">
        <v>30558.301499999998</v>
      </c>
      <c r="CJ303" s="408">
        <v>-15408.961630000016</v>
      </c>
      <c r="CK303" s="408"/>
      <c r="CL303" s="408"/>
      <c r="CM303" s="408"/>
      <c r="CN303" s="408"/>
      <c r="CO303" s="408">
        <v>-15988.043890000003</v>
      </c>
      <c r="CP303" s="408">
        <v>575.47580999999957</v>
      </c>
      <c r="CQ303" s="408"/>
      <c r="CR303" s="408">
        <v>1030.7992614111608</v>
      </c>
      <c r="CS303" s="408">
        <v>73.632229912693447</v>
      </c>
      <c r="CT303" s="408">
        <v>109.67630962286705</v>
      </c>
      <c r="CU303" s="408">
        <v>0</v>
      </c>
      <c r="CV303" s="408">
        <v>0</v>
      </c>
      <c r="CW303" s="408">
        <v>0</v>
      </c>
      <c r="CX303" s="408">
        <v>0</v>
      </c>
      <c r="CY303" s="408">
        <v>0</v>
      </c>
      <c r="CZ303" s="408">
        <v>257.33929321629057</v>
      </c>
      <c r="DA303" s="408">
        <v>0</v>
      </c>
      <c r="DB303" s="408">
        <v>0</v>
      </c>
      <c r="DC303" s="408">
        <v>575.3014815731558</v>
      </c>
      <c r="DD303" s="408">
        <v>0</v>
      </c>
      <c r="DE303" s="408">
        <v>0</v>
      </c>
      <c r="DF303" s="408">
        <v>0</v>
      </c>
      <c r="DG303" s="408">
        <v>42.662178203793928</v>
      </c>
      <c r="DH303" s="408">
        <v>0</v>
      </c>
      <c r="DI303" s="408">
        <v>-23.52520496799275</v>
      </c>
      <c r="DJ303" s="408"/>
      <c r="DK303" s="408">
        <v>0</v>
      </c>
      <c r="DL303" s="408">
        <v>0</v>
      </c>
      <c r="DM303" s="408">
        <v>0</v>
      </c>
      <c r="DN303" s="408">
        <v>0</v>
      </c>
      <c r="DO303" s="408">
        <v>-3.5131614990698097</v>
      </c>
      <c r="DP303" s="408">
        <v>-0.77386465057829668</v>
      </c>
      <c r="DQ303" s="408">
        <v>0</v>
      </c>
      <c r="DR303" s="408">
        <v>0</v>
      </c>
      <c r="DS303" s="408"/>
      <c r="DT303" s="408"/>
      <c r="DU303" s="408"/>
      <c r="DV303" s="408">
        <v>29311.62258310047</v>
      </c>
      <c r="DW303" s="408">
        <v>0</v>
      </c>
      <c r="DX303" s="408">
        <v>0</v>
      </c>
      <c r="DY303" s="408">
        <v>-15988.043890000004</v>
      </c>
      <c r="DZ303" s="408">
        <v>575.47580999999991</v>
      </c>
      <c r="EA303" s="408">
        <v>0</v>
      </c>
      <c r="EB303" s="408">
        <v>0</v>
      </c>
      <c r="EC303" s="408">
        <v>-16443.518335820045</v>
      </c>
      <c r="ED303" s="408">
        <v>0</v>
      </c>
      <c r="EE303" s="408">
        <v>0</v>
      </c>
      <c r="EF303" s="408">
        <v>0</v>
      </c>
      <c r="EG303" s="408">
        <v>0</v>
      </c>
      <c r="EH303" s="408">
        <v>0</v>
      </c>
      <c r="EI303" s="408">
        <v>0</v>
      </c>
      <c r="EJ303" s="408">
        <v>0</v>
      </c>
      <c r="EK303" s="408">
        <v>0</v>
      </c>
      <c r="EL303" s="408">
        <v>0</v>
      </c>
      <c r="EM303" s="408">
        <v>0</v>
      </c>
      <c r="EN303" s="408">
        <v>0</v>
      </c>
      <c r="EO303" s="408">
        <v>0</v>
      </c>
      <c r="EP303" s="408">
        <v>0</v>
      </c>
      <c r="EQ303" s="408">
        <v>0</v>
      </c>
      <c r="ER303" s="408">
        <v>0</v>
      </c>
      <c r="ES303" s="408">
        <v>0</v>
      </c>
      <c r="ET303" s="408">
        <v>0</v>
      </c>
      <c r="EU303" s="408">
        <v>0</v>
      </c>
      <c r="EV303" s="408">
        <v>238</v>
      </c>
      <c r="EW303" s="408">
        <v>0</v>
      </c>
      <c r="EX303" s="408">
        <v>0</v>
      </c>
      <c r="EY303" s="408">
        <v>0</v>
      </c>
      <c r="EZ303" s="408"/>
      <c r="FA303" s="408">
        <v>0</v>
      </c>
      <c r="FB303" s="408"/>
      <c r="FC303" s="408"/>
      <c r="FD303" s="408"/>
      <c r="FE303" s="408"/>
      <c r="FF303" s="408">
        <v>0</v>
      </c>
      <c r="FG303" s="408">
        <v>0</v>
      </c>
      <c r="FH303" s="408">
        <v>0</v>
      </c>
      <c r="FI303" s="408">
        <v>0</v>
      </c>
    </row>
    <row r="304" spans="1:165">
      <c r="A304" s="408">
        <v>308</v>
      </c>
      <c r="B304" s="408" t="s">
        <v>1036</v>
      </c>
      <c r="C304" s="408" t="s">
        <v>2243</v>
      </c>
      <c r="D304" s="408" t="s">
        <v>597</v>
      </c>
      <c r="E304" s="408" t="s">
        <v>998</v>
      </c>
      <c r="F304" s="408" t="s">
        <v>1322</v>
      </c>
      <c r="G304" s="408" t="s">
        <v>1322</v>
      </c>
      <c r="H304" s="408" t="s">
        <v>1322</v>
      </c>
      <c r="I304" s="408" t="s">
        <v>2244</v>
      </c>
      <c r="J304" s="408" t="s">
        <v>2236</v>
      </c>
      <c r="K304" s="824">
        <v>44531</v>
      </c>
      <c r="L304" s="408">
        <v>0</v>
      </c>
      <c r="M304" s="408">
        <v>0</v>
      </c>
      <c r="N304" s="408">
        <v>406.35</v>
      </c>
      <c r="O304" s="408">
        <v>406.35</v>
      </c>
      <c r="P304" s="408">
        <v>406.35</v>
      </c>
      <c r="Q304" s="408">
        <v>406.35</v>
      </c>
      <c r="R304" s="408"/>
      <c r="S304" s="408">
        <v>79.7</v>
      </c>
      <c r="T304" s="408">
        <v>209.4</v>
      </c>
      <c r="U304" s="408"/>
      <c r="V304" s="408">
        <v>117475.785</v>
      </c>
      <c r="W304" s="408">
        <v>117475.785</v>
      </c>
      <c r="X304" s="408">
        <v>126992.50200000001</v>
      </c>
      <c r="Y304" s="408">
        <v>0</v>
      </c>
      <c r="Z304" s="408">
        <v>21755.157971738583</v>
      </c>
      <c r="AA304" s="408">
        <v>0</v>
      </c>
      <c r="AB304" s="408">
        <v>0</v>
      </c>
      <c r="AC304" s="408">
        <v>0</v>
      </c>
      <c r="AD304" s="408">
        <v>0</v>
      </c>
      <c r="AE304" s="408">
        <v>0</v>
      </c>
      <c r="AF304" s="408">
        <v>83972.530552183016</v>
      </c>
      <c r="AG304" s="408">
        <v>1118.6673131977695</v>
      </c>
      <c r="AH304" s="408">
        <v>0</v>
      </c>
      <c r="AI304" s="408">
        <v>0</v>
      </c>
      <c r="AJ304" s="408">
        <v>0</v>
      </c>
      <c r="AK304" s="408">
        <v>0</v>
      </c>
      <c r="AL304" s="408">
        <v>3864.2266284963898</v>
      </c>
      <c r="AM304" s="408"/>
      <c r="AN304" s="408">
        <v>539.56953476227454</v>
      </c>
      <c r="AO304" s="408">
        <v>0</v>
      </c>
      <c r="AP304" s="408">
        <v>0</v>
      </c>
      <c r="AQ304" s="408">
        <v>0</v>
      </c>
      <c r="AR304" s="408">
        <v>0</v>
      </c>
      <c r="AS304" s="408">
        <v>0</v>
      </c>
      <c r="AT304" s="408">
        <v>0</v>
      </c>
      <c r="AU304" s="408">
        <v>0</v>
      </c>
      <c r="AV304" s="408">
        <v>0</v>
      </c>
      <c r="AW304" s="408">
        <v>0</v>
      </c>
      <c r="AX304" s="408">
        <v>0</v>
      </c>
      <c r="AY304" s="408">
        <v>0</v>
      </c>
      <c r="AZ304" s="408">
        <v>0</v>
      </c>
      <c r="BA304" s="408"/>
      <c r="BB304" s="408">
        <v>0</v>
      </c>
      <c r="BC304" s="408">
        <v>0</v>
      </c>
      <c r="BD304" s="408">
        <v>0</v>
      </c>
      <c r="BE304" s="408">
        <v>0</v>
      </c>
      <c r="BF304" s="408">
        <v>0</v>
      </c>
      <c r="BG304" s="408">
        <v>6227.0847153819914</v>
      </c>
      <c r="BH304" s="408">
        <v>0</v>
      </c>
      <c r="BI304" s="408">
        <v>0</v>
      </c>
      <c r="BJ304" s="408">
        <v>0</v>
      </c>
      <c r="BK304" s="408">
        <v>0</v>
      </c>
      <c r="BL304" s="408">
        <v>0</v>
      </c>
      <c r="BM304" s="408"/>
      <c r="BN304" s="408"/>
      <c r="BO304" s="408"/>
      <c r="BP304" s="408"/>
      <c r="BQ304" s="408"/>
      <c r="BR304" s="408"/>
      <c r="BS304" s="408"/>
      <c r="BT304" s="408"/>
      <c r="BU304" s="408"/>
      <c r="BV304" s="408">
        <v>90199.615267565008</v>
      </c>
      <c r="BW304" s="408"/>
      <c r="BX304" s="408"/>
      <c r="BY304" s="408"/>
      <c r="BZ304" s="408"/>
      <c r="CA304" s="408"/>
      <c r="CB304" s="408"/>
      <c r="CC304" s="408"/>
      <c r="CD304" s="408"/>
      <c r="CE304" s="408"/>
      <c r="CF304" s="408"/>
      <c r="CG304" s="408"/>
      <c r="CH304" s="408"/>
      <c r="CI304" s="408">
        <v>126992.50200000001</v>
      </c>
      <c r="CJ304" s="408">
        <v>9516.6870000000199</v>
      </c>
      <c r="CK304" s="408"/>
      <c r="CL304" s="408"/>
      <c r="CM304" s="408"/>
      <c r="CN304" s="408"/>
      <c r="CO304" s="408">
        <v>239.74650000000139</v>
      </c>
      <c r="CP304" s="408">
        <v>9276.970499999994</v>
      </c>
      <c r="CQ304" s="408"/>
      <c r="CR304" s="408">
        <v>9513.5491345939954</v>
      </c>
      <c r="CS304" s="408">
        <v>0</v>
      </c>
      <c r="CT304" s="408">
        <v>0</v>
      </c>
      <c r="CU304" s="408">
        <v>0</v>
      </c>
      <c r="CV304" s="408">
        <v>0</v>
      </c>
      <c r="CW304" s="408">
        <v>0</v>
      </c>
      <c r="CX304" s="408">
        <v>0</v>
      </c>
      <c r="CY304" s="408">
        <v>0</v>
      </c>
      <c r="CZ304" s="408">
        <v>0</v>
      </c>
      <c r="DA304" s="408">
        <v>0</v>
      </c>
      <c r="DB304" s="408">
        <v>0</v>
      </c>
      <c r="DC304" s="408">
        <v>9274.1602347463777</v>
      </c>
      <c r="DD304" s="408">
        <v>0</v>
      </c>
      <c r="DE304" s="408">
        <v>0</v>
      </c>
      <c r="DF304" s="408">
        <v>0</v>
      </c>
      <c r="DG304" s="408">
        <v>687.73658559573414</v>
      </c>
      <c r="DH304" s="408">
        <v>0</v>
      </c>
      <c r="DI304" s="408">
        <v>-379.23858605719943</v>
      </c>
      <c r="DJ304" s="408"/>
      <c r="DK304" s="408">
        <v>0</v>
      </c>
      <c r="DL304" s="408">
        <v>0</v>
      </c>
      <c r="DM304" s="408">
        <v>0</v>
      </c>
      <c r="DN304" s="408">
        <v>0</v>
      </c>
      <c r="DO304" s="408">
        <v>-56.633997506527066</v>
      </c>
      <c r="DP304" s="408">
        <v>-12.475102184412663</v>
      </c>
      <c r="DQ304" s="408">
        <v>0</v>
      </c>
      <c r="DR304" s="408">
        <v>0</v>
      </c>
      <c r="DS304" s="408"/>
      <c r="DT304" s="408"/>
      <c r="DU304" s="408"/>
      <c r="DV304" s="408">
        <v>0</v>
      </c>
      <c r="DW304" s="408">
        <v>0</v>
      </c>
      <c r="DX304" s="408">
        <v>0</v>
      </c>
      <c r="DY304" s="408">
        <v>239.74650000000474</v>
      </c>
      <c r="DZ304" s="408">
        <v>9276.9704999999958</v>
      </c>
      <c r="EA304" s="408">
        <v>0</v>
      </c>
      <c r="EB304" s="408">
        <v>0</v>
      </c>
      <c r="EC304" s="408">
        <v>0</v>
      </c>
      <c r="ED304" s="408">
        <v>0</v>
      </c>
      <c r="EE304" s="408">
        <v>0</v>
      </c>
      <c r="EF304" s="408">
        <v>0</v>
      </c>
      <c r="EG304" s="408">
        <v>0</v>
      </c>
      <c r="EH304" s="408">
        <v>0</v>
      </c>
      <c r="EI304" s="408">
        <v>0</v>
      </c>
      <c r="EJ304" s="408">
        <v>0</v>
      </c>
      <c r="EK304" s="408">
        <v>0</v>
      </c>
      <c r="EL304" s="408">
        <v>0</v>
      </c>
      <c r="EM304" s="408">
        <v>0</v>
      </c>
      <c r="EN304" s="408">
        <v>0</v>
      </c>
      <c r="EO304" s="408">
        <v>0</v>
      </c>
      <c r="EP304" s="408">
        <v>0</v>
      </c>
      <c r="EQ304" s="408">
        <v>0</v>
      </c>
      <c r="ER304" s="408">
        <v>0</v>
      </c>
      <c r="ES304" s="408">
        <v>0</v>
      </c>
      <c r="ET304" s="408">
        <v>0</v>
      </c>
      <c r="EU304" s="408">
        <v>0</v>
      </c>
      <c r="EV304" s="408">
        <v>238</v>
      </c>
      <c r="EW304" s="408">
        <v>0</v>
      </c>
      <c r="EX304" s="408">
        <v>0</v>
      </c>
      <c r="EY304" s="408">
        <v>0</v>
      </c>
      <c r="EZ304" s="408"/>
      <c r="FA304" s="408">
        <v>0</v>
      </c>
      <c r="FB304" s="408"/>
      <c r="FC304" s="408"/>
      <c r="FD304" s="408"/>
      <c r="FE304" s="408"/>
      <c r="FF304" s="408">
        <v>0</v>
      </c>
      <c r="FG304" s="408">
        <v>0</v>
      </c>
      <c r="FH304" s="408">
        <v>0</v>
      </c>
      <c r="FI304" s="408">
        <v>0</v>
      </c>
    </row>
    <row r="305" spans="1:165">
      <c r="A305" s="408">
        <v>309</v>
      </c>
      <c r="B305" s="408" t="s">
        <v>1036</v>
      </c>
      <c r="C305" s="408" t="s">
        <v>2243</v>
      </c>
      <c r="D305" s="408" t="s">
        <v>597</v>
      </c>
      <c r="E305" s="408" t="s">
        <v>998</v>
      </c>
      <c r="F305" s="408" t="s">
        <v>1322</v>
      </c>
      <c r="G305" s="408" t="s">
        <v>1322</v>
      </c>
      <c r="H305" s="408" t="s">
        <v>1322</v>
      </c>
      <c r="I305" s="408" t="s">
        <v>1322</v>
      </c>
      <c r="J305" s="408" t="s">
        <v>2236</v>
      </c>
      <c r="K305" s="824">
        <v>44531</v>
      </c>
      <c r="L305" s="408">
        <v>4653</v>
      </c>
      <c r="M305" s="408">
        <v>4653</v>
      </c>
      <c r="N305" s="408">
        <v>0</v>
      </c>
      <c r="O305" s="408">
        <v>0</v>
      </c>
      <c r="P305" s="408">
        <v>0</v>
      </c>
      <c r="Q305" s="408">
        <v>0</v>
      </c>
      <c r="R305" s="408">
        <v>44.35</v>
      </c>
      <c r="S305" s="408"/>
      <c r="T305" s="408"/>
      <c r="U305" s="408">
        <v>206360.55000000002</v>
      </c>
      <c r="V305" s="408"/>
      <c r="W305" s="408">
        <v>206360.55000000002</v>
      </c>
      <c r="X305" s="408">
        <v>134797.41</v>
      </c>
      <c r="Y305" s="408">
        <v>0</v>
      </c>
      <c r="Z305" s="408">
        <v>0</v>
      </c>
      <c r="AA305" s="408">
        <v>0</v>
      </c>
      <c r="AB305" s="408">
        <v>0</v>
      </c>
      <c r="AC305" s="408">
        <v>0</v>
      </c>
      <c r="AD305" s="408">
        <v>61056.962340660903</v>
      </c>
      <c r="AE305" s="408">
        <v>133624.13876757614</v>
      </c>
      <c r="AF305" s="408"/>
      <c r="AG305" s="408"/>
      <c r="AH305" s="408"/>
      <c r="AI305" s="408">
        <v>0</v>
      </c>
      <c r="AJ305" s="408">
        <v>0</v>
      </c>
      <c r="AK305" s="408">
        <v>0</v>
      </c>
      <c r="AL305" s="408">
        <v>0</v>
      </c>
      <c r="AM305" s="408"/>
      <c r="AN305" s="408">
        <v>0</v>
      </c>
      <c r="AO305" s="408">
        <v>4614.4763782984792</v>
      </c>
      <c r="AP305" s="408">
        <v>7059.9568535281223</v>
      </c>
      <c r="AQ305" s="408">
        <v>0</v>
      </c>
      <c r="AR305" s="408">
        <v>0</v>
      </c>
      <c r="AS305" s="408"/>
      <c r="AT305" s="408"/>
      <c r="AU305" s="408">
        <v>0</v>
      </c>
      <c r="AV305" s="408">
        <v>0</v>
      </c>
      <c r="AW305" s="408">
        <v>0</v>
      </c>
      <c r="AX305" s="408"/>
      <c r="AY305" s="408"/>
      <c r="AZ305" s="408">
        <v>0</v>
      </c>
      <c r="BA305" s="408"/>
      <c r="BB305" s="408">
        <v>0</v>
      </c>
      <c r="BC305" s="408">
        <v>0</v>
      </c>
      <c r="BD305" s="408">
        <v>0</v>
      </c>
      <c r="BE305" s="408">
        <v>0</v>
      </c>
      <c r="BF305" s="408"/>
      <c r="BG305" s="408">
        <v>0</v>
      </c>
      <c r="BH305" s="408">
        <v>0</v>
      </c>
      <c r="BI305" s="408">
        <v>927.89</v>
      </c>
      <c r="BJ305" s="408">
        <v>4268.99</v>
      </c>
      <c r="BK305" s="408">
        <v>150116.35</v>
      </c>
      <c r="BL305" s="408">
        <v>35</v>
      </c>
      <c r="BM305" s="408"/>
      <c r="BN305" s="408"/>
      <c r="BO305" s="408"/>
      <c r="BP305" s="408"/>
      <c r="BQ305" s="408"/>
      <c r="BR305" s="408"/>
      <c r="BS305" s="408"/>
      <c r="BT305" s="408"/>
      <c r="BU305" s="408"/>
      <c r="BV305" s="408">
        <v>0</v>
      </c>
      <c r="BW305" s="408"/>
      <c r="BX305" s="408"/>
      <c r="BY305" s="408"/>
      <c r="BZ305" s="408"/>
      <c r="CA305" s="408"/>
      <c r="CB305" s="408"/>
      <c r="CC305" s="408"/>
      <c r="CD305" s="408"/>
      <c r="CE305" s="408"/>
      <c r="CF305" s="408"/>
      <c r="CG305" s="408"/>
      <c r="CH305" s="408"/>
      <c r="CI305" s="408">
        <v>134797.41</v>
      </c>
      <c r="CJ305" s="408">
        <v>-71563.170000000042</v>
      </c>
      <c r="CK305" s="408"/>
      <c r="CL305" s="408"/>
      <c r="CM305" s="408"/>
      <c r="CN305" s="408"/>
      <c r="CO305" s="408">
        <v>-71563.140000000014</v>
      </c>
      <c r="CP305" s="408">
        <v>0</v>
      </c>
      <c r="CQ305" s="408"/>
      <c r="CR305" s="408">
        <v>3411.0740937246155</v>
      </c>
      <c r="CS305" s="408">
        <v>557.11510285054283</v>
      </c>
      <c r="CT305" s="408">
        <v>852.36292617540039</v>
      </c>
      <c r="CU305" s="408">
        <v>0</v>
      </c>
      <c r="CV305" s="408">
        <v>0</v>
      </c>
      <c r="CW305" s="408"/>
      <c r="CX305" s="408"/>
      <c r="CY305" s="408"/>
      <c r="CZ305" s="408">
        <v>2001.5960646986787</v>
      </c>
      <c r="DA305" s="408">
        <v>0</v>
      </c>
      <c r="DB305" s="408">
        <v>0</v>
      </c>
      <c r="DC305" s="408"/>
      <c r="DD305" s="408"/>
      <c r="DE305" s="408">
        <v>0</v>
      </c>
      <c r="DF305" s="408">
        <v>0</v>
      </c>
      <c r="DG305" s="408">
        <v>0</v>
      </c>
      <c r="DH305" s="408">
        <v>0</v>
      </c>
      <c r="DI305" s="408">
        <v>0</v>
      </c>
      <c r="DJ305" s="408"/>
      <c r="DK305" s="408">
        <v>0</v>
      </c>
      <c r="DL305" s="408">
        <v>0</v>
      </c>
      <c r="DM305" s="408"/>
      <c r="DN305" s="408">
        <v>0</v>
      </c>
      <c r="DO305" s="408">
        <v>0</v>
      </c>
      <c r="DP305" s="408">
        <v>0</v>
      </c>
      <c r="DQ305" s="408">
        <v>0</v>
      </c>
      <c r="DR305" s="408">
        <v>0</v>
      </c>
      <c r="DS305" s="408"/>
      <c r="DT305" s="408"/>
      <c r="DU305" s="408">
        <v>133624.13876757614</v>
      </c>
      <c r="DV305" s="408"/>
      <c r="DW305" s="408">
        <v>0</v>
      </c>
      <c r="DX305" s="408">
        <v>0</v>
      </c>
      <c r="DY305" s="408">
        <v>-71563.140000000014</v>
      </c>
      <c r="DZ305" s="408"/>
      <c r="EA305" s="408">
        <v>0</v>
      </c>
      <c r="EB305" s="408"/>
      <c r="EC305" s="408">
        <v>-74961.765412454901</v>
      </c>
      <c r="ED305" s="408"/>
      <c r="EE305" s="408">
        <v>0</v>
      </c>
      <c r="EF305" s="408">
        <v>0</v>
      </c>
      <c r="EG305" s="408"/>
      <c r="EH305" s="408">
        <v>0</v>
      </c>
      <c r="EI305" s="408">
        <v>0</v>
      </c>
      <c r="EJ305" s="408">
        <v>0</v>
      </c>
      <c r="EK305" s="408">
        <v>0</v>
      </c>
      <c r="EL305" s="408">
        <v>0</v>
      </c>
      <c r="EM305" s="408"/>
      <c r="EN305" s="408"/>
      <c r="EO305" s="408">
        <v>0</v>
      </c>
      <c r="EP305" s="408">
        <v>0</v>
      </c>
      <c r="EQ305" s="408"/>
      <c r="ER305" s="408">
        <v>0</v>
      </c>
      <c r="ES305" s="408"/>
      <c r="ET305" s="408">
        <v>0</v>
      </c>
      <c r="EU305" s="408"/>
      <c r="EV305" s="408">
        <v>238</v>
      </c>
      <c r="EW305" s="408"/>
      <c r="EX305" s="408"/>
      <c r="EY305" s="408"/>
      <c r="EZ305" s="408"/>
      <c r="FA305" s="408">
        <v>0</v>
      </c>
      <c r="FB305" s="408"/>
      <c r="FC305" s="408"/>
      <c r="FD305" s="408"/>
      <c r="FE305" s="408"/>
      <c r="FF305" s="408">
        <v>0</v>
      </c>
      <c r="FG305" s="408">
        <v>0</v>
      </c>
      <c r="FH305" s="408">
        <v>0</v>
      </c>
      <c r="FI305" s="408">
        <v>0</v>
      </c>
    </row>
    <row r="306" spans="1:165">
      <c r="A306" s="408">
        <v>310</v>
      </c>
      <c r="B306" s="408" t="s">
        <v>2238</v>
      </c>
      <c r="C306" s="408" t="s">
        <v>2243</v>
      </c>
      <c r="D306" s="408" t="s">
        <v>597</v>
      </c>
      <c r="E306" s="408" t="s">
        <v>998</v>
      </c>
      <c r="F306" s="408" t="s">
        <v>1322</v>
      </c>
      <c r="G306" s="408" t="s">
        <v>1322</v>
      </c>
      <c r="H306" s="408" t="s">
        <v>1322</v>
      </c>
      <c r="I306" s="408" t="s">
        <v>1322</v>
      </c>
      <c r="J306" s="408" t="s">
        <v>2236</v>
      </c>
      <c r="K306" s="824">
        <v>44531</v>
      </c>
      <c r="L306" s="408">
        <v>253</v>
      </c>
      <c r="M306" s="408">
        <v>253</v>
      </c>
      <c r="N306" s="408">
        <v>0</v>
      </c>
      <c r="O306" s="408">
        <v>0</v>
      </c>
      <c r="P306" s="408">
        <v>0</v>
      </c>
      <c r="Q306" s="408">
        <v>0</v>
      </c>
      <c r="R306" s="408">
        <v>44.35</v>
      </c>
      <c r="S306" s="408"/>
      <c r="T306" s="408"/>
      <c r="U306" s="408">
        <v>11220.550000000001</v>
      </c>
      <c r="V306" s="408"/>
      <c r="W306" s="408">
        <v>11220.550000000001</v>
      </c>
      <c r="X306" s="408">
        <v>7329.41</v>
      </c>
      <c r="Y306" s="408">
        <v>0</v>
      </c>
      <c r="Z306" s="408">
        <v>0</v>
      </c>
      <c r="AA306" s="408">
        <v>0</v>
      </c>
      <c r="AB306" s="408">
        <v>0</v>
      </c>
      <c r="AC306" s="408">
        <v>0</v>
      </c>
      <c r="AD306" s="408">
        <v>3319.8821130855808</v>
      </c>
      <c r="AE306" s="408">
        <v>7265.6151102937374</v>
      </c>
      <c r="AF306" s="408"/>
      <c r="AG306" s="408"/>
      <c r="AH306" s="408"/>
      <c r="AI306" s="408">
        <v>0</v>
      </c>
      <c r="AJ306" s="408">
        <v>0</v>
      </c>
      <c r="AK306" s="408">
        <v>0</v>
      </c>
      <c r="AL306" s="408">
        <v>0</v>
      </c>
      <c r="AM306" s="408"/>
      <c r="AN306" s="408">
        <v>0</v>
      </c>
      <c r="AO306" s="408">
        <v>250.90533499022465</v>
      </c>
      <c r="AP306" s="408">
        <v>383.87472253226196</v>
      </c>
      <c r="AQ306" s="408">
        <v>0</v>
      </c>
      <c r="AR306" s="408">
        <v>0</v>
      </c>
      <c r="AS306" s="408"/>
      <c r="AT306" s="408"/>
      <c r="AU306" s="408">
        <v>0</v>
      </c>
      <c r="AV306" s="408">
        <v>0</v>
      </c>
      <c r="AW306" s="408">
        <v>0</v>
      </c>
      <c r="AX306" s="408"/>
      <c r="AY306" s="408"/>
      <c r="AZ306" s="408">
        <v>0</v>
      </c>
      <c r="BA306" s="408"/>
      <c r="BB306" s="408">
        <v>0</v>
      </c>
      <c r="BC306" s="408">
        <v>0</v>
      </c>
      <c r="BD306" s="408">
        <v>0</v>
      </c>
      <c r="BE306" s="408">
        <v>0</v>
      </c>
      <c r="BF306" s="408"/>
      <c r="BG306" s="408">
        <v>0</v>
      </c>
      <c r="BH306" s="408">
        <v>0</v>
      </c>
      <c r="BI306" s="408">
        <v>31.04</v>
      </c>
      <c r="BJ306" s="408">
        <v>142.81</v>
      </c>
      <c r="BK306" s="408">
        <v>6522.81</v>
      </c>
      <c r="BL306" s="408">
        <v>2</v>
      </c>
      <c r="BM306" s="408"/>
      <c r="BN306" s="408"/>
      <c r="BO306" s="408"/>
      <c r="BP306" s="408"/>
      <c r="BQ306" s="408"/>
      <c r="BR306" s="408"/>
      <c r="BS306" s="408"/>
      <c r="BT306" s="408"/>
      <c r="BU306" s="408"/>
      <c r="BV306" s="408">
        <v>0</v>
      </c>
      <c r="BW306" s="408"/>
      <c r="BX306" s="408"/>
      <c r="BY306" s="408"/>
      <c r="BZ306" s="408"/>
      <c r="CA306" s="408"/>
      <c r="CB306" s="408"/>
      <c r="CC306" s="408"/>
      <c r="CD306" s="408"/>
      <c r="CE306" s="408"/>
      <c r="CF306" s="408"/>
      <c r="CG306" s="408"/>
      <c r="CH306" s="408"/>
      <c r="CI306" s="408">
        <v>7329.41</v>
      </c>
      <c r="CJ306" s="408">
        <v>-3891.1700000000019</v>
      </c>
      <c r="CK306" s="408"/>
      <c r="CL306" s="408"/>
      <c r="CM306" s="408"/>
      <c r="CN306" s="408"/>
      <c r="CO306" s="408">
        <v>-3891.1400000000008</v>
      </c>
      <c r="CP306" s="408">
        <v>0</v>
      </c>
      <c r="CQ306" s="408"/>
      <c r="CR306" s="408">
        <v>185.4721138431828</v>
      </c>
      <c r="CS306" s="408">
        <v>30.292310556885269</v>
      </c>
      <c r="CT306" s="408">
        <v>46.345974709300719</v>
      </c>
      <c r="CU306" s="408">
        <v>0</v>
      </c>
      <c r="CV306" s="408">
        <v>0</v>
      </c>
      <c r="CW306" s="408"/>
      <c r="CX306" s="408"/>
      <c r="CY306" s="408"/>
      <c r="CZ306" s="408">
        <v>108.83382857699689</v>
      </c>
      <c r="DA306" s="408">
        <v>0</v>
      </c>
      <c r="DB306" s="408">
        <v>0</v>
      </c>
      <c r="DC306" s="408"/>
      <c r="DD306" s="408"/>
      <c r="DE306" s="408">
        <v>0</v>
      </c>
      <c r="DF306" s="408">
        <v>0</v>
      </c>
      <c r="DG306" s="408">
        <v>0</v>
      </c>
      <c r="DH306" s="408">
        <v>0</v>
      </c>
      <c r="DI306" s="408">
        <v>0</v>
      </c>
      <c r="DJ306" s="408"/>
      <c r="DK306" s="408">
        <v>0</v>
      </c>
      <c r="DL306" s="408">
        <v>0</v>
      </c>
      <c r="DM306" s="408"/>
      <c r="DN306" s="408">
        <v>0</v>
      </c>
      <c r="DO306" s="408">
        <v>0</v>
      </c>
      <c r="DP306" s="408">
        <v>0</v>
      </c>
      <c r="DQ306" s="408">
        <v>0</v>
      </c>
      <c r="DR306" s="408">
        <v>0</v>
      </c>
      <c r="DS306" s="408"/>
      <c r="DT306" s="408"/>
      <c r="DU306" s="408">
        <v>7265.6151102937374</v>
      </c>
      <c r="DV306" s="408"/>
      <c r="DW306" s="408">
        <v>0</v>
      </c>
      <c r="DX306" s="408">
        <v>0</v>
      </c>
      <c r="DY306" s="408">
        <v>-3891.1400000000012</v>
      </c>
      <c r="DZ306" s="408"/>
      <c r="EA306" s="408">
        <v>0</v>
      </c>
      <c r="EB306" s="408"/>
      <c r="EC306" s="408">
        <v>-4075.9352351925827</v>
      </c>
      <c r="ED306" s="408"/>
      <c r="EE306" s="408">
        <v>0</v>
      </c>
      <c r="EF306" s="408">
        <v>0</v>
      </c>
      <c r="EG306" s="408"/>
      <c r="EH306" s="408">
        <v>0</v>
      </c>
      <c r="EI306" s="408">
        <v>0</v>
      </c>
      <c r="EJ306" s="408">
        <v>0</v>
      </c>
      <c r="EK306" s="408">
        <v>0</v>
      </c>
      <c r="EL306" s="408">
        <v>0</v>
      </c>
      <c r="EM306" s="408"/>
      <c r="EN306" s="408"/>
      <c r="EO306" s="408">
        <v>0</v>
      </c>
      <c r="EP306" s="408">
        <v>0</v>
      </c>
      <c r="EQ306" s="408"/>
      <c r="ER306" s="408">
        <v>0</v>
      </c>
      <c r="ES306" s="408"/>
      <c r="ET306" s="408">
        <v>0</v>
      </c>
      <c r="EU306" s="408"/>
      <c r="EV306" s="408">
        <v>238</v>
      </c>
      <c r="EW306" s="408"/>
      <c r="EX306" s="408"/>
      <c r="EY306" s="408"/>
      <c r="EZ306" s="408"/>
      <c r="FA306" s="408">
        <v>0</v>
      </c>
      <c r="FB306" s="408"/>
      <c r="FC306" s="408"/>
      <c r="FD306" s="408"/>
      <c r="FE306" s="408"/>
      <c r="FF306" s="408">
        <v>0</v>
      </c>
      <c r="FG306" s="408">
        <v>0</v>
      </c>
      <c r="FH306" s="408">
        <v>0</v>
      </c>
      <c r="FI306" s="408">
        <v>0</v>
      </c>
    </row>
    <row r="307" spans="1:165">
      <c r="A307" s="408">
        <v>311</v>
      </c>
      <c r="B307" s="408" t="s">
        <v>1036</v>
      </c>
      <c r="C307" s="408" t="s">
        <v>2235</v>
      </c>
      <c r="D307" s="408" t="s">
        <v>2245</v>
      </c>
      <c r="E307" s="408" t="s">
        <v>974</v>
      </c>
      <c r="F307" s="408" t="s">
        <v>1322</v>
      </c>
      <c r="G307" s="408" t="s">
        <v>1322</v>
      </c>
      <c r="H307" s="408" t="s">
        <v>1322</v>
      </c>
      <c r="I307" s="408" t="s">
        <v>1322</v>
      </c>
      <c r="J307" s="408" t="s">
        <v>2236</v>
      </c>
      <c r="K307" s="824">
        <v>44531</v>
      </c>
      <c r="L307" s="408">
        <v>0</v>
      </c>
      <c r="M307" s="408">
        <v>0</v>
      </c>
      <c r="N307" s="408">
        <v>4209.9470000000001</v>
      </c>
      <c r="O307" s="408">
        <v>4209.9470000000001</v>
      </c>
      <c r="P307" s="408">
        <v>4209.9470000000001</v>
      </c>
      <c r="Q307" s="408">
        <v>4209.9470000000001</v>
      </c>
      <c r="R307" s="408"/>
      <c r="S307" s="408">
        <v>581.32000000000005</v>
      </c>
      <c r="T307" s="408">
        <v>209.4</v>
      </c>
      <c r="U307" s="408"/>
      <c r="V307" s="408">
        <v>3328889.2918400005</v>
      </c>
      <c r="W307" s="408">
        <v>3328889.2918400005</v>
      </c>
      <c r="X307" s="408">
        <v>2543102.6842900002</v>
      </c>
      <c r="Y307" s="408">
        <v>0</v>
      </c>
      <c r="Z307" s="408">
        <v>259071.32896771474</v>
      </c>
      <c r="AA307" s="408">
        <v>0</v>
      </c>
      <c r="AB307" s="408">
        <v>0</v>
      </c>
      <c r="AC307" s="408">
        <v>0</v>
      </c>
      <c r="AD307" s="408">
        <v>312340.78745970485</v>
      </c>
      <c r="AE307" s="408">
        <v>1622535.9365745322</v>
      </c>
      <c r="AF307" s="408">
        <v>869988.68729068839</v>
      </c>
      <c r="AG307" s="408">
        <v>11589.836592088126</v>
      </c>
      <c r="AH307" s="408">
        <v>0</v>
      </c>
      <c r="AI307" s="408">
        <v>0</v>
      </c>
      <c r="AJ307" s="408">
        <v>0</v>
      </c>
      <c r="AK307" s="408">
        <v>0</v>
      </c>
      <c r="AL307" s="408">
        <v>40034.91891708746</v>
      </c>
      <c r="AM307" s="408"/>
      <c r="AN307" s="408">
        <v>7674.583152530804</v>
      </c>
      <c r="AO307" s="408">
        <v>23994.511990522366</v>
      </c>
      <c r="AP307" s="408">
        <v>36143.194760717866</v>
      </c>
      <c r="AQ307" s="408">
        <v>0</v>
      </c>
      <c r="AR307" s="408">
        <v>0</v>
      </c>
      <c r="AS307" s="408">
        <v>0</v>
      </c>
      <c r="AT307" s="408">
        <v>0</v>
      </c>
      <c r="AU307" s="408">
        <v>0</v>
      </c>
      <c r="AV307" s="408">
        <v>0</v>
      </c>
      <c r="AW307" s="408">
        <v>0</v>
      </c>
      <c r="AX307" s="408">
        <v>0</v>
      </c>
      <c r="AY307" s="408">
        <v>0</v>
      </c>
      <c r="AZ307" s="408">
        <v>0</v>
      </c>
      <c r="BA307" s="408"/>
      <c r="BB307" s="408">
        <v>0</v>
      </c>
      <c r="BC307" s="408">
        <v>0</v>
      </c>
      <c r="BD307" s="408">
        <v>0</v>
      </c>
      <c r="BE307" s="408">
        <v>0</v>
      </c>
      <c r="BF307" s="408">
        <v>0</v>
      </c>
      <c r="BG307" s="408">
        <v>145547.48102479451</v>
      </c>
      <c r="BH307" s="408">
        <v>0</v>
      </c>
      <c r="BI307" s="408">
        <v>7126.34</v>
      </c>
      <c r="BJ307" s="408">
        <v>33061.199999999997</v>
      </c>
      <c r="BK307" s="408">
        <v>304102.19</v>
      </c>
      <c r="BL307" s="408">
        <v>13816</v>
      </c>
      <c r="BM307" s="408"/>
      <c r="BN307" s="408"/>
      <c r="BO307" s="408"/>
      <c r="BP307" s="408"/>
      <c r="BQ307" s="408"/>
      <c r="BR307" s="408">
        <v>305179.05802999967</v>
      </c>
      <c r="BS307" s="408"/>
      <c r="BT307" s="408"/>
      <c r="BU307" s="408"/>
      <c r="BV307" s="408">
        <v>1015536.1683154829</v>
      </c>
      <c r="BW307" s="408"/>
      <c r="BX307" s="408"/>
      <c r="BY307" s="408"/>
      <c r="BZ307" s="408"/>
      <c r="CA307" s="408"/>
      <c r="CB307" s="408"/>
      <c r="CC307" s="408"/>
      <c r="CD307" s="408"/>
      <c r="CE307" s="408"/>
      <c r="CF307" s="408"/>
      <c r="CG307" s="408"/>
      <c r="CH307" s="408"/>
      <c r="CI307" s="408">
        <v>2237925.2209999999</v>
      </c>
      <c r="CJ307" s="408">
        <v>-691566.42894999962</v>
      </c>
      <c r="CK307" s="408"/>
      <c r="CL307" s="408"/>
      <c r="CM307" s="408"/>
      <c r="CN307" s="408"/>
      <c r="CO307" s="408">
        <v>-881899.69756000035</v>
      </c>
      <c r="CP307" s="408">
        <v>96113.090009999942</v>
      </c>
      <c r="CQ307" s="408"/>
      <c r="CR307" s="408">
        <v>124378.12986016111</v>
      </c>
      <c r="CS307" s="408">
        <v>2896.9061534946668</v>
      </c>
      <c r="CT307" s="408">
        <v>4363.6412922519667</v>
      </c>
      <c r="CU307" s="408">
        <v>0</v>
      </c>
      <c r="CV307" s="408">
        <v>0</v>
      </c>
      <c r="CW307" s="408">
        <v>0</v>
      </c>
      <c r="CX307" s="408">
        <v>0</v>
      </c>
      <c r="CY307" s="408">
        <v>0</v>
      </c>
      <c r="CZ307" s="408">
        <v>10239.292409210408</v>
      </c>
      <c r="DA307" s="408">
        <v>0</v>
      </c>
      <c r="DB307" s="408">
        <v>0</v>
      </c>
      <c r="DC307" s="408">
        <v>96083.974548516795</v>
      </c>
      <c r="DD307" s="408">
        <v>0</v>
      </c>
      <c r="DE307" s="408">
        <v>0</v>
      </c>
      <c r="DF307" s="408">
        <v>0</v>
      </c>
      <c r="DG307" s="408">
        <v>16074.669322353904</v>
      </c>
      <c r="DH307" s="408">
        <v>0</v>
      </c>
      <c r="DI307" s="408">
        <v>-4516.1632295800664</v>
      </c>
      <c r="DJ307" s="408"/>
      <c r="DK307" s="408">
        <v>0</v>
      </c>
      <c r="DL307" s="408">
        <v>0</v>
      </c>
      <c r="DM307" s="408">
        <v>0</v>
      </c>
      <c r="DN307" s="408">
        <v>0</v>
      </c>
      <c r="DO307" s="408">
        <v>-586.75065313303639</v>
      </c>
      <c r="DP307" s="408">
        <v>-177.43998295372876</v>
      </c>
      <c r="DQ307" s="408">
        <v>0</v>
      </c>
      <c r="DR307" s="408">
        <v>0</v>
      </c>
      <c r="DS307" s="408"/>
      <c r="DT307" s="408"/>
      <c r="DU307" s="408"/>
      <c r="DV307" s="408">
        <v>1622535.9365745322</v>
      </c>
      <c r="DW307" s="408">
        <v>0</v>
      </c>
      <c r="DX307" s="408">
        <v>0</v>
      </c>
      <c r="DY307" s="408">
        <v>-881899.69756000047</v>
      </c>
      <c r="DZ307" s="408">
        <v>96113.090010000044</v>
      </c>
      <c r="EA307" s="408">
        <v>0</v>
      </c>
      <c r="EB307" s="408">
        <v>0</v>
      </c>
      <c r="EC307" s="408">
        <v>-910225.946992527</v>
      </c>
      <c r="ED307" s="408">
        <v>0</v>
      </c>
      <c r="EE307" s="408">
        <v>0</v>
      </c>
      <c r="EF307" s="408">
        <v>0</v>
      </c>
      <c r="EG307" s="408">
        <v>0</v>
      </c>
      <c r="EH307" s="408">
        <v>0</v>
      </c>
      <c r="EI307" s="408">
        <v>0</v>
      </c>
      <c r="EJ307" s="408">
        <v>0</v>
      </c>
      <c r="EK307" s="408">
        <v>0</v>
      </c>
      <c r="EL307" s="408">
        <v>0</v>
      </c>
      <c r="EM307" s="408">
        <v>0</v>
      </c>
      <c r="EN307" s="408">
        <v>0</v>
      </c>
      <c r="EO307" s="408">
        <v>0</v>
      </c>
      <c r="EP307" s="408">
        <v>0</v>
      </c>
      <c r="EQ307" s="408">
        <v>0</v>
      </c>
      <c r="ER307" s="408">
        <v>0</v>
      </c>
      <c r="ES307" s="408">
        <v>0</v>
      </c>
      <c r="ET307" s="408">
        <v>0</v>
      </c>
      <c r="EU307" s="408">
        <v>0</v>
      </c>
      <c r="EV307" s="408">
        <v>238</v>
      </c>
      <c r="EW307" s="408">
        <v>0</v>
      </c>
      <c r="EX307" s="408">
        <v>0</v>
      </c>
      <c r="EY307" s="408">
        <v>0</v>
      </c>
      <c r="EZ307" s="408"/>
      <c r="FA307" s="408">
        <v>0</v>
      </c>
      <c r="FB307" s="408"/>
      <c r="FC307" s="408"/>
      <c r="FD307" s="408"/>
      <c r="FE307" s="408"/>
      <c r="FF307" s="408">
        <v>0</v>
      </c>
      <c r="FG307" s="408">
        <v>0</v>
      </c>
      <c r="FH307" s="408">
        <v>0</v>
      </c>
      <c r="FI307" s="408">
        <v>0</v>
      </c>
    </row>
    <row r="308" spans="1:165">
      <c r="A308" s="408">
        <v>312</v>
      </c>
      <c r="B308" s="408" t="s">
        <v>2237</v>
      </c>
      <c r="C308" s="408" t="s">
        <v>2235</v>
      </c>
      <c r="D308" s="408" t="s">
        <v>2245</v>
      </c>
      <c r="E308" s="408" t="s">
        <v>974</v>
      </c>
      <c r="F308" s="408" t="s">
        <v>1322</v>
      </c>
      <c r="G308" s="408" t="s">
        <v>1322</v>
      </c>
      <c r="H308" s="408" t="s">
        <v>1322</v>
      </c>
      <c r="I308" s="408" t="s">
        <v>1322</v>
      </c>
      <c r="J308" s="408" t="s">
        <v>2236</v>
      </c>
      <c r="K308" s="824">
        <v>44531</v>
      </c>
      <c r="L308" s="408">
        <v>0</v>
      </c>
      <c r="M308" s="408">
        <v>0</v>
      </c>
      <c r="N308" s="408">
        <v>-2.992</v>
      </c>
      <c r="O308" s="408">
        <v>-2.992</v>
      </c>
      <c r="P308" s="408">
        <v>-2.992</v>
      </c>
      <c r="Q308" s="408">
        <v>-2.992</v>
      </c>
      <c r="R308" s="408"/>
      <c r="S308" s="408">
        <v>581.32000000000005</v>
      </c>
      <c r="T308" s="408">
        <v>209.4</v>
      </c>
      <c r="U308" s="408"/>
      <c r="V308" s="408">
        <v>-2365.8342400000001</v>
      </c>
      <c r="W308" s="408">
        <v>-2365.8342400000001</v>
      </c>
      <c r="X308" s="408">
        <v>-1807.3774399999998</v>
      </c>
      <c r="Y308" s="408">
        <v>0</v>
      </c>
      <c r="Z308" s="408">
        <v>-184.12141917021819</v>
      </c>
      <c r="AA308" s="408">
        <v>0</v>
      </c>
      <c r="AB308" s="408">
        <v>0</v>
      </c>
      <c r="AC308" s="408">
        <v>0</v>
      </c>
      <c r="AD308" s="408">
        <v>-221.97990522907696</v>
      </c>
      <c r="AE308" s="408">
        <v>-1153.1326931742847</v>
      </c>
      <c r="AF308" s="408">
        <v>-618.29903140674685</v>
      </c>
      <c r="AG308" s="408">
        <v>-8.2368711728503161</v>
      </c>
      <c r="AH308" s="408">
        <v>0</v>
      </c>
      <c r="AI308" s="408">
        <v>0</v>
      </c>
      <c r="AJ308" s="408">
        <v>0</v>
      </c>
      <c r="AK308" s="408">
        <v>0</v>
      </c>
      <c r="AL308" s="408">
        <v>-28.452728122212864</v>
      </c>
      <c r="AM308" s="408"/>
      <c r="AN308" s="408">
        <v>-5.4543092329599787</v>
      </c>
      <c r="AO308" s="408">
        <v>-17.052846478980118</v>
      </c>
      <c r="AP308" s="408">
        <v>-25.686888391722714</v>
      </c>
      <c r="AQ308" s="408">
        <v>0</v>
      </c>
      <c r="AR308" s="408">
        <v>0</v>
      </c>
      <c r="AS308" s="408">
        <v>0</v>
      </c>
      <c r="AT308" s="408">
        <v>0</v>
      </c>
      <c r="AU308" s="408">
        <v>0</v>
      </c>
      <c r="AV308" s="408">
        <v>0</v>
      </c>
      <c r="AW308" s="408">
        <v>0</v>
      </c>
      <c r="AX308" s="408">
        <v>0</v>
      </c>
      <c r="AY308" s="408">
        <v>0</v>
      </c>
      <c r="AZ308" s="408">
        <v>0</v>
      </c>
      <c r="BA308" s="408"/>
      <c r="BB308" s="408">
        <v>0</v>
      </c>
      <c r="BC308" s="408">
        <v>0</v>
      </c>
      <c r="BD308" s="408">
        <v>0</v>
      </c>
      <c r="BE308" s="408">
        <v>0</v>
      </c>
      <c r="BF308" s="408">
        <v>0</v>
      </c>
      <c r="BG308" s="408">
        <v>-103.44027210465718</v>
      </c>
      <c r="BH308" s="408">
        <v>0</v>
      </c>
      <c r="BI308" s="408">
        <v>-5.66</v>
      </c>
      <c r="BJ308" s="408">
        <v>-26.04</v>
      </c>
      <c r="BK308" s="408">
        <v>-158.47</v>
      </c>
      <c r="BL308" s="408">
        <v>0</v>
      </c>
      <c r="BM308" s="408"/>
      <c r="BN308" s="408"/>
      <c r="BO308" s="408"/>
      <c r="BP308" s="408"/>
      <c r="BQ308" s="408"/>
      <c r="BR308" s="408">
        <v>-216.89007999999978</v>
      </c>
      <c r="BS308" s="408"/>
      <c r="BT308" s="408"/>
      <c r="BU308" s="408"/>
      <c r="BV308" s="408">
        <v>-721.73930351140405</v>
      </c>
      <c r="BW308" s="408"/>
      <c r="BX308" s="408"/>
      <c r="BY308" s="408"/>
      <c r="BZ308" s="408"/>
      <c r="CA308" s="408"/>
      <c r="CB308" s="408"/>
      <c r="CC308" s="408"/>
      <c r="CD308" s="408"/>
      <c r="CE308" s="408"/>
      <c r="CF308" s="408"/>
      <c r="CG308" s="408"/>
      <c r="CH308" s="408"/>
      <c r="CI308" s="408">
        <v>-1589.4242000000004</v>
      </c>
      <c r="CJ308" s="408">
        <v>492.52899999999954</v>
      </c>
      <c r="CK308" s="408"/>
      <c r="CL308" s="408"/>
      <c r="CM308" s="408"/>
      <c r="CN308" s="408"/>
      <c r="CO308" s="408">
        <v>626.76416000000017</v>
      </c>
      <c r="CP308" s="408">
        <v>-68.307359999999946</v>
      </c>
      <c r="CQ308" s="408"/>
      <c r="CR308" s="408">
        <v>-88.39526116162483</v>
      </c>
      <c r="CS308" s="408">
        <v>-2.0588247812278979</v>
      </c>
      <c r="CT308" s="408">
        <v>-3.1012301927833974</v>
      </c>
      <c r="CU308" s="408">
        <v>0</v>
      </c>
      <c r="CV308" s="408">
        <v>0</v>
      </c>
      <c r="CW308" s="408">
        <v>0</v>
      </c>
      <c r="CX308" s="408">
        <v>0</v>
      </c>
      <c r="CY308" s="408">
        <v>0</v>
      </c>
      <c r="CZ308" s="408">
        <v>-7.2770424160583502</v>
      </c>
      <c r="DA308" s="408">
        <v>0</v>
      </c>
      <c r="DB308" s="408">
        <v>0</v>
      </c>
      <c r="DC308" s="408">
        <v>-68.286667706069011</v>
      </c>
      <c r="DD308" s="408">
        <v>0</v>
      </c>
      <c r="DE308" s="408">
        <v>0</v>
      </c>
      <c r="DF308" s="408">
        <v>0</v>
      </c>
      <c r="DG308" s="408">
        <v>-11.424231851964606</v>
      </c>
      <c r="DH308" s="408">
        <v>0</v>
      </c>
      <c r="DI308" s="408">
        <v>3.2096271955213922</v>
      </c>
      <c r="DJ308" s="408"/>
      <c r="DK308" s="408">
        <v>0</v>
      </c>
      <c r="DL308" s="408">
        <v>0</v>
      </c>
      <c r="DM308" s="408">
        <v>0</v>
      </c>
      <c r="DN308" s="408">
        <v>0</v>
      </c>
      <c r="DO308" s="408">
        <v>0.41700238843245785</v>
      </c>
      <c r="DP308" s="408">
        <v>0.1261062025240598</v>
      </c>
      <c r="DQ308" s="408">
        <v>0</v>
      </c>
      <c r="DR308" s="408">
        <v>0</v>
      </c>
      <c r="DS308" s="408"/>
      <c r="DT308" s="408"/>
      <c r="DU308" s="408"/>
      <c r="DV308" s="408">
        <v>-1153.1326931742847</v>
      </c>
      <c r="DW308" s="408">
        <v>0</v>
      </c>
      <c r="DX308" s="408">
        <v>0</v>
      </c>
      <c r="DY308" s="408">
        <v>626.7641600000004</v>
      </c>
      <c r="DZ308" s="408">
        <v>-68.307359999999903</v>
      </c>
      <c r="EA308" s="408">
        <v>0</v>
      </c>
      <c r="EB308" s="408">
        <v>0</v>
      </c>
      <c r="EC308" s="408">
        <v>646.89556267611943</v>
      </c>
      <c r="ED308" s="408">
        <v>0</v>
      </c>
      <c r="EE308" s="408">
        <v>0</v>
      </c>
      <c r="EF308" s="408">
        <v>0</v>
      </c>
      <c r="EG308" s="408">
        <v>0</v>
      </c>
      <c r="EH308" s="408">
        <v>0</v>
      </c>
      <c r="EI308" s="408">
        <v>0</v>
      </c>
      <c r="EJ308" s="408">
        <v>0</v>
      </c>
      <c r="EK308" s="408">
        <v>0</v>
      </c>
      <c r="EL308" s="408">
        <v>0</v>
      </c>
      <c r="EM308" s="408">
        <v>0</v>
      </c>
      <c r="EN308" s="408">
        <v>0</v>
      </c>
      <c r="EO308" s="408">
        <v>0</v>
      </c>
      <c r="EP308" s="408">
        <v>0</v>
      </c>
      <c r="EQ308" s="408">
        <v>0</v>
      </c>
      <c r="ER308" s="408">
        <v>0</v>
      </c>
      <c r="ES308" s="408">
        <v>0</v>
      </c>
      <c r="ET308" s="408">
        <v>0</v>
      </c>
      <c r="EU308" s="408">
        <v>0</v>
      </c>
      <c r="EV308" s="408">
        <v>238</v>
      </c>
      <c r="EW308" s="408">
        <v>0</v>
      </c>
      <c r="EX308" s="408">
        <v>0</v>
      </c>
      <c r="EY308" s="408">
        <v>0</v>
      </c>
      <c r="EZ308" s="408"/>
      <c r="FA308" s="408">
        <v>0</v>
      </c>
      <c r="FB308" s="408"/>
      <c r="FC308" s="408"/>
      <c r="FD308" s="408"/>
      <c r="FE308" s="408"/>
      <c r="FF308" s="408">
        <v>0</v>
      </c>
      <c r="FG308" s="408">
        <v>0</v>
      </c>
      <c r="FH308" s="408">
        <v>0</v>
      </c>
      <c r="FI308" s="408">
        <v>0</v>
      </c>
    </row>
    <row r="309" spans="1:165">
      <c r="A309" s="408">
        <v>313</v>
      </c>
      <c r="B309" s="408" t="s">
        <v>2238</v>
      </c>
      <c r="C309" s="408" t="s">
        <v>2235</v>
      </c>
      <c r="D309" s="408" t="s">
        <v>2245</v>
      </c>
      <c r="E309" s="408" t="s">
        <v>974</v>
      </c>
      <c r="F309" s="408" t="s">
        <v>1322</v>
      </c>
      <c r="G309" s="408" t="s">
        <v>1322</v>
      </c>
      <c r="H309" s="408" t="s">
        <v>1322</v>
      </c>
      <c r="I309" s="408" t="s">
        <v>1322</v>
      </c>
      <c r="J309" s="408" t="s">
        <v>2236</v>
      </c>
      <c r="K309" s="824">
        <v>44531</v>
      </c>
      <c r="L309" s="408">
        <v>0</v>
      </c>
      <c r="M309" s="408">
        <v>0</v>
      </c>
      <c r="N309" s="408">
        <v>112.937</v>
      </c>
      <c r="O309" s="408">
        <v>112.937</v>
      </c>
      <c r="P309" s="408">
        <v>112.937</v>
      </c>
      <c r="Q309" s="408">
        <v>112.937</v>
      </c>
      <c r="R309" s="408"/>
      <c r="S309" s="408">
        <v>581.32000000000005</v>
      </c>
      <c r="T309" s="408">
        <v>209.4</v>
      </c>
      <c r="U309" s="408"/>
      <c r="V309" s="408">
        <v>89301.544640000007</v>
      </c>
      <c r="W309" s="408">
        <v>89301.544640000007</v>
      </c>
      <c r="X309" s="408">
        <v>68221.853589999999</v>
      </c>
      <c r="Y309" s="408">
        <v>0</v>
      </c>
      <c r="Z309" s="408">
        <v>6949.9066566934926</v>
      </c>
      <c r="AA309" s="408">
        <v>0</v>
      </c>
      <c r="AB309" s="408">
        <v>0</v>
      </c>
      <c r="AC309" s="408">
        <v>0</v>
      </c>
      <c r="AD309" s="408">
        <v>8378.9253198049009</v>
      </c>
      <c r="AE309" s="408">
        <v>43526.519708898457</v>
      </c>
      <c r="AF309" s="408">
        <v>23338.515277400991</v>
      </c>
      <c r="AG309" s="408">
        <v>310.91160416049337</v>
      </c>
      <c r="AH309" s="408">
        <v>0</v>
      </c>
      <c r="AI309" s="408">
        <v>0</v>
      </c>
      <c r="AJ309" s="408">
        <v>0</v>
      </c>
      <c r="AK309" s="408">
        <v>0</v>
      </c>
      <c r="AL309" s="408">
        <v>1073.9858809954392</v>
      </c>
      <c r="AM309" s="408"/>
      <c r="AN309" s="408">
        <v>205.88012093676508</v>
      </c>
      <c r="AO309" s="408">
        <v>643.68226029297387</v>
      </c>
      <c r="AP309" s="408">
        <v>969.58559969785699</v>
      </c>
      <c r="AQ309" s="408">
        <v>0</v>
      </c>
      <c r="AR309" s="408">
        <v>0</v>
      </c>
      <c r="AS309" s="408">
        <v>0</v>
      </c>
      <c r="AT309" s="408">
        <v>0</v>
      </c>
      <c r="AU309" s="408">
        <v>0</v>
      </c>
      <c r="AV309" s="408">
        <v>0</v>
      </c>
      <c r="AW309" s="408">
        <v>0</v>
      </c>
      <c r="AX309" s="408">
        <v>0</v>
      </c>
      <c r="AY309" s="408">
        <v>0</v>
      </c>
      <c r="AZ309" s="408">
        <v>0</v>
      </c>
      <c r="BA309" s="408"/>
      <c r="BB309" s="408">
        <v>0</v>
      </c>
      <c r="BC309" s="408">
        <v>0</v>
      </c>
      <c r="BD309" s="408">
        <v>0</v>
      </c>
      <c r="BE309" s="408">
        <v>0</v>
      </c>
      <c r="BF309" s="408">
        <v>0</v>
      </c>
      <c r="BG309" s="408">
        <v>3904.4899768327768</v>
      </c>
      <c r="BH309" s="408">
        <v>0</v>
      </c>
      <c r="BI309" s="408">
        <v>191.75</v>
      </c>
      <c r="BJ309" s="408">
        <v>888.88</v>
      </c>
      <c r="BK309" s="408">
        <v>7768.77</v>
      </c>
      <c r="BL309" s="408">
        <v>711</v>
      </c>
      <c r="BM309" s="408"/>
      <c r="BN309" s="408"/>
      <c r="BO309" s="408"/>
      <c r="BP309" s="408"/>
      <c r="BQ309" s="408"/>
      <c r="BR309" s="408">
        <v>8186.8031299999911</v>
      </c>
      <c r="BS309" s="408"/>
      <c r="BT309" s="408"/>
      <c r="BU309" s="408"/>
      <c r="BV309" s="408">
        <v>27243.005254233769</v>
      </c>
      <c r="BW309" s="408"/>
      <c r="BX309" s="408"/>
      <c r="BY309" s="408"/>
      <c r="BZ309" s="408"/>
      <c r="CA309" s="408"/>
      <c r="CB309" s="408"/>
      <c r="CC309" s="408"/>
      <c r="CD309" s="408"/>
      <c r="CE309" s="408"/>
      <c r="CF309" s="408"/>
      <c r="CG309" s="408"/>
      <c r="CH309" s="408"/>
      <c r="CI309" s="408">
        <v>60036.645200000006</v>
      </c>
      <c r="CJ309" s="408">
        <v>-18550.596249999995</v>
      </c>
      <c r="CK309" s="408"/>
      <c r="CL309" s="408"/>
      <c r="CM309" s="408"/>
      <c r="CN309" s="408"/>
      <c r="CO309" s="408">
        <v>-23658.042760000008</v>
      </c>
      <c r="CP309" s="408">
        <v>2578.3517099999981</v>
      </c>
      <c r="CQ309" s="408"/>
      <c r="CR309" s="408">
        <v>3336.5961262735655</v>
      </c>
      <c r="CS309" s="408">
        <v>77.713066282598561</v>
      </c>
      <c r="CT309" s="408">
        <v>117.0600381959822</v>
      </c>
      <c r="CU309" s="408">
        <v>0</v>
      </c>
      <c r="CV309" s="408">
        <v>0</v>
      </c>
      <c r="CW309" s="408">
        <v>0</v>
      </c>
      <c r="CX309" s="408">
        <v>0</v>
      </c>
      <c r="CY309" s="408">
        <v>0</v>
      </c>
      <c r="CZ309" s="408">
        <v>274.68159737379028</v>
      </c>
      <c r="DA309" s="408">
        <v>0</v>
      </c>
      <c r="DB309" s="408">
        <v>0</v>
      </c>
      <c r="DC309" s="408">
        <v>2577.5706519787163</v>
      </c>
      <c r="DD309" s="408">
        <v>0</v>
      </c>
      <c r="DE309" s="408">
        <v>0</v>
      </c>
      <c r="DF309" s="408">
        <v>0</v>
      </c>
      <c r="DG309" s="408">
        <v>431.22275155926673</v>
      </c>
      <c r="DH309" s="408">
        <v>0</v>
      </c>
      <c r="DI309" s="408">
        <v>-121.15162653094831</v>
      </c>
      <c r="DJ309" s="408"/>
      <c r="DK309" s="408">
        <v>0</v>
      </c>
      <c r="DL309" s="408">
        <v>0</v>
      </c>
      <c r="DM309" s="408">
        <v>0</v>
      </c>
      <c r="DN309" s="408">
        <v>0</v>
      </c>
      <c r="DO309" s="408">
        <v>-15.740307066309015</v>
      </c>
      <c r="DP309" s="408">
        <v>-4.7600455195386644</v>
      </c>
      <c r="DQ309" s="408">
        <v>0</v>
      </c>
      <c r="DR309" s="408">
        <v>0</v>
      </c>
      <c r="DS309" s="408"/>
      <c r="DT309" s="408"/>
      <c r="DU309" s="408"/>
      <c r="DV309" s="408">
        <v>43526.519708898457</v>
      </c>
      <c r="DW309" s="408">
        <v>0</v>
      </c>
      <c r="DX309" s="408">
        <v>0</v>
      </c>
      <c r="DY309" s="408">
        <v>-23658.042760000004</v>
      </c>
      <c r="DZ309" s="408">
        <v>2578.351709999999</v>
      </c>
      <c r="EA309" s="408">
        <v>0</v>
      </c>
      <c r="EB309" s="408">
        <v>0</v>
      </c>
      <c r="EC309" s="408">
        <v>-24417.929198513666</v>
      </c>
      <c r="ED309" s="408">
        <v>0</v>
      </c>
      <c r="EE309" s="408">
        <v>0</v>
      </c>
      <c r="EF309" s="408">
        <v>0</v>
      </c>
      <c r="EG309" s="408">
        <v>0</v>
      </c>
      <c r="EH309" s="408">
        <v>0</v>
      </c>
      <c r="EI309" s="408">
        <v>0</v>
      </c>
      <c r="EJ309" s="408">
        <v>0</v>
      </c>
      <c r="EK309" s="408">
        <v>0</v>
      </c>
      <c r="EL309" s="408">
        <v>0</v>
      </c>
      <c r="EM309" s="408">
        <v>0</v>
      </c>
      <c r="EN309" s="408">
        <v>0</v>
      </c>
      <c r="EO309" s="408">
        <v>0</v>
      </c>
      <c r="EP309" s="408">
        <v>0</v>
      </c>
      <c r="EQ309" s="408">
        <v>0</v>
      </c>
      <c r="ER309" s="408">
        <v>0</v>
      </c>
      <c r="ES309" s="408">
        <v>0</v>
      </c>
      <c r="ET309" s="408">
        <v>0</v>
      </c>
      <c r="EU309" s="408">
        <v>0</v>
      </c>
      <c r="EV309" s="408">
        <v>238</v>
      </c>
      <c r="EW309" s="408">
        <v>0</v>
      </c>
      <c r="EX309" s="408">
        <v>0</v>
      </c>
      <c r="EY309" s="408">
        <v>0</v>
      </c>
      <c r="EZ309" s="408"/>
      <c r="FA309" s="408">
        <v>0</v>
      </c>
      <c r="FB309" s="408"/>
      <c r="FC309" s="408"/>
      <c r="FD309" s="408"/>
      <c r="FE309" s="408"/>
      <c r="FF309" s="408">
        <v>0</v>
      </c>
      <c r="FG309" s="408">
        <v>0</v>
      </c>
      <c r="FH309" s="408">
        <v>0</v>
      </c>
      <c r="FI309" s="408">
        <v>0</v>
      </c>
    </row>
    <row r="310" spans="1:165">
      <c r="A310" s="408">
        <v>314</v>
      </c>
      <c r="B310" s="408" t="s">
        <v>2238</v>
      </c>
      <c r="C310" s="408" t="s">
        <v>2235</v>
      </c>
      <c r="D310" s="408" t="s">
        <v>2245</v>
      </c>
      <c r="E310" s="408" t="s">
        <v>974</v>
      </c>
      <c r="F310" s="408" t="s">
        <v>1322</v>
      </c>
      <c r="G310" s="408" t="s">
        <v>1322</v>
      </c>
      <c r="H310" s="408" t="s">
        <v>1322</v>
      </c>
      <c r="I310" s="408" t="s">
        <v>1322</v>
      </c>
      <c r="J310" s="408" t="s">
        <v>2236</v>
      </c>
      <c r="K310" s="824">
        <v>44531</v>
      </c>
      <c r="L310" s="408">
        <v>0</v>
      </c>
      <c r="M310" s="408">
        <v>0</v>
      </c>
      <c r="N310" s="408">
        <v>-5.36</v>
      </c>
      <c r="O310" s="408">
        <v>-5.36</v>
      </c>
      <c r="P310" s="408">
        <v>-5.36</v>
      </c>
      <c r="Q310" s="408">
        <v>-5.36</v>
      </c>
      <c r="R310" s="408"/>
      <c r="S310" s="408">
        <v>581.32000000000005</v>
      </c>
      <c r="T310" s="408">
        <v>209.4</v>
      </c>
      <c r="U310" s="408"/>
      <c r="V310" s="408">
        <v>-4238.2592000000004</v>
      </c>
      <c r="W310" s="408">
        <v>-4238.2592000000004</v>
      </c>
      <c r="X310" s="408">
        <v>-3237.8152</v>
      </c>
      <c r="Y310" s="408">
        <v>0</v>
      </c>
      <c r="Z310" s="408">
        <v>-329.84318407498978</v>
      </c>
      <c r="AA310" s="408">
        <v>0</v>
      </c>
      <c r="AB310" s="408">
        <v>0</v>
      </c>
      <c r="AC310" s="408">
        <v>0</v>
      </c>
      <c r="AD310" s="408">
        <v>-397.66453610556573</v>
      </c>
      <c r="AE310" s="408">
        <v>-2065.7724717293336</v>
      </c>
      <c r="AF310" s="408">
        <v>-1107.647997439894</v>
      </c>
      <c r="AG310" s="408">
        <v>-14.75589220804736</v>
      </c>
      <c r="AH310" s="408">
        <v>0</v>
      </c>
      <c r="AI310" s="408">
        <v>0</v>
      </c>
      <c r="AJ310" s="408">
        <v>0</v>
      </c>
      <c r="AK310" s="408">
        <v>0</v>
      </c>
      <c r="AL310" s="408">
        <v>-50.971464817867968</v>
      </c>
      <c r="AM310" s="408"/>
      <c r="AN310" s="408">
        <v>-9.7710887328427436</v>
      </c>
      <c r="AO310" s="408">
        <v>-30.549216954322677</v>
      </c>
      <c r="AP310" s="408">
        <v>-46.0166182418562</v>
      </c>
      <c r="AQ310" s="408">
        <v>0</v>
      </c>
      <c r="AR310" s="408">
        <v>0</v>
      </c>
      <c r="AS310" s="408">
        <v>0</v>
      </c>
      <c r="AT310" s="408">
        <v>0</v>
      </c>
      <c r="AU310" s="408">
        <v>0</v>
      </c>
      <c r="AV310" s="408">
        <v>0</v>
      </c>
      <c r="AW310" s="408">
        <v>0</v>
      </c>
      <c r="AX310" s="408">
        <v>0</v>
      </c>
      <c r="AY310" s="408">
        <v>0</v>
      </c>
      <c r="AZ310" s="408">
        <v>0</v>
      </c>
      <c r="BA310" s="408"/>
      <c r="BB310" s="408">
        <v>0</v>
      </c>
      <c r="BC310" s="408">
        <v>0</v>
      </c>
      <c r="BD310" s="408">
        <v>0</v>
      </c>
      <c r="BE310" s="408">
        <v>0</v>
      </c>
      <c r="BF310" s="408">
        <v>0</v>
      </c>
      <c r="BG310" s="408">
        <v>-185.3074393318725</v>
      </c>
      <c r="BH310" s="408">
        <v>0</v>
      </c>
      <c r="BI310" s="408">
        <v>-20.22</v>
      </c>
      <c r="BJ310" s="408">
        <v>-94.6</v>
      </c>
      <c r="BK310" s="408">
        <v>-883.39</v>
      </c>
      <c r="BL310" s="408">
        <v>2</v>
      </c>
      <c r="BM310" s="408"/>
      <c r="BN310" s="408"/>
      <c r="BO310" s="408"/>
      <c r="BP310" s="408"/>
      <c r="BQ310" s="408"/>
      <c r="BR310" s="408">
        <v>-388.54639999999961</v>
      </c>
      <c r="BS310" s="408"/>
      <c r="BT310" s="408"/>
      <c r="BU310" s="408"/>
      <c r="BV310" s="408">
        <v>-1292.9554367717665</v>
      </c>
      <c r="BW310" s="408"/>
      <c r="BX310" s="408"/>
      <c r="BY310" s="408"/>
      <c r="BZ310" s="408"/>
      <c r="CA310" s="408"/>
      <c r="CB310" s="408"/>
      <c r="CC310" s="408"/>
      <c r="CD310" s="408"/>
      <c r="CE310" s="408"/>
      <c r="CF310" s="408"/>
      <c r="CG310" s="408"/>
      <c r="CH310" s="408"/>
      <c r="CI310" s="408">
        <v>-2849.2688000000007</v>
      </c>
      <c r="CJ310" s="408">
        <v>880.45719999999892</v>
      </c>
      <c r="CK310" s="408"/>
      <c r="CL310" s="408"/>
      <c r="CM310" s="408"/>
      <c r="CN310" s="408"/>
      <c r="CO310" s="408">
        <v>1122.8128000000004</v>
      </c>
      <c r="CP310" s="408">
        <v>-122.36879999999992</v>
      </c>
      <c r="CQ310" s="408"/>
      <c r="CR310" s="408">
        <v>-158.35514700077329</v>
      </c>
      <c r="CS310" s="408">
        <v>-3.6882689931088031</v>
      </c>
      <c r="CT310" s="408">
        <v>-5.5556797571253398</v>
      </c>
      <c r="CU310" s="408">
        <v>0</v>
      </c>
      <c r="CV310" s="408">
        <v>0</v>
      </c>
      <c r="CW310" s="408">
        <v>0</v>
      </c>
      <c r="CX310" s="408">
        <v>0</v>
      </c>
      <c r="CY310" s="408">
        <v>0</v>
      </c>
      <c r="CZ310" s="408">
        <v>-13.036412884382571</v>
      </c>
      <c r="DA310" s="408">
        <v>0</v>
      </c>
      <c r="DB310" s="408">
        <v>0</v>
      </c>
      <c r="DC310" s="408">
        <v>-122.33173091728963</v>
      </c>
      <c r="DD310" s="408">
        <v>0</v>
      </c>
      <c r="DE310" s="408">
        <v>0</v>
      </c>
      <c r="DF310" s="408">
        <v>0</v>
      </c>
      <c r="DG310" s="408">
        <v>-20.465869895230725</v>
      </c>
      <c r="DH310" s="408">
        <v>0</v>
      </c>
      <c r="DI310" s="408">
        <v>5.7498669010676622</v>
      </c>
      <c r="DJ310" s="408"/>
      <c r="DK310" s="408">
        <v>0</v>
      </c>
      <c r="DL310" s="408">
        <v>0</v>
      </c>
      <c r="DM310" s="408">
        <v>0</v>
      </c>
      <c r="DN310" s="408">
        <v>0</v>
      </c>
      <c r="DO310" s="408">
        <v>0.74703636430413667</v>
      </c>
      <c r="DP310" s="408">
        <v>0.22591218099229948</v>
      </c>
      <c r="DQ310" s="408">
        <v>0</v>
      </c>
      <c r="DR310" s="408">
        <v>0</v>
      </c>
      <c r="DS310" s="408"/>
      <c r="DT310" s="408"/>
      <c r="DU310" s="408"/>
      <c r="DV310" s="408">
        <v>-2065.7724717293336</v>
      </c>
      <c r="DW310" s="408">
        <v>0</v>
      </c>
      <c r="DX310" s="408">
        <v>0</v>
      </c>
      <c r="DY310" s="408">
        <v>1122.8128000000004</v>
      </c>
      <c r="DZ310" s="408">
        <v>-122.36879999999996</v>
      </c>
      <c r="EA310" s="408">
        <v>0</v>
      </c>
      <c r="EB310" s="408">
        <v>0</v>
      </c>
      <c r="EC310" s="408">
        <v>1158.8770775213902</v>
      </c>
      <c r="ED310" s="408">
        <v>0</v>
      </c>
      <c r="EE310" s="408">
        <v>0</v>
      </c>
      <c r="EF310" s="408">
        <v>0</v>
      </c>
      <c r="EG310" s="408">
        <v>0</v>
      </c>
      <c r="EH310" s="408">
        <v>0</v>
      </c>
      <c r="EI310" s="408">
        <v>0</v>
      </c>
      <c r="EJ310" s="408">
        <v>0</v>
      </c>
      <c r="EK310" s="408">
        <v>0</v>
      </c>
      <c r="EL310" s="408">
        <v>0</v>
      </c>
      <c r="EM310" s="408">
        <v>0</v>
      </c>
      <c r="EN310" s="408">
        <v>0</v>
      </c>
      <c r="EO310" s="408">
        <v>0</v>
      </c>
      <c r="EP310" s="408">
        <v>0</v>
      </c>
      <c r="EQ310" s="408">
        <v>0</v>
      </c>
      <c r="ER310" s="408">
        <v>0</v>
      </c>
      <c r="ES310" s="408">
        <v>0</v>
      </c>
      <c r="ET310" s="408">
        <v>0</v>
      </c>
      <c r="EU310" s="408">
        <v>0</v>
      </c>
      <c r="EV310" s="408">
        <v>238</v>
      </c>
      <c r="EW310" s="408">
        <v>0</v>
      </c>
      <c r="EX310" s="408">
        <v>0</v>
      </c>
      <c r="EY310" s="408">
        <v>0</v>
      </c>
      <c r="EZ310" s="408"/>
      <c r="FA310" s="408">
        <v>0</v>
      </c>
      <c r="FB310" s="408"/>
      <c r="FC310" s="408"/>
      <c r="FD310" s="408"/>
      <c r="FE310" s="408"/>
      <c r="FF310" s="408">
        <v>0</v>
      </c>
      <c r="FG310" s="408">
        <v>0</v>
      </c>
      <c r="FH310" s="408">
        <v>0</v>
      </c>
      <c r="FI310" s="408">
        <v>0</v>
      </c>
    </row>
    <row r="311" spans="1:165">
      <c r="A311" s="408">
        <v>315</v>
      </c>
      <c r="B311" s="408" t="s">
        <v>1036</v>
      </c>
      <c r="C311" s="408" t="s">
        <v>2243</v>
      </c>
      <c r="D311" s="408" t="s">
        <v>597</v>
      </c>
      <c r="E311" s="408" t="s">
        <v>974</v>
      </c>
      <c r="F311" s="408" t="s">
        <v>1322</v>
      </c>
      <c r="G311" s="408" t="s">
        <v>1322</v>
      </c>
      <c r="H311" s="408" t="s">
        <v>1322</v>
      </c>
      <c r="I311" s="408" t="s">
        <v>973</v>
      </c>
      <c r="J311" s="408" t="s">
        <v>2236</v>
      </c>
      <c r="K311" s="824">
        <v>44531</v>
      </c>
      <c r="L311" s="408">
        <v>0</v>
      </c>
      <c r="M311" s="408">
        <v>0</v>
      </c>
      <c r="N311" s="408">
        <v>20.896999999999998</v>
      </c>
      <c r="O311" s="408">
        <v>20.061119999999999</v>
      </c>
      <c r="P311" s="408">
        <v>20.896999999999998</v>
      </c>
      <c r="Q311" s="408">
        <v>20.061119999999999</v>
      </c>
      <c r="R311" s="408"/>
      <c r="S311" s="408">
        <v>1614.19</v>
      </c>
      <c r="T311" s="408">
        <v>209.4</v>
      </c>
      <c r="U311" s="408"/>
      <c r="V311" s="408">
        <v>38107.560229999995</v>
      </c>
      <c r="W311" s="408">
        <v>38107.560229999995</v>
      </c>
      <c r="X311" s="408">
        <v>25330.298549999996</v>
      </c>
      <c r="Y311" s="408">
        <v>0</v>
      </c>
      <c r="Z311" s="408">
        <v>1118.783157709908</v>
      </c>
      <c r="AA311" s="408">
        <v>0</v>
      </c>
      <c r="AB311" s="408">
        <v>0</v>
      </c>
      <c r="AC311" s="408">
        <v>0</v>
      </c>
      <c r="AD311" s="408">
        <v>6507.7017442185052</v>
      </c>
      <c r="AE311" s="408">
        <v>24299.796767526896</v>
      </c>
      <c r="AF311" s="408">
        <v>4318.3806347950494</v>
      </c>
      <c r="AG311" s="408">
        <v>57.528708856635383</v>
      </c>
      <c r="AH311" s="408">
        <v>0</v>
      </c>
      <c r="AI311" s="408">
        <v>0</v>
      </c>
      <c r="AJ311" s="408">
        <v>0</v>
      </c>
      <c r="AK311" s="408">
        <v>0</v>
      </c>
      <c r="AL311" s="408">
        <v>198.72214557816918</v>
      </c>
      <c r="AM311" s="408"/>
      <c r="AN311" s="408">
        <v>27.74796251489418</v>
      </c>
      <c r="AO311" s="408">
        <v>505.60135551463463</v>
      </c>
      <c r="AP311" s="408">
        <v>753.10079402611518</v>
      </c>
      <c r="AQ311" s="408">
        <v>0</v>
      </c>
      <c r="AR311" s="408">
        <v>0</v>
      </c>
      <c r="AS311" s="408">
        <v>0</v>
      </c>
      <c r="AT311" s="408">
        <v>0</v>
      </c>
      <c r="AU311" s="408">
        <v>0</v>
      </c>
      <c r="AV311" s="408">
        <v>0</v>
      </c>
      <c r="AW311" s="408">
        <v>0</v>
      </c>
      <c r="AX311" s="408">
        <v>0</v>
      </c>
      <c r="AY311" s="408">
        <v>0</v>
      </c>
      <c r="AZ311" s="408">
        <v>0</v>
      </c>
      <c r="BA311" s="408"/>
      <c r="BB311" s="408">
        <v>0</v>
      </c>
      <c r="BC311" s="408">
        <v>0</v>
      </c>
      <c r="BD311" s="408">
        <v>0</v>
      </c>
      <c r="BE311" s="408">
        <v>0</v>
      </c>
      <c r="BF311" s="408">
        <v>0</v>
      </c>
      <c r="BG311" s="408">
        <v>320.23474664042686</v>
      </c>
      <c r="BH311" s="408">
        <v>0</v>
      </c>
      <c r="BI311" s="408">
        <v>0</v>
      </c>
      <c r="BJ311" s="408">
        <v>0</v>
      </c>
      <c r="BK311" s="408">
        <v>0</v>
      </c>
      <c r="BL311" s="408">
        <v>0</v>
      </c>
      <c r="BM311" s="408"/>
      <c r="BN311" s="408"/>
      <c r="BO311" s="408"/>
      <c r="BP311" s="408"/>
      <c r="BQ311" s="408"/>
      <c r="BR311" s="408">
        <v>1013.2119419999995</v>
      </c>
      <c r="BS311" s="408"/>
      <c r="BT311" s="408"/>
      <c r="BU311" s="408"/>
      <c r="BV311" s="408">
        <v>4638.6153814354766</v>
      </c>
      <c r="BW311" s="408"/>
      <c r="BX311" s="408"/>
      <c r="BY311" s="408"/>
      <c r="BZ311" s="408"/>
      <c r="CA311" s="408"/>
      <c r="CB311" s="408"/>
      <c r="CC311" s="408"/>
      <c r="CD311" s="408"/>
      <c r="CE311" s="408"/>
      <c r="CF311" s="408"/>
      <c r="CG311" s="408"/>
      <c r="CH311" s="408"/>
      <c r="CI311" s="408">
        <v>24315.728999999999</v>
      </c>
      <c r="CJ311" s="408">
        <v>-12267.558820799997</v>
      </c>
      <c r="CK311" s="408"/>
      <c r="CL311" s="408"/>
      <c r="CM311" s="408"/>
      <c r="CN311" s="408"/>
      <c r="CO311" s="408">
        <v>-13254.340190000001</v>
      </c>
      <c r="CP311" s="408">
        <v>477.07850999999965</v>
      </c>
      <c r="CQ311" s="408"/>
      <c r="CR311" s="408">
        <v>854.54882237906168</v>
      </c>
      <c r="CS311" s="408">
        <v>61.042278275302692</v>
      </c>
      <c r="CT311" s="408">
        <v>90.923388034635309</v>
      </c>
      <c r="CU311" s="408">
        <v>0</v>
      </c>
      <c r="CV311" s="408">
        <v>0</v>
      </c>
      <c r="CW311" s="408">
        <v>0</v>
      </c>
      <c r="CX311" s="408">
        <v>0</v>
      </c>
      <c r="CY311" s="408">
        <v>0</v>
      </c>
      <c r="CZ311" s="408">
        <v>213.33832706553039</v>
      </c>
      <c r="DA311" s="408">
        <v>0</v>
      </c>
      <c r="DB311" s="408">
        <v>0</v>
      </c>
      <c r="DC311" s="408">
        <v>476.93398898854412</v>
      </c>
      <c r="DD311" s="408">
        <v>0</v>
      </c>
      <c r="DE311" s="408">
        <v>0</v>
      </c>
      <c r="DF311" s="408">
        <v>0</v>
      </c>
      <c r="DG311" s="408">
        <v>35.367617642904008</v>
      </c>
      <c r="DH311" s="408">
        <v>0</v>
      </c>
      <c r="DI311" s="408">
        <v>-19.502765430878071</v>
      </c>
      <c r="DJ311" s="408"/>
      <c r="DK311" s="408">
        <v>0</v>
      </c>
      <c r="DL311" s="408">
        <v>0</v>
      </c>
      <c r="DM311" s="408">
        <v>0</v>
      </c>
      <c r="DN311" s="408">
        <v>0</v>
      </c>
      <c r="DO311" s="408">
        <v>-2.9124662135939445</v>
      </c>
      <c r="DP311" s="408">
        <v>-0.6415459833829722</v>
      </c>
      <c r="DQ311" s="408">
        <v>0</v>
      </c>
      <c r="DR311" s="408">
        <v>0</v>
      </c>
      <c r="DS311" s="408"/>
      <c r="DT311" s="408"/>
      <c r="DU311" s="408"/>
      <c r="DV311" s="408">
        <v>24299.796767526896</v>
      </c>
      <c r="DW311" s="408">
        <v>0</v>
      </c>
      <c r="DX311" s="408">
        <v>0</v>
      </c>
      <c r="DY311" s="408">
        <v>-13254.340189999999</v>
      </c>
      <c r="DZ311" s="408">
        <v>477.07850999999937</v>
      </c>
      <c r="EA311" s="408">
        <v>0</v>
      </c>
      <c r="EB311" s="408">
        <v>0</v>
      </c>
      <c r="EC311" s="408">
        <v>-13631.935679122127</v>
      </c>
      <c r="ED311" s="408">
        <v>0</v>
      </c>
      <c r="EE311" s="408">
        <v>0</v>
      </c>
      <c r="EF311" s="408">
        <v>0</v>
      </c>
      <c r="EG311" s="408">
        <v>0</v>
      </c>
      <c r="EH311" s="408">
        <v>0</v>
      </c>
      <c r="EI311" s="408">
        <v>0</v>
      </c>
      <c r="EJ311" s="408">
        <v>0</v>
      </c>
      <c r="EK311" s="408">
        <v>0</v>
      </c>
      <c r="EL311" s="408">
        <v>0</v>
      </c>
      <c r="EM311" s="408">
        <v>0</v>
      </c>
      <c r="EN311" s="408">
        <v>0</v>
      </c>
      <c r="EO311" s="408">
        <v>0</v>
      </c>
      <c r="EP311" s="408">
        <v>0</v>
      </c>
      <c r="EQ311" s="408">
        <v>0</v>
      </c>
      <c r="ER311" s="408">
        <v>0</v>
      </c>
      <c r="ES311" s="408">
        <v>0</v>
      </c>
      <c r="ET311" s="408">
        <v>0</v>
      </c>
      <c r="EU311" s="408">
        <v>0</v>
      </c>
      <c r="EV311" s="408">
        <v>238</v>
      </c>
      <c r="EW311" s="408">
        <v>0</v>
      </c>
      <c r="EX311" s="408">
        <v>0</v>
      </c>
      <c r="EY311" s="408">
        <v>0</v>
      </c>
      <c r="EZ311" s="408"/>
      <c r="FA311" s="408">
        <v>0</v>
      </c>
      <c r="FB311" s="408"/>
      <c r="FC311" s="408"/>
      <c r="FD311" s="408"/>
      <c r="FE311" s="408"/>
      <c r="FF311" s="408">
        <v>0</v>
      </c>
      <c r="FG311" s="408">
        <v>0</v>
      </c>
      <c r="FH311" s="408">
        <v>0</v>
      </c>
      <c r="FI311" s="408">
        <v>0</v>
      </c>
    </row>
    <row r="312" spans="1:165">
      <c r="A312" s="408">
        <v>316</v>
      </c>
      <c r="B312" s="408" t="s">
        <v>1036</v>
      </c>
      <c r="C312" s="408" t="s">
        <v>2243</v>
      </c>
      <c r="D312" s="408" t="s">
        <v>597</v>
      </c>
      <c r="E312" s="408" t="s">
        <v>974</v>
      </c>
      <c r="F312" s="408" t="s">
        <v>1322</v>
      </c>
      <c r="G312" s="408" t="s">
        <v>1322</v>
      </c>
      <c r="H312" s="408" t="s">
        <v>1322</v>
      </c>
      <c r="I312" s="408" t="s">
        <v>2244</v>
      </c>
      <c r="J312" s="408" t="s">
        <v>2236</v>
      </c>
      <c r="K312" s="824">
        <v>44531</v>
      </c>
      <c r="L312" s="408">
        <v>0</v>
      </c>
      <c r="M312" s="408">
        <v>0</v>
      </c>
      <c r="N312" s="408">
        <v>198.578</v>
      </c>
      <c r="O312" s="408">
        <v>190.63488000000001</v>
      </c>
      <c r="P312" s="408">
        <v>198.578</v>
      </c>
      <c r="Q312" s="408">
        <v>190.63488000000001</v>
      </c>
      <c r="R312" s="408"/>
      <c r="S312" s="408">
        <v>79.7</v>
      </c>
      <c r="T312" s="408">
        <v>209.4</v>
      </c>
      <c r="U312" s="408"/>
      <c r="V312" s="408">
        <v>57408.899799999999</v>
      </c>
      <c r="W312" s="408">
        <v>57408.899799999999</v>
      </c>
      <c r="X312" s="408">
        <v>62059.596560000005</v>
      </c>
      <c r="Y312" s="408">
        <v>0</v>
      </c>
      <c r="Z312" s="408">
        <v>10631.464894086144</v>
      </c>
      <c r="AA312" s="408">
        <v>0</v>
      </c>
      <c r="AB312" s="408">
        <v>0</v>
      </c>
      <c r="AC312" s="408">
        <v>0</v>
      </c>
      <c r="AD312" s="408">
        <v>0</v>
      </c>
      <c r="AE312" s="408">
        <v>0</v>
      </c>
      <c r="AF312" s="408">
        <v>41036.291797690166</v>
      </c>
      <c r="AG312" s="408">
        <v>546.6782766585128</v>
      </c>
      <c r="AH312" s="408">
        <v>0</v>
      </c>
      <c r="AI312" s="408">
        <v>0</v>
      </c>
      <c r="AJ312" s="408">
        <v>0</v>
      </c>
      <c r="AK312" s="408">
        <v>0</v>
      </c>
      <c r="AL312" s="408">
        <v>1888.3976754855569</v>
      </c>
      <c r="AM312" s="408"/>
      <c r="AN312" s="408">
        <v>263.68066709492547</v>
      </c>
      <c r="AO312" s="408">
        <v>0</v>
      </c>
      <c r="AP312" s="408">
        <v>0</v>
      </c>
      <c r="AQ312" s="408">
        <v>0</v>
      </c>
      <c r="AR312" s="408">
        <v>0</v>
      </c>
      <c r="AS312" s="408">
        <v>0</v>
      </c>
      <c r="AT312" s="408">
        <v>0</v>
      </c>
      <c r="AU312" s="408">
        <v>0</v>
      </c>
      <c r="AV312" s="408">
        <v>0</v>
      </c>
      <c r="AW312" s="408">
        <v>0</v>
      </c>
      <c r="AX312" s="408">
        <v>0</v>
      </c>
      <c r="AY312" s="408">
        <v>0</v>
      </c>
      <c r="AZ312" s="408">
        <v>0</v>
      </c>
      <c r="BA312" s="408"/>
      <c r="BB312" s="408">
        <v>0</v>
      </c>
      <c r="BC312" s="408">
        <v>0</v>
      </c>
      <c r="BD312" s="408">
        <v>0</v>
      </c>
      <c r="BE312" s="408">
        <v>0</v>
      </c>
      <c r="BF312" s="408">
        <v>0</v>
      </c>
      <c r="BG312" s="408">
        <v>3043.0959237384645</v>
      </c>
      <c r="BH312" s="408">
        <v>0</v>
      </c>
      <c r="BI312" s="408">
        <v>0</v>
      </c>
      <c r="BJ312" s="408">
        <v>0</v>
      </c>
      <c r="BK312" s="408">
        <v>0</v>
      </c>
      <c r="BL312" s="408">
        <v>0</v>
      </c>
      <c r="BM312" s="408"/>
      <c r="BN312" s="408"/>
      <c r="BO312" s="408"/>
      <c r="BP312" s="408"/>
      <c r="BQ312" s="408"/>
      <c r="BR312" s="408">
        <v>2482.3838623999977</v>
      </c>
      <c r="BS312" s="408"/>
      <c r="BT312" s="408"/>
      <c r="BU312" s="408"/>
      <c r="BV312" s="408">
        <v>44079.387721428633</v>
      </c>
      <c r="BW312" s="408"/>
      <c r="BX312" s="408"/>
      <c r="BY312" s="408"/>
      <c r="BZ312" s="408"/>
      <c r="CA312" s="408"/>
      <c r="CB312" s="408"/>
      <c r="CC312" s="408"/>
      <c r="CD312" s="408"/>
      <c r="CE312" s="408"/>
      <c r="CF312" s="408"/>
      <c r="CG312" s="408"/>
      <c r="CH312" s="408"/>
      <c r="CI312" s="408">
        <v>59575.687600000005</v>
      </c>
      <c r="CJ312" s="408">
        <v>4463.1137919999965</v>
      </c>
      <c r="CK312" s="408"/>
      <c r="CL312" s="408"/>
      <c r="CM312" s="408"/>
      <c r="CN312" s="408"/>
      <c r="CO312" s="408">
        <v>117.16102000000068</v>
      </c>
      <c r="CP312" s="408">
        <v>4533.5357399999966</v>
      </c>
      <c r="CQ312" s="408"/>
      <c r="CR312" s="408">
        <v>4649.1486650655934</v>
      </c>
      <c r="CS312" s="408">
        <v>0</v>
      </c>
      <c r="CT312" s="408">
        <v>0</v>
      </c>
      <c r="CU312" s="408">
        <v>0</v>
      </c>
      <c r="CV312" s="408">
        <v>0</v>
      </c>
      <c r="CW312" s="408">
        <v>0</v>
      </c>
      <c r="CX312" s="408">
        <v>0</v>
      </c>
      <c r="CY312" s="408">
        <v>0</v>
      </c>
      <c r="CZ312" s="408">
        <v>0</v>
      </c>
      <c r="DA312" s="408">
        <v>0</v>
      </c>
      <c r="DB312" s="408">
        <v>0</v>
      </c>
      <c r="DC312" s="408">
        <v>4532.1623996443086</v>
      </c>
      <c r="DD312" s="408">
        <v>0</v>
      </c>
      <c r="DE312" s="408">
        <v>0</v>
      </c>
      <c r="DF312" s="408">
        <v>0</v>
      </c>
      <c r="DG312" s="408">
        <v>336.08799235740025</v>
      </c>
      <c r="DH312" s="408">
        <v>0</v>
      </c>
      <c r="DI312" s="408">
        <v>-185.32900194922331</v>
      </c>
      <c r="DJ312" s="408"/>
      <c r="DK312" s="408">
        <v>0</v>
      </c>
      <c r="DL312" s="408">
        <v>0</v>
      </c>
      <c r="DM312" s="408">
        <v>0</v>
      </c>
      <c r="DN312" s="408">
        <v>0</v>
      </c>
      <c r="DO312" s="408">
        <v>-27.676303572907955</v>
      </c>
      <c r="DP312" s="408">
        <v>-6.0964214139935962</v>
      </c>
      <c r="DQ312" s="408">
        <v>0</v>
      </c>
      <c r="DR312" s="408">
        <v>0</v>
      </c>
      <c r="DS312" s="408"/>
      <c r="DT312" s="408"/>
      <c r="DU312" s="408"/>
      <c r="DV312" s="408">
        <v>0</v>
      </c>
      <c r="DW312" s="408">
        <v>0</v>
      </c>
      <c r="DX312" s="408">
        <v>0</v>
      </c>
      <c r="DY312" s="408">
        <v>117.16102000000137</v>
      </c>
      <c r="DZ312" s="408">
        <v>4533.5357399999994</v>
      </c>
      <c r="EA312" s="408">
        <v>0</v>
      </c>
      <c r="EB312" s="408">
        <v>0</v>
      </c>
      <c r="EC312" s="408">
        <v>0</v>
      </c>
      <c r="ED312" s="408">
        <v>0</v>
      </c>
      <c r="EE312" s="408">
        <v>0</v>
      </c>
      <c r="EF312" s="408">
        <v>0</v>
      </c>
      <c r="EG312" s="408">
        <v>0</v>
      </c>
      <c r="EH312" s="408">
        <v>0</v>
      </c>
      <c r="EI312" s="408">
        <v>0</v>
      </c>
      <c r="EJ312" s="408">
        <v>0</v>
      </c>
      <c r="EK312" s="408">
        <v>0</v>
      </c>
      <c r="EL312" s="408">
        <v>0</v>
      </c>
      <c r="EM312" s="408">
        <v>0</v>
      </c>
      <c r="EN312" s="408">
        <v>0</v>
      </c>
      <c r="EO312" s="408">
        <v>0</v>
      </c>
      <c r="EP312" s="408">
        <v>0</v>
      </c>
      <c r="EQ312" s="408">
        <v>0</v>
      </c>
      <c r="ER312" s="408">
        <v>0</v>
      </c>
      <c r="ES312" s="408">
        <v>0</v>
      </c>
      <c r="ET312" s="408">
        <v>0</v>
      </c>
      <c r="EU312" s="408">
        <v>0</v>
      </c>
      <c r="EV312" s="408">
        <v>238</v>
      </c>
      <c r="EW312" s="408">
        <v>0</v>
      </c>
      <c r="EX312" s="408">
        <v>0</v>
      </c>
      <c r="EY312" s="408">
        <v>0</v>
      </c>
      <c r="EZ312" s="408"/>
      <c r="FA312" s="408">
        <v>0</v>
      </c>
      <c r="FB312" s="408"/>
      <c r="FC312" s="408"/>
      <c r="FD312" s="408"/>
      <c r="FE312" s="408"/>
      <c r="FF312" s="408">
        <v>0</v>
      </c>
      <c r="FG312" s="408">
        <v>0</v>
      </c>
      <c r="FH312" s="408">
        <v>0</v>
      </c>
      <c r="FI312" s="408">
        <v>0</v>
      </c>
    </row>
    <row r="313" spans="1:165">
      <c r="A313" s="408">
        <v>317</v>
      </c>
      <c r="B313" s="408" t="s">
        <v>1036</v>
      </c>
      <c r="C313" s="408" t="s">
        <v>2243</v>
      </c>
      <c r="D313" s="408" t="s">
        <v>597</v>
      </c>
      <c r="E313" s="408" t="s">
        <v>974</v>
      </c>
      <c r="F313" s="408" t="s">
        <v>1322</v>
      </c>
      <c r="G313" s="408" t="s">
        <v>1322</v>
      </c>
      <c r="H313" s="408" t="s">
        <v>1322</v>
      </c>
      <c r="I313" s="408" t="s">
        <v>1322</v>
      </c>
      <c r="J313" s="408" t="s">
        <v>2236</v>
      </c>
      <c r="K313" s="824">
        <v>44531</v>
      </c>
      <c r="L313" s="408">
        <v>1832</v>
      </c>
      <c r="M313" s="408">
        <v>1758.72</v>
      </c>
      <c r="N313" s="408">
        <v>0</v>
      </c>
      <c r="O313" s="408">
        <v>0</v>
      </c>
      <c r="P313" s="408">
        <v>0</v>
      </c>
      <c r="Q313" s="408">
        <v>0</v>
      </c>
      <c r="R313" s="408">
        <v>44.35</v>
      </c>
      <c r="S313" s="408"/>
      <c r="T313" s="408"/>
      <c r="U313" s="408">
        <v>81249.2</v>
      </c>
      <c r="V313" s="408"/>
      <c r="W313" s="408">
        <v>81249.2</v>
      </c>
      <c r="X313" s="408">
        <v>53073.04</v>
      </c>
      <c r="Y313" s="408">
        <v>0</v>
      </c>
      <c r="Z313" s="408">
        <v>0</v>
      </c>
      <c r="AA313" s="408">
        <v>0</v>
      </c>
      <c r="AB313" s="408">
        <v>0</v>
      </c>
      <c r="AC313" s="408">
        <v>0</v>
      </c>
      <c r="AD313" s="408">
        <v>24039.620676572267</v>
      </c>
      <c r="AE313" s="408">
        <v>52611.094395486667</v>
      </c>
      <c r="AF313" s="408"/>
      <c r="AG313" s="408"/>
      <c r="AH313" s="408"/>
      <c r="AI313" s="408">
        <v>0</v>
      </c>
      <c r="AJ313" s="408">
        <v>0</v>
      </c>
      <c r="AK313" s="408">
        <v>0</v>
      </c>
      <c r="AL313" s="408">
        <v>0</v>
      </c>
      <c r="AM313" s="408"/>
      <c r="AN313" s="408">
        <v>0</v>
      </c>
      <c r="AO313" s="408">
        <v>1816.8323071228915</v>
      </c>
      <c r="AP313" s="408">
        <v>2779.6778327237307</v>
      </c>
      <c r="AQ313" s="408">
        <v>0</v>
      </c>
      <c r="AR313" s="408">
        <v>0</v>
      </c>
      <c r="AS313" s="408"/>
      <c r="AT313" s="408"/>
      <c r="AU313" s="408">
        <v>0</v>
      </c>
      <c r="AV313" s="408">
        <v>0</v>
      </c>
      <c r="AW313" s="408">
        <v>0</v>
      </c>
      <c r="AX313" s="408"/>
      <c r="AY313" s="408"/>
      <c r="AZ313" s="408">
        <v>0</v>
      </c>
      <c r="BA313" s="408"/>
      <c r="BB313" s="408">
        <v>0</v>
      </c>
      <c r="BC313" s="408">
        <v>0</v>
      </c>
      <c r="BD313" s="408">
        <v>0</v>
      </c>
      <c r="BE313" s="408">
        <v>0</v>
      </c>
      <c r="BF313" s="408"/>
      <c r="BG313" s="408">
        <v>0</v>
      </c>
      <c r="BH313" s="408">
        <v>0</v>
      </c>
      <c r="BI313" s="408">
        <v>429.01</v>
      </c>
      <c r="BJ313" s="408">
        <v>1973.86</v>
      </c>
      <c r="BK313" s="408">
        <v>118.59</v>
      </c>
      <c r="BL313" s="408">
        <v>16</v>
      </c>
      <c r="BM313" s="408"/>
      <c r="BN313" s="408"/>
      <c r="BO313" s="408"/>
      <c r="BP313" s="408"/>
      <c r="BQ313" s="408"/>
      <c r="BR313" s="408">
        <v>2122.9215999999992</v>
      </c>
      <c r="BS313" s="408"/>
      <c r="BT313" s="408"/>
      <c r="BU313" s="408"/>
      <c r="BV313" s="408">
        <v>0</v>
      </c>
      <c r="BW313" s="408"/>
      <c r="BX313" s="408"/>
      <c r="BY313" s="408"/>
      <c r="BZ313" s="408"/>
      <c r="CA313" s="408"/>
      <c r="CB313" s="408"/>
      <c r="CC313" s="408"/>
      <c r="CD313" s="408"/>
      <c r="CE313" s="408"/>
      <c r="CF313" s="408"/>
      <c r="CG313" s="408"/>
      <c r="CH313" s="408"/>
      <c r="CI313" s="408">
        <v>50950.118399999999</v>
      </c>
      <c r="CJ313" s="408">
        <v>-27049.143599999989</v>
      </c>
      <c r="CK313" s="408"/>
      <c r="CL313" s="408"/>
      <c r="CM313" s="408"/>
      <c r="CN313" s="408"/>
      <c r="CO313" s="408">
        <v>-28176.160000000003</v>
      </c>
      <c r="CP313" s="408">
        <v>0</v>
      </c>
      <c r="CQ313" s="408"/>
      <c r="CR313" s="408">
        <v>1343.0233698051852</v>
      </c>
      <c r="CS313" s="408">
        <v>219.34985351863179</v>
      </c>
      <c r="CT313" s="408">
        <v>335.59614888315809</v>
      </c>
      <c r="CU313" s="408">
        <v>0</v>
      </c>
      <c r="CV313" s="408">
        <v>0</v>
      </c>
      <c r="CW313" s="408"/>
      <c r="CX313" s="408"/>
      <c r="CY313" s="408"/>
      <c r="CZ313" s="408">
        <v>788.07736740339533</v>
      </c>
      <c r="DA313" s="408">
        <v>0</v>
      </c>
      <c r="DB313" s="408">
        <v>0</v>
      </c>
      <c r="DC313" s="408"/>
      <c r="DD313" s="408"/>
      <c r="DE313" s="408">
        <v>0</v>
      </c>
      <c r="DF313" s="408">
        <v>0</v>
      </c>
      <c r="DG313" s="408">
        <v>0</v>
      </c>
      <c r="DH313" s="408">
        <v>0</v>
      </c>
      <c r="DI313" s="408">
        <v>0</v>
      </c>
      <c r="DJ313" s="408"/>
      <c r="DK313" s="408">
        <v>0</v>
      </c>
      <c r="DL313" s="408">
        <v>0</v>
      </c>
      <c r="DM313" s="408"/>
      <c r="DN313" s="408">
        <v>0</v>
      </c>
      <c r="DO313" s="408">
        <v>0</v>
      </c>
      <c r="DP313" s="408">
        <v>0</v>
      </c>
      <c r="DQ313" s="408">
        <v>0</v>
      </c>
      <c r="DR313" s="408">
        <v>0</v>
      </c>
      <c r="DS313" s="408"/>
      <c r="DT313" s="408"/>
      <c r="DU313" s="408">
        <v>52611.094395486667</v>
      </c>
      <c r="DV313" s="408"/>
      <c r="DW313" s="408">
        <v>0</v>
      </c>
      <c r="DX313" s="408">
        <v>0</v>
      </c>
      <c r="DY313" s="408">
        <v>-28176.159999999996</v>
      </c>
      <c r="DZ313" s="408"/>
      <c r="EA313" s="408">
        <v>0</v>
      </c>
      <c r="EB313" s="408"/>
      <c r="EC313" s="408">
        <v>-29514.282019260125</v>
      </c>
      <c r="ED313" s="408"/>
      <c r="EE313" s="408">
        <v>0</v>
      </c>
      <c r="EF313" s="408">
        <v>0</v>
      </c>
      <c r="EG313" s="408"/>
      <c r="EH313" s="408">
        <v>0</v>
      </c>
      <c r="EI313" s="408">
        <v>0</v>
      </c>
      <c r="EJ313" s="408">
        <v>0</v>
      </c>
      <c r="EK313" s="408">
        <v>0</v>
      </c>
      <c r="EL313" s="408">
        <v>0</v>
      </c>
      <c r="EM313" s="408"/>
      <c r="EN313" s="408"/>
      <c r="EO313" s="408">
        <v>0</v>
      </c>
      <c r="EP313" s="408">
        <v>0</v>
      </c>
      <c r="EQ313" s="408"/>
      <c r="ER313" s="408">
        <v>0</v>
      </c>
      <c r="ES313" s="408"/>
      <c r="ET313" s="408">
        <v>0</v>
      </c>
      <c r="EU313" s="408"/>
      <c r="EV313" s="408">
        <v>238</v>
      </c>
      <c r="EW313" s="408"/>
      <c r="EX313" s="408"/>
      <c r="EY313" s="408"/>
      <c r="EZ313" s="408"/>
      <c r="FA313" s="408">
        <v>0</v>
      </c>
      <c r="FB313" s="408"/>
      <c r="FC313" s="408"/>
      <c r="FD313" s="408"/>
      <c r="FE313" s="408"/>
      <c r="FF313" s="408">
        <v>0</v>
      </c>
      <c r="FG313" s="408">
        <v>0</v>
      </c>
      <c r="FH313" s="408">
        <v>0</v>
      </c>
      <c r="FI313" s="408">
        <v>0</v>
      </c>
    </row>
    <row r="314" spans="1:165">
      <c r="A314" s="408">
        <v>318</v>
      </c>
      <c r="B314" s="408" t="s">
        <v>2238</v>
      </c>
      <c r="C314" s="408" t="s">
        <v>2243</v>
      </c>
      <c r="D314" s="408" t="s">
        <v>597</v>
      </c>
      <c r="E314" s="408" t="s">
        <v>974</v>
      </c>
      <c r="F314" s="408" t="s">
        <v>1322</v>
      </c>
      <c r="G314" s="408" t="s">
        <v>1322</v>
      </c>
      <c r="H314" s="408" t="s">
        <v>1322</v>
      </c>
      <c r="I314" s="408" t="s">
        <v>1322</v>
      </c>
      <c r="J314" s="408" t="s">
        <v>2236</v>
      </c>
      <c r="K314" s="824">
        <v>44531</v>
      </c>
      <c r="L314" s="408">
        <v>574</v>
      </c>
      <c r="M314" s="408">
        <v>551.04</v>
      </c>
      <c r="N314" s="408">
        <v>0</v>
      </c>
      <c r="O314" s="408">
        <v>0</v>
      </c>
      <c r="P314" s="408">
        <v>0</v>
      </c>
      <c r="Q314" s="408">
        <v>0</v>
      </c>
      <c r="R314" s="408">
        <v>44.35</v>
      </c>
      <c r="S314" s="408"/>
      <c r="T314" s="408"/>
      <c r="U314" s="408">
        <v>25456.9</v>
      </c>
      <c r="V314" s="408"/>
      <c r="W314" s="408">
        <v>25456.9</v>
      </c>
      <c r="X314" s="408">
        <v>16628.78</v>
      </c>
      <c r="Y314" s="408">
        <v>0</v>
      </c>
      <c r="Z314" s="408">
        <v>0</v>
      </c>
      <c r="AA314" s="408">
        <v>0</v>
      </c>
      <c r="AB314" s="408">
        <v>0</v>
      </c>
      <c r="AC314" s="408">
        <v>0</v>
      </c>
      <c r="AD314" s="408">
        <v>7532.0645569609624</v>
      </c>
      <c r="AE314" s="408">
        <v>16484.043768018204</v>
      </c>
      <c r="AF314" s="408"/>
      <c r="AG314" s="408"/>
      <c r="AH314" s="408"/>
      <c r="AI314" s="408">
        <v>0</v>
      </c>
      <c r="AJ314" s="408">
        <v>0</v>
      </c>
      <c r="AK314" s="408">
        <v>0</v>
      </c>
      <c r="AL314" s="408">
        <v>0</v>
      </c>
      <c r="AM314" s="408"/>
      <c r="AN314" s="408">
        <v>0</v>
      </c>
      <c r="AO314" s="408">
        <v>569.2476770133951</v>
      </c>
      <c r="AP314" s="408">
        <v>870.92525981627807</v>
      </c>
      <c r="AQ314" s="408">
        <v>0</v>
      </c>
      <c r="AR314" s="408">
        <v>0</v>
      </c>
      <c r="AS314" s="408"/>
      <c r="AT314" s="408"/>
      <c r="AU314" s="408">
        <v>0</v>
      </c>
      <c r="AV314" s="408">
        <v>0</v>
      </c>
      <c r="AW314" s="408">
        <v>0</v>
      </c>
      <c r="AX314" s="408"/>
      <c r="AY314" s="408"/>
      <c r="AZ314" s="408">
        <v>0</v>
      </c>
      <c r="BA314" s="408"/>
      <c r="BB314" s="408">
        <v>0</v>
      </c>
      <c r="BC314" s="408">
        <v>0</v>
      </c>
      <c r="BD314" s="408">
        <v>0</v>
      </c>
      <c r="BE314" s="408">
        <v>0</v>
      </c>
      <c r="BF314" s="408"/>
      <c r="BG314" s="408">
        <v>0</v>
      </c>
      <c r="BH314" s="408">
        <v>0</v>
      </c>
      <c r="BI314" s="408">
        <v>44.37</v>
      </c>
      <c r="BJ314" s="408">
        <v>204.29</v>
      </c>
      <c r="BK314" s="408">
        <v>22.68</v>
      </c>
      <c r="BL314" s="408">
        <v>8</v>
      </c>
      <c r="BM314" s="408"/>
      <c r="BN314" s="408"/>
      <c r="BO314" s="408"/>
      <c r="BP314" s="408"/>
      <c r="BQ314" s="408"/>
      <c r="BR314" s="408">
        <v>665.15120000000104</v>
      </c>
      <c r="BS314" s="408"/>
      <c r="BT314" s="408"/>
      <c r="BU314" s="408"/>
      <c r="BV314" s="408">
        <v>0</v>
      </c>
      <c r="BW314" s="408"/>
      <c r="BX314" s="408"/>
      <c r="BY314" s="408"/>
      <c r="BZ314" s="408"/>
      <c r="CA314" s="408"/>
      <c r="CB314" s="408"/>
      <c r="CC314" s="408"/>
      <c r="CD314" s="408"/>
      <c r="CE314" s="408"/>
      <c r="CF314" s="408"/>
      <c r="CG314" s="408"/>
      <c r="CH314" s="408"/>
      <c r="CI314" s="408">
        <v>15963.628799999999</v>
      </c>
      <c r="CJ314" s="408">
        <v>-8475.0251999999964</v>
      </c>
      <c r="CK314" s="408"/>
      <c r="CL314" s="408"/>
      <c r="CM314" s="408"/>
      <c r="CN314" s="408"/>
      <c r="CO314" s="408">
        <v>-8828.1200000000008</v>
      </c>
      <c r="CP314" s="408">
        <v>0</v>
      </c>
      <c r="CQ314" s="408"/>
      <c r="CR314" s="408">
        <v>420.79444010271436</v>
      </c>
      <c r="CS314" s="408">
        <v>68.726427903763465</v>
      </c>
      <c r="CT314" s="408">
        <v>105.14857503216854</v>
      </c>
      <c r="CU314" s="408">
        <v>0</v>
      </c>
      <c r="CV314" s="408">
        <v>0</v>
      </c>
      <c r="CW314" s="408"/>
      <c r="CX314" s="408"/>
      <c r="CY314" s="408"/>
      <c r="CZ314" s="408">
        <v>246.9194371667827</v>
      </c>
      <c r="DA314" s="408">
        <v>0</v>
      </c>
      <c r="DB314" s="408">
        <v>0</v>
      </c>
      <c r="DC314" s="408"/>
      <c r="DD314" s="408"/>
      <c r="DE314" s="408">
        <v>0</v>
      </c>
      <c r="DF314" s="408">
        <v>0</v>
      </c>
      <c r="DG314" s="408">
        <v>0</v>
      </c>
      <c r="DH314" s="408">
        <v>0</v>
      </c>
      <c r="DI314" s="408">
        <v>0</v>
      </c>
      <c r="DJ314" s="408"/>
      <c r="DK314" s="408">
        <v>0</v>
      </c>
      <c r="DL314" s="408">
        <v>0</v>
      </c>
      <c r="DM314" s="408"/>
      <c r="DN314" s="408">
        <v>0</v>
      </c>
      <c r="DO314" s="408">
        <v>0</v>
      </c>
      <c r="DP314" s="408">
        <v>0</v>
      </c>
      <c r="DQ314" s="408">
        <v>0</v>
      </c>
      <c r="DR314" s="408">
        <v>0</v>
      </c>
      <c r="DS314" s="408"/>
      <c r="DT314" s="408"/>
      <c r="DU314" s="408">
        <v>16484.043768018204</v>
      </c>
      <c r="DV314" s="408"/>
      <c r="DW314" s="408">
        <v>0</v>
      </c>
      <c r="DX314" s="408">
        <v>0</v>
      </c>
      <c r="DY314" s="408">
        <v>-8828.1200000000026</v>
      </c>
      <c r="DZ314" s="408"/>
      <c r="EA314" s="408">
        <v>0</v>
      </c>
      <c r="EB314" s="408"/>
      <c r="EC314" s="408">
        <v>-9247.3787549428562</v>
      </c>
      <c r="ED314" s="408"/>
      <c r="EE314" s="408">
        <v>0</v>
      </c>
      <c r="EF314" s="408">
        <v>0</v>
      </c>
      <c r="EG314" s="408"/>
      <c r="EH314" s="408">
        <v>0</v>
      </c>
      <c r="EI314" s="408">
        <v>0</v>
      </c>
      <c r="EJ314" s="408">
        <v>0</v>
      </c>
      <c r="EK314" s="408">
        <v>0</v>
      </c>
      <c r="EL314" s="408">
        <v>0</v>
      </c>
      <c r="EM314" s="408"/>
      <c r="EN314" s="408"/>
      <c r="EO314" s="408">
        <v>0</v>
      </c>
      <c r="EP314" s="408">
        <v>0</v>
      </c>
      <c r="EQ314" s="408"/>
      <c r="ER314" s="408">
        <v>0</v>
      </c>
      <c r="ES314" s="408"/>
      <c r="ET314" s="408">
        <v>0</v>
      </c>
      <c r="EU314" s="408"/>
      <c r="EV314" s="408">
        <v>238</v>
      </c>
      <c r="EW314" s="408"/>
      <c r="EX314" s="408"/>
      <c r="EY314" s="408"/>
      <c r="EZ314" s="408"/>
      <c r="FA314" s="408">
        <v>0</v>
      </c>
      <c r="FB314" s="408"/>
      <c r="FC314" s="408"/>
      <c r="FD314" s="408"/>
      <c r="FE314" s="408"/>
      <c r="FF314" s="408">
        <v>0</v>
      </c>
      <c r="FG314" s="408">
        <v>0</v>
      </c>
      <c r="FH314" s="408">
        <v>0</v>
      </c>
      <c r="FI314" s="408">
        <v>0</v>
      </c>
    </row>
    <row r="315" spans="1:165">
      <c r="A315" s="408">
        <v>319</v>
      </c>
      <c r="B315" s="408" t="s">
        <v>1036</v>
      </c>
      <c r="C315" s="408" t="s">
        <v>2235</v>
      </c>
      <c r="D315" s="408" t="s">
        <v>1958</v>
      </c>
      <c r="E315" s="408" t="s">
        <v>2246</v>
      </c>
      <c r="F315" s="408" t="s">
        <v>1322</v>
      </c>
      <c r="G315" s="408" t="s">
        <v>1322</v>
      </c>
      <c r="H315" s="408" t="s">
        <v>1322</v>
      </c>
      <c r="I315" s="408" t="s">
        <v>1322</v>
      </c>
      <c r="J315" s="408" t="s">
        <v>2236</v>
      </c>
      <c r="K315" s="824">
        <v>44531</v>
      </c>
      <c r="L315" s="408">
        <v>0</v>
      </c>
      <c r="M315" s="408">
        <v>0</v>
      </c>
      <c r="N315" s="408">
        <v>322.22199999999998</v>
      </c>
      <c r="O315" s="408">
        <v>322.22199999999998</v>
      </c>
      <c r="P315" s="408">
        <v>322.22199999999998</v>
      </c>
      <c r="Q315" s="408">
        <v>322.22199999999998</v>
      </c>
      <c r="R315" s="408"/>
      <c r="S315" s="408">
        <v>581.32000000000005</v>
      </c>
      <c r="T315" s="408">
        <v>209.4</v>
      </c>
      <c r="U315" s="408"/>
      <c r="V315" s="408">
        <v>254787.37984000001</v>
      </c>
      <c r="W315" s="408">
        <v>254787.37984000001</v>
      </c>
      <c r="X315" s="408">
        <v>194644.64353999996</v>
      </c>
      <c r="Y315" s="408">
        <v>0</v>
      </c>
      <c r="Z315" s="408">
        <v>19828.867622949878</v>
      </c>
      <c r="AA315" s="408">
        <v>0</v>
      </c>
      <c r="AB315" s="408">
        <v>0</v>
      </c>
      <c r="AC315" s="408">
        <v>0</v>
      </c>
      <c r="AD315" s="408">
        <v>23906.019058396938</v>
      </c>
      <c r="AE315" s="408">
        <v>124186.07040775545</v>
      </c>
      <c r="AF315" s="408">
        <v>66587.416610275657</v>
      </c>
      <c r="AG315" s="408">
        <v>887.06587669056637</v>
      </c>
      <c r="AH315" s="408">
        <v>0</v>
      </c>
      <c r="AI315" s="408">
        <v>0</v>
      </c>
      <c r="AJ315" s="408">
        <v>0</v>
      </c>
      <c r="AK315" s="408">
        <v>0</v>
      </c>
      <c r="AL315" s="408">
        <v>3064.2028612953454</v>
      </c>
      <c r="AM315" s="408"/>
      <c r="AN315" s="408">
        <v>587.39920777501015</v>
      </c>
      <c r="AO315" s="408">
        <v>1836.4980943014477</v>
      </c>
      <c r="AP315" s="408">
        <v>2766.3370826730197</v>
      </c>
      <c r="AQ315" s="408">
        <v>0</v>
      </c>
      <c r="AR315" s="408">
        <v>0</v>
      </c>
      <c r="AS315" s="408">
        <v>0</v>
      </c>
      <c r="AT315" s="408">
        <v>0</v>
      </c>
      <c r="AU315" s="408">
        <v>0</v>
      </c>
      <c r="AV315" s="408">
        <v>0</v>
      </c>
      <c r="AW315" s="408">
        <v>0</v>
      </c>
      <c r="AX315" s="408">
        <v>0</v>
      </c>
      <c r="AY315" s="408">
        <v>0</v>
      </c>
      <c r="AZ315" s="408">
        <v>0</v>
      </c>
      <c r="BA315" s="408"/>
      <c r="BB315" s="408">
        <v>0</v>
      </c>
      <c r="BC315" s="408">
        <v>0</v>
      </c>
      <c r="BD315" s="408">
        <v>0</v>
      </c>
      <c r="BE315" s="408">
        <v>0</v>
      </c>
      <c r="BF315" s="408">
        <v>0</v>
      </c>
      <c r="BG315" s="408">
        <v>11139.950320222877</v>
      </c>
      <c r="BH315" s="408">
        <v>0</v>
      </c>
      <c r="BI315" s="408">
        <v>606.76</v>
      </c>
      <c r="BJ315" s="408">
        <v>2803.67</v>
      </c>
      <c r="BK315" s="408">
        <v>89774.99</v>
      </c>
      <c r="BL315" s="408">
        <v>480</v>
      </c>
      <c r="BM315" s="408"/>
      <c r="BN315" s="408"/>
      <c r="BO315" s="408"/>
      <c r="BP315" s="408"/>
      <c r="BQ315" s="408"/>
      <c r="BR315" s="408"/>
      <c r="BS315" s="408"/>
      <c r="BT315" s="408"/>
      <c r="BU315" s="408"/>
      <c r="BV315" s="408">
        <v>77727.366930498538</v>
      </c>
      <c r="BW315" s="408"/>
      <c r="BX315" s="408"/>
      <c r="BY315" s="408"/>
      <c r="BZ315" s="408"/>
      <c r="CA315" s="408"/>
      <c r="CB315" s="408"/>
      <c r="CC315" s="408"/>
      <c r="CD315" s="408"/>
      <c r="CE315" s="408"/>
      <c r="CF315" s="408"/>
      <c r="CG315" s="408"/>
      <c r="CH315" s="408"/>
      <c r="CI315" s="408">
        <v>194643.43540000002</v>
      </c>
      <c r="CJ315" s="408">
        <v>-60143.97444000002</v>
      </c>
      <c r="CK315" s="408"/>
      <c r="CL315" s="408"/>
      <c r="CM315" s="408"/>
      <c r="CN315" s="408"/>
      <c r="CO315" s="408">
        <v>-67499.064560000013</v>
      </c>
      <c r="CP315" s="408">
        <v>7356.3282599999948</v>
      </c>
      <c r="CQ315" s="408"/>
      <c r="CR315" s="408">
        <v>9519.6851076273888</v>
      </c>
      <c r="CS315" s="408">
        <v>221.72414393610165</v>
      </c>
      <c r="CT315" s="408">
        <v>333.98549304112703</v>
      </c>
      <c r="CU315" s="408">
        <v>0</v>
      </c>
      <c r="CV315" s="408">
        <v>0</v>
      </c>
      <c r="CW315" s="408">
        <v>0</v>
      </c>
      <c r="CX315" s="408">
        <v>0</v>
      </c>
      <c r="CY315" s="408">
        <v>0</v>
      </c>
      <c r="CZ315" s="408">
        <v>783.69758067752264</v>
      </c>
      <c r="DA315" s="408">
        <v>0</v>
      </c>
      <c r="DB315" s="408">
        <v>0</v>
      </c>
      <c r="DC315" s="408">
        <v>7354.0998133639659</v>
      </c>
      <c r="DD315" s="408">
        <v>0</v>
      </c>
      <c r="DE315" s="408">
        <v>0</v>
      </c>
      <c r="DF315" s="408">
        <v>0</v>
      </c>
      <c r="DG315" s="408">
        <v>1230.3271510039212</v>
      </c>
      <c r="DH315" s="408">
        <v>0</v>
      </c>
      <c r="DI315" s="408">
        <v>-345.65925608131147</v>
      </c>
      <c r="DJ315" s="408"/>
      <c r="DK315" s="408">
        <v>0</v>
      </c>
      <c r="DL315" s="408">
        <v>0</v>
      </c>
      <c r="DM315" s="408">
        <v>0</v>
      </c>
      <c r="DN315" s="408">
        <v>0</v>
      </c>
      <c r="DO315" s="408">
        <v>-44.908871525896757</v>
      </c>
      <c r="DP315" s="408">
        <v>-13.580946788003871</v>
      </c>
      <c r="DQ315" s="408">
        <v>0</v>
      </c>
      <c r="DR315" s="408">
        <v>0</v>
      </c>
      <c r="DS315" s="408"/>
      <c r="DT315" s="408"/>
      <c r="DU315" s="408"/>
      <c r="DV315" s="408">
        <v>124186.07040775545</v>
      </c>
      <c r="DW315" s="408">
        <v>0</v>
      </c>
      <c r="DX315" s="408">
        <v>0</v>
      </c>
      <c r="DY315" s="408">
        <v>-67499.064560000028</v>
      </c>
      <c r="DZ315" s="408">
        <v>7356.3282599999948</v>
      </c>
      <c r="EA315" s="408">
        <v>0</v>
      </c>
      <c r="EB315" s="408">
        <v>0</v>
      </c>
      <c r="EC315" s="408">
        <v>-69667.106282294291</v>
      </c>
      <c r="ED315" s="408">
        <v>0</v>
      </c>
      <c r="EE315" s="408">
        <v>0</v>
      </c>
      <c r="EF315" s="408">
        <v>0</v>
      </c>
      <c r="EG315" s="408">
        <v>0</v>
      </c>
      <c r="EH315" s="408">
        <v>0</v>
      </c>
      <c r="EI315" s="408">
        <v>0</v>
      </c>
      <c r="EJ315" s="408">
        <v>0</v>
      </c>
      <c r="EK315" s="408">
        <v>0</v>
      </c>
      <c r="EL315" s="408">
        <v>0</v>
      </c>
      <c r="EM315" s="408">
        <v>0</v>
      </c>
      <c r="EN315" s="408">
        <v>0</v>
      </c>
      <c r="EO315" s="408">
        <v>0</v>
      </c>
      <c r="EP315" s="408">
        <v>0</v>
      </c>
      <c r="EQ315" s="408">
        <v>0</v>
      </c>
      <c r="ER315" s="408">
        <v>0</v>
      </c>
      <c r="ES315" s="408">
        <v>0</v>
      </c>
      <c r="ET315" s="408">
        <v>0</v>
      </c>
      <c r="EU315" s="408">
        <v>0</v>
      </c>
      <c r="EV315" s="408">
        <v>238</v>
      </c>
      <c r="EW315" s="408">
        <v>0</v>
      </c>
      <c r="EX315" s="408">
        <v>0</v>
      </c>
      <c r="EY315" s="408">
        <v>0</v>
      </c>
      <c r="EZ315" s="408"/>
      <c r="FA315" s="408">
        <v>0</v>
      </c>
      <c r="FB315" s="408"/>
      <c r="FC315" s="408"/>
      <c r="FD315" s="408"/>
      <c r="FE315" s="408"/>
      <c r="FF315" s="408">
        <v>0</v>
      </c>
      <c r="FG315" s="408">
        <v>0</v>
      </c>
      <c r="FH315" s="408">
        <v>0</v>
      </c>
      <c r="FI315" s="408">
        <v>0</v>
      </c>
    </row>
    <row r="316" spans="1:165">
      <c r="A316" s="408">
        <v>320</v>
      </c>
      <c r="B316" s="408" t="s">
        <v>2238</v>
      </c>
      <c r="C316" s="408" t="s">
        <v>2235</v>
      </c>
      <c r="D316" s="408" t="s">
        <v>1958</v>
      </c>
      <c r="E316" s="408" t="s">
        <v>2246</v>
      </c>
      <c r="F316" s="408" t="s">
        <v>1322</v>
      </c>
      <c r="G316" s="408" t="s">
        <v>1322</v>
      </c>
      <c r="H316" s="408" t="s">
        <v>1322</v>
      </c>
      <c r="I316" s="408" t="s">
        <v>1322</v>
      </c>
      <c r="J316" s="408" t="s">
        <v>2236</v>
      </c>
      <c r="K316" s="824">
        <v>44531</v>
      </c>
      <c r="L316" s="408">
        <v>0</v>
      </c>
      <c r="M316" s="408">
        <v>0</v>
      </c>
      <c r="N316" s="408">
        <v>3.4089999999999998</v>
      </c>
      <c r="O316" s="408">
        <v>3.4089999999999998</v>
      </c>
      <c r="P316" s="408">
        <v>3.4089999999999998</v>
      </c>
      <c r="Q316" s="408">
        <v>3.4089999999999998</v>
      </c>
      <c r="R316" s="408"/>
      <c r="S316" s="408">
        <v>581.32000000000005</v>
      </c>
      <c r="T316" s="408">
        <v>209.4</v>
      </c>
      <c r="U316" s="408"/>
      <c r="V316" s="408">
        <v>2695.56448</v>
      </c>
      <c r="W316" s="408">
        <v>2695.56448</v>
      </c>
      <c r="X316" s="408">
        <v>2059.2746299999999</v>
      </c>
      <c r="Y316" s="408">
        <v>0</v>
      </c>
      <c r="Z316" s="408">
        <v>209.78272658799256</v>
      </c>
      <c r="AA316" s="408">
        <v>0</v>
      </c>
      <c r="AB316" s="408">
        <v>0</v>
      </c>
      <c r="AC316" s="408">
        <v>0</v>
      </c>
      <c r="AD316" s="408">
        <v>252.91761260893159</v>
      </c>
      <c r="AE316" s="408">
        <v>1313.8467082323316</v>
      </c>
      <c r="AF316" s="408">
        <v>704.47239240160422</v>
      </c>
      <c r="AG316" s="408">
        <v>9.3848575629166877</v>
      </c>
      <c r="AH316" s="408">
        <v>0</v>
      </c>
      <c r="AI316" s="408">
        <v>0</v>
      </c>
      <c r="AJ316" s="408">
        <v>0</v>
      </c>
      <c r="AK316" s="408">
        <v>0</v>
      </c>
      <c r="AL316" s="408">
        <v>32.418232008229829</v>
      </c>
      <c r="AM316" s="408"/>
      <c r="AN316" s="408">
        <v>6.214485352660617</v>
      </c>
      <c r="AO316" s="408">
        <v>19.429529962180222</v>
      </c>
      <c r="AP316" s="408">
        <v>29.266912609419361</v>
      </c>
      <c r="AQ316" s="408">
        <v>0</v>
      </c>
      <c r="AR316" s="408">
        <v>0</v>
      </c>
      <c r="AS316" s="408">
        <v>0</v>
      </c>
      <c r="AT316" s="408">
        <v>0</v>
      </c>
      <c r="AU316" s="408">
        <v>0</v>
      </c>
      <c r="AV316" s="408">
        <v>0</v>
      </c>
      <c r="AW316" s="408">
        <v>0</v>
      </c>
      <c r="AX316" s="408">
        <v>0</v>
      </c>
      <c r="AY316" s="408">
        <v>0</v>
      </c>
      <c r="AZ316" s="408">
        <v>0</v>
      </c>
      <c r="BA316" s="408"/>
      <c r="BB316" s="408">
        <v>0</v>
      </c>
      <c r="BC316" s="408">
        <v>0</v>
      </c>
      <c r="BD316" s="408">
        <v>0</v>
      </c>
      <c r="BE316" s="408">
        <v>0</v>
      </c>
      <c r="BF316" s="408">
        <v>0</v>
      </c>
      <c r="BG316" s="408">
        <v>117.85691430640921</v>
      </c>
      <c r="BH316" s="408">
        <v>0</v>
      </c>
      <c r="BI316" s="408">
        <v>6.43</v>
      </c>
      <c r="BJ316" s="408">
        <v>29.66</v>
      </c>
      <c r="BK316" s="408">
        <v>724.35</v>
      </c>
      <c r="BL316" s="408">
        <v>3</v>
      </c>
      <c r="BM316" s="408"/>
      <c r="BN316" s="408"/>
      <c r="BO316" s="408"/>
      <c r="BP316" s="408"/>
      <c r="BQ316" s="408"/>
      <c r="BR316" s="408"/>
      <c r="BS316" s="408"/>
      <c r="BT316" s="408"/>
      <c r="BU316" s="408"/>
      <c r="BV316" s="408">
        <v>822.32930670801341</v>
      </c>
      <c r="BW316" s="408"/>
      <c r="BX316" s="408"/>
      <c r="BY316" s="408"/>
      <c r="BZ316" s="408"/>
      <c r="CA316" s="408"/>
      <c r="CB316" s="408"/>
      <c r="CC316" s="408"/>
      <c r="CD316" s="408"/>
      <c r="CE316" s="408"/>
      <c r="CF316" s="408"/>
      <c r="CG316" s="408"/>
      <c r="CH316" s="408"/>
      <c r="CI316" s="408">
        <v>2059.8787000000002</v>
      </c>
      <c r="CJ316" s="408">
        <v>-635.71578</v>
      </c>
      <c r="CK316" s="408"/>
      <c r="CL316" s="408"/>
      <c r="CM316" s="408"/>
      <c r="CN316" s="408"/>
      <c r="CO316" s="408">
        <v>-714.11732000000018</v>
      </c>
      <c r="CP316" s="408">
        <v>77.827469999999948</v>
      </c>
      <c r="CQ316" s="408"/>
      <c r="CR316" s="408">
        <v>100.71505524731992</v>
      </c>
      <c r="CS316" s="408">
        <v>2.3457666040126668</v>
      </c>
      <c r="CT316" s="408">
        <v>3.5334537858284101</v>
      </c>
      <c r="CU316" s="408">
        <v>0</v>
      </c>
      <c r="CV316" s="408">
        <v>0</v>
      </c>
      <c r="CW316" s="408">
        <v>0</v>
      </c>
      <c r="CX316" s="408">
        <v>0</v>
      </c>
      <c r="CY316" s="408">
        <v>0</v>
      </c>
      <c r="CZ316" s="408">
        <v>8.2912558811306383</v>
      </c>
      <c r="DA316" s="408">
        <v>0</v>
      </c>
      <c r="DB316" s="408">
        <v>0</v>
      </c>
      <c r="DC316" s="408">
        <v>77.803893786761137</v>
      </c>
      <c r="DD316" s="408">
        <v>0</v>
      </c>
      <c r="DE316" s="408">
        <v>0</v>
      </c>
      <c r="DF316" s="408">
        <v>0</v>
      </c>
      <c r="DG316" s="408">
        <v>13.016445983739061</v>
      </c>
      <c r="DH316" s="408">
        <v>0</v>
      </c>
      <c r="DI316" s="408">
        <v>-3.6569582585335354</v>
      </c>
      <c r="DJ316" s="408"/>
      <c r="DK316" s="408">
        <v>0</v>
      </c>
      <c r="DL316" s="408">
        <v>0</v>
      </c>
      <c r="DM316" s="408">
        <v>0</v>
      </c>
      <c r="DN316" s="408">
        <v>0</v>
      </c>
      <c r="DO316" s="408">
        <v>-0.47512070259567096</v>
      </c>
      <c r="DP316" s="408">
        <v>-0.14368183302290038</v>
      </c>
      <c r="DQ316" s="408">
        <v>0</v>
      </c>
      <c r="DR316" s="408">
        <v>0</v>
      </c>
      <c r="DS316" s="408"/>
      <c r="DT316" s="408"/>
      <c r="DU316" s="408"/>
      <c r="DV316" s="408">
        <v>1313.8467082323316</v>
      </c>
      <c r="DW316" s="408">
        <v>0</v>
      </c>
      <c r="DX316" s="408">
        <v>0</v>
      </c>
      <c r="DY316" s="408">
        <v>-714.11732000000029</v>
      </c>
      <c r="DZ316" s="408">
        <v>77.827469999999948</v>
      </c>
      <c r="EA316" s="408">
        <v>0</v>
      </c>
      <c r="EB316" s="408">
        <v>0</v>
      </c>
      <c r="EC316" s="408">
        <v>-737.05446964000362</v>
      </c>
      <c r="ED316" s="408">
        <v>0</v>
      </c>
      <c r="EE316" s="408">
        <v>0</v>
      </c>
      <c r="EF316" s="408">
        <v>0</v>
      </c>
      <c r="EG316" s="408">
        <v>0</v>
      </c>
      <c r="EH316" s="408">
        <v>0</v>
      </c>
      <c r="EI316" s="408">
        <v>0</v>
      </c>
      <c r="EJ316" s="408">
        <v>0</v>
      </c>
      <c r="EK316" s="408">
        <v>0</v>
      </c>
      <c r="EL316" s="408">
        <v>0</v>
      </c>
      <c r="EM316" s="408">
        <v>0</v>
      </c>
      <c r="EN316" s="408">
        <v>0</v>
      </c>
      <c r="EO316" s="408">
        <v>0</v>
      </c>
      <c r="EP316" s="408">
        <v>0</v>
      </c>
      <c r="EQ316" s="408">
        <v>0</v>
      </c>
      <c r="ER316" s="408">
        <v>0</v>
      </c>
      <c r="ES316" s="408">
        <v>0</v>
      </c>
      <c r="ET316" s="408">
        <v>0</v>
      </c>
      <c r="EU316" s="408">
        <v>0</v>
      </c>
      <c r="EV316" s="408">
        <v>238</v>
      </c>
      <c r="EW316" s="408">
        <v>0</v>
      </c>
      <c r="EX316" s="408">
        <v>0</v>
      </c>
      <c r="EY316" s="408">
        <v>0</v>
      </c>
      <c r="EZ316" s="408"/>
      <c r="FA316" s="408">
        <v>0</v>
      </c>
      <c r="FB316" s="408"/>
      <c r="FC316" s="408"/>
      <c r="FD316" s="408"/>
      <c r="FE316" s="408"/>
      <c r="FF316" s="408">
        <v>0</v>
      </c>
      <c r="FG316" s="408">
        <v>0</v>
      </c>
      <c r="FH316" s="408">
        <v>0</v>
      </c>
      <c r="FI316" s="408">
        <v>0</v>
      </c>
    </row>
    <row r="317" spans="1:165">
      <c r="A317" s="408">
        <v>321</v>
      </c>
      <c r="B317" s="408" t="s">
        <v>1036</v>
      </c>
      <c r="C317" s="408" t="s">
        <v>2243</v>
      </c>
      <c r="D317" s="408" t="s">
        <v>597</v>
      </c>
      <c r="E317" s="408" t="s">
        <v>2246</v>
      </c>
      <c r="F317" s="408" t="s">
        <v>1322</v>
      </c>
      <c r="G317" s="408" t="s">
        <v>1322</v>
      </c>
      <c r="H317" s="408" t="s">
        <v>1322</v>
      </c>
      <c r="I317" s="408" t="s">
        <v>973</v>
      </c>
      <c r="J317" s="408" t="s">
        <v>2236</v>
      </c>
      <c r="K317" s="824">
        <v>44531</v>
      </c>
      <c r="L317" s="408">
        <v>0</v>
      </c>
      <c r="M317" s="408">
        <v>0</v>
      </c>
      <c r="N317" s="408">
        <v>0.42299999999999999</v>
      </c>
      <c r="O317" s="408">
        <v>0.42299999999999999</v>
      </c>
      <c r="P317" s="408">
        <v>0.42299999999999999</v>
      </c>
      <c r="Q317" s="408">
        <v>0.42299999999999999</v>
      </c>
      <c r="R317" s="408"/>
      <c r="S317" s="408">
        <v>1614.19</v>
      </c>
      <c r="T317" s="408">
        <v>209.4</v>
      </c>
      <c r="U317" s="408"/>
      <c r="V317" s="408">
        <v>771.37856999999997</v>
      </c>
      <c r="W317" s="408">
        <v>771.37856999999997</v>
      </c>
      <c r="X317" s="408">
        <v>512.73944999999992</v>
      </c>
      <c r="Y317" s="408">
        <v>0</v>
      </c>
      <c r="Z317" s="408">
        <v>22.646565330491992</v>
      </c>
      <c r="AA317" s="408">
        <v>0</v>
      </c>
      <c r="AB317" s="408">
        <v>0</v>
      </c>
      <c r="AC317" s="408">
        <v>0</v>
      </c>
      <c r="AD317" s="408">
        <v>131.72980991551074</v>
      </c>
      <c r="AE317" s="408">
        <v>491.87988862821828</v>
      </c>
      <c r="AF317" s="408">
        <v>87.413265469603573</v>
      </c>
      <c r="AG317" s="408">
        <v>1.1645041798514986</v>
      </c>
      <c r="AH317" s="408">
        <v>0</v>
      </c>
      <c r="AI317" s="408">
        <v>0</v>
      </c>
      <c r="AJ317" s="408">
        <v>0</v>
      </c>
      <c r="AK317" s="408">
        <v>0</v>
      </c>
      <c r="AL317" s="408">
        <v>4.0225614958877145</v>
      </c>
      <c r="AM317" s="408"/>
      <c r="AN317" s="408">
        <v>0.56167814249893477</v>
      </c>
      <c r="AO317" s="408">
        <v>10.234453432678876</v>
      </c>
      <c r="AP317" s="408">
        <v>15.244371721924042</v>
      </c>
      <c r="AQ317" s="408">
        <v>0</v>
      </c>
      <c r="AR317" s="408">
        <v>0</v>
      </c>
      <c r="AS317" s="408">
        <v>0</v>
      </c>
      <c r="AT317" s="408">
        <v>0</v>
      </c>
      <c r="AU317" s="408">
        <v>0</v>
      </c>
      <c r="AV317" s="408">
        <v>0</v>
      </c>
      <c r="AW317" s="408">
        <v>0</v>
      </c>
      <c r="AX317" s="408">
        <v>0</v>
      </c>
      <c r="AY317" s="408">
        <v>0</v>
      </c>
      <c r="AZ317" s="408">
        <v>0</v>
      </c>
      <c r="BA317" s="408"/>
      <c r="BB317" s="408">
        <v>0</v>
      </c>
      <c r="BC317" s="408">
        <v>0</v>
      </c>
      <c r="BD317" s="408">
        <v>0</v>
      </c>
      <c r="BE317" s="408">
        <v>0</v>
      </c>
      <c r="BF317" s="408">
        <v>0</v>
      </c>
      <c r="BG317" s="408">
        <v>6.4822365807963136</v>
      </c>
      <c r="BH317" s="408">
        <v>0</v>
      </c>
      <c r="BI317" s="408">
        <v>0</v>
      </c>
      <c r="BJ317" s="408">
        <v>0</v>
      </c>
      <c r="BK317" s="408">
        <v>0</v>
      </c>
      <c r="BL317" s="408">
        <v>0</v>
      </c>
      <c r="BM317" s="408"/>
      <c r="BN317" s="408"/>
      <c r="BO317" s="408"/>
      <c r="BP317" s="408"/>
      <c r="BQ317" s="408"/>
      <c r="BR317" s="408"/>
      <c r="BS317" s="408"/>
      <c r="BT317" s="408"/>
      <c r="BU317" s="408"/>
      <c r="BV317" s="408">
        <v>93.895502050399884</v>
      </c>
      <c r="BW317" s="408"/>
      <c r="BX317" s="408"/>
      <c r="BY317" s="408"/>
      <c r="BZ317" s="408"/>
      <c r="CA317" s="408"/>
      <c r="CB317" s="408"/>
      <c r="CC317" s="408"/>
      <c r="CD317" s="408"/>
      <c r="CE317" s="408"/>
      <c r="CF317" s="408"/>
      <c r="CG317" s="408"/>
      <c r="CH317" s="408"/>
      <c r="CI317" s="408">
        <v>509.10299999999995</v>
      </c>
      <c r="CJ317" s="408">
        <v>-262.30556999999999</v>
      </c>
      <c r="CK317" s="408"/>
      <c r="CL317" s="408"/>
      <c r="CM317" s="408"/>
      <c r="CN317" s="408"/>
      <c r="CO317" s="408">
        <v>-268.29621000000003</v>
      </c>
      <c r="CP317" s="408">
        <v>9.6570899999999931</v>
      </c>
      <c r="CQ317" s="408"/>
      <c r="CR317" s="408">
        <v>17.297896916607328</v>
      </c>
      <c r="CS317" s="408">
        <v>1.2356263439944986</v>
      </c>
      <c r="CT317" s="408">
        <v>1.8404839516988449</v>
      </c>
      <c r="CU317" s="408">
        <v>0</v>
      </c>
      <c r="CV317" s="408">
        <v>0</v>
      </c>
      <c r="CW317" s="408">
        <v>0</v>
      </c>
      <c r="CX317" s="408">
        <v>0</v>
      </c>
      <c r="CY317" s="408">
        <v>0</v>
      </c>
      <c r="CZ317" s="408">
        <v>4.3184242881140449</v>
      </c>
      <c r="DA317" s="408">
        <v>0</v>
      </c>
      <c r="DB317" s="408">
        <v>0</v>
      </c>
      <c r="DC317" s="408">
        <v>9.6541645854502747</v>
      </c>
      <c r="DD317" s="408">
        <v>0</v>
      </c>
      <c r="DE317" s="408">
        <v>0</v>
      </c>
      <c r="DF317" s="408">
        <v>0</v>
      </c>
      <c r="DG317" s="408">
        <v>0.71591626850497203</v>
      </c>
      <c r="DH317" s="408">
        <v>0</v>
      </c>
      <c r="DI317" s="408">
        <v>-0.39477770863097561</v>
      </c>
      <c r="DJ317" s="408"/>
      <c r="DK317" s="408">
        <v>0</v>
      </c>
      <c r="DL317" s="408">
        <v>0</v>
      </c>
      <c r="DM317" s="408">
        <v>0</v>
      </c>
      <c r="DN317" s="408">
        <v>0</v>
      </c>
      <c r="DO317" s="408">
        <v>-5.8954548899374792E-2</v>
      </c>
      <c r="DP317" s="408">
        <v>-1.2986263624970018E-2</v>
      </c>
      <c r="DQ317" s="408">
        <v>0</v>
      </c>
      <c r="DR317" s="408">
        <v>0</v>
      </c>
      <c r="DS317" s="408"/>
      <c r="DT317" s="408"/>
      <c r="DU317" s="408"/>
      <c r="DV317" s="408">
        <v>491.87988862821828</v>
      </c>
      <c r="DW317" s="408">
        <v>0</v>
      </c>
      <c r="DX317" s="408">
        <v>0</v>
      </c>
      <c r="DY317" s="408">
        <v>-268.29621000000003</v>
      </c>
      <c r="DZ317" s="408">
        <v>9.6570899999999966</v>
      </c>
      <c r="EA317" s="408">
        <v>0</v>
      </c>
      <c r="EB317" s="408">
        <v>0</v>
      </c>
      <c r="EC317" s="408">
        <v>-275.93955076176775</v>
      </c>
      <c r="ED317" s="408">
        <v>0</v>
      </c>
      <c r="EE317" s="408">
        <v>0</v>
      </c>
      <c r="EF317" s="408">
        <v>0</v>
      </c>
      <c r="EG317" s="408">
        <v>0</v>
      </c>
      <c r="EH317" s="408">
        <v>0</v>
      </c>
      <c r="EI317" s="408">
        <v>0</v>
      </c>
      <c r="EJ317" s="408">
        <v>0</v>
      </c>
      <c r="EK317" s="408">
        <v>0</v>
      </c>
      <c r="EL317" s="408">
        <v>0</v>
      </c>
      <c r="EM317" s="408">
        <v>0</v>
      </c>
      <c r="EN317" s="408">
        <v>0</v>
      </c>
      <c r="EO317" s="408">
        <v>0</v>
      </c>
      <c r="EP317" s="408">
        <v>0</v>
      </c>
      <c r="EQ317" s="408">
        <v>0</v>
      </c>
      <c r="ER317" s="408">
        <v>0</v>
      </c>
      <c r="ES317" s="408">
        <v>0</v>
      </c>
      <c r="ET317" s="408">
        <v>0</v>
      </c>
      <c r="EU317" s="408">
        <v>0</v>
      </c>
      <c r="EV317" s="408">
        <v>238</v>
      </c>
      <c r="EW317" s="408">
        <v>0</v>
      </c>
      <c r="EX317" s="408">
        <v>0</v>
      </c>
      <c r="EY317" s="408">
        <v>0</v>
      </c>
      <c r="EZ317" s="408"/>
      <c r="FA317" s="408">
        <v>0</v>
      </c>
      <c r="FB317" s="408"/>
      <c r="FC317" s="408"/>
      <c r="FD317" s="408"/>
      <c r="FE317" s="408"/>
      <c r="FF317" s="408">
        <v>0</v>
      </c>
      <c r="FG317" s="408">
        <v>0</v>
      </c>
      <c r="FH317" s="408">
        <v>0</v>
      </c>
      <c r="FI317" s="408">
        <v>0</v>
      </c>
    </row>
    <row r="318" spans="1:165">
      <c r="A318" s="408">
        <v>322</v>
      </c>
      <c r="B318" s="408" t="s">
        <v>1036</v>
      </c>
      <c r="C318" s="408" t="s">
        <v>2243</v>
      </c>
      <c r="D318" s="408" t="s">
        <v>597</v>
      </c>
      <c r="E318" s="408" t="s">
        <v>2246</v>
      </c>
      <c r="F318" s="408" t="s">
        <v>1322</v>
      </c>
      <c r="G318" s="408" t="s">
        <v>1322</v>
      </c>
      <c r="H318" s="408" t="s">
        <v>1322</v>
      </c>
      <c r="I318" s="408" t="s">
        <v>2244</v>
      </c>
      <c r="J318" s="408" t="s">
        <v>2236</v>
      </c>
      <c r="K318" s="824">
        <v>44531</v>
      </c>
      <c r="L318" s="408">
        <v>0</v>
      </c>
      <c r="M318" s="408">
        <v>0</v>
      </c>
      <c r="N318" s="408">
        <v>11.032999999999999</v>
      </c>
      <c r="O318" s="408">
        <v>11.032999999999999</v>
      </c>
      <c r="P318" s="408">
        <v>11.032999999999999</v>
      </c>
      <c r="Q318" s="408">
        <v>11.032999999999999</v>
      </c>
      <c r="R318" s="408"/>
      <c r="S318" s="408">
        <v>79.7</v>
      </c>
      <c r="T318" s="408">
        <v>209.4</v>
      </c>
      <c r="U318" s="408"/>
      <c r="V318" s="408">
        <v>3189.6403</v>
      </c>
      <c r="W318" s="408">
        <v>3189.6403</v>
      </c>
      <c r="X318" s="408">
        <v>3448.03316</v>
      </c>
      <c r="Y318" s="408">
        <v>0</v>
      </c>
      <c r="Z318" s="408">
        <v>590.68452787545652</v>
      </c>
      <c r="AA318" s="408">
        <v>0</v>
      </c>
      <c r="AB318" s="408">
        <v>0</v>
      </c>
      <c r="AC318" s="408">
        <v>0</v>
      </c>
      <c r="AD318" s="408">
        <v>0</v>
      </c>
      <c r="AE318" s="408">
        <v>0</v>
      </c>
      <c r="AF318" s="408">
        <v>2279.9776783123789</v>
      </c>
      <c r="AG318" s="408">
        <v>30.37346244988554</v>
      </c>
      <c r="AH318" s="408">
        <v>0</v>
      </c>
      <c r="AI318" s="408">
        <v>0</v>
      </c>
      <c r="AJ318" s="408">
        <v>0</v>
      </c>
      <c r="AK318" s="408">
        <v>0</v>
      </c>
      <c r="AL318" s="408">
        <v>104.91943495065993</v>
      </c>
      <c r="AM318" s="408"/>
      <c r="AN318" s="408">
        <v>14.650106255770087</v>
      </c>
      <c r="AO318" s="408">
        <v>0</v>
      </c>
      <c r="AP318" s="408">
        <v>0</v>
      </c>
      <c r="AQ318" s="408">
        <v>0</v>
      </c>
      <c r="AR318" s="408">
        <v>0</v>
      </c>
      <c r="AS318" s="408">
        <v>0</v>
      </c>
      <c r="AT318" s="408">
        <v>0</v>
      </c>
      <c r="AU318" s="408">
        <v>0</v>
      </c>
      <c r="AV318" s="408">
        <v>0</v>
      </c>
      <c r="AW318" s="408">
        <v>0</v>
      </c>
      <c r="AX318" s="408">
        <v>0</v>
      </c>
      <c r="AY318" s="408">
        <v>0</v>
      </c>
      <c r="AZ318" s="408">
        <v>0</v>
      </c>
      <c r="BA318" s="408"/>
      <c r="BB318" s="408">
        <v>0</v>
      </c>
      <c r="BC318" s="408">
        <v>0</v>
      </c>
      <c r="BD318" s="408">
        <v>0</v>
      </c>
      <c r="BE318" s="408">
        <v>0</v>
      </c>
      <c r="BF318" s="408">
        <v>0</v>
      </c>
      <c r="BG318" s="408">
        <v>169.07450637334688</v>
      </c>
      <c r="BH318" s="408">
        <v>0</v>
      </c>
      <c r="BI318" s="408">
        <v>0</v>
      </c>
      <c r="BJ318" s="408">
        <v>0</v>
      </c>
      <c r="BK318" s="408">
        <v>0</v>
      </c>
      <c r="BL318" s="408">
        <v>0</v>
      </c>
      <c r="BM318" s="408"/>
      <c r="BN318" s="408"/>
      <c r="BO318" s="408"/>
      <c r="BP318" s="408"/>
      <c r="BQ318" s="408"/>
      <c r="BR318" s="408"/>
      <c r="BS318" s="408"/>
      <c r="BT318" s="408"/>
      <c r="BU318" s="408"/>
      <c r="BV318" s="408">
        <v>2449.0521846857259</v>
      </c>
      <c r="BW318" s="408"/>
      <c r="BX318" s="408"/>
      <c r="BY318" s="408"/>
      <c r="BZ318" s="408"/>
      <c r="CA318" s="408"/>
      <c r="CB318" s="408"/>
      <c r="CC318" s="408"/>
      <c r="CD318" s="408"/>
      <c r="CE318" s="408"/>
      <c r="CF318" s="408"/>
      <c r="CG318" s="408"/>
      <c r="CH318" s="408"/>
      <c r="CI318" s="408">
        <v>3447.0955999999996</v>
      </c>
      <c r="CJ318" s="408">
        <v>257.42529999999942</v>
      </c>
      <c r="CK318" s="408"/>
      <c r="CL318" s="408"/>
      <c r="CM318" s="408"/>
      <c r="CN318" s="408"/>
      <c r="CO318" s="408">
        <v>6.5094700000000376</v>
      </c>
      <c r="CP318" s="408">
        <v>251.88338999999982</v>
      </c>
      <c r="CQ318" s="408"/>
      <c r="CR318" s="408">
        <v>258.30684779617377</v>
      </c>
      <c r="CS318" s="408">
        <v>0</v>
      </c>
      <c r="CT318" s="408">
        <v>0</v>
      </c>
      <c r="CU318" s="408">
        <v>0</v>
      </c>
      <c r="CV318" s="408">
        <v>0</v>
      </c>
      <c r="CW318" s="408">
        <v>0</v>
      </c>
      <c r="CX318" s="408">
        <v>0</v>
      </c>
      <c r="CY318" s="408">
        <v>0</v>
      </c>
      <c r="CZ318" s="408">
        <v>0</v>
      </c>
      <c r="DA318" s="408">
        <v>0</v>
      </c>
      <c r="DB318" s="408">
        <v>0</v>
      </c>
      <c r="DC318" s="408">
        <v>251.8070871661298</v>
      </c>
      <c r="DD318" s="408">
        <v>0</v>
      </c>
      <c r="DE318" s="408">
        <v>0</v>
      </c>
      <c r="DF318" s="408">
        <v>0</v>
      </c>
      <c r="DG318" s="408">
        <v>18.673059551809359</v>
      </c>
      <c r="DH318" s="408">
        <v>0</v>
      </c>
      <c r="DI318" s="408">
        <v>-10.296885246632428</v>
      </c>
      <c r="DJ318" s="408"/>
      <c r="DK318" s="408">
        <v>0</v>
      </c>
      <c r="DL318" s="408">
        <v>0</v>
      </c>
      <c r="DM318" s="408">
        <v>0</v>
      </c>
      <c r="DN318" s="408">
        <v>0</v>
      </c>
      <c r="DO318" s="408">
        <v>-1.5376963073446888</v>
      </c>
      <c r="DP318" s="408">
        <v>-0.33871736778792894</v>
      </c>
      <c r="DQ318" s="408">
        <v>0</v>
      </c>
      <c r="DR318" s="408">
        <v>0</v>
      </c>
      <c r="DS318" s="408"/>
      <c r="DT318" s="408"/>
      <c r="DU318" s="408"/>
      <c r="DV318" s="408">
        <v>0</v>
      </c>
      <c r="DW318" s="408">
        <v>0</v>
      </c>
      <c r="DX318" s="408">
        <v>0</v>
      </c>
      <c r="DY318" s="408">
        <v>6.5094699999999648</v>
      </c>
      <c r="DZ318" s="408">
        <v>251.88338999999996</v>
      </c>
      <c r="EA318" s="408">
        <v>0</v>
      </c>
      <c r="EB318" s="408">
        <v>0</v>
      </c>
      <c r="EC318" s="408">
        <v>0</v>
      </c>
      <c r="ED318" s="408">
        <v>0</v>
      </c>
      <c r="EE318" s="408">
        <v>0</v>
      </c>
      <c r="EF318" s="408">
        <v>0</v>
      </c>
      <c r="EG318" s="408">
        <v>0</v>
      </c>
      <c r="EH318" s="408">
        <v>0</v>
      </c>
      <c r="EI318" s="408">
        <v>0</v>
      </c>
      <c r="EJ318" s="408">
        <v>0</v>
      </c>
      <c r="EK318" s="408">
        <v>0</v>
      </c>
      <c r="EL318" s="408">
        <v>0</v>
      </c>
      <c r="EM318" s="408">
        <v>0</v>
      </c>
      <c r="EN318" s="408">
        <v>0</v>
      </c>
      <c r="EO318" s="408">
        <v>0</v>
      </c>
      <c r="EP318" s="408">
        <v>0</v>
      </c>
      <c r="EQ318" s="408">
        <v>0</v>
      </c>
      <c r="ER318" s="408">
        <v>0</v>
      </c>
      <c r="ES318" s="408">
        <v>0</v>
      </c>
      <c r="ET318" s="408">
        <v>0</v>
      </c>
      <c r="EU318" s="408">
        <v>0</v>
      </c>
      <c r="EV318" s="408">
        <v>238</v>
      </c>
      <c r="EW318" s="408">
        <v>0</v>
      </c>
      <c r="EX318" s="408">
        <v>0</v>
      </c>
      <c r="EY318" s="408">
        <v>0</v>
      </c>
      <c r="EZ318" s="408"/>
      <c r="FA318" s="408">
        <v>0</v>
      </c>
      <c r="FB318" s="408"/>
      <c r="FC318" s="408"/>
      <c r="FD318" s="408"/>
      <c r="FE318" s="408"/>
      <c r="FF318" s="408">
        <v>0</v>
      </c>
      <c r="FG318" s="408">
        <v>0</v>
      </c>
      <c r="FH318" s="408">
        <v>0</v>
      </c>
      <c r="FI318" s="408">
        <v>0</v>
      </c>
    </row>
    <row r="319" spans="1:165">
      <c r="A319" s="408">
        <v>323</v>
      </c>
      <c r="B319" s="408" t="s">
        <v>1036</v>
      </c>
      <c r="C319" s="408" t="s">
        <v>2243</v>
      </c>
      <c r="D319" s="408" t="s">
        <v>597</v>
      </c>
      <c r="E319" s="408" t="s">
        <v>2246</v>
      </c>
      <c r="F319" s="408" t="s">
        <v>1322</v>
      </c>
      <c r="G319" s="408" t="s">
        <v>1322</v>
      </c>
      <c r="H319" s="408" t="s">
        <v>1322</v>
      </c>
      <c r="I319" s="408" t="s">
        <v>1322</v>
      </c>
      <c r="J319" s="408" t="s">
        <v>2236</v>
      </c>
      <c r="K319" s="824">
        <v>44531</v>
      </c>
      <c r="L319" s="408">
        <v>143</v>
      </c>
      <c r="M319" s="408">
        <v>143</v>
      </c>
      <c r="N319" s="408">
        <v>0</v>
      </c>
      <c r="O319" s="408">
        <v>0</v>
      </c>
      <c r="P319" s="408">
        <v>0</v>
      </c>
      <c r="Q319" s="408">
        <v>0</v>
      </c>
      <c r="R319" s="408">
        <v>44.35</v>
      </c>
      <c r="S319" s="408"/>
      <c r="T319" s="408"/>
      <c r="U319" s="408">
        <v>6342.05</v>
      </c>
      <c r="V319" s="408"/>
      <c r="W319" s="408">
        <v>6342.05</v>
      </c>
      <c r="X319" s="408">
        <v>4142.71</v>
      </c>
      <c r="Y319" s="408">
        <v>0</v>
      </c>
      <c r="Z319" s="408">
        <v>0</v>
      </c>
      <c r="AA319" s="408">
        <v>0</v>
      </c>
      <c r="AB319" s="408">
        <v>0</v>
      </c>
      <c r="AC319" s="408">
        <v>0</v>
      </c>
      <c r="AD319" s="408">
        <v>1876.4551073961979</v>
      </c>
      <c r="AE319" s="408">
        <v>4106.6520188616778</v>
      </c>
      <c r="AF319" s="408"/>
      <c r="AG319" s="408"/>
      <c r="AH319" s="408"/>
      <c r="AI319" s="408">
        <v>0</v>
      </c>
      <c r="AJ319" s="408">
        <v>0</v>
      </c>
      <c r="AK319" s="408">
        <v>0</v>
      </c>
      <c r="AL319" s="408">
        <v>0</v>
      </c>
      <c r="AM319" s="408"/>
      <c r="AN319" s="408">
        <v>0</v>
      </c>
      <c r="AO319" s="408">
        <v>141.81605890751828</v>
      </c>
      <c r="AP319" s="408">
        <v>216.97266925736545</v>
      </c>
      <c r="AQ319" s="408">
        <v>0</v>
      </c>
      <c r="AR319" s="408">
        <v>0</v>
      </c>
      <c r="AS319" s="408"/>
      <c r="AT319" s="408"/>
      <c r="AU319" s="408">
        <v>0</v>
      </c>
      <c r="AV319" s="408">
        <v>0</v>
      </c>
      <c r="AW319" s="408">
        <v>0</v>
      </c>
      <c r="AX319" s="408"/>
      <c r="AY319" s="408"/>
      <c r="AZ319" s="408">
        <v>0</v>
      </c>
      <c r="BA319" s="408"/>
      <c r="BB319" s="408">
        <v>0</v>
      </c>
      <c r="BC319" s="408">
        <v>0</v>
      </c>
      <c r="BD319" s="408">
        <v>0</v>
      </c>
      <c r="BE319" s="408">
        <v>0</v>
      </c>
      <c r="BF319" s="408"/>
      <c r="BG319" s="408">
        <v>0</v>
      </c>
      <c r="BH319" s="408">
        <v>0</v>
      </c>
      <c r="BI319" s="408">
        <v>24.67</v>
      </c>
      <c r="BJ319" s="408">
        <v>113.48</v>
      </c>
      <c r="BK319" s="408">
        <v>3461.17</v>
      </c>
      <c r="BL319" s="408">
        <v>2</v>
      </c>
      <c r="BM319" s="408"/>
      <c r="BN319" s="408"/>
      <c r="BO319" s="408"/>
      <c r="BP319" s="408"/>
      <c r="BQ319" s="408"/>
      <c r="BR319" s="408"/>
      <c r="BS319" s="408"/>
      <c r="BT319" s="408"/>
      <c r="BU319" s="408"/>
      <c r="BV319" s="408">
        <v>0</v>
      </c>
      <c r="BW319" s="408"/>
      <c r="BX319" s="408"/>
      <c r="BY319" s="408"/>
      <c r="BZ319" s="408"/>
      <c r="CA319" s="408"/>
      <c r="CB319" s="408"/>
      <c r="CC319" s="408"/>
      <c r="CD319" s="408"/>
      <c r="CE319" s="408"/>
      <c r="CF319" s="408"/>
      <c r="CG319" s="408"/>
      <c r="CH319" s="408"/>
      <c r="CI319" s="408">
        <v>4142.71</v>
      </c>
      <c r="CJ319" s="408">
        <v>-2199.3700000000008</v>
      </c>
      <c r="CK319" s="408"/>
      <c r="CL319" s="408"/>
      <c r="CM319" s="408"/>
      <c r="CN319" s="408"/>
      <c r="CO319" s="408">
        <v>-2199.34</v>
      </c>
      <c r="CP319" s="408">
        <v>0</v>
      </c>
      <c r="CQ319" s="408"/>
      <c r="CR319" s="408">
        <v>104.83206434614658</v>
      </c>
      <c r="CS319" s="408">
        <v>17.121740749543847</v>
      </c>
      <c r="CT319" s="408">
        <v>26.195550922648238</v>
      </c>
      <c r="CU319" s="408">
        <v>0</v>
      </c>
      <c r="CV319" s="408">
        <v>0</v>
      </c>
      <c r="CW319" s="408"/>
      <c r="CX319" s="408"/>
      <c r="CY319" s="408"/>
      <c r="CZ319" s="408">
        <v>61.514772673954667</v>
      </c>
      <c r="DA319" s="408">
        <v>0</v>
      </c>
      <c r="DB319" s="408">
        <v>0</v>
      </c>
      <c r="DC319" s="408"/>
      <c r="DD319" s="408"/>
      <c r="DE319" s="408">
        <v>0</v>
      </c>
      <c r="DF319" s="408">
        <v>0</v>
      </c>
      <c r="DG319" s="408">
        <v>0</v>
      </c>
      <c r="DH319" s="408">
        <v>0</v>
      </c>
      <c r="DI319" s="408">
        <v>0</v>
      </c>
      <c r="DJ319" s="408"/>
      <c r="DK319" s="408">
        <v>0</v>
      </c>
      <c r="DL319" s="408">
        <v>0</v>
      </c>
      <c r="DM319" s="408"/>
      <c r="DN319" s="408">
        <v>0</v>
      </c>
      <c r="DO319" s="408">
        <v>0</v>
      </c>
      <c r="DP319" s="408">
        <v>0</v>
      </c>
      <c r="DQ319" s="408">
        <v>0</v>
      </c>
      <c r="DR319" s="408">
        <v>0</v>
      </c>
      <c r="DS319" s="408"/>
      <c r="DT319" s="408"/>
      <c r="DU319" s="408">
        <v>4106.6520188616778</v>
      </c>
      <c r="DV319" s="408"/>
      <c r="DW319" s="408">
        <v>0</v>
      </c>
      <c r="DX319" s="408">
        <v>0</v>
      </c>
      <c r="DY319" s="408">
        <v>-2199.34</v>
      </c>
      <c r="DZ319" s="408"/>
      <c r="EA319" s="408">
        <v>0</v>
      </c>
      <c r="EB319" s="408"/>
      <c r="EC319" s="408">
        <v>-2303.7894807610255</v>
      </c>
      <c r="ED319" s="408"/>
      <c r="EE319" s="408">
        <v>0</v>
      </c>
      <c r="EF319" s="408">
        <v>0</v>
      </c>
      <c r="EG319" s="408"/>
      <c r="EH319" s="408">
        <v>0</v>
      </c>
      <c r="EI319" s="408">
        <v>0</v>
      </c>
      <c r="EJ319" s="408">
        <v>0</v>
      </c>
      <c r="EK319" s="408">
        <v>0</v>
      </c>
      <c r="EL319" s="408">
        <v>0</v>
      </c>
      <c r="EM319" s="408"/>
      <c r="EN319" s="408"/>
      <c r="EO319" s="408">
        <v>0</v>
      </c>
      <c r="EP319" s="408">
        <v>0</v>
      </c>
      <c r="EQ319" s="408"/>
      <c r="ER319" s="408">
        <v>0</v>
      </c>
      <c r="ES319" s="408"/>
      <c r="ET319" s="408">
        <v>0</v>
      </c>
      <c r="EU319" s="408"/>
      <c r="EV319" s="408">
        <v>238</v>
      </c>
      <c r="EW319" s="408"/>
      <c r="EX319" s="408"/>
      <c r="EY319" s="408"/>
      <c r="EZ319" s="408"/>
      <c r="FA319" s="408">
        <v>0</v>
      </c>
      <c r="FB319" s="408"/>
      <c r="FC319" s="408"/>
      <c r="FD319" s="408"/>
      <c r="FE319" s="408"/>
      <c r="FF319" s="408">
        <v>0</v>
      </c>
      <c r="FG319" s="408">
        <v>0</v>
      </c>
      <c r="FH319" s="408">
        <v>0</v>
      </c>
      <c r="FI319" s="408">
        <v>0</v>
      </c>
    </row>
    <row r="320" spans="1:165">
      <c r="A320" s="408">
        <v>324</v>
      </c>
      <c r="B320" s="408" t="s">
        <v>1036</v>
      </c>
      <c r="C320" s="408" t="s">
        <v>2235</v>
      </c>
      <c r="D320" s="408" t="s">
        <v>2247</v>
      </c>
      <c r="E320" s="408" t="s">
        <v>2248</v>
      </c>
      <c r="F320" s="408" t="s">
        <v>2249</v>
      </c>
      <c r="G320" s="408" t="s">
        <v>1322</v>
      </c>
      <c r="H320" s="408" t="s">
        <v>1322</v>
      </c>
      <c r="I320" s="408" t="s">
        <v>1322</v>
      </c>
      <c r="J320" s="408" t="s">
        <v>2236</v>
      </c>
      <c r="K320" s="824">
        <v>44531</v>
      </c>
      <c r="L320" s="408">
        <v>0</v>
      </c>
      <c r="M320" s="408">
        <v>0</v>
      </c>
      <c r="N320" s="408">
        <v>428.49799999999999</v>
      </c>
      <c r="O320" s="408">
        <v>428.49799999999999</v>
      </c>
      <c r="P320" s="408">
        <v>428.49799999999999</v>
      </c>
      <c r="Q320" s="408">
        <v>428.49799999999999</v>
      </c>
      <c r="R320" s="408"/>
      <c r="S320" s="408">
        <v>319.73</v>
      </c>
      <c r="T320" s="408">
        <v>115.17</v>
      </c>
      <c r="U320" s="408"/>
      <c r="V320" s="408">
        <v>186353.78020000001</v>
      </c>
      <c r="W320" s="408">
        <v>186353.78020000001</v>
      </c>
      <c r="X320" s="408">
        <v>142359.89053999999</v>
      </c>
      <c r="Y320" s="408">
        <v>0</v>
      </c>
      <c r="Z320" s="408">
        <v>14502.878652867692</v>
      </c>
      <c r="AA320" s="408">
        <v>0</v>
      </c>
      <c r="AB320" s="408">
        <v>0</v>
      </c>
      <c r="AC320" s="408">
        <v>0</v>
      </c>
      <c r="AD320" s="408">
        <v>17484.916439494318</v>
      </c>
      <c r="AE320" s="408">
        <v>90829.972933785961</v>
      </c>
      <c r="AF320" s="408">
        <v>48702.187198479551</v>
      </c>
      <c r="AG320" s="408">
        <v>648.80198967352908</v>
      </c>
      <c r="AH320" s="408">
        <v>0</v>
      </c>
      <c r="AI320" s="408">
        <v>0</v>
      </c>
      <c r="AJ320" s="408">
        <v>0</v>
      </c>
      <c r="AK320" s="408">
        <v>0</v>
      </c>
      <c r="AL320" s="408">
        <v>2241.1649071529346</v>
      </c>
      <c r="AM320" s="408"/>
      <c r="AN320" s="408">
        <v>429.62510987222214</v>
      </c>
      <c r="AO320" s="408">
        <v>1343.21886223346</v>
      </c>
      <c r="AP320" s="408">
        <v>2023.3052025875745</v>
      </c>
      <c r="AQ320" s="408">
        <v>0</v>
      </c>
      <c r="AR320" s="408">
        <v>0</v>
      </c>
      <c r="AS320" s="408">
        <v>0</v>
      </c>
      <c r="AT320" s="408">
        <v>0</v>
      </c>
      <c r="AU320" s="408">
        <v>0</v>
      </c>
      <c r="AV320" s="408">
        <v>0</v>
      </c>
      <c r="AW320" s="408">
        <v>0</v>
      </c>
      <c r="AX320" s="408">
        <v>0</v>
      </c>
      <c r="AY320" s="408">
        <v>0</v>
      </c>
      <c r="AZ320" s="408">
        <v>0</v>
      </c>
      <c r="BA320" s="408"/>
      <c r="BB320" s="408">
        <v>0</v>
      </c>
      <c r="BC320" s="408">
        <v>0</v>
      </c>
      <c r="BD320" s="408">
        <v>0</v>
      </c>
      <c r="BE320" s="408">
        <v>0</v>
      </c>
      <c r="BF320" s="408">
        <v>0</v>
      </c>
      <c r="BG320" s="408">
        <v>8147.7848743201112</v>
      </c>
      <c r="BH320" s="408">
        <v>0</v>
      </c>
      <c r="BI320" s="408">
        <v>515</v>
      </c>
      <c r="BJ320" s="408">
        <v>2370.06</v>
      </c>
      <c r="BK320" s="408">
        <v>51522.58</v>
      </c>
      <c r="BL320" s="408">
        <v>42</v>
      </c>
      <c r="BM320" s="408"/>
      <c r="BN320" s="408"/>
      <c r="BO320" s="408"/>
      <c r="BP320" s="408"/>
      <c r="BQ320" s="408"/>
      <c r="BR320" s="408"/>
      <c r="BS320" s="408"/>
      <c r="BT320" s="408"/>
      <c r="BU320" s="408"/>
      <c r="BV320" s="408">
        <v>56849.972072799661</v>
      </c>
      <c r="BW320" s="408"/>
      <c r="BX320" s="408"/>
      <c r="BY320" s="408"/>
      <c r="BZ320" s="408"/>
      <c r="CA320" s="408"/>
      <c r="CB320" s="408"/>
      <c r="CC320" s="408"/>
      <c r="CD320" s="408"/>
      <c r="CE320" s="408"/>
      <c r="CF320" s="408"/>
      <c r="CG320" s="408"/>
      <c r="CH320" s="408"/>
      <c r="CI320" s="408">
        <v>142360.55499999999</v>
      </c>
      <c r="CJ320" s="408">
        <v>-43993.255200000043</v>
      </c>
      <c r="CK320" s="408"/>
      <c r="CL320" s="408"/>
      <c r="CM320" s="408"/>
      <c r="CN320" s="408"/>
      <c r="CO320" s="408">
        <v>-49371.539560000012</v>
      </c>
      <c r="CP320" s="408">
        <v>5377.6498999999985</v>
      </c>
      <c r="CQ320" s="408"/>
      <c r="CR320" s="408">
        <v>6962.7192311091203</v>
      </c>
      <c r="CS320" s="408">
        <v>162.1695406445956</v>
      </c>
      <c r="CT320" s="408">
        <v>244.27774543148826</v>
      </c>
      <c r="CU320" s="408">
        <v>0</v>
      </c>
      <c r="CV320" s="408">
        <v>0</v>
      </c>
      <c r="CW320" s="408">
        <v>0</v>
      </c>
      <c r="CX320" s="408">
        <v>0</v>
      </c>
      <c r="CY320" s="408">
        <v>0</v>
      </c>
      <c r="CZ320" s="408">
        <v>573.1981840433873</v>
      </c>
      <c r="DA320" s="408">
        <v>0</v>
      </c>
      <c r="DB320" s="408">
        <v>0</v>
      </c>
      <c r="DC320" s="408">
        <v>5378.8052460873514</v>
      </c>
      <c r="DD320" s="408">
        <v>0</v>
      </c>
      <c r="DE320" s="408">
        <v>0</v>
      </c>
      <c r="DF320" s="408">
        <v>0</v>
      </c>
      <c r="DG320" s="408">
        <v>899.86406251894277</v>
      </c>
      <c r="DH320" s="408">
        <v>0</v>
      </c>
      <c r="DI320" s="408">
        <v>-252.8159621372597</v>
      </c>
      <c r="DJ320" s="408"/>
      <c r="DK320" s="408">
        <v>0</v>
      </c>
      <c r="DL320" s="408">
        <v>0</v>
      </c>
      <c r="DM320" s="408">
        <v>0</v>
      </c>
      <c r="DN320" s="408">
        <v>0</v>
      </c>
      <c r="DO320" s="408">
        <v>-32.846450264435589</v>
      </c>
      <c r="DP320" s="408">
        <v>-9.9331352149179111</v>
      </c>
      <c r="DQ320" s="408">
        <v>0</v>
      </c>
      <c r="DR320" s="408">
        <v>0</v>
      </c>
      <c r="DS320" s="408"/>
      <c r="DT320" s="408"/>
      <c r="DU320" s="408"/>
      <c r="DV320" s="408">
        <v>90829.972933785961</v>
      </c>
      <c r="DW320" s="408">
        <v>0</v>
      </c>
      <c r="DX320" s="408">
        <v>0</v>
      </c>
      <c r="DY320" s="408">
        <v>-49371.539560000019</v>
      </c>
      <c r="DZ320" s="408">
        <v>5377.6498999999967</v>
      </c>
      <c r="EA320" s="408">
        <v>0</v>
      </c>
      <c r="EB320" s="408">
        <v>0</v>
      </c>
      <c r="EC320" s="408">
        <v>-50954.679194042816</v>
      </c>
      <c r="ED320" s="408">
        <v>0</v>
      </c>
      <c r="EE320" s="408">
        <v>0</v>
      </c>
      <c r="EF320" s="408">
        <v>0</v>
      </c>
      <c r="EG320" s="408">
        <v>0</v>
      </c>
      <c r="EH320" s="408">
        <v>0</v>
      </c>
      <c r="EI320" s="408">
        <v>0</v>
      </c>
      <c r="EJ320" s="408">
        <v>0</v>
      </c>
      <c r="EK320" s="408">
        <v>0</v>
      </c>
      <c r="EL320" s="408">
        <v>0</v>
      </c>
      <c r="EM320" s="408">
        <v>0</v>
      </c>
      <c r="EN320" s="408">
        <v>0</v>
      </c>
      <c r="EO320" s="408">
        <v>0</v>
      </c>
      <c r="EP320" s="408">
        <v>0</v>
      </c>
      <c r="EQ320" s="408">
        <v>0</v>
      </c>
      <c r="ER320" s="408">
        <v>0</v>
      </c>
      <c r="ES320" s="408">
        <v>0</v>
      </c>
      <c r="ET320" s="408">
        <v>0</v>
      </c>
      <c r="EU320" s="408">
        <v>0</v>
      </c>
      <c r="EV320" s="408">
        <v>238</v>
      </c>
      <c r="EW320" s="408">
        <v>0</v>
      </c>
      <c r="EX320" s="408">
        <v>0</v>
      </c>
      <c r="EY320" s="408">
        <v>0</v>
      </c>
      <c r="EZ320" s="408"/>
      <c r="FA320" s="408">
        <v>0</v>
      </c>
      <c r="FB320" s="408"/>
      <c r="FC320" s="408"/>
      <c r="FD320" s="408"/>
      <c r="FE320" s="408"/>
      <c r="FF320" s="408">
        <v>0</v>
      </c>
      <c r="FG320" s="408">
        <v>0</v>
      </c>
      <c r="FH320" s="408">
        <v>0</v>
      </c>
      <c r="FI320" s="408">
        <v>0</v>
      </c>
    </row>
    <row r="321" spans="1:165">
      <c r="A321" s="408">
        <v>325</v>
      </c>
      <c r="B321" s="408" t="s">
        <v>1036</v>
      </c>
      <c r="C321" s="408" t="s">
        <v>2235</v>
      </c>
      <c r="D321" s="408" t="s">
        <v>1958</v>
      </c>
      <c r="E321" s="408" t="s">
        <v>1001</v>
      </c>
      <c r="F321" s="408" t="s">
        <v>2250</v>
      </c>
      <c r="G321" s="408" t="s">
        <v>1322</v>
      </c>
      <c r="H321" s="408" t="s">
        <v>1322</v>
      </c>
      <c r="I321" s="408" t="s">
        <v>1322</v>
      </c>
      <c r="J321" s="408" t="s">
        <v>2236</v>
      </c>
      <c r="K321" s="824">
        <v>44531</v>
      </c>
      <c r="L321" s="408">
        <v>0</v>
      </c>
      <c r="M321" s="408">
        <v>0</v>
      </c>
      <c r="N321" s="408">
        <v>90.308000000000007</v>
      </c>
      <c r="O321" s="408">
        <v>84.889520000000005</v>
      </c>
      <c r="P321" s="408">
        <v>90.308000000000007</v>
      </c>
      <c r="Q321" s="408">
        <v>84.889520000000005</v>
      </c>
      <c r="R321" s="408"/>
      <c r="S321" s="408">
        <v>581.32000000000005</v>
      </c>
      <c r="T321" s="408">
        <v>209.4</v>
      </c>
      <c r="U321" s="408"/>
      <c r="V321" s="408">
        <v>71408.34176000001</v>
      </c>
      <c r="W321" s="408">
        <v>71408.34176000001</v>
      </c>
      <c r="X321" s="408">
        <v>54552.353560000003</v>
      </c>
      <c r="Y321" s="408">
        <v>0</v>
      </c>
      <c r="Z321" s="408">
        <v>5557.365348403765</v>
      </c>
      <c r="AA321" s="408">
        <v>0</v>
      </c>
      <c r="AB321" s="408">
        <v>0</v>
      </c>
      <c r="AC321" s="408">
        <v>0</v>
      </c>
      <c r="AD321" s="408">
        <v>6700.0539042204155</v>
      </c>
      <c r="AE321" s="408">
        <v>34805.182906144153</v>
      </c>
      <c r="AF321" s="408">
        <v>18662.215550895886</v>
      </c>
      <c r="AG321" s="408">
        <v>248.61475998588452</v>
      </c>
      <c r="AH321" s="408">
        <v>0</v>
      </c>
      <c r="AI321" s="408">
        <v>0</v>
      </c>
      <c r="AJ321" s="408">
        <v>0</v>
      </c>
      <c r="AK321" s="408">
        <v>0</v>
      </c>
      <c r="AL321" s="408">
        <v>858.79310536791434</v>
      </c>
      <c r="AM321" s="408"/>
      <c r="AN321" s="408">
        <v>164.6282614338736</v>
      </c>
      <c r="AO321" s="408">
        <v>514.70870983413658</v>
      </c>
      <c r="AP321" s="408">
        <v>775.31133585551299</v>
      </c>
      <c r="AQ321" s="408">
        <v>0</v>
      </c>
      <c r="AR321" s="408">
        <v>0</v>
      </c>
      <c r="AS321" s="408">
        <v>0</v>
      </c>
      <c r="AT321" s="408">
        <v>0</v>
      </c>
      <c r="AU321" s="408">
        <v>0</v>
      </c>
      <c r="AV321" s="408">
        <v>0</v>
      </c>
      <c r="AW321" s="408">
        <v>0</v>
      </c>
      <c r="AX321" s="408">
        <v>0</v>
      </c>
      <c r="AY321" s="408">
        <v>0</v>
      </c>
      <c r="AZ321" s="408">
        <v>0</v>
      </c>
      <c r="BA321" s="408"/>
      <c r="BB321" s="408">
        <v>0</v>
      </c>
      <c r="BC321" s="408">
        <v>0</v>
      </c>
      <c r="BD321" s="408">
        <v>0</v>
      </c>
      <c r="BE321" s="408">
        <v>0</v>
      </c>
      <c r="BF321" s="408">
        <v>0</v>
      </c>
      <c r="BG321" s="408">
        <v>3122.1537744743923</v>
      </c>
      <c r="BH321" s="408">
        <v>0</v>
      </c>
      <c r="BI321" s="408">
        <v>162.41</v>
      </c>
      <c r="BJ321" s="408">
        <v>747.69</v>
      </c>
      <c r="BK321" s="408">
        <v>29285.14</v>
      </c>
      <c r="BL321" s="408">
        <v>21</v>
      </c>
      <c r="BM321" s="408"/>
      <c r="BN321" s="408"/>
      <c r="BO321" s="408"/>
      <c r="BP321" s="408"/>
      <c r="BQ321" s="408">
        <v>3273.1412136000013</v>
      </c>
      <c r="BR321" s="408"/>
      <c r="BS321" s="408"/>
      <c r="BT321" s="408"/>
      <c r="BU321" s="408"/>
      <c r="BV321" s="408">
        <v>21784.369325370277</v>
      </c>
      <c r="BW321" s="408"/>
      <c r="BX321" s="408"/>
      <c r="BY321" s="408"/>
      <c r="BZ321" s="408"/>
      <c r="CA321" s="408"/>
      <c r="CB321" s="408"/>
      <c r="CC321" s="408"/>
      <c r="CD321" s="408"/>
      <c r="CE321" s="408"/>
      <c r="CF321" s="408"/>
      <c r="CG321" s="408"/>
      <c r="CH321" s="408"/>
      <c r="CI321" s="408">
        <v>51279.502299999993</v>
      </c>
      <c r="CJ321" s="408">
        <v>-15844.368954400023</v>
      </c>
      <c r="CK321" s="408"/>
      <c r="CL321" s="408"/>
      <c r="CM321" s="408"/>
      <c r="CN321" s="408"/>
      <c r="CO321" s="408">
        <v>-18917.719840000009</v>
      </c>
      <c r="CP321" s="408">
        <v>2061.7316399999986</v>
      </c>
      <c r="CQ321" s="408"/>
      <c r="CR321" s="408">
        <v>2668.047875997363</v>
      </c>
      <c r="CS321" s="408">
        <v>62.141827654789154</v>
      </c>
      <c r="CT321" s="408">
        <v>93.604911848222969</v>
      </c>
      <c r="CU321" s="408">
        <v>0</v>
      </c>
      <c r="CV321" s="408">
        <v>0</v>
      </c>
      <c r="CW321" s="408">
        <v>0</v>
      </c>
      <c r="CX321" s="408">
        <v>0</v>
      </c>
      <c r="CY321" s="408">
        <v>0</v>
      </c>
      <c r="CZ321" s="408">
        <v>219.64409976918432</v>
      </c>
      <c r="DA321" s="408">
        <v>0</v>
      </c>
      <c r="DB321" s="408">
        <v>0</v>
      </c>
      <c r="DC321" s="408">
        <v>2061.1070812833204</v>
      </c>
      <c r="DD321" s="408">
        <v>0</v>
      </c>
      <c r="DE321" s="408">
        <v>0</v>
      </c>
      <c r="DF321" s="408">
        <v>0</v>
      </c>
      <c r="DG321" s="408">
        <v>344.81936166016703</v>
      </c>
      <c r="DH321" s="408">
        <v>0</v>
      </c>
      <c r="DI321" s="408">
        <v>-96.876675392093603</v>
      </c>
      <c r="DJ321" s="408"/>
      <c r="DK321" s="408">
        <v>0</v>
      </c>
      <c r="DL321" s="408">
        <v>0</v>
      </c>
      <c r="DM321" s="408">
        <v>0</v>
      </c>
      <c r="DN321" s="408">
        <v>0</v>
      </c>
      <c r="DO321" s="408">
        <v>-12.586447758876488</v>
      </c>
      <c r="DP321" s="408">
        <v>-3.8062830673605674</v>
      </c>
      <c r="DQ321" s="408">
        <v>0</v>
      </c>
      <c r="DR321" s="408">
        <v>0</v>
      </c>
      <c r="DS321" s="408"/>
      <c r="DT321" s="408"/>
      <c r="DU321" s="408"/>
      <c r="DV321" s="408">
        <v>34805.182906144153</v>
      </c>
      <c r="DW321" s="408">
        <v>0</v>
      </c>
      <c r="DX321" s="408">
        <v>0</v>
      </c>
      <c r="DY321" s="408">
        <v>-18917.719840000005</v>
      </c>
      <c r="DZ321" s="408">
        <v>2061.7316399999982</v>
      </c>
      <c r="EA321" s="408">
        <v>0</v>
      </c>
      <c r="EB321" s="408">
        <v>0</v>
      </c>
      <c r="EC321" s="408">
        <v>-19525.349088955547</v>
      </c>
      <c r="ED321" s="408">
        <v>0</v>
      </c>
      <c r="EE321" s="408">
        <v>0</v>
      </c>
      <c r="EF321" s="408">
        <v>0</v>
      </c>
      <c r="EG321" s="408">
        <v>0</v>
      </c>
      <c r="EH321" s="408">
        <v>0</v>
      </c>
      <c r="EI321" s="408">
        <v>0</v>
      </c>
      <c r="EJ321" s="408">
        <v>0</v>
      </c>
      <c r="EK321" s="408">
        <v>0</v>
      </c>
      <c r="EL321" s="408">
        <v>0</v>
      </c>
      <c r="EM321" s="408">
        <v>0</v>
      </c>
      <c r="EN321" s="408">
        <v>0</v>
      </c>
      <c r="EO321" s="408">
        <v>0</v>
      </c>
      <c r="EP321" s="408">
        <v>0</v>
      </c>
      <c r="EQ321" s="408">
        <v>0</v>
      </c>
      <c r="ER321" s="408">
        <v>0</v>
      </c>
      <c r="ES321" s="408">
        <v>0</v>
      </c>
      <c r="ET321" s="408">
        <v>0</v>
      </c>
      <c r="EU321" s="408">
        <v>0</v>
      </c>
      <c r="EV321" s="408">
        <v>238</v>
      </c>
      <c r="EW321" s="408">
        <v>0</v>
      </c>
      <c r="EX321" s="408">
        <v>0</v>
      </c>
      <c r="EY321" s="408">
        <v>0</v>
      </c>
      <c r="EZ321" s="408"/>
      <c r="FA321" s="408">
        <v>0</v>
      </c>
      <c r="FB321" s="408"/>
      <c r="FC321" s="408"/>
      <c r="FD321" s="408"/>
      <c r="FE321" s="408"/>
      <c r="FF321" s="408">
        <v>0</v>
      </c>
      <c r="FG321" s="408">
        <v>0</v>
      </c>
      <c r="FH321" s="408">
        <v>0</v>
      </c>
      <c r="FI321" s="408">
        <v>0</v>
      </c>
    </row>
    <row r="322" spans="1:165">
      <c r="A322" s="408">
        <v>326</v>
      </c>
      <c r="B322" s="408" t="s">
        <v>1036</v>
      </c>
      <c r="C322" s="408" t="s">
        <v>2235</v>
      </c>
      <c r="D322" s="408" t="s">
        <v>1958</v>
      </c>
      <c r="E322" s="408" t="s">
        <v>2251</v>
      </c>
      <c r="F322" s="408" t="s">
        <v>1322</v>
      </c>
      <c r="G322" s="408" t="s">
        <v>1322</v>
      </c>
      <c r="H322" s="408" t="s">
        <v>1322</v>
      </c>
      <c r="I322" s="408" t="s">
        <v>1322</v>
      </c>
      <c r="J322" s="408" t="s">
        <v>2236</v>
      </c>
      <c r="K322" s="824">
        <v>44531</v>
      </c>
      <c r="L322" s="408">
        <v>0</v>
      </c>
      <c r="M322" s="408">
        <v>0</v>
      </c>
      <c r="N322" s="408">
        <v>35.491</v>
      </c>
      <c r="O322" s="408">
        <v>35.491</v>
      </c>
      <c r="P322" s="408">
        <v>35.491</v>
      </c>
      <c r="Q322" s="408">
        <v>35.491</v>
      </c>
      <c r="R322" s="408"/>
      <c r="S322" s="408">
        <v>581.32000000000005</v>
      </c>
      <c r="T322" s="408">
        <v>209.4</v>
      </c>
      <c r="U322" s="408"/>
      <c r="V322" s="408">
        <v>28063.443520000001</v>
      </c>
      <c r="W322" s="408">
        <v>28063.443520000001</v>
      </c>
      <c r="X322" s="408">
        <v>21439.048369999997</v>
      </c>
      <c r="Y322" s="408">
        <v>0</v>
      </c>
      <c r="Z322" s="408">
        <v>2184.0418742547504</v>
      </c>
      <c r="AA322" s="408">
        <v>0</v>
      </c>
      <c r="AB322" s="408">
        <v>0</v>
      </c>
      <c r="AC322" s="408">
        <v>0</v>
      </c>
      <c r="AD322" s="408">
        <v>2633.1179199482522</v>
      </c>
      <c r="AE322" s="408">
        <v>13678.419924280926</v>
      </c>
      <c r="AF322" s="408">
        <v>7334.2416188692687</v>
      </c>
      <c r="AG322" s="408">
        <v>97.705479543994187</v>
      </c>
      <c r="AH322" s="408">
        <v>0</v>
      </c>
      <c r="AI322" s="408">
        <v>0</v>
      </c>
      <c r="AJ322" s="408">
        <v>0</v>
      </c>
      <c r="AK322" s="408">
        <v>0</v>
      </c>
      <c r="AL322" s="408">
        <v>337.50527198711791</v>
      </c>
      <c r="AM322" s="408"/>
      <c r="AN322" s="408">
        <v>64.698826533082425</v>
      </c>
      <c r="AO322" s="408">
        <v>202.28027218766158</v>
      </c>
      <c r="AP322" s="408">
        <v>304.69697724285788</v>
      </c>
      <c r="AQ322" s="408">
        <v>0</v>
      </c>
      <c r="AR322" s="408">
        <v>0</v>
      </c>
      <c r="AS322" s="408">
        <v>0</v>
      </c>
      <c r="AT322" s="408">
        <v>0</v>
      </c>
      <c r="AU322" s="408">
        <v>0</v>
      </c>
      <c r="AV322" s="408">
        <v>0</v>
      </c>
      <c r="AW322" s="408">
        <v>0</v>
      </c>
      <c r="AX322" s="408">
        <v>0</v>
      </c>
      <c r="AY322" s="408">
        <v>0</v>
      </c>
      <c r="AZ322" s="408">
        <v>0</v>
      </c>
      <c r="BA322" s="408"/>
      <c r="BB322" s="408">
        <v>0</v>
      </c>
      <c r="BC322" s="408">
        <v>0</v>
      </c>
      <c r="BD322" s="408">
        <v>0</v>
      </c>
      <c r="BE322" s="408">
        <v>0</v>
      </c>
      <c r="BF322" s="408">
        <v>0</v>
      </c>
      <c r="BG322" s="408">
        <v>1227.004912187964</v>
      </c>
      <c r="BH322" s="408">
        <v>0</v>
      </c>
      <c r="BI322" s="408">
        <v>67.040000000000006</v>
      </c>
      <c r="BJ322" s="408">
        <v>308.83</v>
      </c>
      <c r="BK322" s="408">
        <v>11508.9</v>
      </c>
      <c r="BL322" s="408">
        <v>17</v>
      </c>
      <c r="BM322" s="408"/>
      <c r="BN322" s="408"/>
      <c r="BO322" s="408"/>
      <c r="BP322" s="408"/>
      <c r="BQ322" s="408"/>
      <c r="BR322" s="408"/>
      <c r="BS322" s="408"/>
      <c r="BT322" s="408"/>
      <c r="BU322" s="408"/>
      <c r="BV322" s="408">
        <v>8561.2465310572334</v>
      </c>
      <c r="BW322" s="408"/>
      <c r="BX322" s="408"/>
      <c r="BY322" s="408"/>
      <c r="BZ322" s="408"/>
      <c r="CA322" s="408"/>
      <c r="CB322" s="408"/>
      <c r="CC322" s="408"/>
      <c r="CD322" s="408"/>
      <c r="CE322" s="408"/>
      <c r="CF322" s="408"/>
      <c r="CG322" s="408"/>
      <c r="CH322" s="408"/>
      <c r="CI322" s="408">
        <v>21438.444299999999</v>
      </c>
      <c r="CJ322" s="408">
        <v>-6625.0292199999967</v>
      </c>
      <c r="CK322" s="408"/>
      <c r="CL322" s="408"/>
      <c r="CM322" s="408"/>
      <c r="CN322" s="408"/>
      <c r="CO322" s="408">
        <v>-7434.6546800000024</v>
      </c>
      <c r="CP322" s="408">
        <v>810.25952999999947</v>
      </c>
      <c r="CQ322" s="408"/>
      <c r="CR322" s="408">
        <v>1048.5415153366448</v>
      </c>
      <c r="CS322" s="408">
        <v>24.421707991497101</v>
      </c>
      <c r="CT322" s="408">
        <v>36.786684750025245</v>
      </c>
      <c r="CU322" s="408">
        <v>0</v>
      </c>
      <c r="CV322" s="408">
        <v>0</v>
      </c>
      <c r="CW322" s="408">
        <v>0</v>
      </c>
      <c r="CX322" s="408">
        <v>0</v>
      </c>
      <c r="CY322" s="408">
        <v>0</v>
      </c>
      <c r="CZ322" s="408">
        <v>86.320024193959398</v>
      </c>
      <c r="DA322" s="408">
        <v>0</v>
      </c>
      <c r="DB322" s="408">
        <v>0</v>
      </c>
      <c r="DC322" s="408">
        <v>810.01407872864183</v>
      </c>
      <c r="DD322" s="408">
        <v>0</v>
      </c>
      <c r="DE322" s="408">
        <v>0</v>
      </c>
      <c r="DF322" s="408">
        <v>0</v>
      </c>
      <c r="DG322" s="408">
        <v>135.51384112903588</v>
      </c>
      <c r="DH322" s="408">
        <v>0</v>
      </c>
      <c r="DI322" s="408">
        <v>-38.072486228692924</v>
      </c>
      <c r="DJ322" s="408"/>
      <c r="DK322" s="408">
        <v>0</v>
      </c>
      <c r="DL322" s="408">
        <v>0</v>
      </c>
      <c r="DM322" s="408">
        <v>0</v>
      </c>
      <c r="DN322" s="408">
        <v>0</v>
      </c>
      <c r="DO322" s="408">
        <v>-4.9464678368503883</v>
      </c>
      <c r="DP322" s="408">
        <v>-1.4958673909697211</v>
      </c>
      <c r="DQ322" s="408">
        <v>0</v>
      </c>
      <c r="DR322" s="408">
        <v>0</v>
      </c>
      <c r="DS322" s="408"/>
      <c r="DT322" s="408"/>
      <c r="DU322" s="408"/>
      <c r="DV322" s="408">
        <v>13678.419924280926</v>
      </c>
      <c r="DW322" s="408">
        <v>0</v>
      </c>
      <c r="DX322" s="408">
        <v>0</v>
      </c>
      <c r="DY322" s="408">
        <v>-7434.6546800000015</v>
      </c>
      <c r="DZ322" s="408">
        <v>810.25952999999845</v>
      </c>
      <c r="EA322" s="408">
        <v>0</v>
      </c>
      <c r="EB322" s="408">
        <v>0</v>
      </c>
      <c r="EC322" s="408">
        <v>-7673.4526787894874</v>
      </c>
      <c r="ED322" s="408">
        <v>0</v>
      </c>
      <c r="EE322" s="408">
        <v>0</v>
      </c>
      <c r="EF322" s="408">
        <v>0</v>
      </c>
      <c r="EG322" s="408">
        <v>0</v>
      </c>
      <c r="EH322" s="408">
        <v>0</v>
      </c>
      <c r="EI322" s="408">
        <v>0</v>
      </c>
      <c r="EJ322" s="408">
        <v>0</v>
      </c>
      <c r="EK322" s="408">
        <v>0</v>
      </c>
      <c r="EL322" s="408">
        <v>0</v>
      </c>
      <c r="EM322" s="408">
        <v>0</v>
      </c>
      <c r="EN322" s="408">
        <v>0</v>
      </c>
      <c r="EO322" s="408">
        <v>0</v>
      </c>
      <c r="EP322" s="408">
        <v>0</v>
      </c>
      <c r="EQ322" s="408">
        <v>0</v>
      </c>
      <c r="ER322" s="408">
        <v>0</v>
      </c>
      <c r="ES322" s="408">
        <v>0</v>
      </c>
      <c r="ET322" s="408">
        <v>0</v>
      </c>
      <c r="EU322" s="408">
        <v>0</v>
      </c>
      <c r="EV322" s="408">
        <v>238</v>
      </c>
      <c r="EW322" s="408">
        <v>0</v>
      </c>
      <c r="EX322" s="408">
        <v>0</v>
      </c>
      <c r="EY322" s="408">
        <v>0</v>
      </c>
      <c r="EZ322" s="408"/>
      <c r="FA322" s="408">
        <v>0</v>
      </c>
      <c r="FB322" s="408"/>
      <c r="FC322" s="408"/>
      <c r="FD322" s="408"/>
      <c r="FE322" s="408"/>
      <c r="FF322" s="408">
        <v>0</v>
      </c>
      <c r="FG322" s="408">
        <v>0</v>
      </c>
      <c r="FH322" s="408">
        <v>0</v>
      </c>
      <c r="FI322" s="408">
        <v>0</v>
      </c>
    </row>
    <row r="323" spans="1:165">
      <c r="A323" s="408">
        <v>327</v>
      </c>
      <c r="B323" s="408" t="s">
        <v>1036</v>
      </c>
      <c r="C323" s="408" t="s">
        <v>2235</v>
      </c>
      <c r="D323" s="408" t="s">
        <v>2245</v>
      </c>
      <c r="E323" s="408" t="s">
        <v>974</v>
      </c>
      <c r="F323" s="408" t="s">
        <v>2252</v>
      </c>
      <c r="G323" s="408" t="s">
        <v>2253</v>
      </c>
      <c r="H323" s="408" t="s">
        <v>1322</v>
      </c>
      <c r="I323" s="408" t="s">
        <v>1322</v>
      </c>
      <c r="J323" s="408" t="s">
        <v>2236</v>
      </c>
      <c r="K323" s="824">
        <v>44531</v>
      </c>
      <c r="L323" s="408">
        <v>0</v>
      </c>
      <c r="M323" s="408">
        <v>0</v>
      </c>
      <c r="N323" s="408">
        <v>0</v>
      </c>
      <c r="O323" s="408">
        <v>0</v>
      </c>
      <c r="P323" s="408">
        <v>0</v>
      </c>
      <c r="Q323" s="408">
        <v>0</v>
      </c>
      <c r="R323" s="408"/>
      <c r="S323" s="408"/>
      <c r="T323" s="408"/>
      <c r="U323" s="408"/>
      <c r="V323" s="408"/>
      <c r="W323" s="408"/>
      <c r="X323" s="408"/>
      <c r="Y323" s="408"/>
      <c r="Z323" s="408"/>
      <c r="AA323" s="408">
        <v>0</v>
      </c>
      <c r="AB323" s="408"/>
      <c r="AC323" s="408"/>
      <c r="AD323" s="408"/>
      <c r="AE323" s="408"/>
      <c r="AF323" s="408"/>
      <c r="AG323" s="408"/>
      <c r="AH323" s="408"/>
      <c r="AI323" s="408"/>
      <c r="AJ323" s="408"/>
      <c r="AK323" s="408"/>
      <c r="AL323" s="408"/>
      <c r="AM323" s="408"/>
      <c r="AN323" s="408"/>
      <c r="AO323" s="408"/>
      <c r="AP323" s="408"/>
      <c r="AQ323" s="408"/>
      <c r="AR323" s="408"/>
      <c r="AS323" s="408"/>
      <c r="AT323" s="408"/>
      <c r="AU323" s="408"/>
      <c r="AV323" s="408"/>
      <c r="AW323" s="408"/>
      <c r="AX323" s="408"/>
      <c r="AY323" s="408"/>
      <c r="AZ323" s="408">
        <v>0</v>
      </c>
      <c r="BA323" s="408"/>
      <c r="BB323" s="408"/>
      <c r="BC323" s="408"/>
      <c r="BD323" s="408"/>
      <c r="BE323" s="408"/>
      <c r="BF323" s="408"/>
      <c r="BG323" s="408"/>
      <c r="BH323" s="408"/>
      <c r="BI323" s="408">
        <v>874.79</v>
      </c>
      <c r="BJ323" s="408">
        <v>4026.82</v>
      </c>
      <c r="BK323" s="408">
        <v>1277.17</v>
      </c>
      <c r="BL323" s="408">
        <v>128</v>
      </c>
      <c r="BM323" s="408"/>
      <c r="BN323" s="408"/>
      <c r="BO323" s="408"/>
      <c r="BP323" s="408"/>
      <c r="BQ323" s="408"/>
      <c r="BR323" s="408"/>
      <c r="BS323" s="408"/>
      <c r="BT323" s="408"/>
      <c r="BU323" s="408"/>
      <c r="BV323" s="408"/>
      <c r="BW323" s="408"/>
      <c r="BX323" s="408"/>
      <c r="BY323" s="408"/>
      <c r="BZ323" s="408"/>
      <c r="CA323" s="408"/>
      <c r="CB323" s="408"/>
      <c r="CC323" s="408"/>
      <c r="CD323" s="408"/>
      <c r="CE323" s="408"/>
      <c r="CF323" s="408"/>
      <c r="CG323" s="408"/>
      <c r="CH323" s="408"/>
      <c r="CI323" s="408"/>
      <c r="CJ323" s="408">
        <v>-0.03</v>
      </c>
      <c r="CK323" s="408"/>
      <c r="CL323" s="408"/>
      <c r="CM323" s="408"/>
      <c r="CN323" s="408"/>
      <c r="CO323" s="408">
        <v>0</v>
      </c>
      <c r="CP323" s="408">
        <v>0</v>
      </c>
      <c r="CQ323" s="408"/>
      <c r="CR323" s="408"/>
      <c r="CS323" s="408"/>
      <c r="CT323" s="408"/>
      <c r="CU323" s="408"/>
      <c r="CV323" s="408"/>
      <c r="CW323" s="408"/>
      <c r="CX323" s="408"/>
      <c r="CY323" s="408"/>
      <c r="CZ323" s="408"/>
      <c r="DA323" s="408"/>
      <c r="DB323" s="408"/>
      <c r="DC323" s="408"/>
      <c r="DD323" s="408"/>
      <c r="DE323" s="408"/>
      <c r="DF323" s="408"/>
      <c r="DG323" s="408"/>
      <c r="DH323" s="408"/>
      <c r="DI323" s="408"/>
      <c r="DJ323" s="408"/>
      <c r="DK323" s="408">
        <v>0</v>
      </c>
      <c r="DL323" s="408"/>
      <c r="DM323" s="408"/>
      <c r="DN323" s="408"/>
      <c r="DO323" s="408"/>
      <c r="DP323" s="408"/>
      <c r="DQ323" s="408"/>
      <c r="DR323" s="408"/>
      <c r="DS323" s="408"/>
      <c r="DT323" s="408"/>
      <c r="DU323" s="408"/>
      <c r="DV323" s="408"/>
      <c r="DW323" s="408"/>
      <c r="DX323" s="408"/>
      <c r="DY323" s="408"/>
      <c r="DZ323" s="408"/>
      <c r="EA323" s="408"/>
      <c r="EB323" s="408"/>
      <c r="EC323" s="408"/>
      <c r="ED323" s="408"/>
      <c r="EE323" s="408"/>
      <c r="EF323" s="408"/>
      <c r="EG323" s="408"/>
      <c r="EH323" s="408"/>
      <c r="EI323" s="408"/>
      <c r="EJ323" s="408"/>
      <c r="EK323" s="408"/>
      <c r="EL323" s="408"/>
      <c r="EM323" s="408"/>
      <c r="EN323" s="408"/>
      <c r="EO323" s="408"/>
      <c r="EP323" s="408"/>
      <c r="EQ323" s="408"/>
      <c r="ER323" s="408"/>
      <c r="ES323" s="408"/>
      <c r="ET323" s="408"/>
      <c r="EU323" s="408"/>
      <c r="EV323" s="408">
        <v>238</v>
      </c>
      <c r="EW323" s="408"/>
      <c r="EX323" s="408"/>
      <c r="EY323" s="408"/>
      <c r="EZ323" s="408"/>
      <c r="FA323" s="408">
        <v>0</v>
      </c>
      <c r="FB323" s="408"/>
      <c r="FC323" s="408"/>
      <c r="FD323" s="408"/>
      <c r="FE323" s="408"/>
      <c r="FF323" s="408">
        <v>0</v>
      </c>
      <c r="FG323" s="408">
        <v>0</v>
      </c>
      <c r="FH323" s="408">
        <v>0</v>
      </c>
      <c r="FI323" s="408">
        <v>0</v>
      </c>
    </row>
    <row r="324" spans="1:165">
      <c r="A324" s="408">
        <v>328</v>
      </c>
      <c r="B324" s="408" t="s">
        <v>2237</v>
      </c>
      <c r="C324" s="408" t="s">
        <v>2235</v>
      </c>
      <c r="D324" s="408" t="s">
        <v>2245</v>
      </c>
      <c r="E324" s="408" t="s">
        <v>974</v>
      </c>
      <c r="F324" s="408" t="s">
        <v>2252</v>
      </c>
      <c r="G324" s="408" t="s">
        <v>2253</v>
      </c>
      <c r="H324" s="408" t="s">
        <v>1322</v>
      </c>
      <c r="I324" s="408" t="s">
        <v>1322</v>
      </c>
      <c r="J324" s="408" t="s">
        <v>2236</v>
      </c>
      <c r="K324" s="824">
        <v>44531</v>
      </c>
      <c r="L324" s="408">
        <v>0</v>
      </c>
      <c r="M324" s="408">
        <v>0</v>
      </c>
      <c r="N324" s="408">
        <v>0</v>
      </c>
      <c r="O324" s="408">
        <v>0</v>
      </c>
      <c r="P324" s="408">
        <v>0</v>
      </c>
      <c r="Q324" s="408">
        <v>0</v>
      </c>
      <c r="R324" s="408"/>
      <c r="S324" s="408"/>
      <c r="T324" s="408"/>
      <c r="U324" s="408"/>
      <c r="V324" s="408"/>
      <c r="W324" s="408"/>
      <c r="X324" s="408"/>
      <c r="Y324" s="408"/>
      <c r="Z324" s="408"/>
      <c r="AA324" s="408">
        <v>0</v>
      </c>
      <c r="AB324" s="408"/>
      <c r="AC324" s="408"/>
      <c r="AD324" s="408"/>
      <c r="AE324" s="408"/>
      <c r="AF324" s="408"/>
      <c r="AG324" s="408"/>
      <c r="AH324" s="408"/>
      <c r="AI324" s="408"/>
      <c r="AJ324" s="408"/>
      <c r="AK324" s="408"/>
      <c r="AL324" s="408"/>
      <c r="AM324" s="408"/>
      <c r="AN324" s="408"/>
      <c r="AO324" s="408"/>
      <c r="AP324" s="408"/>
      <c r="AQ324" s="408"/>
      <c r="AR324" s="408"/>
      <c r="AS324" s="408"/>
      <c r="AT324" s="408"/>
      <c r="AU324" s="408"/>
      <c r="AV324" s="408"/>
      <c r="AW324" s="408"/>
      <c r="AX324" s="408"/>
      <c r="AY324" s="408"/>
      <c r="AZ324" s="408">
        <v>0</v>
      </c>
      <c r="BA324" s="408"/>
      <c r="BB324" s="408"/>
      <c r="BC324" s="408"/>
      <c r="BD324" s="408"/>
      <c r="BE324" s="408"/>
      <c r="BF324" s="408"/>
      <c r="BG324" s="408"/>
      <c r="BH324" s="408"/>
      <c r="BI324" s="408">
        <v>-1.1599999999999999</v>
      </c>
      <c r="BJ324" s="408">
        <v>-5.48</v>
      </c>
      <c r="BK324" s="408">
        <v>0</v>
      </c>
      <c r="BL324" s="408">
        <v>0</v>
      </c>
      <c r="BM324" s="408"/>
      <c r="BN324" s="408"/>
      <c r="BO324" s="408"/>
      <c r="BP324" s="408"/>
      <c r="BQ324" s="408"/>
      <c r="BR324" s="408"/>
      <c r="BS324" s="408"/>
      <c r="BT324" s="408"/>
      <c r="BU324" s="408"/>
      <c r="BV324" s="408"/>
      <c r="BW324" s="408"/>
      <c r="BX324" s="408"/>
      <c r="BY324" s="408"/>
      <c r="BZ324" s="408"/>
      <c r="CA324" s="408"/>
      <c r="CB324" s="408"/>
      <c r="CC324" s="408"/>
      <c r="CD324" s="408"/>
      <c r="CE324" s="408"/>
      <c r="CF324" s="408"/>
      <c r="CG324" s="408"/>
      <c r="CH324" s="408"/>
      <c r="CI324" s="408"/>
      <c r="CJ324" s="408">
        <v>-0.03</v>
      </c>
      <c r="CK324" s="408"/>
      <c r="CL324" s="408"/>
      <c r="CM324" s="408"/>
      <c r="CN324" s="408"/>
      <c r="CO324" s="408">
        <v>0</v>
      </c>
      <c r="CP324" s="408">
        <v>0</v>
      </c>
      <c r="CQ324" s="408"/>
      <c r="CR324" s="408"/>
      <c r="CS324" s="408"/>
      <c r="CT324" s="408"/>
      <c r="CU324" s="408"/>
      <c r="CV324" s="408"/>
      <c r="CW324" s="408"/>
      <c r="CX324" s="408"/>
      <c r="CY324" s="408"/>
      <c r="CZ324" s="408"/>
      <c r="DA324" s="408"/>
      <c r="DB324" s="408"/>
      <c r="DC324" s="408"/>
      <c r="DD324" s="408"/>
      <c r="DE324" s="408"/>
      <c r="DF324" s="408"/>
      <c r="DG324" s="408"/>
      <c r="DH324" s="408"/>
      <c r="DI324" s="408"/>
      <c r="DJ324" s="408"/>
      <c r="DK324" s="408">
        <v>0</v>
      </c>
      <c r="DL324" s="408"/>
      <c r="DM324" s="408"/>
      <c r="DN324" s="408"/>
      <c r="DO324" s="408"/>
      <c r="DP324" s="408"/>
      <c r="DQ324" s="408"/>
      <c r="DR324" s="408"/>
      <c r="DS324" s="408"/>
      <c r="DT324" s="408"/>
      <c r="DU324" s="408"/>
      <c r="DV324" s="408"/>
      <c r="DW324" s="408"/>
      <c r="DX324" s="408"/>
      <c r="DY324" s="408"/>
      <c r="DZ324" s="408"/>
      <c r="EA324" s="408"/>
      <c r="EB324" s="408"/>
      <c r="EC324" s="408"/>
      <c r="ED324" s="408"/>
      <c r="EE324" s="408"/>
      <c r="EF324" s="408"/>
      <c r="EG324" s="408"/>
      <c r="EH324" s="408"/>
      <c r="EI324" s="408"/>
      <c r="EJ324" s="408"/>
      <c r="EK324" s="408"/>
      <c r="EL324" s="408"/>
      <c r="EM324" s="408"/>
      <c r="EN324" s="408"/>
      <c r="EO324" s="408"/>
      <c r="EP324" s="408"/>
      <c r="EQ324" s="408"/>
      <c r="ER324" s="408"/>
      <c r="ES324" s="408"/>
      <c r="ET324" s="408"/>
      <c r="EU324" s="408"/>
      <c r="EV324" s="408">
        <v>238</v>
      </c>
      <c r="EW324" s="408"/>
      <c r="EX324" s="408"/>
      <c r="EY324" s="408"/>
      <c r="EZ324" s="408"/>
      <c r="FA324" s="408">
        <v>0</v>
      </c>
      <c r="FB324" s="408"/>
      <c r="FC324" s="408"/>
      <c r="FD324" s="408"/>
      <c r="FE324" s="408"/>
      <c r="FF324" s="408">
        <v>0</v>
      </c>
      <c r="FG324" s="408">
        <v>0</v>
      </c>
      <c r="FH324" s="408">
        <v>0</v>
      </c>
      <c r="FI324" s="408">
        <v>0</v>
      </c>
    </row>
    <row r="325" spans="1:165">
      <c r="A325" s="408">
        <v>329</v>
      </c>
      <c r="B325" s="408" t="s">
        <v>2238</v>
      </c>
      <c r="C325" s="408" t="s">
        <v>2235</v>
      </c>
      <c r="D325" s="408" t="s">
        <v>2245</v>
      </c>
      <c r="E325" s="408" t="s">
        <v>974</v>
      </c>
      <c r="F325" s="408" t="s">
        <v>2252</v>
      </c>
      <c r="G325" s="408" t="s">
        <v>2253</v>
      </c>
      <c r="H325" s="408" t="s">
        <v>1322</v>
      </c>
      <c r="I325" s="408" t="s">
        <v>1322</v>
      </c>
      <c r="J325" s="408" t="s">
        <v>2236</v>
      </c>
      <c r="K325" s="824">
        <v>44531</v>
      </c>
      <c r="L325" s="408">
        <v>0</v>
      </c>
      <c r="M325" s="408">
        <v>0</v>
      </c>
      <c r="N325" s="408">
        <v>0</v>
      </c>
      <c r="O325" s="408">
        <v>0</v>
      </c>
      <c r="P325" s="408">
        <v>0</v>
      </c>
      <c r="Q325" s="408">
        <v>0</v>
      </c>
      <c r="R325" s="408"/>
      <c r="S325" s="408"/>
      <c r="T325" s="408"/>
      <c r="U325" s="408"/>
      <c r="V325" s="408"/>
      <c r="W325" s="408"/>
      <c r="X325" s="408"/>
      <c r="Y325" s="408"/>
      <c r="Z325" s="408"/>
      <c r="AA325" s="408">
        <v>0</v>
      </c>
      <c r="AB325" s="408"/>
      <c r="AC325" s="408"/>
      <c r="AD325" s="408"/>
      <c r="AE325" s="408"/>
      <c r="AF325" s="408"/>
      <c r="AG325" s="408"/>
      <c r="AH325" s="408"/>
      <c r="AI325" s="408"/>
      <c r="AJ325" s="408"/>
      <c r="AK325" s="408"/>
      <c r="AL325" s="408"/>
      <c r="AM325" s="408"/>
      <c r="AN325" s="408"/>
      <c r="AO325" s="408"/>
      <c r="AP325" s="408"/>
      <c r="AQ325" s="408"/>
      <c r="AR325" s="408"/>
      <c r="AS325" s="408"/>
      <c r="AT325" s="408"/>
      <c r="AU325" s="408"/>
      <c r="AV325" s="408"/>
      <c r="AW325" s="408"/>
      <c r="AX325" s="408"/>
      <c r="AY325" s="408"/>
      <c r="AZ325" s="408">
        <v>0</v>
      </c>
      <c r="BA325" s="408"/>
      <c r="BB325" s="408"/>
      <c r="BC325" s="408"/>
      <c r="BD325" s="408"/>
      <c r="BE325" s="408"/>
      <c r="BF325" s="408"/>
      <c r="BG325" s="408"/>
      <c r="BH325" s="408"/>
      <c r="BI325" s="408">
        <v>61.53</v>
      </c>
      <c r="BJ325" s="408">
        <v>283.35000000000002</v>
      </c>
      <c r="BK325" s="408">
        <v>249.31</v>
      </c>
      <c r="BL325" s="408">
        <v>26</v>
      </c>
      <c r="BM325" s="408"/>
      <c r="BN325" s="408"/>
      <c r="BO325" s="408"/>
      <c r="BP325" s="408"/>
      <c r="BQ325" s="408"/>
      <c r="BR325" s="408"/>
      <c r="BS325" s="408"/>
      <c r="BT325" s="408"/>
      <c r="BU325" s="408"/>
      <c r="BV325" s="408"/>
      <c r="BW325" s="408"/>
      <c r="BX325" s="408"/>
      <c r="BY325" s="408"/>
      <c r="BZ325" s="408"/>
      <c r="CA325" s="408"/>
      <c r="CB325" s="408"/>
      <c r="CC325" s="408"/>
      <c r="CD325" s="408"/>
      <c r="CE325" s="408"/>
      <c r="CF325" s="408"/>
      <c r="CG325" s="408"/>
      <c r="CH325" s="408"/>
      <c r="CI325" s="408"/>
      <c r="CJ325" s="408">
        <v>-0.03</v>
      </c>
      <c r="CK325" s="408"/>
      <c r="CL325" s="408"/>
      <c r="CM325" s="408"/>
      <c r="CN325" s="408"/>
      <c r="CO325" s="408">
        <v>0</v>
      </c>
      <c r="CP325" s="408">
        <v>0</v>
      </c>
      <c r="CQ325" s="408"/>
      <c r="CR325" s="408"/>
      <c r="CS325" s="408"/>
      <c r="CT325" s="408"/>
      <c r="CU325" s="408"/>
      <c r="CV325" s="408"/>
      <c r="CW325" s="408"/>
      <c r="CX325" s="408"/>
      <c r="CY325" s="408"/>
      <c r="CZ325" s="408"/>
      <c r="DA325" s="408"/>
      <c r="DB325" s="408"/>
      <c r="DC325" s="408"/>
      <c r="DD325" s="408"/>
      <c r="DE325" s="408"/>
      <c r="DF325" s="408"/>
      <c r="DG325" s="408"/>
      <c r="DH325" s="408"/>
      <c r="DI325" s="408"/>
      <c r="DJ325" s="408"/>
      <c r="DK325" s="408">
        <v>0</v>
      </c>
      <c r="DL325" s="408"/>
      <c r="DM325" s="408"/>
      <c r="DN325" s="408"/>
      <c r="DO325" s="408"/>
      <c r="DP325" s="408"/>
      <c r="DQ325" s="408"/>
      <c r="DR325" s="408"/>
      <c r="DS325" s="408"/>
      <c r="DT325" s="408"/>
      <c r="DU325" s="408"/>
      <c r="DV325" s="408"/>
      <c r="DW325" s="408"/>
      <c r="DX325" s="408"/>
      <c r="DY325" s="408"/>
      <c r="DZ325" s="408"/>
      <c r="EA325" s="408"/>
      <c r="EB325" s="408"/>
      <c r="EC325" s="408"/>
      <c r="ED325" s="408"/>
      <c r="EE325" s="408"/>
      <c r="EF325" s="408"/>
      <c r="EG325" s="408"/>
      <c r="EH325" s="408"/>
      <c r="EI325" s="408"/>
      <c r="EJ325" s="408"/>
      <c r="EK325" s="408"/>
      <c r="EL325" s="408"/>
      <c r="EM325" s="408"/>
      <c r="EN325" s="408"/>
      <c r="EO325" s="408"/>
      <c r="EP325" s="408"/>
      <c r="EQ325" s="408"/>
      <c r="ER325" s="408"/>
      <c r="ES325" s="408"/>
      <c r="ET325" s="408"/>
      <c r="EU325" s="408"/>
      <c r="EV325" s="408">
        <v>238</v>
      </c>
      <c r="EW325" s="408"/>
      <c r="EX325" s="408"/>
      <c r="EY325" s="408"/>
      <c r="EZ325" s="408"/>
      <c r="FA325" s="408">
        <v>0</v>
      </c>
      <c r="FB325" s="408"/>
      <c r="FC325" s="408"/>
      <c r="FD325" s="408"/>
      <c r="FE325" s="408"/>
      <c r="FF325" s="408">
        <v>0</v>
      </c>
      <c r="FG325" s="408">
        <v>0</v>
      </c>
      <c r="FH325" s="408">
        <v>0</v>
      </c>
      <c r="FI325" s="408">
        <v>0</v>
      </c>
    </row>
    <row r="326" spans="1:165">
      <c r="A326" s="408">
        <v>330</v>
      </c>
      <c r="B326" s="408" t="s">
        <v>1036</v>
      </c>
      <c r="C326" s="408" t="s">
        <v>2235</v>
      </c>
      <c r="D326" s="408" t="s">
        <v>2245</v>
      </c>
      <c r="E326" s="408" t="s">
        <v>974</v>
      </c>
      <c r="F326" s="408" t="s">
        <v>2252</v>
      </c>
      <c r="G326" s="408" t="s">
        <v>2253</v>
      </c>
      <c r="H326" s="408" t="s">
        <v>1322</v>
      </c>
      <c r="I326" s="408" t="s">
        <v>1322</v>
      </c>
      <c r="J326" s="408" t="s">
        <v>2236</v>
      </c>
      <c r="K326" s="824">
        <v>44531</v>
      </c>
      <c r="L326" s="408">
        <v>0</v>
      </c>
      <c r="M326" s="408">
        <v>0</v>
      </c>
      <c r="N326" s="408">
        <v>344.63900000000001</v>
      </c>
      <c r="O326" s="408">
        <v>344.63900000000001</v>
      </c>
      <c r="P326" s="408">
        <v>344.63900000000001</v>
      </c>
      <c r="Q326" s="408">
        <v>344.63900000000001</v>
      </c>
      <c r="R326" s="408"/>
      <c r="S326" s="408">
        <v>581.32000000000005</v>
      </c>
      <c r="T326" s="408">
        <v>209.4</v>
      </c>
      <c r="U326" s="408"/>
      <c r="V326" s="408">
        <v>272512.95008000004</v>
      </c>
      <c r="W326" s="408">
        <v>272512.95008000004</v>
      </c>
      <c r="X326" s="408">
        <v>208186.08072999999</v>
      </c>
      <c r="Y326" s="408">
        <v>0</v>
      </c>
      <c r="Z326" s="408">
        <v>21208.362894854552</v>
      </c>
      <c r="AA326" s="408">
        <v>0</v>
      </c>
      <c r="AB326" s="408">
        <v>0</v>
      </c>
      <c r="AC326" s="408">
        <v>0</v>
      </c>
      <c r="AD326" s="408">
        <v>25569.161951284714</v>
      </c>
      <c r="AE326" s="408">
        <v>132825.70128438913</v>
      </c>
      <c r="AF326" s="408">
        <v>71219.906378673069</v>
      </c>
      <c r="AG326" s="408">
        <v>948.77909229276747</v>
      </c>
      <c r="AH326" s="408">
        <v>0</v>
      </c>
      <c r="AI326" s="408">
        <v>0</v>
      </c>
      <c r="AJ326" s="408">
        <v>0</v>
      </c>
      <c r="AK326" s="408">
        <v>0</v>
      </c>
      <c r="AL326" s="408">
        <v>3277.3796013741039</v>
      </c>
      <c r="AM326" s="408"/>
      <c r="AN326" s="408">
        <v>628.26459884294593</v>
      </c>
      <c r="AO326" s="408">
        <v>1964.2633548359725</v>
      </c>
      <c r="AP326" s="408">
        <v>2958.7912862416192</v>
      </c>
      <c r="AQ326" s="408">
        <v>0</v>
      </c>
      <c r="AR326" s="408">
        <v>0</v>
      </c>
      <c r="AS326" s="408">
        <v>0</v>
      </c>
      <c r="AT326" s="408">
        <v>0</v>
      </c>
      <c r="AU326" s="408">
        <v>0</v>
      </c>
      <c r="AV326" s="408">
        <v>0</v>
      </c>
      <c r="AW326" s="408">
        <v>0</v>
      </c>
      <c r="AX326" s="408">
        <v>0</v>
      </c>
      <c r="AY326" s="408">
        <v>0</v>
      </c>
      <c r="AZ326" s="408">
        <v>0</v>
      </c>
      <c r="BA326" s="408"/>
      <c r="BB326" s="408">
        <v>0</v>
      </c>
      <c r="BC326" s="408">
        <v>0</v>
      </c>
      <c r="BD326" s="408">
        <v>0</v>
      </c>
      <c r="BE326" s="408">
        <v>0</v>
      </c>
      <c r="BF326" s="408">
        <v>0</v>
      </c>
      <c r="BG326" s="408">
        <v>11914.957198488286</v>
      </c>
      <c r="BH326" s="408">
        <v>0</v>
      </c>
      <c r="BI326" s="408">
        <v>0</v>
      </c>
      <c r="BJ326" s="408">
        <v>0</v>
      </c>
      <c r="BK326" s="408">
        <v>0</v>
      </c>
      <c r="BL326" s="408">
        <v>0</v>
      </c>
      <c r="BM326" s="408"/>
      <c r="BN326" s="408"/>
      <c r="BO326" s="408"/>
      <c r="BP326" s="408"/>
      <c r="BQ326" s="408"/>
      <c r="BR326" s="408">
        <v>24982.881109999973</v>
      </c>
      <c r="BS326" s="408"/>
      <c r="BT326" s="408"/>
      <c r="BU326" s="408"/>
      <c r="BV326" s="408">
        <v>83134.863577161363</v>
      </c>
      <c r="BW326" s="408"/>
      <c r="BX326" s="408"/>
      <c r="BY326" s="408"/>
      <c r="BZ326" s="408"/>
      <c r="CA326" s="408"/>
      <c r="CB326" s="408"/>
      <c r="CC326" s="408"/>
      <c r="CD326" s="408"/>
      <c r="CE326" s="408"/>
      <c r="CF326" s="408"/>
      <c r="CG326" s="408"/>
      <c r="CH326" s="408"/>
      <c r="CI326" s="408">
        <v>183203.73120000001</v>
      </c>
      <c r="CJ326" s="408">
        <v>-56613.346950000006</v>
      </c>
      <c r="CK326" s="408"/>
      <c r="CL326" s="408"/>
      <c r="CM326" s="408"/>
      <c r="CN326" s="408"/>
      <c r="CO326" s="408">
        <v>-72194.977720000024</v>
      </c>
      <c r="CP326" s="408">
        <v>7868.1083699999945</v>
      </c>
      <c r="CQ326" s="408"/>
      <c r="CR326" s="408">
        <v>10181.97005731336</v>
      </c>
      <c r="CS326" s="408">
        <v>237.14950326791472</v>
      </c>
      <c r="CT326" s="408">
        <v>357.22087981640288</v>
      </c>
      <c r="CU326" s="408">
        <v>0</v>
      </c>
      <c r="CV326" s="408">
        <v>0</v>
      </c>
      <c r="CW326" s="408">
        <v>0</v>
      </c>
      <c r="CX326" s="408">
        <v>0</v>
      </c>
      <c r="CY326" s="408">
        <v>0</v>
      </c>
      <c r="CZ326" s="408">
        <v>838.21945896655234</v>
      </c>
      <c r="DA326" s="408">
        <v>0</v>
      </c>
      <c r="DB326" s="408">
        <v>0</v>
      </c>
      <c r="DC326" s="408">
        <v>7865.7248902245774</v>
      </c>
      <c r="DD326" s="408">
        <v>0</v>
      </c>
      <c r="DE326" s="408">
        <v>0</v>
      </c>
      <c r="DF326" s="408">
        <v>0</v>
      </c>
      <c r="DG326" s="408">
        <v>1315.9210699295545</v>
      </c>
      <c r="DH326" s="408">
        <v>0</v>
      </c>
      <c r="DI326" s="408">
        <v>-369.70678711139044</v>
      </c>
      <c r="DJ326" s="408"/>
      <c r="DK326" s="408">
        <v>0</v>
      </c>
      <c r="DL326" s="408">
        <v>0</v>
      </c>
      <c r="DM326" s="408">
        <v>0</v>
      </c>
      <c r="DN326" s="408">
        <v>0</v>
      </c>
      <c r="DO326" s="408">
        <v>-48.033183872651534</v>
      </c>
      <c r="DP326" s="408">
        <v>-14.525773907650205</v>
      </c>
      <c r="DQ326" s="408">
        <v>0</v>
      </c>
      <c r="DR326" s="408">
        <v>0</v>
      </c>
      <c r="DS326" s="408"/>
      <c r="DT326" s="408"/>
      <c r="DU326" s="408"/>
      <c r="DV326" s="408">
        <v>132825.70128438913</v>
      </c>
      <c r="DW326" s="408">
        <v>0</v>
      </c>
      <c r="DX326" s="408">
        <v>0</v>
      </c>
      <c r="DY326" s="408">
        <v>-72194.977720000024</v>
      </c>
      <c r="DZ326" s="408">
        <v>7868.1083700000017</v>
      </c>
      <c r="EA326" s="408">
        <v>0</v>
      </c>
      <c r="EB326" s="408">
        <v>0</v>
      </c>
      <c r="EC326" s="408">
        <v>-74513.850208935517</v>
      </c>
      <c r="ED326" s="408">
        <v>0</v>
      </c>
      <c r="EE326" s="408">
        <v>0</v>
      </c>
      <c r="EF326" s="408">
        <v>0</v>
      </c>
      <c r="EG326" s="408">
        <v>0</v>
      </c>
      <c r="EH326" s="408">
        <v>0</v>
      </c>
      <c r="EI326" s="408">
        <v>0</v>
      </c>
      <c r="EJ326" s="408">
        <v>0</v>
      </c>
      <c r="EK326" s="408">
        <v>0</v>
      </c>
      <c r="EL326" s="408">
        <v>0</v>
      </c>
      <c r="EM326" s="408">
        <v>0</v>
      </c>
      <c r="EN326" s="408">
        <v>0</v>
      </c>
      <c r="EO326" s="408">
        <v>0</v>
      </c>
      <c r="EP326" s="408">
        <v>0</v>
      </c>
      <c r="EQ326" s="408">
        <v>0</v>
      </c>
      <c r="ER326" s="408">
        <v>0</v>
      </c>
      <c r="ES326" s="408">
        <v>0</v>
      </c>
      <c r="ET326" s="408">
        <v>0</v>
      </c>
      <c r="EU326" s="408">
        <v>0</v>
      </c>
      <c r="EV326" s="408">
        <v>238</v>
      </c>
      <c r="EW326" s="408">
        <v>0</v>
      </c>
      <c r="EX326" s="408">
        <v>0</v>
      </c>
      <c r="EY326" s="408">
        <v>0</v>
      </c>
      <c r="EZ326" s="408"/>
      <c r="FA326" s="408">
        <v>0</v>
      </c>
      <c r="FB326" s="408"/>
      <c r="FC326" s="408"/>
      <c r="FD326" s="408"/>
      <c r="FE326" s="408"/>
      <c r="FF326" s="408">
        <v>0</v>
      </c>
      <c r="FG326" s="408">
        <v>0</v>
      </c>
      <c r="FH326" s="408">
        <v>0</v>
      </c>
      <c r="FI326" s="408">
        <v>0</v>
      </c>
    </row>
    <row r="327" spans="1:165">
      <c r="A327" s="408">
        <v>331</v>
      </c>
      <c r="B327" s="408" t="s">
        <v>2238</v>
      </c>
      <c r="C327" s="408" t="s">
        <v>2235</v>
      </c>
      <c r="D327" s="408" t="s">
        <v>2245</v>
      </c>
      <c r="E327" s="408" t="s">
        <v>974</v>
      </c>
      <c r="F327" s="408" t="s">
        <v>2252</v>
      </c>
      <c r="G327" s="408" t="s">
        <v>2253</v>
      </c>
      <c r="H327" s="408" t="s">
        <v>1322</v>
      </c>
      <c r="I327" s="408" t="s">
        <v>1322</v>
      </c>
      <c r="J327" s="408" t="s">
        <v>2236</v>
      </c>
      <c r="K327" s="824">
        <v>44531</v>
      </c>
      <c r="L327" s="408">
        <v>0</v>
      </c>
      <c r="M327" s="408">
        <v>0</v>
      </c>
      <c r="N327" s="408">
        <v>19.963000000000001</v>
      </c>
      <c r="O327" s="408">
        <v>19.963000000000001</v>
      </c>
      <c r="P327" s="408">
        <v>19.963000000000001</v>
      </c>
      <c r="Q327" s="408">
        <v>19.963000000000001</v>
      </c>
      <c r="R327" s="408"/>
      <c r="S327" s="408">
        <v>581.32000000000005</v>
      </c>
      <c r="T327" s="408">
        <v>209.4</v>
      </c>
      <c r="U327" s="408"/>
      <c r="V327" s="408">
        <v>15785.143360000002</v>
      </c>
      <c r="W327" s="408">
        <v>15785.143360000002</v>
      </c>
      <c r="X327" s="408">
        <v>12059.04941</v>
      </c>
      <c r="Y327" s="408">
        <v>0</v>
      </c>
      <c r="Z327" s="408">
        <v>1228.4812469569069</v>
      </c>
      <c r="AA327" s="408">
        <v>0</v>
      </c>
      <c r="AB327" s="408">
        <v>0</v>
      </c>
      <c r="AC327" s="408">
        <v>0</v>
      </c>
      <c r="AD327" s="408">
        <v>1481.0778235588448</v>
      </c>
      <c r="AE327" s="408">
        <v>7693.8462412560975</v>
      </c>
      <c r="AF327" s="408">
        <v>4125.3688382262326</v>
      </c>
      <c r="AG327" s="408">
        <v>54.95743958008385</v>
      </c>
      <c r="AH327" s="408">
        <v>0</v>
      </c>
      <c r="AI327" s="408">
        <v>0</v>
      </c>
      <c r="AJ327" s="408">
        <v>0</v>
      </c>
      <c r="AK327" s="408">
        <v>0</v>
      </c>
      <c r="AL327" s="408">
        <v>189.8401776416228</v>
      </c>
      <c r="AM327" s="408"/>
      <c r="AN327" s="408">
        <v>36.391836636891732</v>
      </c>
      <c r="AO327" s="408">
        <v>113.77873471252678</v>
      </c>
      <c r="AP327" s="408">
        <v>171.38614738100284</v>
      </c>
      <c r="AQ327" s="408">
        <v>0</v>
      </c>
      <c r="AR327" s="408">
        <v>0</v>
      </c>
      <c r="AS327" s="408">
        <v>0</v>
      </c>
      <c r="AT327" s="408">
        <v>0</v>
      </c>
      <c r="AU327" s="408">
        <v>0</v>
      </c>
      <c r="AV327" s="408">
        <v>0</v>
      </c>
      <c r="AW327" s="408">
        <v>0</v>
      </c>
      <c r="AX327" s="408">
        <v>0</v>
      </c>
      <c r="AY327" s="408">
        <v>0</v>
      </c>
      <c r="AZ327" s="408">
        <v>0</v>
      </c>
      <c r="BA327" s="408"/>
      <c r="BB327" s="408">
        <v>0</v>
      </c>
      <c r="BC327" s="408">
        <v>0</v>
      </c>
      <c r="BD327" s="408">
        <v>0</v>
      </c>
      <c r="BE327" s="408">
        <v>0</v>
      </c>
      <c r="BF327" s="408">
        <v>0</v>
      </c>
      <c r="BG327" s="408">
        <v>690.16649466085278</v>
      </c>
      <c r="BH327" s="408">
        <v>0</v>
      </c>
      <c r="BI327" s="408">
        <v>0</v>
      </c>
      <c r="BJ327" s="408">
        <v>0</v>
      </c>
      <c r="BK327" s="408">
        <v>0</v>
      </c>
      <c r="BL327" s="408">
        <v>0</v>
      </c>
      <c r="BM327" s="408"/>
      <c r="BN327" s="408"/>
      <c r="BO327" s="408"/>
      <c r="BP327" s="408"/>
      <c r="BQ327" s="408"/>
      <c r="BR327" s="408">
        <v>1447.1178699999987</v>
      </c>
      <c r="BS327" s="408"/>
      <c r="BT327" s="408"/>
      <c r="BU327" s="408"/>
      <c r="BV327" s="408">
        <v>4815.5353328870851</v>
      </c>
      <c r="BW327" s="408"/>
      <c r="BX327" s="408"/>
      <c r="BY327" s="408"/>
      <c r="BZ327" s="408"/>
      <c r="CA327" s="408"/>
      <c r="CB327" s="408"/>
      <c r="CC327" s="408"/>
      <c r="CD327" s="408"/>
      <c r="CE327" s="408"/>
      <c r="CF327" s="408"/>
      <c r="CG327" s="408"/>
      <c r="CH327" s="408"/>
      <c r="CI327" s="408">
        <v>10610.336800000001</v>
      </c>
      <c r="CJ327" s="408">
        <v>-3280.946750000001</v>
      </c>
      <c r="CK327" s="408"/>
      <c r="CL327" s="408"/>
      <c r="CM327" s="408"/>
      <c r="CN327" s="408"/>
      <c r="CO327" s="408">
        <v>-4181.8492400000014</v>
      </c>
      <c r="CP327" s="408">
        <v>455.75528999999972</v>
      </c>
      <c r="CQ327" s="408"/>
      <c r="CR327" s="408">
        <v>589.78429096574928</v>
      </c>
      <c r="CS327" s="408">
        <v>13.736737669669964</v>
      </c>
      <c r="CT327" s="408">
        <v>20.691797573039764</v>
      </c>
      <c r="CU327" s="408">
        <v>0</v>
      </c>
      <c r="CV327" s="408">
        <v>0</v>
      </c>
      <c r="CW327" s="408">
        <v>0</v>
      </c>
      <c r="CX327" s="408">
        <v>0</v>
      </c>
      <c r="CY327" s="408">
        <v>0</v>
      </c>
      <c r="CZ327" s="408">
        <v>48.553341494576443</v>
      </c>
      <c r="DA327" s="408">
        <v>0</v>
      </c>
      <c r="DB327" s="408">
        <v>0</v>
      </c>
      <c r="DC327" s="408">
        <v>455.61722841452411</v>
      </c>
      <c r="DD327" s="408">
        <v>0</v>
      </c>
      <c r="DE327" s="408">
        <v>0</v>
      </c>
      <c r="DF327" s="408">
        <v>0</v>
      </c>
      <c r="DG327" s="408">
        <v>76.2239105818079</v>
      </c>
      <c r="DH327" s="408">
        <v>0</v>
      </c>
      <c r="DI327" s="408">
        <v>-21.41503599739076</v>
      </c>
      <c r="DJ327" s="408"/>
      <c r="DK327" s="408">
        <v>0</v>
      </c>
      <c r="DL327" s="408">
        <v>0</v>
      </c>
      <c r="DM327" s="408">
        <v>0</v>
      </c>
      <c r="DN327" s="408">
        <v>0</v>
      </c>
      <c r="DO327" s="408">
        <v>-2.7822923396648207</v>
      </c>
      <c r="DP327" s="408">
        <v>-0.84139643081142879</v>
      </c>
      <c r="DQ327" s="408">
        <v>0</v>
      </c>
      <c r="DR327" s="408">
        <v>0</v>
      </c>
      <c r="DS327" s="408"/>
      <c r="DT327" s="408"/>
      <c r="DU327" s="408"/>
      <c r="DV327" s="408">
        <v>7693.8462412560975</v>
      </c>
      <c r="DW327" s="408">
        <v>0</v>
      </c>
      <c r="DX327" s="408">
        <v>0</v>
      </c>
      <c r="DY327" s="408">
        <v>-4181.8492400000014</v>
      </c>
      <c r="DZ327" s="408">
        <v>455.75529000000006</v>
      </c>
      <c r="EA327" s="408">
        <v>0</v>
      </c>
      <c r="EB327" s="408">
        <v>0</v>
      </c>
      <c r="EC327" s="408">
        <v>-4316.1684885372224</v>
      </c>
      <c r="ED327" s="408">
        <v>0</v>
      </c>
      <c r="EE327" s="408">
        <v>0</v>
      </c>
      <c r="EF327" s="408">
        <v>0</v>
      </c>
      <c r="EG327" s="408">
        <v>0</v>
      </c>
      <c r="EH327" s="408">
        <v>0</v>
      </c>
      <c r="EI327" s="408">
        <v>0</v>
      </c>
      <c r="EJ327" s="408">
        <v>0</v>
      </c>
      <c r="EK327" s="408">
        <v>0</v>
      </c>
      <c r="EL327" s="408">
        <v>0</v>
      </c>
      <c r="EM327" s="408">
        <v>0</v>
      </c>
      <c r="EN327" s="408">
        <v>0</v>
      </c>
      <c r="EO327" s="408">
        <v>0</v>
      </c>
      <c r="EP327" s="408">
        <v>0</v>
      </c>
      <c r="EQ327" s="408">
        <v>0</v>
      </c>
      <c r="ER327" s="408">
        <v>0</v>
      </c>
      <c r="ES327" s="408">
        <v>0</v>
      </c>
      <c r="ET327" s="408">
        <v>0</v>
      </c>
      <c r="EU327" s="408">
        <v>0</v>
      </c>
      <c r="EV327" s="408">
        <v>238</v>
      </c>
      <c r="EW327" s="408">
        <v>0</v>
      </c>
      <c r="EX327" s="408">
        <v>0</v>
      </c>
      <c r="EY327" s="408">
        <v>0</v>
      </c>
      <c r="EZ327" s="408"/>
      <c r="FA327" s="408">
        <v>0</v>
      </c>
      <c r="FB327" s="408"/>
      <c r="FC327" s="408"/>
      <c r="FD327" s="408"/>
      <c r="FE327" s="408"/>
      <c r="FF327" s="408">
        <v>0</v>
      </c>
      <c r="FG327" s="408">
        <v>0</v>
      </c>
      <c r="FH327" s="408">
        <v>0</v>
      </c>
      <c r="FI327" s="408">
        <v>0</v>
      </c>
    </row>
    <row r="328" spans="1:165">
      <c r="A328" s="408">
        <v>332</v>
      </c>
      <c r="B328" s="408" t="s">
        <v>1036</v>
      </c>
      <c r="C328" s="408" t="s">
        <v>2235</v>
      </c>
      <c r="D328" s="408" t="s">
        <v>2245</v>
      </c>
      <c r="E328" s="408" t="s">
        <v>974</v>
      </c>
      <c r="F328" s="408" t="s">
        <v>2252</v>
      </c>
      <c r="G328" s="408" t="s">
        <v>2254</v>
      </c>
      <c r="H328" s="408" t="s">
        <v>1322</v>
      </c>
      <c r="I328" s="408" t="s">
        <v>1322</v>
      </c>
      <c r="J328" s="408" t="s">
        <v>2236</v>
      </c>
      <c r="K328" s="824">
        <v>44531</v>
      </c>
      <c r="L328" s="408">
        <v>0</v>
      </c>
      <c r="M328" s="408">
        <v>0</v>
      </c>
      <c r="N328" s="408">
        <v>419.846</v>
      </c>
      <c r="O328" s="408">
        <v>167.9384</v>
      </c>
      <c r="P328" s="408">
        <v>419.846</v>
      </c>
      <c r="Q328" s="408">
        <v>167.9384</v>
      </c>
      <c r="R328" s="408"/>
      <c r="S328" s="408">
        <v>581.32000000000005</v>
      </c>
      <c r="T328" s="408">
        <v>209.4</v>
      </c>
      <c r="U328" s="408"/>
      <c r="V328" s="408">
        <v>331980.62912000006</v>
      </c>
      <c r="W328" s="408">
        <v>331980.62912000006</v>
      </c>
      <c r="X328" s="408">
        <v>253616.37321999998</v>
      </c>
      <c r="Y328" s="408">
        <v>0</v>
      </c>
      <c r="Z328" s="408">
        <v>25836.444302453016</v>
      </c>
      <c r="AA328" s="408">
        <v>0</v>
      </c>
      <c r="AB328" s="408">
        <v>0</v>
      </c>
      <c r="AC328" s="408">
        <v>0</v>
      </c>
      <c r="AD328" s="408">
        <v>31148.855377943531</v>
      </c>
      <c r="AE328" s="408">
        <v>161810.8785756854</v>
      </c>
      <c r="AF328" s="408">
        <v>86761.489017378684</v>
      </c>
      <c r="AG328" s="408">
        <v>1155.8213283544499</v>
      </c>
      <c r="AH328" s="408">
        <v>0</v>
      </c>
      <c r="AI328" s="408">
        <v>0</v>
      </c>
      <c r="AJ328" s="408">
        <v>0</v>
      </c>
      <c r="AK328" s="408">
        <v>0</v>
      </c>
      <c r="AL328" s="408">
        <v>3992.5682122989915</v>
      </c>
      <c r="AM328" s="408"/>
      <c r="AN328" s="408">
        <v>765.3642761434877</v>
      </c>
      <c r="AO328" s="408">
        <v>2392.9042054859251</v>
      </c>
      <c r="AP328" s="408">
        <v>3604.4576683526784</v>
      </c>
      <c r="AQ328" s="408">
        <v>0</v>
      </c>
      <c r="AR328" s="408">
        <v>0</v>
      </c>
      <c r="AS328" s="408">
        <v>0</v>
      </c>
      <c r="AT328" s="408">
        <v>0</v>
      </c>
      <c r="AU328" s="408">
        <v>0</v>
      </c>
      <c r="AV328" s="408">
        <v>0</v>
      </c>
      <c r="AW328" s="408">
        <v>0</v>
      </c>
      <c r="AX328" s="408">
        <v>0</v>
      </c>
      <c r="AY328" s="408">
        <v>0</v>
      </c>
      <c r="AZ328" s="408">
        <v>0</v>
      </c>
      <c r="BA328" s="408"/>
      <c r="BB328" s="408">
        <v>0</v>
      </c>
      <c r="BC328" s="408">
        <v>0</v>
      </c>
      <c r="BD328" s="408">
        <v>0</v>
      </c>
      <c r="BE328" s="408">
        <v>0</v>
      </c>
      <c r="BF328" s="408">
        <v>0</v>
      </c>
      <c r="BG328" s="408">
        <v>14515.034920471893</v>
      </c>
      <c r="BH328" s="408">
        <v>0</v>
      </c>
      <c r="BI328" s="408">
        <v>0</v>
      </c>
      <c r="BJ328" s="408">
        <v>0</v>
      </c>
      <c r="BK328" s="408">
        <v>0</v>
      </c>
      <c r="BL328" s="408">
        <v>0</v>
      </c>
      <c r="BM328" s="408"/>
      <c r="BN328" s="408"/>
      <c r="BO328" s="408"/>
      <c r="BP328" s="408"/>
      <c r="BQ328" s="408"/>
      <c r="BR328" s="408"/>
      <c r="BS328" s="408">
        <v>164343.678548</v>
      </c>
      <c r="BT328" s="408"/>
      <c r="BU328" s="408"/>
      <c r="BV328" s="408">
        <v>101276.52393785058</v>
      </c>
      <c r="BW328" s="408"/>
      <c r="BX328" s="408"/>
      <c r="BY328" s="408"/>
      <c r="BZ328" s="408"/>
      <c r="CA328" s="408"/>
      <c r="CB328" s="408"/>
      <c r="CC328" s="408"/>
      <c r="CD328" s="408"/>
      <c r="CE328" s="408"/>
      <c r="CF328" s="408"/>
      <c r="CG328" s="408"/>
      <c r="CH328" s="408"/>
      <c r="CI328" s="408">
        <v>89273.545200000008</v>
      </c>
      <c r="CJ328" s="408">
        <v>-27586.420439999973</v>
      </c>
      <c r="CK328" s="408"/>
      <c r="CL328" s="408"/>
      <c r="CM328" s="408"/>
      <c r="CN328" s="408"/>
      <c r="CO328" s="408">
        <v>-87949.340080000038</v>
      </c>
      <c r="CP328" s="408">
        <v>9585.0841799999926</v>
      </c>
      <c r="CQ328" s="408"/>
      <c r="CR328" s="408">
        <v>12403.875941732578</v>
      </c>
      <c r="CS328" s="408">
        <v>288.90018352252901</v>
      </c>
      <c r="CT328" s="408">
        <v>435.17349315485944</v>
      </c>
      <c r="CU328" s="408">
        <v>0</v>
      </c>
      <c r="CV328" s="408">
        <v>0</v>
      </c>
      <c r="CW328" s="408">
        <v>0</v>
      </c>
      <c r="CX328" s="408">
        <v>0</v>
      </c>
      <c r="CY328" s="408">
        <v>0</v>
      </c>
      <c r="CZ328" s="408">
        <v>1021.135411167259</v>
      </c>
      <c r="DA328" s="408">
        <v>0</v>
      </c>
      <c r="DB328" s="408">
        <v>0</v>
      </c>
      <c r="DC328" s="408">
        <v>9582.1805781157309</v>
      </c>
      <c r="DD328" s="408">
        <v>0</v>
      </c>
      <c r="DE328" s="408">
        <v>0</v>
      </c>
      <c r="DF328" s="408">
        <v>0</v>
      </c>
      <c r="DG328" s="408">
        <v>1603.0808977673551</v>
      </c>
      <c r="DH328" s="408">
        <v>0</v>
      </c>
      <c r="DI328" s="408">
        <v>-450.38407069881941</v>
      </c>
      <c r="DJ328" s="408"/>
      <c r="DK328" s="408">
        <v>0</v>
      </c>
      <c r="DL328" s="408">
        <v>0</v>
      </c>
      <c r="DM328" s="408">
        <v>0</v>
      </c>
      <c r="DN328" s="408">
        <v>0</v>
      </c>
      <c r="DO328" s="408">
        <v>-58.514968173065881</v>
      </c>
      <c r="DP328" s="408">
        <v>-17.695583123300821</v>
      </c>
      <c r="DQ328" s="408">
        <v>0</v>
      </c>
      <c r="DR328" s="408">
        <v>0</v>
      </c>
      <c r="DS328" s="408"/>
      <c r="DT328" s="408"/>
      <c r="DU328" s="408"/>
      <c r="DV328" s="408">
        <v>161810.8785756854</v>
      </c>
      <c r="DW328" s="408">
        <v>0</v>
      </c>
      <c r="DX328" s="408">
        <v>0</v>
      </c>
      <c r="DY328" s="408">
        <v>-87949.340080000053</v>
      </c>
      <c r="DZ328" s="408">
        <v>9585.0841800000053</v>
      </c>
      <c r="EA328" s="408">
        <v>0</v>
      </c>
      <c r="EB328" s="408">
        <v>0</v>
      </c>
      <c r="EC328" s="408">
        <v>-90774.236098702546</v>
      </c>
      <c r="ED328" s="408">
        <v>0</v>
      </c>
      <c r="EE328" s="408">
        <v>0</v>
      </c>
      <c r="EF328" s="408">
        <v>0</v>
      </c>
      <c r="EG328" s="408">
        <v>0</v>
      </c>
      <c r="EH328" s="408">
        <v>0</v>
      </c>
      <c r="EI328" s="408">
        <v>0</v>
      </c>
      <c r="EJ328" s="408">
        <v>0</v>
      </c>
      <c r="EK328" s="408">
        <v>0</v>
      </c>
      <c r="EL328" s="408">
        <v>0</v>
      </c>
      <c r="EM328" s="408">
        <v>0</v>
      </c>
      <c r="EN328" s="408">
        <v>0</v>
      </c>
      <c r="EO328" s="408">
        <v>0</v>
      </c>
      <c r="EP328" s="408">
        <v>0</v>
      </c>
      <c r="EQ328" s="408">
        <v>0</v>
      </c>
      <c r="ER328" s="408">
        <v>0</v>
      </c>
      <c r="ES328" s="408">
        <v>0</v>
      </c>
      <c r="ET328" s="408">
        <v>0</v>
      </c>
      <c r="EU328" s="408">
        <v>0</v>
      </c>
      <c r="EV328" s="408">
        <v>238</v>
      </c>
      <c r="EW328" s="408">
        <v>0</v>
      </c>
      <c r="EX328" s="408">
        <v>0</v>
      </c>
      <c r="EY328" s="408">
        <v>0</v>
      </c>
      <c r="EZ328" s="408"/>
      <c r="FA328" s="408">
        <v>0</v>
      </c>
      <c r="FB328" s="408"/>
      <c r="FC328" s="408"/>
      <c r="FD328" s="408"/>
      <c r="FE328" s="408"/>
      <c r="FF328" s="408">
        <v>0</v>
      </c>
      <c r="FG328" s="408">
        <v>0</v>
      </c>
      <c r="FH328" s="408">
        <v>0</v>
      </c>
      <c r="FI328" s="408">
        <v>0</v>
      </c>
    </row>
    <row r="329" spans="1:165">
      <c r="A329" s="408">
        <v>333</v>
      </c>
      <c r="B329" s="408" t="s">
        <v>2237</v>
      </c>
      <c r="C329" s="408" t="s">
        <v>2235</v>
      </c>
      <c r="D329" s="408" t="s">
        <v>2245</v>
      </c>
      <c r="E329" s="408" t="s">
        <v>974</v>
      </c>
      <c r="F329" s="408" t="s">
        <v>2252</v>
      </c>
      <c r="G329" s="408" t="s">
        <v>2254</v>
      </c>
      <c r="H329" s="408" t="s">
        <v>1322</v>
      </c>
      <c r="I329" s="408" t="s">
        <v>1322</v>
      </c>
      <c r="J329" s="408" t="s">
        <v>2236</v>
      </c>
      <c r="K329" s="824">
        <v>44531</v>
      </c>
      <c r="L329" s="408">
        <v>0</v>
      </c>
      <c r="M329" s="408">
        <v>0</v>
      </c>
      <c r="N329" s="408">
        <v>-1.5249999999999999</v>
      </c>
      <c r="O329" s="408">
        <v>-0.61</v>
      </c>
      <c r="P329" s="408">
        <v>-1.5249999999999999</v>
      </c>
      <c r="Q329" s="408">
        <v>-0.61</v>
      </c>
      <c r="R329" s="408"/>
      <c r="S329" s="408">
        <v>581.32000000000005</v>
      </c>
      <c r="T329" s="408">
        <v>209.4</v>
      </c>
      <c r="U329" s="408"/>
      <c r="V329" s="408">
        <v>-1205.848</v>
      </c>
      <c r="W329" s="408">
        <v>-1205.848</v>
      </c>
      <c r="X329" s="408">
        <v>-921.20674999999983</v>
      </c>
      <c r="Y329" s="408">
        <v>0</v>
      </c>
      <c r="Z329" s="408">
        <v>-93.845308901932725</v>
      </c>
      <c r="AA329" s="408">
        <v>0</v>
      </c>
      <c r="AB329" s="408">
        <v>0</v>
      </c>
      <c r="AC329" s="408">
        <v>0</v>
      </c>
      <c r="AD329" s="408">
        <v>-113.1414958136171</v>
      </c>
      <c r="AE329" s="408">
        <v>-587.7431006319465</v>
      </c>
      <c r="AF329" s="408">
        <v>-315.1423873313131</v>
      </c>
      <c r="AG329" s="408">
        <v>-4.1982715703866083</v>
      </c>
      <c r="AH329" s="408">
        <v>0</v>
      </c>
      <c r="AI329" s="408">
        <v>0</v>
      </c>
      <c r="AJ329" s="408">
        <v>0</v>
      </c>
      <c r="AK329" s="408">
        <v>0</v>
      </c>
      <c r="AL329" s="408">
        <v>-14.502142508815044</v>
      </c>
      <c r="AM329" s="408"/>
      <c r="AN329" s="408">
        <v>-2.7800205816390267</v>
      </c>
      <c r="AO329" s="408">
        <v>-8.6917081819668045</v>
      </c>
      <c r="AP329" s="408">
        <v>-13.092414705005726</v>
      </c>
      <c r="AQ329" s="408">
        <v>0</v>
      </c>
      <c r="AR329" s="408">
        <v>0</v>
      </c>
      <c r="AS329" s="408">
        <v>0</v>
      </c>
      <c r="AT329" s="408">
        <v>0</v>
      </c>
      <c r="AU329" s="408">
        <v>0</v>
      </c>
      <c r="AV329" s="408">
        <v>0</v>
      </c>
      <c r="AW329" s="408">
        <v>0</v>
      </c>
      <c r="AX329" s="408">
        <v>0</v>
      </c>
      <c r="AY329" s="408">
        <v>0</v>
      </c>
      <c r="AZ329" s="408">
        <v>0</v>
      </c>
      <c r="BA329" s="408"/>
      <c r="BB329" s="408">
        <v>0</v>
      </c>
      <c r="BC329" s="408">
        <v>0</v>
      </c>
      <c r="BD329" s="408">
        <v>0</v>
      </c>
      <c r="BE329" s="408">
        <v>0</v>
      </c>
      <c r="BF329" s="408">
        <v>0</v>
      </c>
      <c r="BG329" s="408">
        <v>-52.722732272594321</v>
      </c>
      <c r="BH329" s="408">
        <v>0</v>
      </c>
      <c r="BI329" s="408">
        <v>0</v>
      </c>
      <c r="BJ329" s="408">
        <v>0</v>
      </c>
      <c r="BK329" s="408">
        <v>0</v>
      </c>
      <c r="BL329" s="408">
        <v>0</v>
      </c>
      <c r="BM329" s="408"/>
      <c r="BN329" s="408"/>
      <c r="BO329" s="408"/>
      <c r="BP329" s="408"/>
      <c r="BQ329" s="408"/>
      <c r="BR329" s="408"/>
      <c r="BS329" s="408">
        <v>-596.94294999999988</v>
      </c>
      <c r="BT329" s="408"/>
      <c r="BU329" s="408"/>
      <c r="BV329" s="408">
        <v>-367.86511960390743</v>
      </c>
      <c r="BW329" s="408"/>
      <c r="BX329" s="408"/>
      <c r="BY329" s="408"/>
      <c r="BZ329" s="408"/>
      <c r="CA329" s="408"/>
      <c r="CB329" s="408"/>
      <c r="CC329" s="408"/>
      <c r="CD329" s="408"/>
      <c r="CE329" s="408"/>
      <c r="CF329" s="408"/>
      <c r="CG329" s="408"/>
      <c r="CH329" s="408"/>
      <c r="CI329" s="408">
        <v>-324.26380000000006</v>
      </c>
      <c r="CJ329" s="408">
        <v>100.17469999999997</v>
      </c>
      <c r="CK329" s="408"/>
      <c r="CL329" s="408"/>
      <c r="CM329" s="408"/>
      <c r="CN329" s="408"/>
      <c r="CO329" s="408">
        <v>319.45700000000011</v>
      </c>
      <c r="CP329" s="408">
        <v>-34.815749999999973</v>
      </c>
      <c r="CQ329" s="408"/>
      <c r="CR329" s="408">
        <v>-45.054402831376592</v>
      </c>
      <c r="CS329" s="408">
        <v>-1.049367577330397</v>
      </c>
      <c r="CT329" s="408">
        <v>-1.580673811495549</v>
      </c>
      <c r="CU329" s="408">
        <v>0</v>
      </c>
      <c r="CV329" s="408">
        <v>0</v>
      </c>
      <c r="CW329" s="408">
        <v>0</v>
      </c>
      <c r="CX329" s="408">
        <v>0</v>
      </c>
      <c r="CY329" s="408">
        <v>0</v>
      </c>
      <c r="CZ329" s="408">
        <v>-3.7090540389334734</v>
      </c>
      <c r="DA329" s="408">
        <v>0</v>
      </c>
      <c r="DB329" s="408">
        <v>0</v>
      </c>
      <c r="DC329" s="408">
        <v>-34.805203292698991</v>
      </c>
      <c r="DD329" s="408">
        <v>0</v>
      </c>
      <c r="DE329" s="408">
        <v>0</v>
      </c>
      <c r="DF329" s="408">
        <v>0</v>
      </c>
      <c r="DG329" s="408">
        <v>-5.8228454459378369</v>
      </c>
      <c r="DH329" s="408">
        <v>0</v>
      </c>
      <c r="DI329" s="408">
        <v>1.6359229522627317</v>
      </c>
      <c r="DJ329" s="408"/>
      <c r="DK329" s="408">
        <v>0</v>
      </c>
      <c r="DL329" s="408">
        <v>0</v>
      </c>
      <c r="DM329" s="408">
        <v>0</v>
      </c>
      <c r="DN329" s="408">
        <v>0</v>
      </c>
      <c r="DO329" s="408">
        <v>0.21254299544100697</v>
      </c>
      <c r="DP329" s="408">
        <v>6.4275387315906318E-2</v>
      </c>
      <c r="DQ329" s="408">
        <v>0</v>
      </c>
      <c r="DR329" s="408">
        <v>0</v>
      </c>
      <c r="DS329" s="408"/>
      <c r="DT329" s="408"/>
      <c r="DU329" s="408"/>
      <c r="DV329" s="408">
        <v>-587.7431006319465</v>
      </c>
      <c r="DW329" s="408">
        <v>0</v>
      </c>
      <c r="DX329" s="408">
        <v>0</v>
      </c>
      <c r="DY329" s="408">
        <v>319.45700000000011</v>
      </c>
      <c r="DZ329" s="408">
        <v>-34.81574999999998</v>
      </c>
      <c r="EA329" s="408">
        <v>0</v>
      </c>
      <c r="EB329" s="408">
        <v>0</v>
      </c>
      <c r="EC329" s="408">
        <v>329.71782522763431</v>
      </c>
      <c r="ED329" s="408">
        <v>0</v>
      </c>
      <c r="EE329" s="408">
        <v>0</v>
      </c>
      <c r="EF329" s="408">
        <v>0</v>
      </c>
      <c r="EG329" s="408">
        <v>0</v>
      </c>
      <c r="EH329" s="408">
        <v>0</v>
      </c>
      <c r="EI329" s="408">
        <v>0</v>
      </c>
      <c r="EJ329" s="408">
        <v>0</v>
      </c>
      <c r="EK329" s="408">
        <v>0</v>
      </c>
      <c r="EL329" s="408">
        <v>0</v>
      </c>
      <c r="EM329" s="408">
        <v>0</v>
      </c>
      <c r="EN329" s="408">
        <v>0</v>
      </c>
      <c r="EO329" s="408">
        <v>0</v>
      </c>
      <c r="EP329" s="408">
        <v>0</v>
      </c>
      <c r="EQ329" s="408">
        <v>0</v>
      </c>
      <c r="ER329" s="408">
        <v>0</v>
      </c>
      <c r="ES329" s="408">
        <v>0</v>
      </c>
      <c r="ET329" s="408">
        <v>0</v>
      </c>
      <c r="EU329" s="408">
        <v>0</v>
      </c>
      <c r="EV329" s="408">
        <v>238</v>
      </c>
      <c r="EW329" s="408">
        <v>0</v>
      </c>
      <c r="EX329" s="408">
        <v>0</v>
      </c>
      <c r="EY329" s="408">
        <v>0</v>
      </c>
      <c r="EZ329" s="408"/>
      <c r="FA329" s="408">
        <v>0</v>
      </c>
      <c r="FB329" s="408"/>
      <c r="FC329" s="408"/>
      <c r="FD329" s="408"/>
      <c r="FE329" s="408"/>
      <c r="FF329" s="408">
        <v>0</v>
      </c>
      <c r="FG329" s="408">
        <v>0</v>
      </c>
      <c r="FH329" s="408">
        <v>0</v>
      </c>
      <c r="FI329" s="408">
        <v>0</v>
      </c>
    </row>
    <row r="330" spans="1:165">
      <c r="A330" s="408">
        <v>334</v>
      </c>
      <c r="B330" s="408" t="s">
        <v>2238</v>
      </c>
      <c r="C330" s="408" t="s">
        <v>2235</v>
      </c>
      <c r="D330" s="408" t="s">
        <v>2245</v>
      </c>
      <c r="E330" s="408" t="s">
        <v>974</v>
      </c>
      <c r="F330" s="408" t="s">
        <v>2252</v>
      </c>
      <c r="G330" s="408" t="s">
        <v>2254</v>
      </c>
      <c r="H330" s="408" t="s">
        <v>1322</v>
      </c>
      <c r="I330" s="408" t="s">
        <v>1322</v>
      </c>
      <c r="J330" s="408" t="s">
        <v>2236</v>
      </c>
      <c r="K330" s="824">
        <v>44531</v>
      </c>
      <c r="L330" s="408">
        <v>0</v>
      </c>
      <c r="M330" s="408">
        <v>0</v>
      </c>
      <c r="N330" s="408">
        <v>32.436999999999998</v>
      </c>
      <c r="O330" s="408">
        <v>12.9748</v>
      </c>
      <c r="P330" s="408">
        <v>32.436999999999998</v>
      </c>
      <c r="Q330" s="408">
        <v>12.9748</v>
      </c>
      <c r="R330" s="408"/>
      <c r="S330" s="408">
        <v>581.32000000000005</v>
      </c>
      <c r="T330" s="408">
        <v>209.4</v>
      </c>
      <c r="U330" s="408"/>
      <c r="V330" s="408">
        <v>25648.584639999997</v>
      </c>
      <c r="W330" s="408">
        <v>25648.584639999997</v>
      </c>
      <c r="X330" s="408">
        <v>19594.218589999997</v>
      </c>
      <c r="Y330" s="408">
        <v>0</v>
      </c>
      <c r="Z330" s="408">
        <v>1996.1051048209781</v>
      </c>
      <c r="AA330" s="408">
        <v>0</v>
      </c>
      <c r="AB330" s="408">
        <v>0</v>
      </c>
      <c r="AC330" s="408">
        <v>0</v>
      </c>
      <c r="AD330" s="408">
        <v>2406.5381637418345</v>
      </c>
      <c r="AE330" s="408">
        <v>12501.392101769474</v>
      </c>
      <c r="AF330" s="408">
        <v>6703.1302412234772</v>
      </c>
      <c r="AG330" s="408">
        <v>89.297924543364203</v>
      </c>
      <c r="AH330" s="408">
        <v>0</v>
      </c>
      <c r="AI330" s="408">
        <v>0</v>
      </c>
      <c r="AJ330" s="408">
        <v>0</v>
      </c>
      <c r="AK330" s="408">
        <v>0</v>
      </c>
      <c r="AL330" s="408">
        <v>308.46294856290729</v>
      </c>
      <c r="AM330" s="408"/>
      <c r="AN330" s="408">
        <v>59.131493512541049</v>
      </c>
      <c r="AO330" s="408">
        <v>184.87405790062772</v>
      </c>
      <c r="AP330" s="408">
        <v>278.47780707296442</v>
      </c>
      <c r="AQ330" s="408">
        <v>0</v>
      </c>
      <c r="AR330" s="408">
        <v>0</v>
      </c>
      <c r="AS330" s="408">
        <v>0</v>
      </c>
      <c r="AT330" s="408">
        <v>0</v>
      </c>
      <c r="AU330" s="408">
        <v>0</v>
      </c>
      <c r="AV330" s="408">
        <v>0</v>
      </c>
      <c r="AW330" s="408">
        <v>0</v>
      </c>
      <c r="AX330" s="408">
        <v>0</v>
      </c>
      <c r="AY330" s="408">
        <v>0</v>
      </c>
      <c r="AZ330" s="408">
        <v>0</v>
      </c>
      <c r="BA330" s="408"/>
      <c r="BB330" s="408">
        <v>0</v>
      </c>
      <c r="BC330" s="408">
        <v>0</v>
      </c>
      <c r="BD330" s="408">
        <v>0</v>
      </c>
      <c r="BE330" s="408">
        <v>0</v>
      </c>
      <c r="BF330" s="408">
        <v>0</v>
      </c>
      <c r="BG330" s="408">
        <v>1121.4211585089456</v>
      </c>
      <c r="BH330" s="408">
        <v>0</v>
      </c>
      <c r="BI330" s="408">
        <v>0</v>
      </c>
      <c r="BJ330" s="408">
        <v>0</v>
      </c>
      <c r="BK330" s="408">
        <v>0</v>
      </c>
      <c r="BL330" s="408">
        <v>0</v>
      </c>
      <c r="BM330" s="408"/>
      <c r="BN330" s="408"/>
      <c r="BO330" s="408"/>
      <c r="BP330" s="408"/>
      <c r="BQ330" s="408"/>
      <c r="BR330" s="408"/>
      <c r="BS330" s="408">
        <v>12697.074405999996</v>
      </c>
      <c r="BT330" s="408"/>
      <c r="BU330" s="408"/>
      <c r="BV330" s="408">
        <v>7824.5513997324233</v>
      </c>
      <c r="BW330" s="408"/>
      <c r="BX330" s="408"/>
      <c r="BY330" s="408"/>
      <c r="BZ330" s="408"/>
      <c r="CA330" s="408"/>
      <c r="CB330" s="408"/>
      <c r="CC330" s="408"/>
      <c r="CD330" s="408"/>
      <c r="CE330" s="408"/>
      <c r="CF330" s="408"/>
      <c r="CG330" s="408"/>
      <c r="CH330" s="408"/>
      <c r="CI330" s="408">
        <v>6894.5926000000009</v>
      </c>
      <c r="CJ330" s="408">
        <v>-2133.9519800000007</v>
      </c>
      <c r="CK330" s="408"/>
      <c r="CL330" s="408"/>
      <c r="CM330" s="408"/>
      <c r="CN330" s="408"/>
      <c r="CO330" s="408">
        <v>-6794.9027600000018</v>
      </c>
      <c r="CP330" s="408">
        <v>740.5367099999994</v>
      </c>
      <c r="CQ330" s="408"/>
      <c r="CR330" s="408">
        <v>958.31453419105856</v>
      </c>
      <c r="CS330" s="408">
        <v>22.320220397289205</v>
      </c>
      <c r="CT330" s="408">
        <v>33.621191097364658</v>
      </c>
      <c r="CU330" s="408">
        <v>0</v>
      </c>
      <c r="CV330" s="408">
        <v>0</v>
      </c>
      <c r="CW330" s="408">
        <v>0</v>
      </c>
      <c r="CX330" s="408">
        <v>0</v>
      </c>
      <c r="CY330" s="408">
        <v>0</v>
      </c>
      <c r="CZ330" s="408">
        <v>78.892187449760968</v>
      </c>
      <c r="DA330" s="408">
        <v>0</v>
      </c>
      <c r="DB330" s="408">
        <v>0</v>
      </c>
      <c r="DC330" s="408">
        <v>740.31237980673905</v>
      </c>
      <c r="DD330" s="408">
        <v>0</v>
      </c>
      <c r="DE330" s="408">
        <v>0</v>
      </c>
      <c r="DF330" s="408">
        <v>0</v>
      </c>
      <c r="DG330" s="408">
        <v>123.85287719992493</v>
      </c>
      <c r="DH330" s="408">
        <v>0</v>
      </c>
      <c r="DI330" s="408">
        <v>-34.796349378718787</v>
      </c>
      <c r="DJ330" s="408"/>
      <c r="DK330" s="408">
        <v>0</v>
      </c>
      <c r="DL330" s="408">
        <v>0</v>
      </c>
      <c r="DM330" s="408">
        <v>0</v>
      </c>
      <c r="DN330" s="408">
        <v>0</v>
      </c>
      <c r="DO330" s="408">
        <v>-4.52082435614426</v>
      </c>
      <c r="DP330" s="408">
        <v>-1.367148025158059</v>
      </c>
      <c r="DQ330" s="408">
        <v>0</v>
      </c>
      <c r="DR330" s="408">
        <v>0</v>
      </c>
      <c r="DS330" s="408"/>
      <c r="DT330" s="408"/>
      <c r="DU330" s="408"/>
      <c r="DV330" s="408">
        <v>12501.392101769474</v>
      </c>
      <c r="DW330" s="408">
        <v>0</v>
      </c>
      <c r="DX330" s="408">
        <v>0</v>
      </c>
      <c r="DY330" s="408">
        <v>-6794.9027600000009</v>
      </c>
      <c r="DZ330" s="408">
        <v>740.5367099999994</v>
      </c>
      <c r="EA330" s="408">
        <v>0</v>
      </c>
      <c r="EB330" s="408">
        <v>0</v>
      </c>
      <c r="EC330" s="408">
        <v>-7013.1521946942776</v>
      </c>
      <c r="ED330" s="408">
        <v>0</v>
      </c>
      <c r="EE330" s="408">
        <v>0</v>
      </c>
      <c r="EF330" s="408">
        <v>0</v>
      </c>
      <c r="EG330" s="408">
        <v>0</v>
      </c>
      <c r="EH330" s="408">
        <v>0</v>
      </c>
      <c r="EI330" s="408">
        <v>0</v>
      </c>
      <c r="EJ330" s="408">
        <v>0</v>
      </c>
      <c r="EK330" s="408">
        <v>0</v>
      </c>
      <c r="EL330" s="408">
        <v>0</v>
      </c>
      <c r="EM330" s="408">
        <v>0</v>
      </c>
      <c r="EN330" s="408">
        <v>0</v>
      </c>
      <c r="EO330" s="408">
        <v>0</v>
      </c>
      <c r="EP330" s="408">
        <v>0</v>
      </c>
      <c r="EQ330" s="408">
        <v>0</v>
      </c>
      <c r="ER330" s="408">
        <v>0</v>
      </c>
      <c r="ES330" s="408">
        <v>0</v>
      </c>
      <c r="ET330" s="408">
        <v>0</v>
      </c>
      <c r="EU330" s="408">
        <v>0</v>
      </c>
      <c r="EV330" s="408">
        <v>238</v>
      </c>
      <c r="EW330" s="408">
        <v>0</v>
      </c>
      <c r="EX330" s="408">
        <v>0</v>
      </c>
      <c r="EY330" s="408">
        <v>0</v>
      </c>
      <c r="EZ330" s="408"/>
      <c r="FA330" s="408">
        <v>0</v>
      </c>
      <c r="FB330" s="408"/>
      <c r="FC330" s="408"/>
      <c r="FD330" s="408"/>
      <c r="FE330" s="408"/>
      <c r="FF330" s="408">
        <v>0</v>
      </c>
      <c r="FG330" s="408">
        <v>0</v>
      </c>
      <c r="FH330" s="408">
        <v>0</v>
      </c>
      <c r="FI330" s="408">
        <v>0</v>
      </c>
    </row>
    <row r="331" spans="1:165">
      <c r="A331" s="408">
        <v>335</v>
      </c>
      <c r="B331" s="408" t="s">
        <v>1036</v>
      </c>
      <c r="C331" s="408" t="s">
        <v>2243</v>
      </c>
      <c r="D331" s="408" t="s">
        <v>597</v>
      </c>
      <c r="E331" s="408" t="s">
        <v>974</v>
      </c>
      <c r="F331" s="408" t="s">
        <v>2252</v>
      </c>
      <c r="G331" s="408" t="s">
        <v>1322</v>
      </c>
      <c r="H331" s="408" t="s">
        <v>1322</v>
      </c>
      <c r="I331" s="408" t="s">
        <v>973</v>
      </c>
      <c r="J331" s="408" t="s">
        <v>2236</v>
      </c>
      <c r="K331" s="824">
        <v>44531</v>
      </c>
      <c r="L331" s="408">
        <v>0</v>
      </c>
      <c r="M331" s="408">
        <v>0</v>
      </c>
      <c r="N331" s="408">
        <v>53.476999999999997</v>
      </c>
      <c r="O331" s="408">
        <v>51.337919999999997</v>
      </c>
      <c r="P331" s="408">
        <v>53.476999999999997</v>
      </c>
      <c r="Q331" s="408">
        <v>51.337919999999997</v>
      </c>
      <c r="R331" s="408"/>
      <c r="S331" s="408">
        <v>1614.19</v>
      </c>
      <c r="T331" s="408">
        <v>209.4</v>
      </c>
      <c r="U331" s="408"/>
      <c r="V331" s="408">
        <v>97520.122429999989</v>
      </c>
      <c r="W331" s="408">
        <v>97520.122429999989</v>
      </c>
      <c r="X331" s="408">
        <v>64822.145549999994</v>
      </c>
      <c r="Y331" s="408">
        <v>0</v>
      </c>
      <c r="Z331" s="408">
        <v>2863.0505299733336</v>
      </c>
      <c r="AA331" s="408">
        <v>0</v>
      </c>
      <c r="AB331" s="408">
        <v>0</v>
      </c>
      <c r="AC331" s="408">
        <v>0</v>
      </c>
      <c r="AD331" s="408">
        <v>16653.699869625929</v>
      </c>
      <c r="AE331" s="408">
        <v>62185.013721444986</v>
      </c>
      <c r="AF331" s="408">
        <v>11051.061932666644</v>
      </c>
      <c r="AG331" s="408">
        <v>147.22030738987846</v>
      </c>
      <c r="AH331" s="408">
        <v>0</v>
      </c>
      <c r="AI331" s="408">
        <v>0</v>
      </c>
      <c r="AJ331" s="408">
        <v>0</v>
      </c>
      <c r="AK331" s="408">
        <v>0</v>
      </c>
      <c r="AL331" s="408">
        <v>508.54496717632929</v>
      </c>
      <c r="AM331" s="408"/>
      <c r="AN331" s="408">
        <v>71.009130086088732</v>
      </c>
      <c r="AO331" s="408">
        <v>1293.872024159263</v>
      </c>
      <c r="AP331" s="408">
        <v>1927.2417649487754</v>
      </c>
      <c r="AQ331" s="408">
        <v>0</v>
      </c>
      <c r="AR331" s="408">
        <v>0</v>
      </c>
      <c r="AS331" s="408">
        <v>0</v>
      </c>
      <c r="AT331" s="408">
        <v>0</v>
      </c>
      <c r="AU331" s="408">
        <v>0</v>
      </c>
      <c r="AV331" s="408">
        <v>0</v>
      </c>
      <c r="AW331" s="408">
        <v>0</v>
      </c>
      <c r="AX331" s="408">
        <v>0</v>
      </c>
      <c r="AY331" s="408">
        <v>0</v>
      </c>
      <c r="AZ331" s="408">
        <v>0</v>
      </c>
      <c r="BA331" s="408"/>
      <c r="BB331" s="408">
        <v>0</v>
      </c>
      <c r="BC331" s="408">
        <v>0</v>
      </c>
      <c r="BD331" s="408">
        <v>0</v>
      </c>
      <c r="BE331" s="408">
        <v>0</v>
      </c>
      <c r="BF331" s="408">
        <v>0</v>
      </c>
      <c r="BG331" s="408">
        <v>819.50488328899405</v>
      </c>
      <c r="BH331" s="408">
        <v>0</v>
      </c>
      <c r="BI331" s="408">
        <v>0</v>
      </c>
      <c r="BJ331" s="408">
        <v>0</v>
      </c>
      <c r="BK331" s="408">
        <v>0</v>
      </c>
      <c r="BL331" s="408">
        <v>0</v>
      </c>
      <c r="BM331" s="408"/>
      <c r="BN331" s="408"/>
      <c r="BO331" s="408"/>
      <c r="BP331" s="408"/>
      <c r="BQ331" s="408"/>
      <c r="BR331" s="408">
        <v>2592.8858219999997</v>
      </c>
      <c r="BS331" s="408"/>
      <c r="BT331" s="408"/>
      <c r="BU331" s="408"/>
      <c r="BV331" s="408">
        <v>11870.566815955637</v>
      </c>
      <c r="BW331" s="408"/>
      <c r="BX331" s="408"/>
      <c r="BY331" s="408"/>
      <c r="BZ331" s="408"/>
      <c r="CA331" s="408"/>
      <c r="CB331" s="408"/>
      <c r="CC331" s="408"/>
      <c r="CD331" s="408"/>
      <c r="CE331" s="408"/>
      <c r="CF331" s="408"/>
      <c r="CG331" s="408"/>
      <c r="CH331" s="408"/>
      <c r="CI331" s="408">
        <v>62231.781000000003</v>
      </c>
      <c r="CJ331" s="408">
        <v>-31387.566532799974</v>
      </c>
      <c r="CK331" s="408"/>
      <c r="CL331" s="408"/>
      <c r="CM331" s="408"/>
      <c r="CN331" s="408"/>
      <c r="CO331" s="408">
        <v>-33918.856790000005</v>
      </c>
      <c r="CP331" s="408">
        <v>1220.879909999999</v>
      </c>
      <c r="CQ331" s="408"/>
      <c r="CR331" s="408">
        <v>2186.8549253177553</v>
      </c>
      <c r="CS331" s="408">
        <v>156.21179668509171</v>
      </c>
      <c r="CT331" s="408">
        <v>232.67981154846098</v>
      </c>
      <c r="CU331" s="408">
        <v>0</v>
      </c>
      <c r="CV331" s="408">
        <v>0</v>
      </c>
      <c r="CW331" s="408">
        <v>0</v>
      </c>
      <c r="CX331" s="408">
        <v>0</v>
      </c>
      <c r="CY331" s="408">
        <v>0</v>
      </c>
      <c r="CZ331" s="408">
        <v>545.94887861814277</v>
      </c>
      <c r="DA331" s="408">
        <v>0</v>
      </c>
      <c r="DB331" s="408">
        <v>0</v>
      </c>
      <c r="DC331" s="408">
        <v>1220.5100698253518</v>
      </c>
      <c r="DD331" s="408">
        <v>0</v>
      </c>
      <c r="DE331" s="408">
        <v>0</v>
      </c>
      <c r="DF331" s="408">
        <v>0</v>
      </c>
      <c r="DG331" s="408">
        <v>90.508402578818846</v>
      </c>
      <c r="DH331" s="408">
        <v>0</v>
      </c>
      <c r="DI331" s="408">
        <v>-49.909048521178647</v>
      </c>
      <c r="DJ331" s="408"/>
      <c r="DK331" s="408">
        <v>0</v>
      </c>
      <c r="DL331" s="408">
        <v>0</v>
      </c>
      <c r="DM331" s="408">
        <v>0</v>
      </c>
      <c r="DN331" s="408">
        <v>0</v>
      </c>
      <c r="DO331" s="408">
        <v>-7.4532208309500447</v>
      </c>
      <c r="DP331" s="408">
        <v>-1.6417645859870476</v>
      </c>
      <c r="DQ331" s="408">
        <v>0</v>
      </c>
      <c r="DR331" s="408">
        <v>0</v>
      </c>
      <c r="DS331" s="408"/>
      <c r="DT331" s="408"/>
      <c r="DU331" s="408"/>
      <c r="DV331" s="408">
        <v>62185.013721444986</v>
      </c>
      <c r="DW331" s="408">
        <v>0</v>
      </c>
      <c r="DX331" s="408">
        <v>0</v>
      </c>
      <c r="DY331" s="408">
        <v>-33918.856789999998</v>
      </c>
      <c r="DZ331" s="408">
        <v>1220.8799099999978</v>
      </c>
      <c r="EA331" s="408">
        <v>0</v>
      </c>
      <c r="EB331" s="408">
        <v>0</v>
      </c>
      <c r="EC331" s="408">
        <v>-34885.152142049774</v>
      </c>
      <c r="ED331" s="408">
        <v>0</v>
      </c>
      <c r="EE331" s="408">
        <v>0</v>
      </c>
      <c r="EF331" s="408">
        <v>0</v>
      </c>
      <c r="EG331" s="408">
        <v>0</v>
      </c>
      <c r="EH331" s="408">
        <v>0</v>
      </c>
      <c r="EI331" s="408">
        <v>0</v>
      </c>
      <c r="EJ331" s="408">
        <v>0</v>
      </c>
      <c r="EK331" s="408">
        <v>0</v>
      </c>
      <c r="EL331" s="408">
        <v>0</v>
      </c>
      <c r="EM331" s="408">
        <v>0</v>
      </c>
      <c r="EN331" s="408">
        <v>0</v>
      </c>
      <c r="EO331" s="408">
        <v>0</v>
      </c>
      <c r="EP331" s="408">
        <v>0</v>
      </c>
      <c r="EQ331" s="408">
        <v>0</v>
      </c>
      <c r="ER331" s="408">
        <v>0</v>
      </c>
      <c r="ES331" s="408">
        <v>0</v>
      </c>
      <c r="ET331" s="408">
        <v>0</v>
      </c>
      <c r="EU331" s="408">
        <v>0</v>
      </c>
      <c r="EV331" s="408">
        <v>238</v>
      </c>
      <c r="EW331" s="408">
        <v>0</v>
      </c>
      <c r="EX331" s="408">
        <v>0</v>
      </c>
      <c r="EY331" s="408">
        <v>0</v>
      </c>
      <c r="EZ331" s="408"/>
      <c r="FA331" s="408">
        <v>0</v>
      </c>
      <c r="FB331" s="408"/>
      <c r="FC331" s="408"/>
      <c r="FD331" s="408"/>
      <c r="FE331" s="408"/>
      <c r="FF331" s="408">
        <v>0</v>
      </c>
      <c r="FG331" s="408">
        <v>0</v>
      </c>
      <c r="FH331" s="408">
        <v>0</v>
      </c>
      <c r="FI331" s="408">
        <v>0</v>
      </c>
    </row>
    <row r="332" spans="1:165">
      <c r="A332" s="408">
        <v>336</v>
      </c>
      <c r="B332" s="408" t="s">
        <v>2238</v>
      </c>
      <c r="C332" s="408" t="s">
        <v>2243</v>
      </c>
      <c r="D332" s="408" t="s">
        <v>597</v>
      </c>
      <c r="E332" s="408" t="s">
        <v>974</v>
      </c>
      <c r="F332" s="408" t="s">
        <v>2252</v>
      </c>
      <c r="G332" s="408" t="s">
        <v>1322</v>
      </c>
      <c r="H332" s="408" t="s">
        <v>1322</v>
      </c>
      <c r="I332" s="408" t="s">
        <v>973</v>
      </c>
      <c r="J332" s="408" t="s">
        <v>2236</v>
      </c>
      <c r="K332" s="824">
        <v>44531</v>
      </c>
      <c r="L332" s="408">
        <v>0</v>
      </c>
      <c r="M332" s="408">
        <v>0</v>
      </c>
      <c r="N332" s="408">
        <v>3.492</v>
      </c>
      <c r="O332" s="408">
        <v>3.3523200000000002</v>
      </c>
      <c r="P332" s="408">
        <v>3.492</v>
      </c>
      <c r="Q332" s="408">
        <v>3.3523200000000002</v>
      </c>
      <c r="R332" s="408"/>
      <c r="S332" s="408">
        <v>1614.19</v>
      </c>
      <c r="T332" s="408">
        <v>209.4</v>
      </c>
      <c r="U332" s="408"/>
      <c r="V332" s="408">
        <v>6367.9762799999999</v>
      </c>
      <c r="W332" s="408">
        <v>6367.9762799999999</v>
      </c>
      <c r="X332" s="408">
        <v>4232.8278</v>
      </c>
      <c r="Y332" s="408">
        <v>0</v>
      </c>
      <c r="Z332" s="408">
        <v>186.95462443044451</v>
      </c>
      <c r="AA332" s="408">
        <v>0</v>
      </c>
      <c r="AB332" s="408">
        <v>0</v>
      </c>
      <c r="AC332" s="408">
        <v>0</v>
      </c>
      <c r="AD332" s="408">
        <v>1087.4716222812376</v>
      </c>
      <c r="AE332" s="408">
        <v>4060.6254635691212</v>
      </c>
      <c r="AF332" s="408">
        <v>721.62440430225934</v>
      </c>
      <c r="AG332" s="408">
        <v>9.6133536549442873</v>
      </c>
      <c r="AH332" s="408">
        <v>0</v>
      </c>
      <c r="AI332" s="408">
        <v>0</v>
      </c>
      <c r="AJ332" s="408">
        <v>0</v>
      </c>
      <c r="AK332" s="408">
        <v>0</v>
      </c>
      <c r="AL332" s="408">
        <v>33.207528944775177</v>
      </c>
      <c r="AM332" s="408"/>
      <c r="AN332" s="408">
        <v>4.6368323253103547</v>
      </c>
      <c r="AO332" s="408">
        <v>84.488679401689453</v>
      </c>
      <c r="AP332" s="408">
        <v>125.84715378950061</v>
      </c>
      <c r="AQ332" s="408">
        <v>0</v>
      </c>
      <c r="AR332" s="408">
        <v>0</v>
      </c>
      <c r="AS332" s="408">
        <v>0</v>
      </c>
      <c r="AT332" s="408">
        <v>0</v>
      </c>
      <c r="AU332" s="408">
        <v>0</v>
      </c>
      <c r="AV332" s="408">
        <v>0</v>
      </c>
      <c r="AW332" s="408">
        <v>0</v>
      </c>
      <c r="AX332" s="408">
        <v>0</v>
      </c>
      <c r="AY332" s="408">
        <v>0</v>
      </c>
      <c r="AZ332" s="408">
        <v>0</v>
      </c>
      <c r="BA332" s="408"/>
      <c r="BB332" s="408">
        <v>0</v>
      </c>
      <c r="BC332" s="408">
        <v>0</v>
      </c>
      <c r="BD332" s="408">
        <v>0</v>
      </c>
      <c r="BE332" s="408">
        <v>0</v>
      </c>
      <c r="BF332" s="408">
        <v>0</v>
      </c>
      <c r="BG332" s="408">
        <v>53.512931773382334</v>
      </c>
      <c r="BH332" s="408">
        <v>0</v>
      </c>
      <c r="BI332" s="408">
        <v>0</v>
      </c>
      <c r="BJ332" s="408">
        <v>0</v>
      </c>
      <c r="BK332" s="408">
        <v>0</v>
      </c>
      <c r="BL332" s="408">
        <v>0</v>
      </c>
      <c r="BM332" s="408"/>
      <c r="BN332" s="408"/>
      <c r="BO332" s="408"/>
      <c r="BP332" s="408"/>
      <c r="BQ332" s="408"/>
      <c r="BR332" s="408">
        <v>169.31311199999976</v>
      </c>
      <c r="BS332" s="408"/>
      <c r="BT332" s="408"/>
      <c r="BU332" s="408"/>
      <c r="BV332" s="408">
        <v>775.13733607564166</v>
      </c>
      <c r="BW332" s="408"/>
      <c r="BX332" s="408"/>
      <c r="BY332" s="408"/>
      <c r="BZ332" s="408"/>
      <c r="CA332" s="408"/>
      <c r="CB332" s="408"/>
      <c r="CC332" s="408"/>
      <c r="CD332" s="408"/>
      <c r="CE332" s="408"/>
      <c r="CF332" s="408"/>
      <c r="CG332" s="408"/>
      <c r="CH332" s="408"/>
      <c r="CI332" s="408">
        <v>4060.7024999999999</v>
      </c>
      <c r="CJ332" s="408">
        <v>-2052.5847288000018</v>
      </c>
      <c r="CK332" s="408"/>
      <c r="CL332" s="408"/>
      <c r="CM332" s="408"/>
      <c r="CN332" s="408"/>
      <c r="CO332" s="408">
        <v>-2214.8708400000005</v>
      </c>
      <c r="CP332" s="408">
        <v>79.722359999999938</v>
      </c>
      <c r="CQ332" s="408"/>
      <c r="CR332" s="408">
        <v>142.79965965199199</v>
      </c>
      <c r="CS332" s="408">
        <v>10.200489818507762</v>
      </c>
      <c r="CT332" s="408">
        <v>15.193782409769184</v>
      </c>
      <c r="CU332" s="408">
        <v>0</v>
      </c>
      <c r="CV332" s="408">
        <v>0</v>
      </c>
      <c r="CW332" s="408">
        <v>0</v>
      </c>
      <c r="CX332" s="408">
        <v>0</v>
      </c>
      <c r="CY332" s="408">
        <v>0</v>
      </c>
      <c r="CZ332" s="408">
        <v>35.649970718898885</v>
      </c>
      <c r="DA332" s="408">
        <v>0</v>
      </c>
      <c r="DB332" s="408">
        <v>0</v>
      </c>
      <c r="DC332" s="408">
        <v>79.698209769249047</v>
      </c>
      <c r="DD332" s="408">
        <v>0</v>
      </c>
      <c r="DE332" s="408">
        <v>0</v>
      </c>
      <c r="DF332" s="408">
        <v>0</v>
      </c>
      <c r="DG332" s="408">
        <v>5.910117280424025</v>
      </c>
      <c r="DH332" s="408">
        <v>0</v>
      </c>
      <c r="DI332" s="408">
        <v>-3.259015977634391</v>
      </c>
      <c r="DJ332" s="408"/>
      <c r="DK332" s="408">
        <v>0</v>
      </c>
      <c r="DL332" s="408">
        <v>0</v>
      </c>
      <c r="DM332" s="408">
        <v>0</v>
      </c>
      <c r="DN332" s="408">
        <v>0</v>
      </c>
      <c r="DO332" s="408">
        <v>-0.48668861644590322</v>
      </c>
      <c r="DP332" s="408">
        <v>-0.10720575077634731</v>
      </c>
      <c r="DQ332" s="408">
        <v>0</v>
      </c>
      <c r="DR332" s="408">
        <v>0</v>
      </c>
      <c r="DS332" s="408"/>
      <c r="DT332" s="408"/>
      <c r="DU332" s="408"/>
      <c r="DV332" s="408">
        <v>4060.6254635691212</v>
      </c>
      <c r="DW332" s="408">
        <v>0</v>
      </c>
      <c r="DX332" s="408">
        <v>0</v>
      </c>
      <c r="DY332" s="408">
        <v>-2214.87084</v>
      </c>
      <c r="DZ332" s="408">
        <v>79.722359999999867</v>
      </c>
      <c r="EA332" s="408">
        <v>0</v>
      </c>
      <c r="EB332" s="408">
        <v>0</v>
      </c>
      <c r="EC332" s="408">
        <v>-2277.9690573524658</v>
      </c>
      <c r="ED332" s="408">
        <v>0</v>
      </c>
      <c r="EE332" s="408">
        <v>0</v>
      </c>
      <c r="EF332" s="408">
        <v>0</v>
      </c>
      <c r="EG332" s="408">
        <v>0</v>
      </c>
      <c r="EH332" s="408">
        <v>0</v>
      </c>
      <c r="EI332" s="408">
        <v>0</v>
      </c>
      <c r="EJ332" s="408">
        <v>0</v>
      </c>
      <c r="EK332" s="408">
        <v>0</v>
      </c>
      <c r="EL332" s="408">
        <v>0</v>
      </c>
      <c r="EM332" s="408">
        <v>0</v>
      </c>
      <c r="EN332" s="408">
        <v>0</v>
      </c>
      <c r="EO332" s="408">
        <v>0</v>
      </c>
      <c r="EP332" s="408">
        <v>0</v>
      </c>
      <c r="EQ332" s="408">
        <v>0</v>
      </c>
      <c r="ER332" s="408">
        <v>0</v>
      </c>
      <c r="ES332" s="408">
        <v>0</v>
      </c>
      <c r="ET332" s="408">
        <v>0</v>
      </c>
      <c r="EU332" s="408">
        <v>0</v>
      </c>
      <c r="EV332" s="408">
        <v>238</v>
      </c>
      <c r="EW332" s="408">
        <v>0</v>
      </c>
      <c r="EX332" s="408">
        <v>0</v>
      </c>
      <c r="EY332" s="408">
        <v>0</v>
      </c>
      <c r="EZ332" s="408"/>
      <c r="FA332" s="408">
        <v>0</v>
      </c>
      <c r="FB332" s="408"/>
      <c r="FC332" s="408"/>
      <c r="FD332" s="408"/>
      <c r="FE332" s="408"/>
      <c r="FF332" s="408">
        <v>0</v>
      </c>
      <c r="FG332" s="408">
        <v>0</v>
      </c>
      <c r="FH332" s="408">
        <v>0</v>
      </c>
      <c r="FI332" s="408">
        <v>0</v>
      </c>
    </row>
    <row r="333" spans="1:165">
      <c r="A333" s="408">
        <v>337</v>
      </c>
      <c r="B333" s="408" t="s">
        <v>1036</v>
      </c>
      <c r="C333" s="408" t="s">
        <v>2243</v>
      </c>
      <c r="D333" s="408" t="s">
        <v>597</v>
      </c>
      <c r="E333" s="408" t="s">
        <v>974</v>
      </c>
      <c r="F333" s="408" t="s">
        <v>2252</v>
      </c>
      <c r="G333" s="408" t="s">
        <v>1322</v>
      </c>
      <c r="H333" s="408" t="s">
        <v>1322</v>
      </c>
      <c r="I333" s="408" t="s">
        <v>2244</v>
      </c>
      <c r="J333" s="408" t="s">
        <v>2236</v>
      </c>
      <c r="K333" s="824">
        <v>44531</v>
      </c>
      <c r="L333" s="408">
        <v>0</v>
      </c>
      <c r="M333" s="408">
        <v>0</v>
      </c>
      <c r="N333" s="408">
        <v>4586.5810000000001</v>
      </c>
      <c r="O333" s="408">
        <v>4403.1177600000001</v>
      </c>
      <c r="P333" s="408">
        <v>4586.5810000000001</v>
      </c>
      <c r="Q333" s="408">
        <v>4403.1177600000001</v>
      </c>
      <c r="R333" s="408"/>
      <c r="S333" s="408">
        <v>79.7</v>
      </c>
      <c r="T333" s="408">
        <v>209.4</v>
      </c>
      <c r="U333" s="408"/>
      <c r="V333" s="408">
        <v>1325980.5671000001</v>
      </c>
      <c r="W333" s="408">
        <v>1325980.5671000001</v>
      </c>
      <c r="X333" s="408">
        <v>1433398.29412</v>
      </c>
      <c r="Y333" s="408">
        <v>0</v>
      </c>
      <c r="Z333" s="408">
        <v>245556.27957468864</v>
      </c>
      <c r="AA333" s="408">
        <v>0</v>
      </c>
      <c r="AB333" s="408">
        <v>0</v>
      </c>
      <c r="AC333" s="408">
        <v>0</v>
      </c>
      <c r="AD333" s="408">
        <v>0</v>
      </c>
      <c r="AE333" s="408">
        <v>0</v>
      </c>
      <c r="AF333" s="408">
        <v>947820.38428094529</v>
      </c>
      <c r="AG333" s="408">
        <v>12626.696798410087</v>
      </c>
      <c r="AH333" s="408">
        <v>0</v>
      </c>
      <c r="AI333" s="408">
        <v>0</v>
      </c>
      <c r="AJ333" s="408">
        <v>0</v>
      </c>
      <c r="AK333" s="408">
        <v>0</v>
      </c>
      <c r="AL333" s="408">
        <v>43616.55822309733</v>
      </c>
      <c r="AM333" s="408"/>
      <c r="AN333" s="408">
        <v>6090.2654763614819</v>
      </c>
      <c r="AO333" s="408">
        <v>0</v>
      </c>
      <c r="AP333" s="408">
        <v>0</v>
      </c>
      <c r="AQ333" s="408">
        <v>0</v>
      </c>
      <c r="AR333" s="408">
        <v>0</v>
      </c>
      <c r="AS333" s="408">
        <v>0</v>
      </c>
      <c r="AT333" s="408">
        <v>0</v>
      </c>
      <c r="AU333" s="408">
        <v>0</v>
      </c>
      <c r="AV333" s="408">
        <v>0</v>
      </c>
      <c r="AW333" s="408">
        <v>0</v>
      </c>
      <c r="AX333" s="408">
        <v>0</v>
      </c>
      <c r="AY333" s="408">
        <v>0</v>
      </c>
      <c r="AZ333" s="408">
        <v>0</v>
      </c>
      <c r="BA333" s="408"/>
      <c r="BB333" s="408">
        <v>0</v>
      </c>
      <c r="BC333" s="408">
        <v>0</v>
      </c>
      <c r="BD333" s="408">
        <v>0</v>
      </c>
      <c r="BE333" s="408">
        <v>0</v>
      </c>
      <c r="BF333" s="408">
        <v>0</v>
      </c>
      <c r="BG333" s="408">
        <v>70286.768650083541</v>
      </c>
      <c r="BH333" s="408">
        <v>0</v>
      </c>
      <c r="BI333" s="408">
        <v>0</v>
      </c>
      <c r="BJ333" s="408">
        <v>0</v>
      </c>
      <c r="BK333" s="408">
        <v>0</v>
      </c>
      <c r="BL333" s="408">
        <v>0</v>
      </c>
      <c r="BM333" s="408"/>
      <c r="BN333" s="408"/>
      <c r="BO333" s="408"/>
      <c r="BP333" s="408"/>
      <c r="BQ333" s="408"/>
      <c r="BR333" s="408">
        <v>57335.931764800014</v>
      </c>
      <c r="BS333" s="408"/>
      <c r="BT333" s="408"/>
      <c r="BU333" s="408"/>
      <c r="BV333" s="408">
        <v>1018107.1529310289</v>
      </c>
      <c r="BW333" s="408"/>
      <c r="BX333" s="408"/>
      <c r="BY333" s="408"/>
      <c r="BZ333" s="408"/>
      <c r="CA333" s="408"/>
      <c r="CB333" s="408"/>
      <c r="CC333" s="408"/>
      <c r="CD333" s="408"/>
      <c r="CE333" s="408"/>
      <c r="CF333" s="408"/>
      <c r="CG333" s="408"/>
      <c r="CH333" s="408"/>
      <c r="CI333" s="408">
        <v>1376063.0623999999</v>
      </c>
      <c r="CJ333" s="408">
        <v>103121.68798399973</v>
      </c>
      <c r="CK333" s="408"/>
      <c r="CL333" s="408"/>
      <c r="CM333" s="408"/>
      <c r="CN333" s="408"/>
      <c r="CO333" s="408">
        <v>2706.0827900000158</v>
      </c>
      <c r="CP333" s="408">
        <v>104711.64422999993</v>
      </c>
      <c r="CQ333" s="408"/>
      <c r="CR333" s="408">
        <v>107381.97047691676</v>
      </c>
      <c r="CS333" s="408">
        <v>0</v>
      </c>
      <c r="CT333" s="408">
        <v>0</v>
      </c>
      <c r="CU333" s="408">
        <v>0</v>
      </c>
      <c r="CV333" s="408">
        <v>0</v>
      </c>
      <c r="CW333" s="408">
        <v>0</v>
      </c>
      <c r="CX333" s="408">
        <v>0</v>
      </c>
      <c r="CY333" s="408">
        <v>0</v>
      </c>
      <c r="CZ333" s="408">
        <v>0</v>
      </c>
      <c r="DA333" s="408">
        <v>0</v>
      </c>
      <c r="DB333" s="408">
        <v>0</v>
      </c>
      <c r="DC333" s="408">
        <v>104679.92401536426</v>
      </c>
      <c r="DD333" s="408">
        <v>0</v>
      </c>
      <c r="DE333" s="408">
        <v>0</v>
      </c>
      <c r="DF333" s="408">
        <v>0</v>
      </c>
      <c r="DG333" s="408">
        <v>7762.6665596118255</v>
      </c>
      <c r="DH333" s="408">
        <v>0</v>
      </c>
      <c r="DI333" s="408">
        <v>-4280.5672284405737</v>
      </c>
      <c r="DJ333" s="408"/>
      <c r="DK333" s="408">
        <v>0</v>
      </c>
      <c r="DL333" s="408">
        <v>0</v>
      </c>
      <c r="DM333" s="408">
        <v>0</v>
      </c>
      <c r="DN333" s="408">
        <v>0</v>
      </c>
      <c r="DO333" s="408">
        <v>-639.243058736276</v>
      </c>
      <c r="DP333" s="408">
        <v>-140.80981088245517</v>
      </c>
      <c r="DQ333" s="408">
        <v>0</v>
      </c>
      <c r="DR333" s="408">
        <v>0</v>
      </c>
      <c r="DS333" s="408"/>
      <c r="DT333" s="408"/>
      <c r="DU333" s="408"/>
      <c r="DV333" s="408">
        <v>0</v>
      </c>
      <c r="DW333" s="408">
        <v>0</v>
      </c>
      <c r="DX333" s="408">
        <v>0</v>
      </c>
      <c r="DY333" s="408">
        <v>2706.0827900000149</v>
      </c>
      <c r="DZ333" s="408">
        <v>104711.64422999998</v>
      </c>
      <c r="EA333" s="408">
        <v>0</v>
      </c>
      <c r="EB333" s="408">
        <v>0</v>
      </c>
      <c r="EC333" s="408">
        <v>0</v>
      </c>
      <c r="ED333" s="408">
        <v>0</v>
      </c>
      <c r="EE333" s="408">
        <v>0</v>
      </c>
      <c r="EF333" s="408">
        <v>0</v>
      </c>
      <c r="EG333" s="408">
        <v>0</v>
      </c>
      <c r="EH333" s="408">
        <v>0</v>
      </c>
      <c r="EI333" s="408">
        <v>0</v>
      </c>
      <c r="EJ333" s="408">
        <v>0</v>
      </c>
      <c r="EK333" s="408">
        <v>0</v>
      </c>
      <c r="EL333" s="408">
        <v>0</v>
      </c>
      <c r="EM333" s="408">
        <v>0</v>
      </c>
      <c r="EN333" s="408">
        <v>0</v>
      </c>
      <c r="EO333" s="408">
        <v>0</v>
      </c>
      <c r="EP333" s="408">
        <v>0</v>
      </c>
      <c r="EQ333" s="408">
        <v>0</v>
      </c>
      <c r="ER333" s="408">
        <v>0</v>
      </c>
      <c r="ES333" s="408">
        <v>0</v>
      </c>
      <c r="ET333" s="408">
        <v>0</v>
      </c>
      <c r="EU333" s="408">
        <v>0</v>
      </c>
      <c r="EV333" s="408">
        <v>238</v>
      </c>
      <c r="EW333" s="408">
        <v>0</v>
      </c>
      <c r="EX333" s="408">
        <v>0</v>
      </c>
      <c r="EY333" s="408">
        <v>0</v>
      </c>
      <c r="EZ333" s="408"/>
      <c r="FA333" s="408">
        <v>0</v>
      </c>
      <c r="FB333" s="408"/>
      <c r="FC333" s="408"/>
      <c r="FD333" s="408"/>
      <c r="FE333" s="408"/>
      <c r="FF333" s="408">
        <v>0</v>
      </c>
      <c r="FG333" s="408">
        <v>0</v>
      </c>
      <c r="FH333" s="408">
        <v>0</v>
      </c>
      <c r="FI333" s="408">
        <v>0</v>
      </c>
    </row>
    <row r="334" spans="1:165">
      <c r="A334" s="408">
        <v>338</v>
      </c>
      <c r="B334" s="408" t="s">
        <v>2238</v>
      </c>
      <c r="C334" s="408" t="s">
        <v>2243</v>
      </c>
      <c r="D334" s="408" t="s">
        <v>597</v>
      </c>
      <c r="E334" s="408" t="s">
        <v>974</v>
      </c>
      <c r="F334" s="408" t="s">
        <v>2252</v>
      </c>
      <c r="G334" s="408" t="s">
        <v>1322</v>
      </c>
      <c r="H334" s="408" t="s">
        <v>1322</v>
      </c>
      <c r="I334" s="408" t="s">
        <v>2244</v>
      </c>
      <c r="J334" s="408" t="s">
        <v>2236</v>
      </c>
      <c r="K334" s="824">
        <v>44531</v>
      </c>
      <c r="L334" s="408">
        <v>0</v>
      </c>
      <c r="M334" s="408">
        <v>0</v>
      </c>
      <c r="N334" s="408">
        <v>1030.278</v>
      </c>
      <c r="O334" s="408">
        <v>989.06687999999997</v>
      </c>
      <c r="P334" s="408">
        <v>1030.278</v>
      </c>
      <c r="Q334" s="408">
        <v>989.06687999999997</v>
      </c>
      <c r="R334" s="408"/>
      <c r="S334" s="408">
        <v>79.7</v>
      </c>
      <c r="T334" s="408">
        <v>209.4</v>
      </c>
      <c r="U334" s="408"/>
      <c r="V334" s="408">
        <v>297853.36979999999</v>
      </c>
      <c r="W334" s="408">
        <v>297853.36979999999</v>
      </c>
      <c r="X334" s="408">
        <v>321982.48056</v>
      </c>
      <c r="Y334" s="408">
        <v>0</v>
      </c>
      <c r="Z334" s="408">
        <v>55159.002448152787</v>
      </c>
      <c r="AA334" s="408">
        <v>0</v>
      </c>
      <c r="AB334" s="408">
        <v>0</v>
      </c>
      <c r="AC334" s="408">
        <v>0</v>
      </c>
      <c r="AD334" s="408">
        <v>0</v>
      </c>
      <c r="AE334" s="408">
        <v>0</v>
      </c>
      <c r="AF334" s="408">
        <v>212907.71707208565</v>
      </c>
      <c r="AG334" s="408">
        <v>2836.3192373736229</v>
      </c>
      <c r="AH334" s="408">
        <v>0</v>
      </c>
      <c r="AI334" s="408">
        <v>0</v>
      </c>
      <c r="AJ334" s="408">
        <v>0</v>
      </c>
      <c r="AK334" s="408">
        <v>0</v>
      </c>
      <c r="AL334" s="408">
        <v>9797.5333637357035</v>
      </c>
      <c r="AM334" s="408"/>
      <c r="AN334" s="408">
        <v>1368.0487784811289</v>
      </c>
      <c r="AO334" s="408">
        <v>0</v>
      </c>
      <c r="AP334" s="408">
        <v>0</v>
      </c>
      <c r="AQ334" s="408">
        <v>0</v>
      </c>
      <c r="AR334" s="408">
        <v>0</v>
      </c>
      <c r="AS334" s="408">
        <v>0</v>
      </c>
      <c r="AT334" s="408">
        <v>0</v>
      </c>
      <c r="AU334" s="408">
        <v>0</v>
      </c>
      <c r="AV334" s="408">
        <v>0</v>
      </c>
      <c r="AW334" s="408">
        <v>0</v>
      </c>
      <c r="AX334" s="408">
        <v>0</v>
      </c>
      <c r="AY334" s="408">
        <v>0</v>
      </c>
      <c r="AZ334" s="408">
        <v>0</v>
      </c>
      <c r="BA334" s="408"/>
      <c r="BB334" s="408">
        <v>0</v>
      </c>
      <c r="BC334" s="408">
        <v>0</v>
      </c>
      <c r="BD334" s="408">
        <v>0</v>
      </c>
      <c r="BE334" s="408">
        <v>0</v>
      </c>
      <c r="BF334" s="408">
        <v>0</v>
      </c>
      <c r="BG334" s="408">
        <v>15788.429645365639</v>
      </c>
      <c r="BH334" s="408">
        <v>0</v>
      </c>
      <c r="BI334" s="408">
        <v>0</v>
      </c>
      <c r="BJ334" s="408">
        <v>0</v>
      </c>
      <c r="BK334" s="408">
        <v>0</v>
      </c>
      <c r="BL334" s="408">
        <v>0</v>
      </c>
      <c r="BM334" s="408"/>
      <c r="BN334" s="408"/>
      <c r="BO334" s="408"/>
      <c r="BP334" s="408"/>
      <c r="BQ334" s="408"/>
      <c r="BR334" s="408">
        <v>12879.299222400015</v>
      </c>
      <c r="BS334" s="408"/>
      <c r="BT334" s="408"/>
      <c r="BU334" s="408"/>
      <c r="BV334" s="408">
        <v>228696.14671745128</v>
      </c>
      <c r="BW334" s="408"/>
      <c r="BX334" s="408"/>
      <c r="BY334" s="408"/>
      <c r="BZ334" s="408"/>
      <c r="CA334" s="408"/>
      <c r="CB334" s="408"/>
      <c r="CC334" s="408"/>
      <c r="CD334" s="408"/>
      <c r="CE334" s="408"/>
      <c r="CF334" s="408"/>
      <c r="CG334" s="408"/>
      <c r="CH334" s="408"/>
      <c r="CI334" s="408">
        <v>309104.15639999998</v>
      </c>
      <c r="CJ334" s="408">
        <v>23164.89139200002</v>
      </c>
      <c r="CK334" s="408"/>
      <c r="CL334" s="408"/>
      <c r="CM334" s="408"/>
      <c r="CN334" s="408"/>
      <c r="CO334" s="408">
        <v>607.86402000000351</v>
      </c>
      <c r="CP334" s="408">
        <v>23521.246739999984</v>
      </c>
      <c r="CQ334" s="408"/>
      <c r="CR334" s="408">
        <v>24121.078812086082</v>
      </c>
      <c r="CS334" s="408">
        <v>0</v>
      </c>
      <c r="CT334" s="408">
        <v>0</v>
      </c>
      <c r="CU334" s="408">
        <v>0</v>
      </c>
      <c r="CV334" s="408">
        <v>0</v>
      </c>
      <c r="CW334" s="408">
        <v>0</v>
      </c>
      <c r="CX334" s="408">
        <v>0</v>
      </c>
      <c r="CY334" s="408">
        <v>0</v>
      </c>
      <c r="CZ334" s="408">
        <v>0</v>
      </c>
      <c r="DA334" s="408">
        <v>0</v>
      </c>
      <c r="DB334" s="408">
        <v>0</v>
      </c>
      <c r="DC334" s="408">
        <v>23514.121467537916</v>
      </c>
      <c r="DD334" s="408">
        <v>0</v>
      </c>
      <c r="DE334" s="408">
        <v>0</v>
      </c>
      <c r="DF334" s="408">
        <v>0</v>
      </c>
      <c r="DG334" s="408">
        <v>1743.7181590609107</v>
      </c>
      <c r="DH334" s="408">
        <v>0</v>
      </c>
      <c r="DI334" s="408">
        <v>-961.53850612979295</v>
      </c>
      <c r="DJ334" s="408"/>
      <c r="DK334" s="408">
        <v>0</v>
      </c>
      <c r="DL334" s="408">
        <v>0</v>
      </c>
      <c r="DM334" s="408">
        <v>0</v>
      </c>
      <c r="DN334" s="408">
        <v>0</v>
      </c>
      <c r="DO334" s="408">
        <v>-143.5923752504732</v>
      </c>
      <c r="DP334" s="408">
        <v>-31.629933132403949</v>
      </c>
      <c r="DQ334" s="408">
        <v>0</v>
      </c>
      <c r="DR334" s="408">
        <v>0</v>
      </c>
      <c r="DS334" s="408"/>
      <c r="DT334" s="408"/>
      <c r="DU334" s="408"/>
      <c r="DV334" s="408">
        <v>0</v>
      </c>
      <c r="DW334" s="408">
        <v>0</v>
      </c>
      <c r="DX334" s="408">
        <v>0</v>
      </c>
      <c r="DY334" s="408">
        <v>607.86402000000817</v>
      </c>
      <c r="DZ334" s="408">
        <v>23521.246740000002</v>
      </c>
      <c r="EA334" s="408">
        <v>0</v>
      </c>
      <c r="EB334" s="408">
        <v>0</v>
      </c>
      <c r="EC334" s="408">
        <v>0</v>
      </c>
      <c r="ED334" s="408">
        <v>0</v>
      </c>
      <c r="EE334" s="408">
        <v>0</v>
      </c>
      <c r="EF334" s="408">
        <v>0</v>
      </c>
      <c r="EG334" s="408">
        <v>0</v>
      </c>
      <c r="EH334" s="408">
        <v>0</v>
      </c>
      <c r="EI334" s="408">
        <v>0</v>
      </c>
      <c r="EJ334" s="408">
        <v>0</v>
      </c>
      <c r="EK334" s="408">
        <v>0</v>
      </c>
      <c r="EL334" s="408">
        <v>0</v>
      </c>
      <c r="EM334" s="408">
        <v>0</v>
      </c>
      <c r="EN334" s="408">
        <v>0</v>
      </c>
      <c r="EO334" s="408">
        <v>0</v>
      </c>
      <c r="EP334" s="408">
        <v>0</v>
      </c>
      <c r="EQ334" s="408">
        <v>0</v>
      </c>
      <c r="ER334" s="408">
        <v>0</v>
      </c>
      <c r="ES334" s="408">
        <v>0</v>
      </c>
      <c r="ET334" s="408">
        <v>0</v>
      </c>
      <c r="EU334" s="408">
        <v>0</v>
      </c>
      <c r="EV334" s="408">
        <v>238</v>
      </c>
      <c r="EW334" s="408">
        <v>0</v>
      </c>
      <c r="EX334" s="408">
        <v>0</v>
      </c>
      <c r="EY334" s="408">
        <v>0</v>
      </c>
      <c r="EZ334" s="408"/>
      <c r="FA334" s="408">
        <v>0</v>
      </c>
      <c r="FB334" s="408"/>
      <c r="FC334" s="408"/>
      <c r="FD334" s="408"/>
      <c r="FE334" s="408"/>
      <c r="FF334" s="408">
        <v>0</v>
      </c>
      <c r="FG334" s="408">
        <v>0</v>
      </c>
      <c r="FH334" s="408">
        <v>0</v>
      </c>
      <c r="FI334" s="408">
        <v>0</v>
      </c>
    </row>
    <row r="335" spans="1:165">
      <c r="A335" s="408">
        <v>339</v>
      </c>
      <c r="B335" s="408" t="s">
        <v>1036</v>
      </c>
      <c r="C335" s="408" t="s">
        <v>2243</v>
      </c>
      <c r="D335" s="408" t="s">
        <v>597</v>
      </c>
      <c r="E335" s="408" t="s">
        <v>974</v>
      </c>
      <c r="F335" s="408" t="s">
        <v>2252</v>
      </c>
      <c r="G335" s="408" t="s">
        <v>1322</v>
      </c>
      <c r="H335" s="408" t="s">
        <v>1322</v>
      </c>
      <c r="I335" s="408" t="s">
        <v>1322</v>
      </c>
      <c r="J335" s="408" t="s">
        <v>2236</v>
      </c>
      <c r="K335" s="824">
        <v>44531</v>
      </c>
      <c r="L335" s="408">
        <v>32335</v>
      </c>
      <c r="M335" s="408">
        <v>31041.599999999999</v>
      </c>
      <c r="N335" s="408">
        <v>0</v>
      </c>
      <c r="O335" s="408">
        <v>0</v>
      </c>
      <c r="P335" s="408">
        <v>0</v>
      </c>
      <c r="Q335" s="408">
        <v>0</v>
      </c>
      <c r="R335" s="408">
        <v>44.35</v>
      </c>
      <c r="S335" s="408"/>
      <c r="T335" s="408"/>
      <c r="U335" s="408">
        <v>1434057.25</v>
      </c>
      <c r="V335" s="408"/>
      <c r="W335" s="408">
        <v>1434057.25</v>
      </c>
      <c r="X335" s="408">
        <v>936744.95</v>
      </c>
      <c r="Y335" s="408">
        <v>0</v>
      </c>
      <c r="Z335" s="408">
        <v>0</v>
      </c>
      <c r="AA335" s="408">
        <v>0</v>
      </c>
      <c r="AB335" s="408">
        <v>0</v>
      </c>
      <c r="AC335" s="408">
        <v>0</v>
      </c>
      <c r="AD335" s="408">
        <v>424301.92935423815</v>
      </c>
      <c r="AE335" s="408">
        <v>928591.55964959692</v>
      </c>
      <c r="AF335" s="408"/>
      <c r="AG335" s="408"/>
      <c r="AH335" s="408"/>
      <c r="AI335" s="408">
        <v>0</v>
      </c>
      <c r="AJ335" s="408">
        <v>0</v>
      </c>
      <c r="AK335" s="408">
        <v>0</v>
      </c>
      <c r="AL335" s="408">
        <v>0</v>
      </c>
      <c r="AM335" s="408"/>
      <c r="AN335" s="408">
        <v>0</v>
      </c>
      <c r="AO335" s="408">
        <v>32067.288564857368</v>
      </c>
      <c r="AP335" s="408">
        <v>49061.617205852534</v>
      </c>
      <c r="AQ335" s="408">
        <v>0</v>
      </c>
      <c r="AR335" s="408">
        <v>0</v>
      </c>
      <c r="AS335" s="408"/>
      <c r="AT335" s="408"/>
      <c r="AU335" s="408">
        <v>0</v>
      </c>
      <c r="AV335" s="408">
        <v>0</v>
      </c>
      <c r="AW335" s="408">
        <v>0</v>
      </c>
      <c r="AX335" s="408"/>
      <c r="AY335" s="408"/>
      <c r="AZ335" s="408">
        <v>0</v>
      </c>
      <c r="BA335" s="408"/>
      <c r="BB335" s="408">
        <v>0</v>
      </c>
      <c r="BC335" s="408">
        <v>0</v>
      </c>
      <c r="BD335" s="408">
        <v>0</v>
      </c>
      <c r="BE335" s="408">
        <v>0</v>
      </c>
      <c r="BF335" s="408"/>
      <c r="BG335" s="408">
        <v>0</v>
      </c>
      <c r="BH335" s="408">
        <v>0</v>
      </c>
      <c r="BI335" s="408">
        <v>9427.33</v>
      </c>
      <c r="BJ335" s="408">
        <v>43368.72</v>
      </c>
      <c r="BK335" s="408">
        <v>1530.54</v>
      </c>
      <c r="BL335" s="408">
        <v>120</v>
      </c>
      <c r="BM335" s="408"/>
      <c r="BN335" s="408"/>
      <c r="BO335" s="408"/>
      <c r="BP335" s="408"/>
      <c r="BQ335" s="408"/>
      <c r="BR335" s="408">
        <v>37469.798000000039</v>
      </c>
      <c r="BS335" s="408"/>
      <c r="BT335" s="408"/>
      <c r="BU335" s="408"/>
      <c r="BV335" s="408">
        <v>0</v>
      </c>
      <c r="BW335" s="408"/>
      <c r="BX335" s="408"/>
      <c r="BY335" s="408"/>
      <c r="BZ335" s="408"/>
      <c r="CA335" s="408"/>
      <c r="CB335" s="408"/>
      <c r="CC335" s="408"/>
      <c r="CD335" s="408"/>
      <c r="CE335" s="408"/>
      <c r="CF335" s="408"/>
      <c r="CG335" s="408"/>
      <c r="CH335" s="408"/>
      <c r="CI335" s="408">
        <v>899275.15199999989</v>
      </c>
      <c r="CJ335" s="408">
        <v>-477419.83800000011</v>
      </c>
      <c r="CK335" s="408"/>
      <c r="CL335" s="408"/>
      <c r="CM335" s="408"/>
      <c r="CN335" s="408"/>
      <c r="CO335" s="408">
        <v>-497312.3000000001</v>
      </c>
      <c r="CP335" s="408">
        <v>0</v>
      </c>
      <c r="CQ335" s="408"/>
      <c r="CR335" s="408">
        <v>23704.509095333284</v>
      </c>
      <c r="CS335" s="408">
        <v>3871.5488610944121</v>
      </c>
      <c r="CT335" s="408">
        <v>5923.3086649218894</v>
      </c>
      <c r="CU335" s="408">
        <v>0</v>
      </c>
      <c r="CV335" s="408">
        <v>0</v>
      </c>
      <c r="CW335" s="408"/>
      <c r="CX335" s="408"/>
      <c r="CY335" s="408"/>
      <c r="CZ335" s="408">
        <v>13909.651569316979</v>
      </c>
      <c r="DA335" s="408">
        <v>0</v>
      </c>
      <c r="DB335" s="408">
        <v>0</v>
      </c>
      <c r="DC335" s="408"/>
      <c r="DD335" s="408"/>
      <c r="DE335" s="408">
        <v>0</v>
      </c>
      <c r="DF335" s="408">
        <v>0</v>
      </c>
      <c r="DG335" s="408">
        <v>0</v>
      </c>
      <c r="DH335" s="408">
        <v>0</v>
      </c>
      <c r="DI335" s="408">
        <v>0</v>
      </c>
      <c r="DJ335" s="408"/>
      <c r="DK335" s="408">
        <v>0</v>
      </c>
      <c r="DL335" s="408">
        <v>0</v>
      </c>
      <c r="DM335" s="408"/>
      <c r="DN335" s="408">
        <v>0</v>
      </c>
      <c r="DO335" s="408">
        <v>0</v>
      </c>
      <c r="DP335" s="408">
        <v>0</v>
      </c>
      <c r="DQ335" s="408">
        <v>0</v>
      </c>
      <c r="DR335" s="408">
        <v>0</v>
      </c>
      <c r="DS335" s="408"/>
      <c r="DT335" s="408"/>
      <c r="DU335" s="408">
        <v>928591.55964959692</v>
      </c>
      <c r="DV335" s="408"/>
      <c r="DW335" s="408">
        <v>0</v>
      </c>
      <c r="DX335" s="408">
        <v>0</v>
      </c>
      <c r="DY335" s="408">
        <v>-497312.30000000005</v>
      </c>
      <c r="DZ335" s="408"/>
      <c r="EA335" s="408">
        <v>0</v>
      </c>
      <c r="EB335" s="408"/>
      <c r="EC335" s="408">
        <v>-520930.29972313117</v>
      </c>
      <c r="ED335" s="408"/>
      <c r="EE335" s="408">
        <v>0</v>
      </c>
      <c r="EF335" s="408">
        <v>0</v>
      </c>
      <c r="EG335" s="408"/>
      <c r="EH335" s="408">
        <v>0</v>
      </c>
      <c r="EI335" s="408">
        <v>0</v>
      </c>
      <c r="EJ335" s="408">
        <v>0</v>
      </c>
      <c r="EK335" s="408">
        <v>0</v>
      </c>
      <c r="EL335" s="408">
        <v>0</v>
      </c>
      <c r="EM335" s="408"/>
      <c r="EN335" s="408"/>
      <c r="EO335" s="408">
        <v>0</v>
      </c>
      <c r="EP335" s="408">
        <v>0</v>
      </c>
      <c r="EQ335" s="408"/>
      <c r="ER335" s="408">
        <v>0</v>
      </c>
      <c r="ES335" s="408"/>
      <c r="ET335" s="408">
        <v>0</v>
      </c>
      <c r="EU335" s="408"/>
      <c r="EV335" s="408">
        <v>238</v>
      </c>
      <c r="EW335" s="408"/>
      <c r="EX335" s="408"/>
      <c r="EY335" s="408"/>
      <c r="EZ335" s="408"/>
      <c r="FA335" s="408">
        <v>0</v>
      </c>
      <c r="FB335" s="408"/>
      <c r="FC335" s="408"/>
      <c r="FD335" s="408"/>
      <c r="FE335" s="408"/>
      <c r="FF335" s="408">
        <v>0</v>
      </c>
      <c r="FG335" s="408">
        <v>0</v>
      </c>
      <c r="FH335" s="408">
        <v>0</v>
      </c>
      <c r="FI335" s="408">
        <v>0</v>
      </c>
    </row>
    <row r="336" spans="1:165">
      <c r="A336" s="408">
        <v>340</v>
      </c>
      <c r="B336" s="408" t="s">
        <v>2238</v>
      </c>
      <c r="C336" s="408" t="s">
        <v>2243</v>
      </c>
      <c r="D336" s="408" t="s">
        <v>597</v>
      </c>
      <c r="E336" s="408" t="s">
        <v>974</v>
      </c>
      <c r="F336" s="408" t="s">
        <v>2252</v>
      </c>
      <c r="G336" s="408" t="s">
        <v>1322</v>
      </c>
      <c r="H336" s="408" t="s">
        <v>1322</v>
      </c>
      <c r="I336" s="408" t="s">
        <v>1322</v>
      </c>
      <c r="J336" s="408" t="s">
        <v>2236</v>
      </c>
      <c r="K336" s="824">
        <v>44531</v>
      </c>
      <c r="L336" s="408">
        <v>5356</v>
      </c>
      <c r="M336" s="408">
        <v>5141.76</v>
      </c>
      <c r="N336" s="408">
        <v>0</v>
      </c>
      <c r="O336" s="408">
        <v>0</v>
      </c>
      <c r="P336" s="408">
        <v>0</v>
      </c>
      <c r="Q336" s="408">
        <v>0</v>
      </c>
      <c r="R336" s="408">
        <v>44.35</v>
      </c>
      <c r="S336" s="408"/>
      <c r="T336" s="408"/>
      <c r="U336" s="408">
        <v>237538.6</v>
      </c>
      <c r="V336" s="408"/>
      <c r="W336" s="408">
        <v>237538.6</v>
      </c>
      <c r="X336" s="408">
        <v>155163.32</v>
      </c>
      <c r="Y336" s="408">
        <v>0</v>
      </c>
      <c r="Z336" s="408">
        <v>0</v>
      </c>
      <c r="AA336" s="408">
        <v>0</v>
      </c>
      <c r="AB336" s="408">
        <v>0</v>
      </c>
      <c r="AC336" s="408">
        <v>0</v>
      </c>
      <c r="AD336" s="408">
        <v>70281.773113384872</v>
      </c>
      <c r="AE336" s="408">
        <v>153812.78470645557</v>
      </c>
      <c r="AF336" s="408"/>
      <c r="AG336" s="408"/>
      <c r="AH336" s="408"/>
      <c r="AI336" s="408">
        <v>0</v>
      </c>
      <c r="AJ336" s="408">
        <v>0</v>
      </c>
      <c r="AK336" s="408">
        <v>0</v>
      </c>
      <c r="AL336" s="408">
        <v>0</v>
      </c>
      <c r="AM336" s="408"/>
      <c r="AN336" s="408">
        <v>0</v>
      </c>
      <c r="AO336" s="408">
        <v>5311.6560245361388</v>
      </c>
      <c r="AP336" s="408">
        <v>8126.6127030940515</v>
      </c>
      <c r="AQ336" s="408">
        <v>0</v>
      </c>
      <c r="AR336" s="408">
        <v>0</v>
      </c>
      <c r="AS336" s="408"/>
      <c r="AT336" s="408"/>
      <c r="AU336" s="408">
        <v>0</v>
      </c>
      <c r="AV336" s="408">
        <v>0</v>
      </c>
      <c r="AW336" s="408">
        <v>0</v>
      </c>
      <c r="AX336" s="408"/>
      <c r="AY336" s="408"/>
      <c r="AZ336" s="408">
        <v>0</v>
      </c>
      <c r="BA336" s="408"/>
      <c r="BB336" s="408">
        <v>0</v>
      </c>
      <c r="BC336" s="408">
        <v>0</v>
      </c>
      <c r="BD336" s="408">
        <v>0</v>
      </c>
      <c r="BE336" s="408">
        <v>0</v>
      </c>
      <c r="BF336" s="408"/>
      <c r="BG336" s="408">
        <v>0</v>
      </c>
      <c r="BH336" s="408">
        <v>0</v>
      </c>
      <c r="BI336" s="408">
        <v>1188.73</v>
      </c>
      <c r="BJ336" s="408">
        <v>5468.38</v>
      </c>
      <c r="BK336" s="408">
        <v>7655.18</v>
      </c>
      <c r="BL336" s="408">
        <v>16</v>
      </c>
      <c r="BM336" s="408"/>
      <c r="BN336" s="408"/>
      <c r="BO336" s="408"/>
      <c r="BP336" s="408"/>
      <c r="BQ336" s="408"/>
      <c r="BR336" s="408">
        <v>6206.5327999999936</v>
      </c>
      <c r="BS336" s="408"/>
      <c r="BT336" s="408"/>
      <c r="BU336" s="408"/>
      <c r="BV336" s="408">
        <v>0</v>
      </c>
      <c r="BW336" s="408"/>
      <c r="BX336" s="408"/>
      <c r="BY336" s="408"/>
      <c r="BZ336" s="408"/>
      <c r="CA336" s="408"/>
      <c r="CB336" s="408"/>
      <c r="CC336" s="408"/>
      <c r="CD336" s="408"/>
      <c r="CE336" s="408"/>
      <c r="CF336" s="408"/>
      <c r="CG336" s="408"/>
      <c r="CH336" s="408"/>
      <c r="CI336" s="408">
        <v>148956.78719999999</v>
      </c>
      <c r="CJ336" s="408">
        <v>-79080.298800000048</v>
      </c>
      <c r="CK336" s="408"/>
      <c r="CL336" s="408"/>
      <c r="CM336" s="408"/>
      <c r="CN336" s="408"/>
      <c r="CO336" s="408">
        <v>-82375.280000000013</v>
      </c>
      <c r="CP336" s="408">
        <v>0</v>
      </c>
      <c r="CQ336" s="408"/>
      <c r="CR336" s="408">
        <v>3926.4373191465711</v>
      </c>
      <c r="CS336" s="408">
        <v>641.2870171647337</v>
      </c>
      <c r="CT336" s="408">
        <v>981.14245273918823</v>
      </c>
      <c r="CU336" s="408">
        <v>0</v>
      </c>
      <c r="CV336" s="408">
        <v>0</v>
      </c>
      <c r="CW336" s="408"/>
      <c r="CX336" s="408"/>
      <c r="CY336" s="408"/>
      <c r="CZ336" s="408">
        <v>2304.0078492426546</v>
      </c>
      <c r="DA336" s="408">
        <v>0</v>
      </c>
      <c r="DB336" s="408">
        <v>0</v>
      </c>
      <c r="DC336" s="408"/>
      <c r="DD336" s="408"/>
      <c r="DE336" s="408">
        <v>0</v>
      </c>
      <c r="DF336" s="408">
        <v>0</v>
      </c>
      <c r="DG336" s="408">
        <v>0</v>
      </c>
      <c r="DH336" s="408">
        <v>0</v>
      </c>
      <c r="DI336" s="408">
        <v>0</v>
      </c>
      <c r="DJ336" s="408"/>
      <c r="DK336" s="408">
        <v>0</v>
      </c>
      <c r="DL336" s="408">
        <v>0</v>
      </c>
      <c r="DM336" s="408"/>
      <c r="DN336" s="408">
        <v>0</v>
      </c>
      <c r="DO336" s="408">
        <v>0</v>
      </c>
      <c r="DP336" s="408">
        <v>0</v>
      </c>
      <c r="DQ336" s="408">
        <v>0</v>
      </c>
      <c r="DR336" s="408">
        <v>0</v>
      </c>
      <c r="DS336" s="408"/>
      <c r="DT336" s="408"/>
      <c r="DU336" s="408">
        <v>153812.78470645557</v>
      </c>
      <c r="DV336" s="408"/>
      <c r="DW336" s="408">
        <v>0</v>
      </c>
      <c r="DX336" s="408">
        <v>0</v>
      </c>
      <c r="DY336" s="408">
        <v>-82375.28</v>
      </c>
      <c r="DZ336" s="408"/>
      <c r="EA336" s="408">
        <v>0</v>
      </c>
      <c r="EB336" s="408"/>
      <c r="EC336" s="408">
        <v>-86287.387824867488</v>
      </c>
      <c r="ED336" s="408"/>
      <c r="EE336" s="408">
        <v>0</v>
      </c>
      <c r="EF336" s="408">
        <v>0</v>
      </c>
      <c r="EG336" s="408"/>
      <c r="EH336" s="408">
        <v>0</v>
      </c>
      <c r="EI336" s="408">
        <v>0</v>
      </c>
      <c r="EJ336" s="408">
        <v>0</v>
      </c>
      <c r="EK336" s="408">
        <v>0</v>
      </c>
      <c r="EL336" s="408">
        <v>0</v>
      </c>
      <c r="EM336" s="408"/>
      <c r="EN336" s="408"/>
      <c r="EO336" s="408">
        <v>0</v>
      </c>
      <c r="EP336" s="408">
        <v>0</v>
      </c>
      <c r="EQ336" s="408"/>
      <c r="ER336" s="408">
        <v>0</v>
      </c>
      <c r="ES336" s="408"/>
      <c r="ET336" s="408">
        <v>0</v>
      </c>
      <c r="EU336" s="408"/>
      <c r="EV336" s="408">
        <v>238</v>
      </c>
      <c r="EW336" s="408"/>
      <c r="EX336" s="408"/>
      <c r="EY336" s="408"/>
      <c r="EZ336" s="408"/>
      <c r="FA336" s="408">
        <v>0</v>
      </c>
      <c r="FB336" s="408"/>
      <c r="FC336" s="408"/>
      <c r="FD336" s="408"/>
      <c r="FE336" s="408"/>
      <c r="FF336" s="408">
        <v>0</v>
      </c>
      <c r="FG336" s="408">
        <v>0</v>
      </c>
      <c r="FH336" s="408">
        <v>0</v>
      </c>
      <c r="FI336" s="408">
        <v>0</v>
      </c>
    </row>
    <row r="337" spans="1:165">
      <c r="A337" s="408">
        <v>341</v>
      </c>
      <c r="B337" s="408" t="s">
        <v>2238</v>
      </c>
      <c r="C337" s="408" t="s">
        <v>2243</v>
      </c>
      <c r="D337" s="408" t="s">
        <v>597</v>
      </c>
      <c r="E337" s="408" t="s">
        <v>974</v>
      </c>
      <c r="F337" s="408" t="s">
        <v>2252</v>
      </c>
      <c r="G337" s="408" t="s">
        <v>2253</v>
      </c>
      <c r="H337" s="408" t="s">
        <v>1322</v>
      </c>
      <c r="I337" s="408" t="s">
        <v>1322</v>
      </c>
      <c r="J337" s="408" t="s">
        <v>2236</v>
      </c>
      <c r="K337" s="824">
        <v>44531</v>
      </c>
      <c r="L337" s="408">
        <v>0</v>
      </c>
      <c r="M337" s="408">
        <v>0</v>
      </c>
      <c r="N337" s="408">
        <v>0</v>
      </c>
      <c r="O337" s="408">
        <v>0</v>
      </c>
      <c r="P337" s="408">
        <v>0</v>
      </c>
      <c r="Q337" s="408">
        <v>0</v>
      </c>
      <c r="R337" s="408"/>
      <c r="S337" s="408"/>
      <c r="T337" s="408"/>
      <c r="U337" s="408"/>
      <c r="V337" s="408"/>
      <c r="W337" s="408"/>
      <c r="X337" s="408"/>
      <c r="Y337" s="408"/>
      <c r="Z337" s="408"/>
      <c r="AA337" s="408">
        <v>0</v>
      </c>
      <c r="AB337" s="408"/>
      <c r="AC337" s="408"/>
      <c r="AD337" s="408"/>
      <c r="AE337" s="408"/>
      <c r="AF337" s="408"/>
      <c r="AG337" s="408"/>
      <c r="AH337" s="408"/>
      <c r="AI337" s="408"/>
      <c r="AJ337" s="408"/>
      <c r="AK337" s="408"/>
      <c r="AL337" s="408"/>
      <c r="AM337" s="408"/>
      <c r="AN337" s="408"/>
      <c r="AO337" s="408"/>
      <c r="AP337" s="408"/>
      <c r="AQ337" s="408"/>
      <c r="AR337" s="408"/>
      <c r="AS337" s="408"/>
      <c r="AT337" s="408"/>
      <c r="AU337" s="408"/>
      <c r="AV337" s="408"/>
      <c r="AW337" s="408"/>
      <c r="AX337" s="408"/>
      <c r="AY337" s="408"/>
      <c r="AZ337" s="408">
        <v>0</v>
      </c>
      <c r="BA337" s="408"/>
      <c r="BB337" s="408"/>
      <c r="BC337" s="408"/>
      <c r="BD337" s="408"/>
      <c r="BE337" s="408"/>
      <c r="BF337" s="408"/>
      <c r="BG337" s="408"/>
      <c r="BH337" s="408"/>
      <c r="BI337" s="408">
        <v>-32.51</v>
      </c>
      <c r="BJ337" s="408">
        <v>-152.09</v>
      </c>
      <c r="BK337" s="408">
        <v>0</v>
      </c>
      <c r="BL337" s="408">
        <v>2</v>
      </c>
      <c r="BM337" s="408"/>
      <c r="BN337" s="408"/>
      <c r="BO337" s="408"/>
      <c r="BP337" s="408"/>
      <c r="BQ337" s="408"/>
      <c r="BR337" s="408"/>
      <c r="BS337" s="408"/>
      <c r="BT337" s="408"/>
      <c r="BU337" s="408"/>
      <c r="BV337" s="408"/>
      <c r="BW337" s="408"/>
      <c r="BX337" s="408"/>
      <c r="BY337" s="408"/>
      <c r="BZ337" s="408"/>
      <c r="CA337" s="408"/>
      <c r="CB337" s="408"/>
      <c r="CC337" s="408"/>
      <c r="CD337" s="408"/>
      <c r="CE337" s="408"/>
      <c r="CF337" s="408"/>
      <c r="CG337" s="408"/>
      <c r="CH337" s="408"/>
      <c r="CI337" s="408"/>
      <c r="CJ337" s="408">
        <v>-0.03</v>
      </c>
      <c r="CK337" s="408"/>
      <c r="CL337" s="408"/>
      <c r="CM337" s="408"/>
      <c r="CN337" s="408"/>
      <c r="CO337" s="408">
        <v>0</v>
      </c>
      <c r="CP337" s="408">
        <v>0</v>
      </c>
      <c r="CQ337" s="408"/>
      <c r="CR337" s="408"/>
      <c r="CS337" s="408"/>
      <c r="CT337" s="408"/>
      <c r="CU337" s="408"/>
      <c r="CV337" s="408"/>
      <c r="CW337" s="408"/>
      <c r="CX337" s="408"/>
      <c r="CY337" s="408"/>
      <c r="CZ337" s="408"/>
      <c r="DA337" s="408"/>
      <c r="DB337" s="408"/>
      <c r="DC337" s="408"/>
      <c r="DD337" s="408"/>
      <c r="DE337" s="408"/>
      <c r="DF337" s="408"/>
      <c r="DG337" s="408"/>
      <c r="DH337" s="408"/>
      <c r="DI337" s="408"/>
      <c r="DJ337" s="408"/>
      <c r="DK337" s="408">
        <v>0</v>
      </c>
      <c r="DL337" s="408"/>
      <c r="DM337" s="408"/>
      <c r="DN337" s="408"/>
      <c r="DO337" s="408"/>
      <c r="DP337" s="408"/>
      <c r="DQ337" s="408"/>
      <c r="DR337" s="408"/>
      <c r="DS337" s="408"/>
      <c r="DT337" s="408"/>
      <c r="DU337" s="408"/>
      <c r="DV337" s="408"/>
      <c r="DW337" s="408"/>
      <c r="DX337" s="408"/>
      <c r="DY337" s="408"/>
      <c r="DZ337" s="408"/>
      <c r="EA337" s="408"/>
      <c r="EB337" s="408"/>
      <c r="EC337" s="408"/>
      <c r="ED337" s="408"/>
      <c r="EE337" s="408"/>
      <c r="EF337" s="408"/>
      <c r="EG337" s="408"/>
      <c r="EH337" s="408"/>
      <c r="EI337" s="408"/>
      <c r="EJ337" s="408"/>
      <c r="EK337" s="408"/>
      <c r="EL337" s="408"/>
      <c r="EM337" s="408"/>
      <c r="EN337" s="408"/>
      <c r="EO337" s="408"/>
      <c r="EP337" s="408"/>
      <c r="EQ337" s="408"/>
      <c r="ER337" s="408"/>
      <c r="ES337" s="408"/>
      <c r="ET337" s="408"/>
      <c r="EU337" s="408"/>
      <c r="EV337" s="408">
        <v>238</v>
      </c>
      <c r="EW337" s="408"/>
      <c r="EX337" s="408"/>
      <c r="EY337" s="408"/>
      <c r="EZ337" s="408"/>
      <c r="FA337" s="408">
        <v>0</v>
      </c>
      <c r="FB337" s="408"/>
      <c r="FC337" s="408"/>
      <c r="FD337" s="408"/>
      <c r="FE337" s="408"/>
      <c r="FF337" s="408">
        <v>0</v>
      </c>
      <c r="FG337" s="408">
        <v>0</v>
      </c>
      <c r="FH337" s="408">
        <v>0</v>
      </c>
      <c r="FI337" s="408">
        <v>0</v>
      </c>
    </row>
    <row r="338" spans="1:165">
      <c r="A338" s="408">
        <v>342</v>
      </c>
      <c r="B338" s="408" t="s">
        <v>1036</v>
      </c>
      <c r="C338" s="408" t="s">
        <v>2243</v>
      </c>
      <c r="D338" s="408" t="s">
        <v>597</v>
      </c>
      <c r="E338" s="408" t="s">
        <v>974</v>
      </c>
      <c r="F338" s="408" t="s">
        <v>2252</v>
      </c>
      <c r="G338" s="408" t="s">
        <v>2254</v>
      </c>
      <c r="H338" s="408" t="s">
        <v>1322</v>
      </c>
      <c r="I338" s="408" t="s">
        <v>2244</v>
      </c>
      <c r="J338" s="408" t="s">
        <v>2236</v>
      </c>
      <c r="K338" s="824">
        <v>44531</v>
      </c>
      <c r="L338" s="408">
        <v>0</v>
      </c>
      <c r="M338" s="408">
        <v>0</v>
      </c>
      <c r="N338" s="408">
        <v>4474.0540000000001</v>
      </c>
      <c r="O338" s="408">
        <v>1342.2162000000001</v>
      </c>
      <c r="P338" s="408">
        <v>4474.0540000000001</v>
      </c>
      <c r="Q338" s="408">
        <v>1342.2162000000001</v>
      </c>
      <c r="R338" s="408"/>
      <c r="S338" s="408">
        <v>79.7</v>
      </c>
      <c r="T338" s="408">
        <v>209.4</v>
      </c>
      <c r="U338" s="408"/>
      <c r="V338" s="408">
        <v>1293449.0114000002</v>
      </c>
      <c r="W338" s="408">
        <v>1293449.0114000002</v>
      </c>
      <c r="X338" s="408">
        <v>1398231.3560800001</v>
      </c>
      <c r="Y338" s="408">
        <v>0</v>
      </c>
      <c r="Z338" s="408">
        <v>239531.81135496221</v>
      </c>
      <c r="AA338" s="408">
        <v>0</v>
      </c>
      <c r="AB338" s="408">
        <v>0</v>
      </c>
      <c r="AC338" s="408">
        <v>0</v>
      </c>
      <c r="AD338" s="408">
        <v>0</v>
      </c>
      <c r="AE338" s="408">
        <v>0</v>
      </c>
      <c r="AF338" s="408">
        <v>924566.59580931859</v>
      </c>
      <c r="AG338" s="408">
        <v>12316.91390988491</v>
      </c>
      <c r="AH338" s="408">
        <v>0</v>
      </c>
      <c r="AI338" s="408">
        <v>0</v>
      </c>
      <c r="AJ338" s="408">
        <v>0</v>
      </c>
      <c r="AK338" s="408">
        <v>0</v>
      </c>
      <c r="AL338" s="408">
        <v>42546.471278776386</v>
      </c>
      <c r="AM338" s="408"/>
      <c r="AN338" s="408">
        <v>5940.8471398579886</v>
      </c>
      <c r="AO338" s="408">
        <v>0</v>
      </c>
      <c r="AP338" s="408">
        <v>0</v>
      </c>
      <c r="AQ338" s="408">
        <v>0</v>
      </c>
      <c r="AR338" s="408">
        <v>0</v>
      </c>
      <c r="AS338" s="408">
        <v>0</v>
      </c>
      <c r="AT338" s="408">
        <v>0</v>
      </c>
      <c r="AU338" s="408">
        <v>0</v>
      </c>
      <c r="AV338" s="408">
        <v>0</v>
      </c>
      <c r="AW338" s="408">
        <v>0</v>
      </c>
      <c r="AX338" s="408">
        <v>0</v>
      </c>
      <c r="AY338" s="408">
        <v>0</v>
      </c>
      <c r="AZ338" s="408">
        <v>0</v>
      </c>
      <c r="BA338" s="408"/>
      <c r="BB338" s="408">
        <v>0</v>
      </c>
      <c r="BC338" s="408">
        <v>0</v>
      </c>
      <c r="BD338" s="408">
        <v>0</v>
      </c>
      <c r="BE338" s="408">
        <v>0</v>
      </c>
      <c r="BF338" s="408">
        <v>0</v>
      </c>
      <c r="BG338" s="408">
        <v>68562.355799664467</v>
      </c>
      <c r="BH338" s="408">
        <v>0</v>
      </c>
      <c r="BI338" s="408">
        <v>0</v>
      </c>
      <c r="BJ338" s="408">
        <v>0</v>
      </c>
      <c r="BK338" s="408">
        <v>0</v>
      </c>
      <c r="BL338" s="408">
        <v>0</v>
      </c>
      <c r="BM338" s="408"/>
      <c r="BN338" s="408"/>
      <c r="BO338" s="408"/>
      <c r="BP338" s="408"/>
      <c r="BQ338" s="408"/>
      <c r="BR338" s="408"/>
      <c r="BS338" s="408">
        <v>978761.94925600011</v>
      </c>
      <c r="BT338" s="408"/>
      <c r="BU338" s="408"/>
      <c r="BV338" s="408">
        <v>993128.9516089831</v>
      </c>
      <c r="BW338" s="408"/>
      <c r="BX338" s="408"/>
      <c r="BY338" s="408"/>
      <c r="BZ338" s="408"/>
      <c r="CA338" s="408"/>
      <c r="CB338" s="408"/>
      <c r="CC338" s="408"/>
      <c r="CD338" s="408"/>
      <c r="CE338" s="408"/>
      <c r="CF338" s="408"/>
      <c r="CG338" s="408"/>
      <c r="CH338" s="408"/>
      <c r="CI338" s="408">
        <v>419470.5944</v>
      </c>
      <c r="CJ338" s="408">
        <v>31435.860979999939</v>
      </c>
      <c r="CK338" s="408"/>
      <c r="CL338" s="408"/>
      <c r="CM338" s="408"/>
      <c r="CN338" s="408"/>
      <c r="CO338" s="408">
        <v>2639.6918600000154</v>
      </c>
      <c r="CP338" s="408">
        <v>102142.65281999993</v>
      </c>
      <c r="CQ338" s="408"/>
      <c r="CR338" s="408">
        <v>104747.4653865553</v>
      </c>
      <c r="CS338" s="408">
        <v>0</v>
      </c>
      <c r="CT338" s="408">
        <v>0</v>
      </c>
      <c r="CU338" s="408">
        <v>0</v>
      </c>
      <c r="CV338" s="408">
        <v>0</v>
      </c>
      <c r="CW338" s="408">
        <v>0</v>
      </c>
      <c r="CX338" s="408">
        <v>0</v>
      </c>
      <c r="CY338" s="408">
        <v>0</v>
      </c>
      <c r="CZ338" s="408">
        <v>0</v>
      </c>
      <c r="DA338" s="408">
        <v>0</v>
      </c>
      <c r="DB338" s="408">
        <v>0</v>
      </c>
      <c r="DC338" s="408">
        <v>102111.7108278774</v>
      </c>
      <c r="DD338" s="408">
        <v>0</v>
      </c>
      <c r="DE338" s="408">
        <v>0</v>
      </c>
      <c r="DF338" s="408">
        <v>0</v>
      </c>
      <c r="DG338" s="408">
        <v>7572.2175999284809</v>
      </c>
      <c r="DH338" s="408">
        <v>0</v>
      </c>
      <c r="DI338" s="408">
        <v>-4175.5479584189889</v>
      </c>
      <c r="DJ338" s="408"/>
      <c r="DK338" s="408">
        <v>0</v>
      </c>
      <c r="DL338" s="408">
        <v>0</v>
      </c>
      <c r="DM338" s="408">
        <v>0</v>
      </c>
      <c r="DN338" s="408">
        <v>0</v>
      </c>
      <c r="DO338" s="408">
        <v>-623.55989437692915</v>
      </c>
      <c r="DP338" s="408">
        <v>-137.35518845473143</v>
      </c>
      <c r="DQ338" s="408">
        <v>0</v>
      </c>
      <c r="DR338" s="408">
        <v>0</v>
      </c>
      <c r="DS338" s="408"/>
      <c r="DT338" s="408"/>
      <c r="DU338" s="408"/>
      <c r="DV338" s="408">
        <v>0</v>
      </c>
      <c r="DW338" s="408">
        <v>0</v>
      </c>
      <c r="DX338" s="408">
        <v>0</v>
      </c>
      <c r="DY338" s="408">
        <v>2639.6918600000208</v>
      </c>
      <c r="DZ338" s="408">
        <v>102142.65281999996</v>
      </c>
      <c r="EA338" s="408">
        <v>0</v>
      </c>
      <c r="EB338" s="408">
        <v>0</v>
      </c>
      <c r="EC338" s="408">
        <v>0</v>
      </c>
      <c r="ED338" s="408">
        <v>0</v>
      </c>
      <c r="EE338" s="408">
        <v>0</v>
      </c>
      <c r="EF338" s="408">
        <v>0</v>
      </c>
      <c r="EG338" s="408">
        <v>0</v>
      </c>
      <c r="EH338" s="408">
        <v>0</v>
      </c>
      <c r="EI338" s="408">
        <v>0</v>
      </c>
      <c r="EJ338" s="408">
        <v>0</v>
      </c>
      <c r="EK338" s="408">
        <v>0</v>
      </c>
      <c r="EL338" s="408">
        <v>0</v>
      </c>
      <c r="EM338" s="408">
        <v>0</v>
      </c>
      <c r="EN338" s="408">
        <v>0</v>
      </c>
      <c r="EO338" s="408">
        <v>0</v>
      </c>
      <c r="EP338" s="408">
        <v>0</v>
      </c>
      <c r="EQ338" s="408">
        <v>0</v>
      </c>
      <c r="ER338" s="408">
        <v>0</v>
      </c>
      <c r="ES338" s="408">
        <v>0</v>
      </c>
      <c r="ET338" s="408">
        <v>0</v>
      </c>
      <c r="EU338" s="408">
        <v>0</v>
      </c>
      <c r="EV338" s="408">
        <v>238</v>
      </c>
      <c r="EW338" s="408">
        <v>0</v>
      </c>
      <c r="EX338" s="408">
        <v>0</v>
      </c>
      <c r="EY338" s="408">
        <v>0</v>
      </c>
      <c r="EZ338" s="408"/>
      <c r="FA338" s="408">
        <v>0</v>
      </c>
      <c r="FB338" s="408"/>
      <c r="FC338" s="408"/>
      <c r="FD338" s="408"/>
      <c r="FE338" s="408"/>
      <c r="FF338" s="408">
        <v>0</v>
      </c>
      <c r="FG338" s="408">
        <v>0</v>
      </c>
      <c r="FH338" s="408">
        <v>0</v>
      </c>
      <c r="FI338" s="408">
        <v>0</v>
      </c>
    </row>
    <row r="339" spans="1:165">
      <c r="A339" s="408">
        <v>343</v>
      </c>
      <c r="B339" s="408" t="s">
        <v>1036</v>
      </c>
      <c r="C339" s="408" t="s">
        <v>2235</v>
      </c>
      <c r="D339" s="408" t="s">
        <v>1955</v>
      </c>
      <c r="E339" s="408" t="s">
        <v>969</v>
      </c>
      <c r="F339" s="408" t="s">
        <v>969</v>
      </c>
      <c r="G339" s="408" t="s">
        <v>1322</v>
      </c>
      <c r="H339" s="408" t="s">
        <v>1322</v>
      </c>
      <c r="I339" s="408" t="s">
        <v>1322</v>
      </c>
      <c r="J339" s="408" t="s">
        <v>2236</v>
      </c>
      <c r="K339" s="824">
        <v>44562</v>
      </c>
      <c r="L339" s="408">
        <v>0</v>
      </c>
      <c r="M339" s="408">
        <v>0</v>
      </c>
      <c r="N339" s="408">
        <v>2211.9569999999999</v>
      </c>
      <c r="O339" s="408">
        <v>2211.9569999999999</v>
      </c>
      <c r="P339" s="408">
        <v>2211.9569999999999</v>
      </c>
      <c r="Q339" s="408">
        <v>2211.9569999999999</v>
      </c>
      <c r="R339" s="408"/>
      <c r="S339" s="408">
        <v>581.32000000000005</v>
      </c>
      <c r="T339" s="408">
        <v>209.4</v>
      </c>
      <c r="U339" s="408"/>
      <c r="V339" s="408">
        <v>1749038.63904</v>
      </c>
      <c r="W339" s="408">
        <v>1749038.63904</v>
      </c>
      <c r="X339" s="408">
        <v>1336176.8649899999</v>
      </c>
      <c r="Y339" s="408">
        <v>0</v>
      </c>
      <c r="Z339" s="408">
        <v>136119.20520838845</v>
      </c>
      <c r="AA339" s="408">
        <v>0</v>
      </c>
      <c r="AB339" s="408">
        <v>0</v>
      </c>
      <c r="AC339" s="408">
        <v>0</v>
      </c>
      <c r="AD339" s="408">
        <v>164107.62206911543</v>
      </c>
      <c r="AE339" s="408">
        <v>852499.97747182846</v>
      </c>
      <c r="AF339" s="408">
        <v>457102.56370767829</v>
      </c>
      <c r="AG339" s="408">
        <v>6089.4401232902628</v>
      </c>
      <c r="AH339" s="408">
        <v>0</v>
      </c>
      <c r="AI339" s="408">
        <v>0</v>
      </c>
      <c r="AJ339" s="408">
        <v>0</v>
      </c>
      <c r="AK339" s="408">
        <v>0</v>
      </c>
      <c r="AL339" s="408">
        <v>21034.829926144917</v>
      </c>
      <c r="AM339" s="408"/>
      <c r="AN339" s="408">
        <v>4032.3186791478797</v>
      </c>
      <c r="AO339" s="408">
        <v>12607.006396759834</v>
      </c>
      <c r="AP339" s="408">
        <v>18990.071051567444</v>
      </c>
      <c r="AQ339" s="408">
        <v>0</v>
      </c>
      <c r="AR339" s="408">
        <v>0</v>
      </c>
      <c r="AS339" s="408">
        <v>0</v>
      </c>
      <c r="AT339" s="408">
        <v>0</v>
      </c>
      <c r="AU339" s="408">
        <v>0</v>
      </c>
      <c r="AV339" s="408">
        <v>0</v>
      </c>
      <c r="AW339" s="408">
        <v>0</v>
      </c>
      <c r="AX339" s="408">
        <v>0</v>
      </c>
      <c r="AY339" s="408">
        <v>0</v>
      </c>
      <c r="AZ339" s="408">
        <v>0</v>
      </c>
      <c r="BA339" s="408"/>
      <c r="BB339" s="408">
        <v>0</v>
      </c>
      <c r="BC339" s="408">
        <v>0</v>
      </c>
      <c r="BD339" s="408">
        <v>0</v>
      </c>
      <c r="BE339" s="408">
        <v>0</v>
      </c>
      <c r="BF339" s="408">
        <v>0</v>
      </c>
      <c r="BG339" s="408">
        <v>76472.404399666179</v>
      </c>
      <c r="BH339" s="408">
        <v>0</v>
      </c>
      <c r="BI339" s="408">
        <v>4648.72</v>
      </c>
      <c r="BJ339" s="408">
        <v>21455.38</v>
      </c>
      <c r="BK339" s="408">
        <v>552697.16</v>
      </c>
      <c r="BL339" s="408">
        <v>9268</v>
      </c>
      <c r="BM339" s="408"/>
      <c r="BN339" s="408"/>
      <c r="BO339" s="408"/>
      <c r="BP339" s="408"/>
      <c r="BQ339" s="408"/>
      <c r="BR339" s="408"/>
      <c r="BS339" s="408"/>
      <c r="BT339" s="408"/>
      <c r="BU339" s="408"/>
      <c r="BV339" s="408">
        <v>533574.96810734447</v>
      </c>
      <c r="BW339" s="408"/>
      <c r="BX339" s="408"/>
      <c r="BY339" s="408"/>
      <c r="BZ339" s="408"/>
      <c r="CA339" s="408"/>
      <c r="CB339" s="408"/>
      <c r="CC339" s="408"/>
      <c r="CD339" s="408"/>
      <c r="CE339" s="408"/>
      <c r="CF339" s="408"/>
      <c r="CG339" s="408"/>
      <c r="CH339" s="408"/>
      <c r="CI339" s="408">
        <v>1336178.6771999998</v>
      </c>
      <c r="CJ339" s="408">
        <v>-412859.99184000026</v>
      </c>
      <c r="CK339" s="408"/>
      <c r="CL339" s="408"/>
      <c r="CM339" s="408"/>
      <c r="CN339" s="408"/>
      <c r="CO339" s="408">
        <v>-463360.75236000016</v>
      </c>
      <c r="CP339" s="408">
        <v>50498.978309999962</v>
      </c>
      <c r="CQ339" s="408">
        <v>31</v>
      </c>
      <c r="CR339" s="408">
        <v>65349.771622087224</v>
      </c>
      <c r="CS339" s="408">
        <v>1522.0694808190237</v>
      </c>
      <c r="CT339" s="408">
        <v>2292.709837412629</v>
      </c>
      <c r="CU339" s="408">
        <v>0</v>
      </c>
      <c r="CV339" s="408">
        <v>0</v>
      </c>
      <c r="CW339" s="408">
        <v>0</v>
      </c>
      <c r="CX339" s="408">
        <v>0</v>
      </c>
      <c r="CY339" s="408">
        <v>0</v>
      </c>
      <c r="CZ339" s="408">
        <v>5379.8478982276574</v>
      </c>
      <c r="DA339" s="408">
        <v>0</v>
      </c>
      <c r="DB339" s="408">
        <v>0</v>
      </c>
      <c r="DC339" s="408">
        <v>50483.680694890849</v>
      </c>
      <c r="DD339" s="408">
        <v>0</v>
      </c>
      <c r="DE339" s="408">
        <v>0</v>
      </c>
      <c r="DF339" s="408">
        <v>0</v>
      </c>
      <c r="DG339" s="408">
        <v>8445.8254059411847</v>
      </c>
      <c r="DH339" s="408">
        <v>0</v>
      </c>
      <c r="DI339" s="408">
        <v>-2372.8467053889763</v>
      </c>
      <c r="DJ339" s="408"/>
      <c r="DK339" s="408">
        <v>0</v>
      </c>
      <c r="DL339" s="408">
        <v>0</v>
      </c>
      <c r="DM339" s="408">
        <v>0</v>
      </c>
      <c r="DN339" s="408">
        <v>0</v>
      </c>
      <c r="DO339" s="408">
        <v>-308.28587971587331</v>
      </c>
      <c r="DP339" s="408">
        <v>-93.22911009910149</v>
      </c>
      <c r="DQ339" s="408">
        <v>0</v>
      </c>
      <c r="DR339" s="408">
        <v>0</v>
      </c>
      <c r="DS339" s="408"/>
      <c r="DT339" s="408"/>
      <c r="DU339" s="408"/>
      <c r="DV339" s="408">
        <v>852499.97747182846</v>
      </c>
      <c r="DW339" s="408">
        <v>0</v>
      </c>
      <c r="DX339" s="408">
        <v>0</v>
      </c>
      <c r="DY339" s="408">
        <v>-463360.75236000016</v>
      </c>
      <c r="DZ339" s="408">
        <v>50498.978309999977</v>
      </c>
      <c r="EA339" s="408">
        <v>0</v>
      </c>
      <c r="EB339" s="408">
        <v>0</v>
      </c>
      <c r="EC339" s="408">
        <v>-478243.70592592936</v>
      </c>
      <c r="ED339" s="408">
        <v>0</v>
      </c>
      <c r="EE339" s="408">
        <v>0</v>
      </c>
      <c r="EF339" s="408">
        <v>0</v>
      </c>
      <c r="EG339" s="408">
        <v>0</v>
      </c>
      <c r="EH339" s="408">
        <v>0</v>
      </c>
      <c r="EI339" s="408">
        <v>0</v>
      </c>
      <c r="EJ339" s="408">
        <v>0</v>
      </c>
      <c r="EK339" s="408">
        <v>0</v>
      </c>
      <c r="EL339" s="408">
        <v>0</v>
      </c>
      <c r="EM339" s="408">
        <v>0</v>
      </c>
      <c r="EN339" s="408">
        <v>0</v>
      </c>
      <c r="EO339" s="408">
        <v>0</v>
      </c>
      <c r="EP339" s="408">
        <v>0</v>
      </c>
      <c r="EQ339" s="408">
        <v>0</v>
      </c>
      <c r="ER339" s="408">
        <v>0</v>
      </c>
      <c r="ES339" s="408">
        <v>0</v>
      </c>
      <c r="ET339" s="408">
        <v>0</v>
      </c>
      <c r="EU339" s="408">
        <v>0</v>
      </c>
      <c r="EV339" s="408">
        <v>238</v>
      </c>
      <c r="EW339" s="408">
        <v>0</v>
      </c>
      <c r="EX339" s="408">
        <v>0</v>
      </c>
      <c r="EY339" s="408">
        <v>0</v>
      </c>
      <c r="EZ339" s="408"/>
      <c r="FA339" s="408">
        <v>0</v>
      </c>
      <c r="FB339" s="408"/>
      <c r="FC339" s="408"/>
      <c r="FD339" s="408"/>
      <c r="FE339" s="408"/>
      <c r="FF339" s="408">
        <v>0</v>
      </c>
      <c r="FG339" s="408">
        <v>0</v>
      </c>
      <c r="FH339" s="408">
        <v>0</v>
      </c>
      <c r="FI339" s="408">
        <v>0</v>
      </c>
    </row>
    <row r="340" spans="1:165">
      <c r="A340" s="408">
        <v>344</v>
      </c>
      <c r="B340" s="408" t="s">
        <v>2237</v>
      </c>
      <c r="C340" s="408" t="s">
        <v>2235</v>
      </c>
      <c r="D340" s="408" t="s">
        <v>1955</v>
      </c>
      <c r="E340" s="408" t="s">
        <v>969</v>
      </c>
      <c r="F340" s="408" t="s">
        <v>969</v>
      </c>
      <c r="G340" s="408" t="s">
        <v>1322</v>
      </c>
      <c r="H340" s="408" t="s">
        <v>1322</v>
      </c>
      <c r="I340" s="408" t="s">
        <v>1322</v>
      </c>
      <c r="J340" s="408" t="s">
        <v>2236</v>
      </c>
      <c r="K340" s="824">
        <v>44562</v>
      </c>
      <c r="L340" s="408">
        <v>0</v>
      </c>
      <c r="M340" s="408">
        <v>0</v>
      </c>
      <c r="N340" s="408">
        <v>-0.97599999999999998</v>
      </c>
      <c r="O340" s="408">
        <v>-0.97599999999999998</v>
      </c>
      <c r="P340" s="408">
        <v>-0.97599999999999998</v>
      </c>
      <c r="Q340" s="408">
        <v>-0.97599999999999998</v>
      </c>
      <c r="R340" s="408"/>
      <c r="S340" s="408">
        <v>581.32000000000005</v>
      </c>
      <c r="T340" s="408">
        <v>209.4</v>
      </c>
      <c r="U340" s="408"/>
      <c r="V340" s="408">
        <v>-771.74272000000008</v>
      </c>
      <c r="W340" s="408">
        <v>-771.74272000000008</v>
      </c>
      <c r="X340" s="408">
        <v>-589.57231999999999</v>
      </c>
      <c r="Y340" s="408">
        <v>0</v>
      </c>
      <c r="Z340" s="408">
        <v>-60.060997697236942</v>
      </c>
      <c r="AA340" s="408">
        <v>0</v>
      </c>
      <c r="AB340" s="408">
        <v>0</v>
      </c>
      <c r="AC340" s="408">
        <v>0</v>
      </c>
      <c r="AD340" s="408">
        <v>-72.410557320714943</v>
      </c>
      <c r="AE340" s="408">
        <v>-376.15558440444579</v>
      </c>
      <c r="AF340" s="408">
        <v>-201.69112789204038</v>
      </c>
      <c r="AG340" s="408">
        <v>-2.6868938050474296</v>
      </c>
      <c r="AH340" s="408">
        <v>0</v>
      </c>
      <c r="AI340" s="408">
        <v>0</v>
      </c>
      <c r="AJ340" s="408">
        <v>0</v>
      </c>
      <c r="AK340" s="408">
        <v>0</v>
      </c>
      <c r="AL340" s="408">
        <v>-9.28137120564163</v>
      </c>
      <c r="AM340" s="408"/>
      <c r="AN340" s="408">
        <v>-1.779213172248977</v>
      </c>
      <c r="AO340" s="408">
        <v>-5.5626932364587551</v>
      </c>
      <c r="AP340" s="408">
        <v>-8.3791454112036661</v>
      </c>
      <c r="AQ340" s="408">
        <v>0</v>
      </c>
      <c r="AR340" s="408">
        <v>0</v>
      </c>
      <c r="AS340" s="408">
        <v>0</v>
      </c>
      <c r="AT340" s="408">
        <v>0</v>
      </c>
      <c r="AU340" s="408">
        <v>0</v>
      </c>
      <c r="AV340" s="408">
        <v>0</v>
      </c>
      <c r="AW340" s="408">
        <v>0</v>
      </c>
      <c r="AX340" s="408">
        <v>0</v>
      </c>
      <c r="AY340" s="408">
        <v>0</v>
      </c>
      <c r="AZ340" s="408">
        <v>0</v>
      </c>
      <c r="BA340" s="408"/>
      <c r="BB340" s="408">
        <v>0</v>
      </c>
      <c r="BC340" s="408">
        <v>0</v>
      </c>
      <c r="BD340" s="408">
        <v>0</v>
      </c>
      <c r="BE340" s="408">
        <v>0</v>
      </c>
      <c r="BF340" s="408">
        <v>0</v>
      </c>
      <c r="BG340" s="408">
        <v>-33.742548654460364</v>
      </c>
      <c r="BH340" s="408">
        <v>0</v>
      </c>
      <c r="BI340" s="408">
        <v>-2.27</v>
      </c>
      <c r="BJ340" s="408">
        <v>-10.55</v>
      </c>
      <c r="BK340" s="408">
        <v>-352.82</v>
      </c>
      <c r="BL340" s="408">
        <v>0</v>
      </c>
      <c r="BM340" s="408"/>
      <c r="BN340" s="408"/>
      <c r="BO340" s="408"/>
      <c r="BP340" s="408"/>
      <c r="BQ340" s="408"/>
      <c r="BR340" s="408"/>
      <c r="BS340" s="408"/>
      <c r="BT340" s="408"/>
      <c r="BU340" s="408"/>
      <c r="BV340" s="408">
        <v>-235.43367654650075</v>
      </c>
      <c r="BW340" s="408"/>
      <c r="BX340" s="408"/>
      <c r="BY340" s="408"/>
      <c r="BZ340" s="408"/>
      <c r="CA340" s="408"/>
      <c r="CB340" s="408"/>
      <c r="CC340" s="408"/>
      <c r="CD340" s="408"/>
      <c r="CE340" s="408"/>
      <c r="CF340" s="408"/>
      <c r="CG340" s="408"/>
      <c r="CH340" s="408"/>
      <c r="CI340" s="408">
        <v>-591.98859999999991</v>
      </c>
      <c r="CJ340" s="408">
        <v>179.7241200000002</v>
      </c>
      <c r="CK340" s="408"/>
      <c r="CL340" s="408"/>
      <c r="CM340" s="408"/>
      <c r="CN340" s="408"/>
      <c r="CO340" s="408">
        <v>204.45248000000007</v>
      </c>
      <c r="CP340" s="408">
        <v>-22.282079999999983</v>
      </c>
      <c r="CQ340" s="408">
        <v>31</v>
      </c>
      <c r="CR340" s="408">
        <v>-28.834817812081155</v>
      </c>
      <c r="CS340" s="408">
        <v>-0.67159524949145322</v>
      </c>
      <c r="CT340" s="408">
        <v>-1.0116312393571505</v>
      </c>
      <c r="CU340" s="408">
        <v>0</v>
      </c>
      <c r="CV340" s="408">
        <v>0</v>
      </c>
      <c r="CW340" s="408">
        <v>0</v>
      </c>
      <c r="CX340" s="408">
        <v>0</v>
      </c>
      <c r="CY340" s="408">
        <v>0</v>
      </c>
      <c r="CZ340" s="408">
        <v>-2.3737945849174338</v>
      </c>
      <c r="DA340" s="408">
        <v>0</v>
      </c>
      <c r="DB340" s="408">
        <v>0</v>
      </c>
      <c r="DC340" s="408">
        <v>-22.275330107327363</v>
      </c>
      <c r="DD340" s="408">
        <v>0</v>
      </c>
      <c r="DE340" s="408">
        <v>0</v>
      </c>
      <c r="DF340" s="408">
        <v>0</v>
      </c>
      <c r="DG340" s="408">
        <v>-3.7266210854002182</v>
      </c>
      <c r="DH340" s="408">
        <v>0</v>
      </c>
      <c r="DI340" s="408">
        <v>1.046990689448144</v>
      </c>
      <c r="DJ340" s="408"/>
      <c r="DK340" s="408">
        <v>0</v>
      </c>
      <c r="DL340" s="408">
        <v>0</v>
      </c>
      <c r="DM340" s="408">
        <v>0</v>
      </c>
      <c r="DN340" s="408">
        <v>0</v>
      </c>
      <c r="DO340" s="408">
        <v>0.13602751708224581</v>
      </c>
      <c r="DP340" s="408">
        <v>4.1136247882179733E-2</v>
      </c>
      <c r="DQ340" s="408">
        <v>0</v>
      </c>
      <c r="DR340" s="408">
        <v>0</v>
      </c>
      <c r="DS340" s="408"/>
      <c r="DT340" s="408"/>
      <c r="DU340" s="408"/>
      <c r="DV340" s="408">
        <v>-376.15558440444579</v>
      </c>
      <c r="DW340" s="408">
        <v>0</v>
      </c>
      <c r="DX340" s="408">
        <v>0</v>
      </c>
      <c r="DY340" s="408">
        <v>204.45248000000009</v>
      </c>
      <c r="DZ340" s="408">
        <v>-22.282079999999979</v>
      </c>
      <c r="EA340" s="408">
        <v>0</v>
      </c>
      <c r="EB340" s="408">
        <v>0</v>
      </c>
      <c r="EC340" s="408">
        <v>211.01940814568599</v>
      </c>
      <c r="ED340" s="408">
        <v>0</v>
      </c>
      <c r="EE340" s="408">
        <v>0</v>
      </c>
      <c r="EF340" s="408">
        <v>0</v>
      </c>
      <c r="EG340" s="408">
        <v>0</v>
      </c>
      <c r="EH340" s="408">
        <v>0</v>
      </c>
      <c r="EI340" s="408">
        <v>0</v>
      </c>
      <c r="EJ340" s="408">
        <v>0</v>
      </c>
      <c r="EK340" s="408">
        <v>0</v>
      </c>
      <c r="EL340" s="408">
        <v>0</v>
      </c>
      <c r="EM340" s="408">
        <v>0</v>
      </c>
      <c r="EN340" s="408">
        <v>0</v>
      </c>
      <c r="EO340" s="408">
        <v>0</v>
      </c>
      <c r="EP340" s="408">
        <v>0</v>
      </c>
      <c r="EQ340" s="408">
        <v>0</v>
      </c>
      <c r="ER340" s="408">
        <v>0</v>
      </c>
      <c r="ES340" s="408">
        <v>0</v>
      </c>
      <c r="ET340" s="408">
        <v>0</v>
      </c>
      <c r="EU340" s="408">
        <v>0</v>
      </c>
      <c r="EV340" s="408">
        <v>238</v>
      </c>
      <c r="EW340" s="408">
        <v>0</v>
      </c>
      <c r="EX340" s="408">
        <v>0</v>
      </c>
      <c r="EY340" s="408">
        <v>0</v>
      </c>
      <c r="EZ340" s="408"/>
      <c r="FA340" s="408">
        <v>0</v>
      </c>
      <c r="FB340" s="408"/>
      <c r="FC340" s="408"/>
      <c r="FD340" s="408"/>
      <c r="FE340" s="408"/>
      <c r="FF340" s="408">
        <v>0</v>
      </c>
      <c r="FG340" s="408">
        <v>0</v>
      </c>
      <c r="FH340" s="408">
        <v>0</v>
      </c>
      <c r="FI340" s="408">
        <v>0</v>
      </c>
    </row>
    <row r="341" spans="1:165">
      <c r="A341" s="408">
        <v>345</v>
      </c>
      <c r="B341" s="408" t="s">
        <v>2238</v>
      </c>
      <c r="C341" s="408" t="s">
        <v>2235</v>
      </c>
      <c r="D341" s="408" t="s">
        <v>1955</v>
      </c>
      <c r="E341" s="408" t="s">
        <v>969</v>
      </c>
      <c r="F341" s="408" t="s">
        <v>969</v>
      </c>
      <c r="G341" s="408" t="s">
        <v>1322</v>
      </c>
      <c r="H341" s="408" t="s">
        <v>1322</v>
      </c>
      <c r="I341" s="408" t="s">
        <v>1322</v>
      </c>
      <c r="J341" s="408" t="s">
        <v>2236</v>
      </c>
      <c r="K341" s="824">
        <v>44562</v>
      </c>
      <c r="L341" s="408">
        <v>0</v>
      </c>
      <c r="M341" s="408">
        <v>0</v>
      </c>
      <c r="N341" s="408">
        <v>88.466999999999999</v>
      </c>
      <c r="O341" s="408">
        <v>88.466999999999999</v>
      </c>
      <c r="P341" s="408">
        <v>88.466999999999999</v>
      </c>
      <c r="Q341" s="408">
        <v>88.466999999999999</v>
      </c>
      <c r="R341" s="408"/>
      <c r="S341" s="408">
        <v>581.32000000000005</v>
      </c>
      <c r="T341" s="408">
        <v>209.4</v>
      </c>
      <c r="U341" s="408"/>
      <c r="V341" s="408">
        <v>69952.626239999998</v>
      </c>
      <c r="W341" s="408">
        <v>69952.626239999998</v>
      </c>
      <c r="X341" s="408">
        <v>53440.260689999996</v>
      </c>
      <c r="Y341" s="408">
        <v>0</v>
      </c>
      <c r="Z341" s="408">
        <v>5444.0740607392017</v>
      </c>
      <c r="AA341" s="408">
        <v>0</v>
      </c>
      <c r="AB341" s="408">
        <v>0</v>
      </c>
      <c r="AC341" s="408">
        <v>0</v>
      </c>
      <c r="AD341" s="408">
        <v>6563.468006651321</v>
      </c>
      <c r="AE341" s="408">
        <v>34095.651726955024</v>
      </c>
      <c r="AF341" s="408">
        <v>18281.771527894609</v>
      </c>
      <c r="AG341" s="408">
        <v>243.54655148681451</v>
      </c>
      <c r="AH341" s="408">
        <v>0</v>
      </c>
      <c r="AI341" s="408">
        <v>0</v>
      </c>
      <c r="AJ341" s="408">
        <v>0</v>
      </c>
      <c r="AK341" s="408">
        <v>0</v>
      </c>
      <c r="AL341" s="408">
        <v>841.28592873923981</v>
      </c>
      <c r="AM341" s="408"/>
      <c r="AN341" s="408">
        <v>161.27218412843263</v>
      </c>
      <c r="AO341" s="408">
        <v>504.21596572725076</v>
      </c>
      <c r="AP341" s="408">
        <v>759.50600111983067</v>
      </c>
      <c r="AQ341" s="408">
        <v>0</v>
      </c>
      <c r="AR341" s="408">
        <v>0</v>
      </c>
      <c r="AS341" s="408">
        <v>0</v>
      </c>
      <c r="AT341" s="408">
        <v>0</v>
      </c>
      <c r="AU341" s="408">
        <v>0</v>
      </c>
      <c r="AV341" s="408">
        <v>0</v>
      </c>
      <c r="AW341" s="408">
        <v>0</v>
      </c>
      <c r="AX341" s="408">
        <v>0</v>
      </c>
      <c r="AY341" s="408">
        <v>0</v>
      </c>
      <c r="AZ341" s="408">
        <v>0</v>
      </c>
      <c r="BA341" s="408"/>
      <c r="BB341" s="408">
        <v>0</v>
      </c>
      <c r="BC341" s="408">
        <v>0</v>
      </c>
      <c r="BD341" s="408">
        <v>0</v>
      </c>
      <c r="BE341" s="408">
        <v>0</v>
      </c>
      <c r="BF341" s="408">
        <v>0</v>
      </c>
      <c r="BG341" s="408">
        <v>3058.5062006292469</v>
      </c>
      <c r="BH341" s="408">
        <v>0</v>
      </c>
      <c r="BI341" s="408">
        <v>194.17</v>
      </c>
      <c r="BJ341" s="408">
        <v>901.06</v>
      </c>
      <c r="BK341" s="408">
        <v>70041.88</v>
      </c>
      <c r="BL341" s="408">
        <v>748</v>
      </c>
      <c r="BM341" s="408"/>
      <c r="BN341" s="408"/>
      <c r="BO341" s="408"/>
      <c r="BP341" s="408"/>
      <c r="BQ341" s="408"/>
      <c r="BR341" s="408"/>
      <c r="BS341" s="408"/>
      <c r="BT341" s="408"/>
      <c r="BU341" s="408"/>
      <c r="BV341" s="408">
        <v>21340.277728523855</v>
      </c>
      <c r="BW341" s="408"/>
      <c r="BX341" s="408"/>
      <c r="BY341" s="408"/>
      <c r="BZ341" s="408"/>
      <c r="CA341" s="408"/>
      <c r="CB341" s="408"/>
      <c r="CC341" s="408"/>
      <c r="CD341" s="408"/>
      <c r="CE341" s="408"/>
      <c r="CF341" s="408"/>
      <c r="CG341" s="408"/>
      <c r="CH341" s="408"/>
      <c r="CI341" s="408">
        <v>53442.072899999999</v>
      </c>
      <c r="CJ341" s="408">
        <v>-16510.583339999997</v>
      </c>
      <c r="CK341" s="408"/>
      <c r="CL341" s="408"/>
      <c r="CM341" s="408"/>
      <c r="CN341" s="408"/>
      <c r="CO341" s="408">
        <v>-18532.067160000006</v>
      </c>
      <c r="CP341" s="408">
        <v>2019.7016099999985</v>
      </c>
      <c r="CQ341" s="408">
        <v>31</v>
      </c>
      <c r="CR341" s="408">
        <v>2613.6576100218954</v>
      </c>
      <c r="CS341" s="408">
        <v>60.875017353238093</v>
      </c>
      <c r="CT341" s="408">
        <v>91.696701692837109</v>
      </c>
      <c r="CU341" s="408">
        <v>0</v>
      </c>
      <c r="CV341" s="408">
        <v>0</v>
      </c>
      <c r="CW341" s="408">
        <v>0</v>
      </c>
      <c r="CX341" s="408">
        <v>0</v>
      </c>
      <c r="CY341" s="408">
        <v>0</v>
      </c>
      <c r="CZ341" s="408">
        <v>215.16648109005109</v>
      </c>
      <c r="DA341" s="408">
        <v>0</v>
      </c>
      <c r="DB341" s="408">
        <v>0</v>
      </c>
      <c r="DC341" s="408">
        <v>2019.0897834066891</v>
      </c>
      <c r="DD341" s="408">
        <v>0</v>
      </c>
      <c r="DE341" s="408">
        <v>0</v>
      </c>
      <c r="DF341" s="408">
        <v>0</v>
      </c>
      <c r="DG341" s="408">
        <v>337.78994627264456</v>
      </c>
      <c r="DH341" s="408">
        <v>0</v>
      </c>
      <c r="DI341" s="408">
        <v>-94.901767749394821</v>
      </c>
      <c r="DJ341" s="408"/>
      <c r="DK341" s="408">
        <v>0</v>
      </c>
      <c r="DL341" s="408">
        <v>0</v>
      </c>
      <c r="DM341" s="408">
        <v>0</v>
      </c>
      <c r="DN341" s="408">
        <v>0</v>
      </c>
      <c r="DO341" s="408">
        <v>-12.329863067330962</v>
      </c>
      <c r="DP341" s="408">
        <v>-3.7286889768368781</v>
      </c>
      <c r="DQ341" s="408">
        <v>0</v>
      </c>
      <c r="DR341" s="408">
        <v>0</v>
      </c>
      <c r="DS341" s="408"/>
      <c r="DT341" s="408"/>
      <c r="DU341" s="408"/>
      <c r="DV341" s="408">
        <v>34095.651726955024</v>
      </c>
      <c r="DW341" s="408">
        <v>0</v>
      </c>
      <c r="DX341" s="408">
        <v>0</v>
      </c>
      <c r="DY341" s="408">
        <v>-18532.067160000006</v>
      </c>
      <c r="DZ341" s="408">
        <v>2019.7016100000001</v>
      </c>
      <c r="EA341" s="408">
        <v>0</v>
      </c>
      <c r="EB341" s="408">
        <v>0</v>
      </c>
      <c r="EC341" s="408">
        <v>-19127.309406172542</v>
      </c>
      <c r="ED341" s="408">
        <v>0</v>
      </c>
      <c r="EE341" s="408">
        <v>0</v>
      </c>
      <c r="EF341" s="408">
        <v>0</v>
      </c>
      <c r="EG341" s="408">
        <v>0</v>
      </c>
      <c r="EH341" s="408">
        <v>0</v>
      </c>
      <c r="EI341" s="408">
        <v>0</v>
      </c>
      <c r="EJ341" s="408">
        <v>0</v>
      </c>
      <c r="EK341" s="408">
        <v>0</v>
      </c>
      <c r="EL341" s="408">
        <v>0</v>
      </c>
      <c r="EM341" s="408">
        <v>0</v>
      </c>
      <c r="EN341" s="408">
        <v>0</v>
      </c>
      <c r="EO341" s="408">
        <v>0</v>
      </c>
      <c r="EP341" s="408">
        <v>0</v>
      </c>
      <c r="EQ341" s="408">
        <v>0</v>
      </c>
      <c r="ER341" s="408">
        <v>0</v>
      </c>
      <c r="ES341" s="408">
        <v>0</v>
      </c>
      <c r="ET341" s="408">
        <v>0</v>
      </c>
      <c r="EU341" s="408">
        <v>0</v>
      </c>
      <c r="EV341" s="408">
        <v>238</v>
      </c>
      <c r="EW341" s="408">
        <v>0</v>
      </c>
      <c r="EX341" s="408">
        <v>0</v>
      </c>
      <c r="EY341" s="408">
        <v>0</v>
      </c>
      <c r="EZ341" s="408"/>
      <c r="FA341" s="408">
        <v>0</v>
      </c>
      <c r="FB341" s="408"/>
      <c r="FC341" s="408"/>
      <c r="FD341" s="408"/>
      <c r="FE341" s="408"/>
      <c r="FF341" s="408">
        <v>0</v>
      </c>
      <c r="FG341" s="408">
        <v>0</v>
      </c>
      <c r="FH341" s="408">
        <v>0</v>
      </c>
      <c r="FI341" s="408">
        <v>0</v>
      </c>
    </row>
    <row r="342" spans="1:165">
      <c r="A342" s="408">
        <v>346</v>
      </c>
      <c r="B342" s="408" t="s">
        <v>1036</v>
      </c>
      <c r="C342" s="408" t="s">
        <v>2235</v>
      </c>
      <c r="D342" s="408" t="s">
        <v>1955</v>
      </c>
      <c r="E342" s="408" t="s">
        <v>969</v>
      </c>
      <c r="F342" s="408" t="s">
        <v>2239</v>
      </c>
      <c r="G342" s="408" t="s">
        <v>1322</v>
      </c>
      <c r="H342" s="408" t="s">
        <v>1322</v>
      </c>
      <c r="I342" s="408" t="s">
        <v>1322</v>
      </c>
      <c r="J342" s="408" t="s">
        <v>2236</v>
      </c>
      <c r="K342" s="824">
        <v>44562</v>
      </c>
      <c r="L342" s="408">
        <v>0</v>
      </c>
      <c r="M342" s="408">
        <v>0</v>
      </c>
      <c r="N342" s="408">
        <v>38.520000000000003</v>
      </c>
      <c r="O342" s="408">
        <v>38.520000000000003</v>
      </c>
      <c r="P342" s="408">
        <v>38.520000000000003</v>
      </c>
      <c r="Q342" s="408">
        <v>38.520000000000003</v>
      </c>
      <c r="R342" s="408"/>
      <c r="S342" s="408">
        <v>510.28</v>
      </c>
      <c r="T342" s="408">
        <v>209.4</v>
      </c>
      <c r="U342" s="408"/>
      <c r="V342" s="408">
        <v>27722.0736</v>
      </c>
      <c r="W342" s="408">
        <v>27722.0736</v>
      </c>
      <c r="X342" s="408">
        <v>20578.539600000004</v>
      </c>
      <c r="Y342" s="408">
        <v>0</v>
      </c>
      <c r="Z342" s="408">
        <v>0</v>
      </c>
      <c r="AA342" s="408">
        <v>0</v>
      </c>
      <c r="AB342" s="408">
        <v>0</v>
      </c>
      <c r="AC342" s="408">
        <v>0</v>
      </c>
      <c r="AD342" s="408">
        <v>2857.8428975347747</v>
      </c>
      <c r="AE342" s="408">
        <v>14845.812613995136</v>
      </c>
      <c r="AF342" s="408">
        <v>7960.1867278702839</v>
      </c>
      <c r="AG342" s="408">
        <v>106.04421042051946</v>
      </c>
      <c r="AH342" s="408">
        <v>0</v>
      </c>
      <c r="AI342" s="408">
        <v>0</v>
      </c>
      <c r="AJ342" s="408">
        <v>0</v>
      </c>
      <c r="AK342" s="408">
        <v>0</v>
      </c>
      <c r="AL342" s="408">
        <v>0</v>
      </c>
      <c r="AM342" s="408"/>
      <c r="AN342" s="408">
        <v>70.220585445728076</v>
      </c>
      <c r="AO342" s="408">
        <v>219.54399945531893</v>
      </c>
      <c r="AP342" s="408">
        <v>330.70151766348897</v>
      </c>
      <c r="AQ342" s="408">
        <v>0</v>
      </c>
      <c r="AR342" s="408">
        <v>0</v>
      </c>
      <c r="AS342" s="408">
        <v>0</v>
      </c>
      <c r="AT342" s="408">
        <v>0</v>
      </c>
      <c r="AU342" s="408">
        <v>0</v>
      </c>
      <c r="AV342" s="408">
        <v>0</v>
      </c>
      <c r="AW342" s="408">
        <v>0</v>
      </c>
      <c r="AX342" s="408">
        <v>0</v>
      </c>
      <c r="AY342" s="408">
        <v>0</v>
      </c>
      <c r="AZ342" s="408">
        <v>0</v>
      </c>
      <c r="BA342" s="408"/>
      <c r="BB342" s="408">
        <v>0</v>
      </c>
      <c r="BC342" s="408">
        <v>0</v>
      </c>
      <c r="BD342" s="408">
        <v>0</v>
      </c>
      <c r="BE342" s="408">
        <v>0</v>
      </c>
      <c r="BF342" s="408">
        <v>0</v>
      </c>
      <c r="BG342" s="408">
        <v>1331.7243587805465</v>
      </c>
      <c r="BH342" s="408">
        <v>0</v>
      </c>
      <c r="BI342" s="408">
        <v>12.96</v>
      </c>
      <c r="BJ342" s="408">
        <v>89.86</v>
      </c>
      <c r="BK342" s="408">
        <v>2340.58</v>
      </c>
      <c r="BL342" s="408">
        <v>55</v>
      </c>
      <c r="BM342" s="408"/>
      <c r="BN342" s="408"/>
      <c r="BO342" s="408"/>
      <c r="BP342" s="408"/>
      <c r="BQ342" s="408"/>
      <c r="BR342" s="408"/>
      <c r="BS342" s="408"/>
      <c r="BT342" s="408">
        <v>13376.070000000002</v>
      </c>
      <c r="BU342" s="408"/>
      <c r="BV342" s="408">
        <v>9291.9110866508308</v>
      </c>
      <c r="BW342" s="408"/>
      <c r="BX342" s="408"/>
      <c r="BY342" s="408"/>
      <c r="BZ342" s="408"/>
      <c r="CA342" s="408"/>
      <c r="CB342" s="408"/>
      <c r="CC342" s="408"/>
      <c r="CD342" s="408"/>
      <c r="CE342" s="408"/>
      <c r="CF342" s="408"/>
      <c r="CG342" s="408"/>
      <c r="CH342" s="408"/>
      <c r="CI342" s="408">
        <v>7202.4696000000004</v>
      </c>
      <c r="CJ342" s="408">
        <v>-2500.3632000000016</v>
      </c>
      <c r="CK342" s="408"/>
      <c r="CL342" s="408"/>
      <c r="CM342" s="408"/>
      <c r="CN342" s="408"/>
      <c r="CO342" s="408">
        <v>-8022.9456</v>
      </c>
      <c r="CP342" s="408">
        <v>879.41159999999945</v>
      </c>
      <c r="CQ342" s="408">
        <v>31</v>
      </c>
      <c r="CR342" s="408">
        <v>1184.7203313902792</v>
      </c>
      <c r="CS342" s="408">
        <v>26.505992838535661</v>
      </c>
      <c r="CT342" s="408">
        <v>39.926265717251511</v>
      </c>
      <c r="CU342" s="408">
        <v>0</v>
      </c>
      <c r="CV342" s="408">
        <v>0</v>
      </c>
      <c r="CW342" s="408">
        <v>0</v>
      </c>
      <c r="CX342" s="408">
        <v>0</v>
      </c>
      <c r="CY342" s="408">
        <v>0</v>
      </c>
      <c r="CZ342" s="408">
        <v>93.687056773585027</v>
      </c>
      <c r="DA342" s="408">
        <v>0</v>
      </c>
      <c r="DB342" s="408">
        <v>0</v>
      </c>
      <c r="DC342" s="408">
        <v>879.14520054738659</v>
      </c>
      <c r="DD342" s="408">
        <v>0</v>
      </c>
      <c r="DE342" s="408">
        <v>0</v>
      </c>
      <c r="DF342" s="408">
        <v>0</v>
      </c>
      <c r="DG342" s="408">
        <v>147.07934857542659</v>
      </c>
      <c r="DH342" s="408">
        <v>0</v>
      </c>
      <c r="DI342" s="408">
        <v>0</v>
      </c>
      <c r="DJ342" s="408"/>
      <c r="DK342" s="408">
        <v>0</v>
      </c>
      <c r="DL342" s="408">
        <v>0</v>
      </c>
      <c r="DM342" s="408">
        <v>0</v>
      </c>
      <c r="DN342" s="408">
        <v>0</v>
      </c>
      <c r="DO342" s="408">
        <v>0</v>
      </c>
      <c r="DP342" s="408">
        <v>-1.623533061907338</v>
      </c>
      <c r="DQ342" s="408">
        <v>0</v>
      </c>
      <c r="DR342" s="408">
        <v>0</v>
      </c>
      <c r="DS342" s="408"/>
      <c r="DT342" s="408"/>
      <c r="DU342" s="408"/>
      <c r="DV342" s="408">
        <v>14845.812613995136</v>
      </c>
      <c r="DW342" s="408">
        <v>0</v>
      </c>
      <c r="DX342" s="408">
        <v>0</v>
      </c>
      <c r="DY342" s="408">
        <v>-8022.9455999999991</v>
      </c>
      <c r="DZ342" s="408">
        <v>879.41160000000036</v>
      </c>
      <c r="EA342" s="408">
        <v>0</v>
      </c>
      <c r="EB342" s="408">
        <v>0</v>
      </c>
      <c r="EC342" s="408">
        <v>-8328.3479526350675</v>
      </c>
      <c r="ED342" s="408">
        <v>0</v>
      </c>
      <c r="EE342" s="408">
        <v>0</v>
      </c>
      <c r="EF342" s="408">
        <v>0</v>
      </c>
      <c r="EG342" s="408">
        <v>0</v>
      </c>
      <c r="EH342" s="408">
        <v>0</v>
      </c>
      <c r="EI342" s="408">
        <v>0</v>
      </c>
      <c r="EJ342" s="408">
        <v>0</v>
      </c>
      <c r="EK342" s="408">
        <v>0</v>
      </c>
      <c r="EL342" s="408">
        <v>0</v>
      </c>
      <c r="EM342" s="408">
        <v>0</v>
      </c>
      <c r="EN342" s="408">
        <v>0</v>
      </c>
      <c r="EO342" s="408">
        <v>0</v>
      </c>
      <c r="EP342" s="408">
        <v>0</v>
      </c>
      <c r="EQ342" s="408">
        <v>0</v>
      </c>
      <c r="ER342" s="408">
        <v>0</v>
      </c>
      <c r="ES342" s="408">
        <v>0</v>
      </c>
      <c r="ET342" s="408">
        <v>0</v>
      </c>
      <c r="EU342" s="408">
        <v>0</v>
      </c>
      <c r="EV342" s="408">
        <v>238</v>
      </c>
      <c r="EW342" s="408">
        <v>0</v>
      </c>
      <c r="EX342" s="408">
        <v>0</v>
      </c>
      <c r="EY342" s="408">
        <v>0</v>
      </c>
      <c r="EZ342" s="408"/>
      <c r="FA342" s="408">
        <v>0</v>
      </c>
      <c r="FB342" s="408"/>
      <c r="FC342" s="408"/>
      <c r="FD342" s="408"/>
      <c r="FE342" s="408"/>
      <c r="FF342" s="408">
        <v>0</v>
      </c>
      <c r="FG342" s="408">
        <v>0</v>
      </c>
      <c r="FH342" s="408">
        <v>0</v>
      </c>
      <c r="FI342" s="408">
        <v>0</v>
      </c>
    </row>
    <row r="343" spans="1:165">
      <c r="A343" s="408">
        <v>347</v>
      </c>
      <c r="B343" s="408" t="s">
        <v>2237</v>
      </c>
      <c r="C343" s="408" t="s">
        <v>2235</v>
      </c>
      <c r="D343" s="408" t="s">
        <v>1955</v>
      </c>
      <c r="E343" s="408" t="s">
        <v>969</v>
      </c>
      <c r="F343" s="408" t="s">
        <v>2239</v>
      </c>
      <c r="G343" s="408" t="s">
        <v>1322</v>
      </c>
      <c r="H343" s="408" t="s">
        <v>1322</v>
      </c>
      <c r="I343" s="408" t="s">
        <v>1322</v>
      </c>
      <c r="J343" s="408" t="s">
        <v>2236</v>
      </c>
      <c r="K343" s="824">
        <v>44562</v>
      </c>
      <c r="L343" s="408">
        <v>0</v>
      </c>
      <c r="M343" s="408">
        <v>0</v>
      </c>
      <c r="N343" s="408">
        <v>0</v>
      </c>
      <c r="O343" s="408">
        <v>0</v>
      </c>
      <c r="P343" s="408">
        <v>0</v>
      </c>
      <c r="Q343" s="408">
        <v>0</v>
      </c>
      <c r="R343" s="408"/>
      <c r="S343" s="408"/>
      <c r="T343" s="408"/>
      <c r="U343" s="408"/>
      <c r="V343" s="408"/>
      <c r="W343" s="408"/>
      <c r="X343" s="408"/>
      <c r="Y343" s="408"/>
      <c r="Z343" s="408"/>
      <c r="AA343" s="408">
        <v>0</v>
      </c>
      <c r="AB343" s="408"/>
      <c r="AC343" s="408"/>
      <c r="AD343" s="408"/>
      <c r="AE343" s="408"/>
      <c r="AF343" s="408"/>
      <c r="AG343" s="408"/>
      <c r="AH343" s="408"/>
      <c r="AI343" s="408"/>
      <c r="AJ343" s="408"/>
      <c r="AK343" s="408"/>
      <c r="AL343" s="408"/>
      <c r="AM343" s="408"/>
      <c r="AN343" s="408"/>
      <c r="AO343" s="408"/>
      <c r="AP343" s="408"/>
      <c r="AQ343" s="408"/>
      <c r="AR343" s="408"/>
      <c r="AS343" s="408"/>
      <c r="AT343" s="408"/>
      <c r="AU343" s="408"/>
      <c r="AV343" s="408"/>
      <c r="AW343" s="408"/>
      <c r="AX343" s="408"/>
      <c r="AY343" s="408"/>
      <c r="AZ343" s="408">
        <v>0</v>
      </c>
      <c r="BA343" s="408"/>
      <c r="BB343" s="408"/>
      <c r="BC343" s="408"/>
      <c r="BD343" s="408"/>
      <c r="BE343" s="408"/>
      <c r="BF343" s="408"/>
      <c r="BG343" s="408"/>
      <c r="BH343" s="408"/>
      <c r="BI343" s="408">
        <v>-0.02</v>
      </c>
      <c r="BJ343" s="408">
        <v>0.02</v>
      </c>
      <c r="BK343" s="408">
        <v>-9.0500000000000007</v>
      </c>
      <c r="BL343" s="408">
        <v>0</v>
      </c>
      <c r="BM343" s="408"/>
      <c r="BN343" s="408"/>
      <c r="BO343" s="408"/>
      <c r="BP343" s="408"/>
      <c r="BQ343" s="408"/>
      <c r="BR343" s="408"/>
      <c r="BS343" s="408"/>
      <c r="BT343" s="408"/>
      <c r="BU343" s="408"/>
      <c r="BV343" s="408"/>
      <c r="BW343" s="408"/>
      <c r="BX343" s="408"/>
      <c r="BY343" s="408"/>
      <c r="BZ343" s="408"/>
      <c r="CA343" s="408"/>
      <c r="CB343" s="408"/>
      <c r="CC343" s="408"/>
      <c r="CD343" s="408"/>
      <c r="CE343" s="408"/>
      <c r="CF343" s="408"/>
      <c r="CG343" s="408"/>
      <c r="CH343" s="408"/>
      <c r="CI343" s="408"/>
      <c r="CJ343" s="408">
        <v>-0.03</v>
      </c>
      <c r="CK343" s="408"/>
      <c r="CL343" s="408"/>
      <c r="CM343" s="408"/>
      <c r="CN343" s="408"/>
      <c r="CO343" s="408">
        <v>0</v>
      </c>
      <c r="CP343" s="408">
        <v>0</v>
      </c>
      <c r="CQ343" s="408">
        <v>31</v>
      </c>
      <c r="CR343" s="408"/>
      <c r="CS343" s="408"/>
      <c r="CT343" s="408"/>
      <c r="CU343" s="408"/>
      <c r="CV343" s="408"/>
      <c r="CW343" s="408"/>
      <c r="CX343" s="408"/>
      <c r="CY343" s="408"/>
      <c r="CZ343" s="408"/>
      <c r="DA343" s="408"/>
      <c r="DB343" s="408"/>
      <c r="DC343" s="408"/>
      <c r="DD343" s="408"/>
      <c r="DE343" s="408"/>
      <c r="DF343" s="408"/>
      <c r="DG343" s="408"/>
      <c r="DH343" s="408"/>
      <c r="DI343" s="408"/>
      <c r="DJ343" s="408"/>
      <c r="DK343" s="408">
        <v>0</v>
      </c>
      <c r="DL343" s="408"/>
      <c r="DM343" s="408"/>
      <c r="DN343" s="408"/>
      <c r="DO343" s="408"/>
      <c r="DP343" s="408"/>
      <c r="DQ343" s="408"/>
      <c r="DR343" s="408"/>
      <c r="DS343" s="408"/>
      <c r="DT343" s="408"/>
      <c r="DU343" s="408"/>
      <c r="DV343" s="408"/>
      <c r="DW343" s="408"/>
      <c r="DX343" s="408"/>
      <c r="DY343" s="408"/>
      <c r="DZ343" s="408"/>
      <c r="EA343" s="408"/>
      <c r="EB343" s="408"/>
      <c r="EC343" s="408"/>
      <c r="ED343" s="408"/>
      <c r="EE343" s="408"/>
      <c r="EF343" s="408"/>
      <c r="EG343" s="408"/>
      <c r="EH343" s="408"/>
      <c r="EI343" s="408"/>
      <c r="EJ343" s="408"/>
      <c r="EK343" s="408"/>
      <c r="EL343" s="408"/>
      <c r="EM343" s="408"/>
      <c r="EN343" s="408"/>
      <c r="EO343" s="408"/>
      <c r="EP343" s="408"/>
      <c r="EQ343" s="408"/>
      <c r="ER343" s="408"/>
      <c r="ES343" s="408"/>
      <c r="ET343" s="408"/>
      <c r="EU343" s="408"/>
      <c r="EV343" s="408">
        <v>238</v>
      </c>
      <c r="EW343" s="408"/>
      <c r="EX343" s="408"/>
      <c r="EY343" s="408"/>
      <c r="EZ343" s="408"/>
      <c r="FA343" s="408">
        <v>0</v>
      </c>
      <c r="FB343" s="408"/>
      <c r="FC343" s="408"/>
      <c r="FD343" s="408"/>
      <c r="FE343" s="408"/>
      <c r="FF343" s="408">
        <v>0</v>
      </c>
      <c r="FG343" s="408">
        <v>0</v>
      </c>
      <c r="FH343" s="408">
        <v>0</v>
      </c>
      <c r="FI343" s="408">
        <v>0</v>
      </c>
    </row>
    <row r="344" spans="1:165">
      <c r="A344" s="408">
        <v>348</v>
      </c>
      <c r="B344" s="408" t="s">
        <v>1036</v>
      </c>
      <c r="C344" s="408" t="s">
        <v>2235</v>
      </c>
      <c r="D344" s="408" t="s">
        <v>1955</v>
      </c>
      <c r="E344" s="408" t="s">
        <v>969</v>
      </c>
      <c r="F344" s="408" t="s">
        <v>2240</v>
      </c>
      <c r="G344" s="408" t="s">
        <v>1322</v>
      </c>
      <c r="H344" s="408" t="s">
        <v>1322</v>
      </c>
      <c r="I344" s="408" t="s">
        <v>1322</v>
      </c>
      <c r="J344" s="408" t="s">
        <v>2236</v>
      </c>
      <c r="K344" s="824">
        <v>44562</v>
      </c>
      <c r="L344" s="408">
        <v>0</v>
      </c>
      <c r="M344" s="408">
        <v>0</v>
      </c>
      <c r="N344" s="408">
        <v>82.234999999999999</v>
      </c>
      <c r="O344" s="408">
        <v>82.234999999999999</v>
      </c>
      <c r="P344" s="408">
        <v>82.234999999999999</v>
      </c>
      <c r="Q344" s="408">
        <v>82.234999999999999</v>
      </c>
      <c r="R344" s="408"/>
      <c r="S344" s="408">
        <v>510.28</v>
      </c>
      <c r="T344" s="408">
        <v>209.4</v>
      </c>
      <c r="U344" s="408"/>
      <c r="V344" s="408">
        <v>59182.8848</v>
      </c>
      <c r="W344" s="408">
        <v>59182.8848</v>
      </c>
      <c r="X344" s="408">
        <v>43932.404049999997</v>
      </c>
      <c r="Y344" s="408">
        <v>0</v>
      </c>
      <c r="Z344" s="408">
        <v>0</v>
      </c>
      <c r="AA344" s="408">
        <v>0</v>
      </c>
      <c r="AB344" s="408">
        <v>0</v>
      </c>
      <c r="AC344" s="408">
        <v>0</v>
      </c>
      <c r="AD344" s="408">
        <v>6101.1087922838051</v>
      </c>
      <c r="AE344" s="408">
        <v>31693.805823257786</v>
      </c>
      <c r="AF344" s="408">
        <v>16993.92408012494</v>
      </c>
      <c r="AG344" s="408">
        <v>226.39007382999526</v>
      </c>
      <c r="AH344" s="408">
        <v>0</v>
      </c>
      <c r="AI344" s="408">
        <v>0</v>
      </c>
      <c r="AJ344" s="408">
        <v>0</v>
      </c>
      <c r="AK344" s="408">
        <v>0</v>
      </c>
      <c r="AL344" s="408">
        <v>0</v>
      </c>
      <c r="AM344" s="408"/>
      <c r="AN344" s="408">
        <v>149.91147051218712</v>
      </c>
      <c r="AO344" s="408">
        <v>468.69680153707554</v>
      </c>
      <c r="AP344" s="408">
        <v>706.0030972237023</v>
      </c>
      <c r="AQ344" s="408">
        <v>0</v>
      </c>
      <c r="AR344" s="408">
        <v>0</v>
      </c>
      <c r="AS344" s="408">
        <v>0</v>
      </c>
      <c r="AT344" s="408">
        <v>0</v>
      </c>
      <c r="AU344" s="408">
        <v>0</v>
      </c>
      <c r="AV344" s="408">
        <v>0</v>
      </c>
      <c r="AW344" s="408">
        <v>0</v>
      </c>
      <c r="AX344" s="408">
        <v>0</v>
      </c>
      <c r="AY344" s="408">
        <v>0</v>
      </c>
      <c r="AZ344" s="408">
        <v>0</v>
      </c>
      <c r="BA344" s="408"/>
      <c r="BB344" s="408">
        <v>0</v>
      </c>
      <c r="BC344" s="408">
        <v>0</v>
      </c>
      <c r="BD344" s="408">
        <v>0</v>
      </c>
      <c r="BE344" s="408">
        <v>0</v>
      </c>
      <c r="BF344" s="408">
        <v>0</v>
      </c>
      <c r="BG344" s="408">
        <v>2843.0517301224877</v>
      </c>
      <c r="BH344" s="408">
        <v>0</v>
      </c>
      <c r="BI344" s="408">
        <v>70.95</v>
      </c>
      <c r="BJ344" s="408">
        <v>351.95</v>
      </c>
      <c r="BK344" s="408">
        <v>8899.06</v>
      </c>
      <c r="BL344" s="408">
        <v>149</v>
      </c>
      <c r="BM344" s="408"/>
      <c r="BN344" s="408"/>
      <c r="BO344" s="408"/>
      <c r="BP344" s="408"/>
      <c r="BQ344" s="408"/>
      <c r="BR344" s="408"/>
      <c r="BS344" s="408"/>
      <c r="BT344" s="408">
        <v>17572.797149999999</v>
      </c>
      <c r="BU344" s="408"/>
      <c r="BV344" s="408">
        <v>19836.975810247426</v>
      </c>
      <c r="BW344" s="408"/>
      <c r="BX344" s="408"/>
      <c r="BY344" s="408"/>
      <c r="BZ344" s="408"/>
      <c r="CA344" s="408"/>
      <c r="CB344" s="408"/>
      <c r="CC344" s="408"/>
      <c r="CD344" s="408"/>
      <c r="CE344" s="408"/>
      <c r="CF344" s="408"/>
      <c r="CG344" s="408"/>
      <c r="CH344" s="408"/>
      <c r="CI344" s="408">
        <v>26361.209599999998</v>
      </c>
      <c r="CJ344" s="408">
        <v>-9148.7157499999994</v>
      </c>
      <c r="CK344" s="408"/>
      <c r="CL344" s="408"/>
      <c r="CM344" s="408"/>
      <c r="CN344" s="408"/>
      <c r="CO344" s="408">
        <v>-17127.905799999997</v>
      </c>
      <c r="CP344" s="408">
        <v>1877.4250499999987</v>
      </c>
      <c r="CQ344" s="408">
        <v>31</v>
      </c>
      <c r="CR344" s="408">
        <v>2529.2179764247012</v>
      </c>
      <c r="CS344" s="408">
        <v>56.586716538862447</v>
      </c>
      <c r="CT344" s="408">
        <v>85.237187467761601</v>
      </c>
      <c r="CU344" s="408">
        <v>0</v>
      </c>
      <c r="CV344" s="408">
        <v>0</v>
      </c>
      <c r="CW344" s="408">
        <v>0</v>
      </c>
      <c r="CX344" s="408">
        <v>0</v>
      </c>
      <c r="CY344" s="408">
        <v>0</v>
      </c>
      <c r="CZ344" s="408">
        <v>200.0092189453735</v>
      </c>
      <c r="DA344" s="408">
        <v>0</v>
      </c>
      <c r="DB344" s="408">
        <v>0</v>
      </c>
      <c r="DC344" s="408">
        <v>1876.8563231312146</v>
      </c>
      <c r="DD344" s="408">
        <v>0</v>
      </c>
      <c r="DE344" s="408">
        <v>0</v>
      </c>
      <c r="DF344" s="408">
        <v>0</v>
      </c>
      <c r="DG344" s="408">
        <v>313.99455426012992</v>
      </c>
      <c r="DH344" s="408">
        <v>0</v>
      </c>
      <c r="DI344" s="408">
        <v>0</v>
      </c>
      <c r="DJ344" s="408"/>
      <c r="DK344" s="408">
        <v>0</v>
      </c>
      <c r="DL344" s="408">
        <v>0</v>
      </c>
      <c r="DM344" s="408">
        <v>0</v>
      </c>
      <c r="DN344" s="408">
        <v>0</v>
      </c>
      <c r="DO344" s="408">
        <v>0</v>
      </c>
      <c r="DP344" s="408">
        <v>-3.4660239186383706</v>
      </c>
      <c r="DQ344" s="408">
        <v>0</v>
      </c>
      <c r="DR344" s="408">
        <v>0</v>
      </c>
      <c r="DS344" s="408"/>
      <c r="DT344" s="408"/>
      <c r="DU344" s="408"/>
      <c r="DV344" s="408">
        <v>31693.805823257786</v>
      </c>
      <c r="DW344" s="408">
        <v>0</v>
      </c>
      <c r="DX344" s="408">
        <v>0</v>
      </c>
      <c r="DY344" s="408">
        <v>-17127.905799999993</v>
      </c>
      <c r="DZ344" s="408">
        <v>1877.425049999998</v>
      </c>
      <c r="EA344" s="408">
        <v>0</v>
      </c>
      <c r="EB344" s="408">
        <v>0</v>
      </c>
      <c r="EC344" s="408">
        <v>-17779.898595143939</v>
      </c>
      <c r="ED344" s="408">
        <v>0</v>
      </c>
      <c r="EE344" s="408">
        <v>0</v>
      </c>
      <c r="EF344" s="408">
        <v>0</v>
      </c>
      <c r="EG344" s="408">
        <v>0</v>
      </c>
      <c r="EH344" s="408">
        <v>0</v>
      </c>
      <c r="EI344" s="408">
        <v>0</v>
      </c>
      <c r="EJ344" s="408">
        <v>0</v>
      </c>
      <c r="EK344" s="408">
        <v>0</v>
      </c>
      <c r="EL344" s="408">
        <v>0</v>
      </c>
      <c r="EM344" s="408">
        <v>0</v>
      </c>
      <c r="EN344" s="408">
        <v>0</v>
      </c>
      <c r="EO344" s="408">
        <v>0</v>
      </c>
      <c r="EP344" s="408">
        <v>0</v>
      </c>
      <c r="EQ344" s="408">
        <v>0</v>
      </c>
      <c r="ER344" s="408">
        <v>0</v>
      </c>
      <c r="ES344" s="408">
        <v>0</v>
      </c>
      <c r="ET344" s="408">
        <v>0</v>
      </c>
      <c r="EU344" s="408">
        <v>0</v>
      </c>
      <c r="EV344" s="408">
        <v>238</v>
      </c>
      <c r="EW344" s="408">
        <v>0</v>
      </c>
      <c r="EX344" s="408">
        <v>0</v>
      </c>
      <c r="EY344" s="408">
        <v>0</v>
      </c>
      <c r="EZ344" s="408"/>
      <c r="FA344" s="408">
        <v>0</v>
      </c>
      <c r="FB344" s="408"/>
      <c r="FC344" s="408"/>
      <c r="FD344" s="408"/>
      <c r="FE344" s="408"/>
      <c r="FF344" s="408">
        <v>0</v>
      </c>
      <c r="FG344" s="408">
        <v>0</v>
      </c>
      <c r="FH344" s="408">
        <v>0</v>
      </c>
      <c r="FI344" s="408">
        <v>0</v>
      </c>
    </row>
    <row r="345" spans="1:165">
      <c r="A345" s="408">
        <v>349</v>
      </c>
      <c r="B345" s="408" t="s">
        <v>2237</v>
      </c>
      <c r="C345" s="408" t="s">
        <v>2235</v>
      </c>
      <c r="D345" s="408" t="s">
        <v>1955</v>
      </c>
      <c r="E345" s="408" t="s">
        <v>969</v>
      </c>
      <c r="F345" s="408" t="s">
        <v>2240</v>
      </c>
      <c r="G345" s="408" t="s">
        <v>1322</v>
      </c>
      <c r="H345" s="408" t="s">
        <v>1322</v>
      </c>
      <c r="I345" s="408" t="s">
        <v>1322</v>
      </c>
      <c r="J345" s="408" t="s">
        <v>2236</v>
      </c>
      <c r="K345" s="824">
        <v>44562</v>
      </c>
      <c r="L345" s="408">
        <v>0</v>
      </c>
      <c r="M345" s="408">
        <v>0</v>
      </c>
      <c r="N345" s="408">
        <v>-0.35</v>
      </c>
      <c r="O345" s="408">
        <v>-0.35</v>
      </c>
      <c r="P345" s="408">
        <v>-0.35</v>
      </c>
      <c r="Q345" s="408">
        <v>-0.35</v>
      </c>
      <c r="R345" s="408"/>
      <c r="S345" s="408">
        <v>510.28</v>
      </c>
      <c r="T345" s="408">
        <v>209.4</v>
      </c>
      <c r="U345" s="408"/>
      <c r="V345" s="408">
        <v>-251.88799999999998</v>
      </c>
      <c r="W345" s="408">
        <v>-251.88799999999998</v>
      </c>
      <c r="X345" s="408">
        <v>-186.98049999999998</v>
      </c>
      <c r="Y345" s="408">
        <v>0</v>
      </c>
      <c r="Z345" s="408">
        <v>0</v>
      </c>
      <c r="AA345" s="408">
        <v>0</v>
      </c>
      <c r="AB345" s="408">
        <v>0</v>
      </c>
      <c r="AC345" s="408">
        <v>0</v>
      </c>
      <c r="AD345" s="408">
        <v>-25.966900678535072</v>
      </c>
      <c r="AE345" s="408">
        <v>-134.89185916143035</v>
      </c>
      <c r="AF345" s="408">
        <v>-72.327761026858752</v>
      </c>
      <c r="AG345" s="408">
        <v>-0.96353773746577898</v>
      </c>
      <c r="AH345" s="408">
        <v>0</v>
      </c>
      <c r="AI345" s="408">
        <v>0</v>
      </c>
      <c r="AJ345" s="408">
        <v>0</v>
      </c>
      <c r="AK345" s="408">
        <v>0</v>
      </c>
      <c r="AL345" s="408">
        <v>0</v>
      </c>
      <c r="AM345" s="408"/>
      <c r="AN345" s="408">
        <v>-0.63803751054010449</v>
      </c>
      <c r="AO345" s="408">
        <v>-1.99481827127107</v>
      </c>
      <c r="AP345" s="408">
        <v>-3.0048164896734457</v>
      </c>
      <c r="AQ345" s="408">
        <v>0</v>
      </c>
      <c r="AR345" s="408">
        <v>0</v>
      </c>
      <c r="AS345" s="408">
        <v>0</v>
      </c>
      <c r="AT345" s="408">
        <v>0</v>
      </c>
      <c r="AU345" s="408">
        <v>0</v>
      </c>
      <c r="AV345" s="408">
        <v>0</v>
      </c>
      <c r="AW345" s="408">
        <v>0</v>
      </c>
      <c r="AX345" s="408">
        <v>0</v>
      </c>
      <c r="AY345" s="408">
        <v>0</v>
      </c>
      <c r="AZ345" s="408">
        <v>0</v>
      </c>
      <c r="BA345" s="408"/>
      <c r="BB345" s="408">
        <v>0</v>
      </c>
      <c r="BC345" s="408">
        <v>0</v>
      </c>
      <c r="BD345" s="408">
        <v>0</v>
      </c>
      <c r="BE345" s="408">
        <v>0</v>
      </c>
      <c r="BF345" s="408">
        <v>0</v>
      </c>
      <c r="BG345" s="408">
        <v>-12.100299210103614</v>
      </c>
      <c r="BH345" s="408">
        <v>0</v>
      </c>
      <c r="BI345" s="408">
        <v>-0.28999999999999998</v>
      </c>
      <c r="BJ345" s="408">
        <v>-1.43</v>
      </c>
      <c r="BK345" s="408">
        <v>-53.83</v>
      </c>
      <c r="BL345" s="408">
        <v>0</v>
      </c>
      <c r="BM345" s="408"/>
      <c r="BN345" s="408"/>
      <c r="BO345" s="408"/>
      <c r="BP345" s="408"/>
      <c r="BQ345" s="408"/>
      <c r="BR345" s="408"/>
      <c r="BS345" s="408"/>
      <c r="BT345" s="408">
        <v>-74.791499999999985</v>
      </c>
      <c r="BU345" s="408"/>
      <c r="BV345" s="408">
        <v>-84.428060236962367</v>
      </c>
      <c r="BW345" s="408"/>
      <c r="BX345" s="408"/>
      <c r="BY345" s="408"/>
      <c r="BZ345" s="408"/>
      <c r="CA345" s="408"/>
      <c r="CB345" s="408"/>
      <c r="CC345" s="408"/>
      <c r="CD345" s="408"/>
      <c r="CE345" s="408"/>
      <c r="CF345" s="408"/>
      <c r="CG345" s="408"/>
      <c r="CH345" s="408"/>
      <c r="CI345" s="408">
        <v>-112.18899999999999</v>
      </c>
      <c r="CJ345" s="408">
        <v>38.914500000000004</v>
      </c>
      <c r="CK345" s="408"/>
      <c r="CL345" s="408"/>
      <c r="CM345" s="408"/>
      <c r="CN345" s="408"/>
      <c r="CO345" s="408">
        <v>72.897999999999982</v>
      </c>
      <c r="CP345" s="408">
        <v>-7.9904999999999937</v>
      </c>
      <c r="CQ345" s="408">
        <v>31</v>
      </c>
      <c r="CR345" s="408">
        <v>-10.764592834543024</v>
      </c>
      <c r="CS345" s="408">
        <v>-0.24083846037091039</v>
      </c>
      <c r="CT345" s="408">
        <v>-0.3627775960809454</v>
      </c>
      <c r="CU345" s="408">
        <v>0</v>
      </c>
      <c r="CV345" s="408">
        <v>0</v>
      </c>
      <c r="CW345" s="408">
        <v>0</v>
      </c>
      <c r="CX345" s="408">
        <v>0</v>
      </c>
      <c r="CY345" s="408">
        <v>0</v>
      </c>
      <c r="CZ345" s="408">
        <v>-0.85125830401752012</v>
      </c>
      <c r="DA345" s="408">
        <v>0</v>
      </c>
      <c r="DB345" s="408">
        <v>0</v>
      </c>
      <c r="DC345" s="408">
        <v>-7.9880794442259884</v>
      </c>
      <c r="DD345" s="408">
        <v>0</v>
      </c>
      <c r="DE345" s="408">
        <v>0</v>
      </c>
      <c r="DF345" s="408">
        <v>0</v>
      </c>
      <c r="DG345" s="408">
        <v>-1.3363907580840948</v>
      </c>
      <c r="DH345" s="408">
        <v>0</v>
      </c>
      <c r="DI345" s="408">
        <v>0</v>
      </c>
      <c r="DJ345" s="408"/>
      <c r="DK345" s="408">
        <v>0</v>
      </c>
      <c r="DL345" s="408">
        <v>0</v>
      </c>
      <c r="DM345" s="408">
        <v>0</v>
      </c>
      <c r="DN345" s="408">
        <v>0</v>
      </c>
      <c r="DO345" s="408">
        <v>0</v>
      </c>
      <c r="DP345" s="408">
        <v>1.4751728236437445E-2</v>
      </c>
      <c r="DQ345" s="408">
        <v>0</v>
      </c>
      <c r="DR345" s="408">
        <v>0</v>
      </c>
      <c r="DS345" s="408"/>
      <c r="DT345" s="408"/>
      <c r="DU345" s="408"/>
      <c r="DV345" s="408">
        <v>-134.89185916143035</v>
      </c>
      <c r="DW345" s="408">
        <v>0</v>
      </c>
      <c r="DX345" s="408">
        <v>0</v>
      </c>
      <c r="DY345" s="408">
        <v>72.897999999999996</v>
      </c>
      <c r="DZ345" s="408">
        <v>-7.9904999999999973</v>
      </c>
      <c r="EA345" s="408">
        <v>0</v>
      </c>
      <c r="EB345" s="408">
        <v>0</v>
      </c>
      <c r="EC345" s="408">
        <v>75.6729434948669</v>
      </c>
      <c r="ED345" s="408">
        <v>0</v>
      </c>
      <c r="EE345" s="408">
        <v>0</v>
      </c>
      <c r="EF345" s="408">
        <v>0</v>
      </c>
      <c r="EG345" s="408">
        <v>0</v>
      </c>
      <c r="EH345" s="408">
        <v>0</v>
      </c>
      <c r="EI345" s="408">
        <v>0</v>
      </c>
      <c r="EJ345" s="408">
        <v>0</v>
      </c>
      <c r="EK345" s="408">
        <v>0</v>
      </c>
      <c r="EL345" s="408">
        <v>0</v>
      </c>
      <c r="EM345" s="408">
        <v>0</v>
      </c>
      <c r="EN345" s="408">
        <v>0</v>
      </c>
      <c r="EO345" s="408">
        <v>0</v>
      </c>
      <c r="EP345" s="408">
        <v>0</v>
      </c>
      <c r="EQ345" s="408">
        <v>0</v>
      </c>
      <c r="ER345" s="408">
        <v>0</v>
      </c>
      <c r="ES345" s="408">
        <v>0</v>
      </c>
      <c r="ET345" s="408">
        <v>0</v>
      </c>
      <c r="EU345" s="408">
        <v>0</v>
      </c>
      <c r="EV345" s="408">
        <v>238</v>
      </c>
      <c r="EW345" s="408">
        <v>0</v>
      </c>
      <c r="EX345" s="408">
        <v>0</v>
      </c>
      <c r="EY345" s="408">
        <v>0</v>
      </c>
      <c r="EZ345" s="408"/>
      <c r="FA345" s="408">
        <v>0</v>
      </c>
      <c r="FB345" s="408"/>
      <c r="FC345" s="408"/>
      <c r="FD345" s="408"/>
      <c r="FE345" s="408"/>
      <c r="FF345" s="408">
        <v>0</v>
      </c>
      <c r="FG345" s="408">
        <v>0</v>
      </c>
      <c r="FH345" s="408">
        <v>0</v>
      </c>
      <c r="FI345" s="408">
        <v>0</v>
      </c>
    </row>
    <row r="346" spans="1:165">
      <c r="A346" s="408">
        <v>350</v>
      </c>
      <c r="B346" s="408" t="s">
        <v>1036</v>
      </c>
      <c r="C346" s="408" t="s">
        <v>2235</v>
      </c>
      <c r="D346" s="408" t="s">
        <v>1955</v>
      </c>
      <c r="E346" s="408" t="s">
        <v>969</v>
      </c>
      <c r="F346" s="408" t="s">
        <v>2241</v>
      </c>
      <c r="G346" s="408" t="s">
        <v>1322</v>
      </c>
      <c r="H346" s="408" t="s">
        <v>1322</v>
      </c>
      <c r="I346" s="408" t="s">
        <v>1322</v>
      </c>
      <c r="J346" s="408" t="s">
        <v>2236</v>
      </c>
      <c r="K346" s="824">
        <v>44562</v>
      </c>
      <c r="L346" s="408">
        <v>0</v>
      </c>
      <c r="M346" s="408">
        <v>0</v>
      </c>
      <c r="N346" s="408">
        <v>94.64</v>
      </c>
      <c r="O346" s="408">
        <v>94.64</v>
      </c>
      <c r="P346" s="408">
        <v>94.64</v>
      </c>
      <c r="Q346" s="408">
        <v>94.64</v>
      </c>
      <c r="R346" s="408"/>
      <c r="S346" s="408">
        <v>510.28</v>
      </c>
      <c r="T346" s="408">
        <v>209.4</v>
      </c>
      <c r="U346" s="408"/>
      <c r="V346" s="408">
        <v>68110.515199999994</v>
      </c>
      <c r="W346" s="408">
        <v>68110.515199999994</v>
      </c>
      <c r="X346" s="408">
        <v>50559.527199999997</v>
      </c>
      <c r="Y346" s="408">
        <v>0</v>
      </c>
      <c r="Z346" s="408">
        <v>0</v>
      </c>
      <c r="AA346" s="408">
        <v>0</v>
      </c>
      <c r="AB346" s="408">
        <v>0</v>
      </c>
      <c r="AC346" s="408">
        <v>0</v>
      </c>
      <c r="AD346" s="408">
        <v>7021.4499434758836</v>
      </c>
      <c r="AE346" s="408">
        <v>36474.75871725077</v>
      </c>
      <c r="AF346" s="408">
        <v>19557.426581662607</v>
      </c>
      <c r="AG346" s="408">
        <v>260.54060421074666</v>
      </c>
      <c r="AH346" s="408">
        <v>0</v>
      </c>
      <c r="AI346" s="408">
        <v>0</v>
      </c>
      <c r="AJ346" s="408">
        <v>0</v>
      </c>
      <c r="AK346" s="408">
        <v>0</v>
      </c>
      <c r="AL346" s="408">
        <v>0</v>
      </c>
      <c r="AM346" s="408"/>
      <c r="AN346" s="408">
        <v>172.52534285004427</v>
      </c>
      <c r="AO346" s="408">
        <v>539.39886055169734</v>
      </c>
      <c r="AP346" s="408">
        <v>812.50237880769976</v>
      </c>
      <c r="AQ346" s="408">
        <v>0</v>
      </c>
      <c r="AR346" s="408">
        <v>0</v>
      </c>
      <c r="AS346" s="408">
        <v>0</v>
      </c>
      <c r="AT346" s="408">
        <v>0</v>
      </c>
      <c r="AU346" s="408">
        <v>0</v>
      </c>
      <c r="AV346" s="408">
        <v>0</v>
      </c>
      <c r="AW346" s="408">
        <v>0</v>
      </c>
      <c r="AX346" s="408">
        <v>0</v>
      </c>
      <c r="AY346" s="408">
        <v>0</v>
      </c>
      <c r="AZ346" s="408">
        <v>0</v>
      </c>
      <c r="BA346" s="408"/>
      <c r="BB346" s="408">
        <v>0</v>
      </c>
      <c r="BC346" s="408">
        <v>0</v>
      </c>
      <c r="BD346" s="408">
        <v>0</v>
      </c>
      <c r="BE346" s="408">
        <v>0</v>
      </c>
      <c r="BF346" s="408">
        <v>0</v>
      </c>
      <c r="BG346" s="408">
        <v>3271.9209064120173</v>
      </c>
      <c r="BH346" s="408">
        <v>0</v>
      </c>
      <c r="BI346" s="408">
        <v>130.01</v>
      </c>
      <c r="BJ346" s="408">
        <v>588.5</v>
      </c>
      <c r="BK346" s="408">
        <v>15410.45</v>
      </c>
      <c r="BL346" s="408">
        <v>595</v>
      </c>
      <c r="BM346" s="408"/>
      <c r="BN346" s="408"/>
      <c r="BO346" s="408"/>
      <c r="BP346" s="408"/>
      <c r="BQ346" s="408"/>
      <c r="BR346" s="408"/>
      <c r="BS346" s="408"/>
      <c r="BT346" s="408">
        <v>5056.6151999999984</v>
      </c>
      <c r="BU346" s="408"/>
      <c r="BV346" s="408">
        <v>22829.347488074625</v>
      </c>
      <c r="BW346" s="408"/>
      <c r="BX346" s="408"/>
      <c r="BY346" s="408"/>
      <c r="BZ346" s="408"/>
      <c r="CA346" s="408"/>
      <c r="CB346" s="408"/>
      <c r="CC346" s="408"/>
      <c r="CD346" s="408"/>
      <c r="CE346" s="408"/>
      <c r="CF346" s="408"/>
      <c r="CG346" s="408"/>
      <c r="CH346" s="408"/>
      <c r="CI346" s="408">
        <v>45502.911999999997</v>
      </c>
      <c r="CJ346" s="408">
        <v>-15796.392400000004</v>
      </c>
      <c r="CK346" s="408"/>
      <c r="CL346" s="408"/>
      <c r="CM346" s="408"/>
      <c r="CN346" s="408"/>
      <c r="CO346" s="408">
        <v>-19711.619199999997</v>
      </c>
      <c r="CP346" s="408">
        <v>2160.6311999999984</v>
      </c>
      <c r="CQ346" s="408">
        <v>31</v>
      </c>
      <c r="CR346" s="408">
        <v>2910.7459024604286</v>
      </c>
      <c r="CS346" s="408">
        <v>65.122719684294225</v>
      </c>
      <c r="CT346" s="408">
        <v>98.09506198028771</v>
      </c>
      <c r="CU346" s="408">
        <v>0</v>
      </c>
      <c r="CV346" s="408">
        <v>0</v>
      </c>
      <c r="CW346" s="408">
        <v>0</v>
      </c>
      <c r="CX346" s="408">
        <v>0</v>
      </c>
      <c r="CY346" s="408">
        <v>0</v>
      </c>
      <c r="CZ346" s="408">
        <v>230.18024540633724</v>
      </c>
      <c r="DA346" s="408">
        <v>0</v>
      </c>
      <c r="DB346" s="408">
        <v>0</v>
      </c>
      <c r="DC346" s="408">
        <v>2159.9766817187083</v>
      </c>
      <c r="DD346" s="408">
        <v>0</v>
      </c>
      <c r="DE346" s="408">
        <v>0</v>
      </c>
      <c r="DF346" s="408">
        <v>0</v>
      </c>
      <c r="DG346" s="408">
        <v>361.36006098593907</v>
      </c>
      <c r="DH346" s="408">
        <v>0</v>
      </c>
      <c r="DI346" s="408">
        <v>0</v>
      </c>
      <c r="DJ346" s="408"/>
      <c r="DK346" s="408">
        <v>0</v>
      </c>
      <c r="DL346" s="408">
        <v>0</v>
      </c>
      <c r="DM346" s="408">
        <v>0</v>
      </c>
      <c r="DN346" s="408">
        <v>0</v>
      </c>
      <c r="DO346" s="408">
        <v>0</v>
      </c>
      <c r="DP346" s="408">
        <v>-3.9888673151326941</v>
      </c>
      <c r="DQ346" s="408">
        <v>0</v>
      </c>
      <c r="DR346" s="408">
        <v>0</v>
      </c>
      <c r="DS346" s="408"/>
      <c r="DT346" s="408"/>
      <c r="DU346" s="408"/>
      <c r="DV346" s="408">
        <v>36474.75871725077</v>
      </c>
      <c r="DW346" s="408">
        <v>0</v>
      </c>
      <c r="DX346" s="408">
        <v>0</v>
      </c>
      <c r="DY346" s="408">
        <v>-19711.619200000001</v>
      </c>
      <c r="DZ346" s="408">
        <v>2160.6311999999962</v>
      </c>
      <c r="EA346" s="408">
        <v>0</v>
      </c>
      <c r="EB346" s="408">
        <v>0</v>
      </c>
      <c r="EC346" s="408">
        <v>-20461.963921012011</v>
      </c>
      <c r="ED346" s="408">
        <v>0</v>
      </c>
      <c r="EE346" s="408">
        <v>0</v>
      </c>
      <c r="EF346" s="408">
        <v>0</v>
      </c>
      <c r="EG346" s="408">
        <v>0</v>
      </c>
      <c r="EH346" s="408">
        <v>0</v>
      </c>
      <c r="EI346" s="408">
        <v>0</v>
      </c>
      <c r="EJ346" s="408">
        <v>0</v>
      </c>
      <c r="EK346" s="408">
        <v>0</v>
      </c>
      <c r="EL346" s="408">
        <v>0</v>
      </c>
      <c r="EM346" s="408">
        <v>0</v>
      </c>
      <c r="EN346" s="408">
        <v>0</v>
      </c>
      <c r="EO346" s="408">
        <v>0</v>
      </c>
      <c r="EP346" s="408">
        <v>0</v>
      </c>
      <c r="EQ346" s="408">
        <v>0</v>
      </c>
      <c r="ER346" s="408">
        <v>0</v>
      </c>
      <c r="ES346" s="408">
        <v>0</v>
      </c>
      <c r="ET346" s="408">
        <v>0</v>
      </c>
      <c r="EU346" s="408">
        <v>0</v>
      </c>
      <c r="EV346" s="408">
        <v>238</v>
      </c>
      <c r="EW346" s="408">
        <v>0</v>
      </c>
      <c r="EX346" s="408">
        <v>0</v>
      </c>
      <c r="EY346" s="408">
        <v>0</v>
      </c>
      <c r="EZ346" s="408"/>
      <c r="FA346" s="408">
        <v>0</v>
      </c>
      <c r="FB346" s="408"/>
      <c r="FC346" s="408"/>
      <c r="FD346" s="408"/>
      <c r="FE346" s="408"/>
      <c r="FF346" s="408">
        <v>0</v>
      </c>
      <c r="FG346" s="408">
        <v>0</v>
      </c>
      <c r="FH346" s="408">
        <v>0</v>
      </c>
      <c r="FI346" s="408">
        <v>0</v>
      </c>
    </row>
    <row r="347" spans="1:165">
      <c r="A347" s="408">
        <v>351</v>
      </c>
      <c r="B347" s="408" t="s">
        <v>2237</v>
      </c>
      <c r="C347" s="408" t="s">
        <v>2235</v>
      </c>
      <c r="D347" s="408" t="s">
        <v>1955</v>
      </c>
      <c r="E347" s="408" t="s">
        <v>969</v>
      </c>
      <c r="F347" s="408" t="s">
        <v>2241</v>
      </c>
      <c r="G347" s="408" t="s">
        <v>1322</v>
      </c>
      <c r="H347" s="408" t="s">
        <v>1322</v>
      </c>
      <c r="I347" s="408" t="s">
        <v>1322</v>
      </c>
      <c r="J347" s="408" t="s">
        <v>2236</v>
      </c>
      <c r="K347" s="824">
        <v>44562</v>
      </c>
      <c r="L347" s="408">
        <v>0</v>
      </c>
      <c r="M347" s="408">
        <v>0</v>
      </c>
      <c r="N347" s="408">
        <v>-9.2999999999999999E-2</v>
      </c>
      <c r="O347" s="408">
        <v>-9.2999999999999999E-2</v>
      </c>
      <c r="P347" s="408">
        <v>-9.2999999999999999E-2</v>
      </c>
      <c r="Q347" s="408">
        <v>-9.2999999999999999E-2</v>
      </c>
      <c r="R347" s="408"/>
      <c r="S347" s="408">
        <v>510.28</v>
      </c>
      <c r="T347" s="408">
        <v>209.4</v>
      </c>
      <c r="U347" s="408"/>
      <c r="V347" s="408">
        <v>-66.930239999999998</v>
      </c>
      <c r="W347" s="408">
        <v>-66.930239999999998</v>
      </c>
      <c r="X347" s="408">
        <v>-49.683389999999996</v>
      </c>
      <c r="Y347" s="408">
        <v>0</v>
      </c>
      <c r="Z347" s="408">
        <v>0</v>
      </c>
      <c r="AA347" s="408">
        <v>0</v>
      </c>
      <c r="AB347" s="408">
        <v>0</v>
      </c>
      <c r="AC347" s="408">
        <v>0</v>
      </c>
      <c r="AD347" s="408">
        <v>-6.8997764660107483</v>
      </c>
      <c r="AE347" s="408">
        <v>-35.84269400575149</v>
      </c>
      <c r="AF347" s="408">
        <v>-19.218519358565324</v>
      </c>
      <c r="AG347" s="408">
        <v>-0.25602574166947845</v>
      </c>
      <c r="AH347" s="408">
        <v>0</v>
      </c>
      <c r="AI347" s="408">
        <v>0</v>
      </c>
      <c r="AJ347" s="408">
        <v>0</v>
      </c>
      <c r="AK347" s="408">
        <v>0</v>
      </c>
      <c r="AL347" s="408">
        <v>0</v>
      </c>
      <c r="AM347" s="408"/>
      <c r="AN347" s="408">
        <v>-0.16953568137208491</v>
      </c>
      <c r="AO347" s="408">
        <v>-0.53005171208059865</v>
      </c>
      <c r="AP347" s="408">
        <v>-0.79842266725608702</v>
      </c>
      <c r="AQ347" s="408">
        <v>0</v>
      </c>
      <c r="AR347" s="408">
        <v>0</v>
      </c>
      <c r="AS347" s="408">
        <v>0</v>
      </c>
      <c r="AT347" s="408">
        <v>0</v>
      </c>
      <c r="AU347" s="408">
        <v>0</v>
      </c>
      <c r="AV347" s="408">
        <v>0</v>
      </c>
      <c r="AW347" s="408">
        <v>0</v>
      </c>
      <c r="AX347" s="408">
        <v>0</v>
      </c>
      <c r="AY347" s="408">
        <v>0</v>
      </c>
      <c r="AZ347" s="408">
        <v>0</v>
      </c>
      <c r="BA347" s="408"/>
      <c r="BB347" s="408">
        <v>0</v>
      </c>
      <c r="BC347" s="408">
        <v>0</v>
      </c>
      <c r="BD347" s="408">
        <v>0</v>
      </c>
      <c r="BE347" s="408">
        <v>0</v>
      </c>
      <c r="BF347" s="408">
        <v>0</v>
      </c>
      <c r="BG347" s="408">
        <v>-3.2152223615418176</v>
      </c>
      <c r="BH347" s="408">
        <v>0</v>
      </c>
      <c r="BI347" s="408">
        <v>-0.23</v>
      </c>
      <c r="BJ347" s="408">
        <v>-1.0900000000000001</v>
      </c>
      <c r="BK347" s="408">
        <v>-48.38</v>
      </c>
      <c r="BL347" s="408">
        <v>0</v>
      </c>
      <c r="BM347" s="408"/>
      <c r="BN347" s="408"/>
      <c r="BO347" s="408"/>
      <c r="BP347" s="408"/>
      <c r="BQ347" s="408"/>
      <c r="BR347" s="408"/>
      <c r="BS347" s="408"/>
      <c r="BT347" s="408">
        <v>-4.968989999999998</v>
      </c>
      <c r="BU347" s="408"/>
      <c r="BV347" s="408">
        <v>-22.433741720107143</v>
      </c>
      <c r="BW347" s="408"/>
      <c r="BX347" s="408"/>
      <c r="BY347" s="408"/>
      <c r="BZ347" s="408"/>
      <c r="CA347" s="408"/>
      <c r="CB347" s="408"/>
      <c r="CC347" s="408"/>
      <c r="CD347" s="408"/>
      <c r="CE347" s="408"/>
      <c r="CF347" s="408"/>
      <c r="CG347" s="408"/>
      <c r="CH347" s="408"/>
      <c r="CI347" s="408">
        <v>-43.271999999999998</v>
      </c>
      <c r="CJ347" s="408">
        <v>16.935030000000012</v>
      </c>
      <c r="CK347" s="408"/>
      <c r="CL347" s="408"/>
      <c r="CM347" s="408"/>
      <c r="CN347" s="408"/>
      <c r="CO347" s="408">
        <v>19.370039999999996</v>
      </c>
      <c r="CP347" s="408">
        <v>-2.1231899999999984</v>
      </c>
      <c r="CQ347" s="408">
        <v>31</v>
      </c>
      <c r="CR347" s="408">
        <v>-2.8603060960357034</v>
      </c>
      <c r="CS347" s="408">
        <v>-6.3994219469984737E-2</v>
      </c>
      <c r="CT347" s="408">
        <v>-9.6395189815794091E-2</v>
      </c>
      <c r="CU347" s="408">
        <v>0</v>
      </c>
      <c r="CV347" s="408">
        <v>0</v>
      </c>
      <c r="CW347" s="408">
        <v>0</v>
      </c>
      <c r="CX347" s="408">
        <v>0</v>
      </c>
      <c r="CY347" s="408">
        <v>0</v>
      </c>
      <c r="CZ347" s="408">
        <v>-0.22619149221036938</v>
      </c>
      <c r="DA347" s="408">
        <v>0</v>
      </c>
      <c r="DB347" s="408">
        <v>0</v>
      </c>
      <c r="DC347" s="408">
        <v>-2.1225468237514811</v>
      </c>
      <c r="DD347" s="408">
        <v>0</v>
      </c>
      <c r="DE347" s="408">
        <v>0</v>
      </c>
      <c r="DF347" s="408">
        <v>0</v>
      </c>
      <c r="DG347" s="408">
        <v>-0.35509811571948768</v>
      </c>
      <c r="DH347" s="408">
        <v>0</v>
      </c>
      <c r="DI347" s="408">
        <v>0</v>
      </c>
      <c r="DJ347" s="408"/>
      <c r="DK347" s="408">
        <v>0</v>
      </c>
      <c r="DL347" s="408">
        <v>0</v>
      </c>
      <c r="DM347" s="408">
        <v>0</v>
      </c>
      <c r="DN347" s="408">
        <v>0</v>
      </c>
      <c r="DO347" s="408">
        <v>0</v>
      </c>
      <c r="DP347" s="408">
        <v>3.9197449313962407E-3</v>
      </c>
      <c r="DQ347" s="408">
        <v>0</v>
      </c>
      <c r="DR347" s="408">
        <v>0</v>
      </c>
      <c r="DS347" s="408"/>
      <c r="DT347" s="408"/>
      <c r="DU347" s="408"/>
      <c r="DV347" s="408">
        <v>-35.84269400575149</v>
      </c>
      <c r="DW347" s="408">
        <v>0</v>
      </c>
      <c r="DX347" s="408">
        <v>0</v>
      </c>
      <c r="DY347" s="408">
        <v>19.370039999999996</v>
      </c>
      <c r="DZ347" s="408">
        <v>-2.1231899999999975</v>
      </c>
      <c r="EA347" s="408">
        <v>0</v>
      </c>
      <c r="EB347" s="408">
        <v>0</v>
      </c>
      <c r="EC347" s="408">
        <v>20.107382128636058</v>
      </c>
      <c r="ED347" s="408">
        <v>0</v>
      </c>
      <c r="EE347" s="408">
        <v>0</v>
      </c>
      <c r="EF347" s="408">
        <v>0</v>
      </c>
      <c r="EG347" s="408">
        <v>0</v>
      </c>
      <c r="EH347" s="408">
        <v>0</v>
      </c>
      <c r="EI347" s="408">
        <v>0</v>
      </c>
      <c r="EJ347" s="408">
        <v>0</v>
      </c>
      <c r="EK347" s="408">
        <v>0</v>
      </c>
      <c r="EL347" s="408">
        <v>0</v>
      </c>
      <c r="EM347" s="408">
        <v>0</v>
      </c>
      <c r="EN347" s="408">
        <v>0</v>
      </c>
      <c r="EO347" s="408">
        <v>0</v>
      </c>
      <c r="EP347" s="408">
        <v>0</v>
      </c>
      <c r="EQ347" s="408">
        <v>0</v>
      </c>
      <c r="ER347" s="408">
        <v>0</v>
      </c>
      <c r="ES347" s="408">
        <v>0</v>
      </c>
      <c r="ET347" s="408">
        <v>0</v>
      </c>
      <c r="EU347" s="408">
        <v>0</v>
      </c>
      <c r="EV347" s="408">
        <v>238</v>
      </c>
      <c r="EW347" s="408">
        <v>0</v>
      </c>
      <c r="EX347" s="408">
        <v>0</v>
      </c>
      <c r="EY347" s="408">
        <v>0</v>
      </c>
      <c r="EZ347" s="408"/>
      <c r="FA347" s="408">
        <v>0</v>
      </c>
      <c r="FB347" s="408"/>
      <c r="FC347" s="408"/>
      <c r="FD347" s="408"/>
      <c r="FE347" s="408"/>
      <c r="FF347" s="408">
        <v>0</v>
      </c>
      <c r="FG347" s="408">
        <v>0</v>
      </c>
      <c r="FH347" s="408">
        <v>0</v>
      </c>
      <c r="FI347" s="408">
        <v>0</v>
      </c>
    </row>
    <row r="348" spans="1:165">
      <c r="A348" s="408">
        <v>352</v>
      </c>
      <c r="B348" s="408" t="s">
        <v>1036</v>
      </c>
      <c r="C348" s="408" t="s">
        <v>2235</v>
      </c>
      <c r="D348" s="408" t="s">
        <v>1955</v>
      </c>
      <c r="E348" s="408" t="s">
        <v>969</v>
      </c>
      <c r="F348" s="408" t="s">
        <v>2242</v>
      </c>
      <c r="G348" s="408" t="s">
        <v>1322</v>
      </c>
      <c r="H348" s="408" t="s">
        <v>1322</v>
      </c>
      <c r="I348" s="408" t="s">
        <v>1322</v>
      </c>
      <c r="J348" s="408" t="s">
        <v>2236</v>
      </c>
      <c r="K348" s="824">
        <v>44562</v>
      </c>
      <c r="L348" s="408">
        <v>0</v>
      </c>
      <c r="M348" s="408">
        <v>0</v>
      </c>
      <c r="N348" s="408">
        <v>52.890999999999998</v>
      </c>
      <c r="O348" s="408">
        <v>52.890999999999998</v>
      </c>
      <c r="P348" s="408">
        <v>52.890999999999998</v>
      </c>
      <c r="Q348" s="408">
        <v>52.890999999999998</v>
      </c>
      <c r="R348" s="408"/>
      <c r="S348" s="408">
        <v>510.28</v>
      </c>
      <c r="T348" s="408">
        <v>209.4</v>
      </c>
      <c r="U348" s="408"/>
      <c r="V348" s="408">
        <v>38064.594879999997</v>
      </c>
      <c r="W348" s="408">
        <v>38064.594879999997</v>
      </c>
      <c r="X348" s="408">
        <v>28255.958930000001</v>
      </c>
      <c r="Y348" s="408">
        <v>0</v>
      </c>
      <c r="Z348" s="408">
        <v>0</v>
      </c>
      <c r="AA348" s="408">
        <v>0</v>
      </c>
      <c r="AB348" s="408">
        <v>0</v>
      </c>
      <c r="AC348" s="408">
        <v>0</v>
      </c>
      <c r="AD348" s="408">
        <v>3924.0438393954241</v>
      </c>
      <c r="AE348" s="408">
        <v>20384.472351163466</v>
      </c>
      <c r="AF348" s="408">
        <v>10929.964595633102</v>
      </c>
      <c r="AG348" s="408">
        <v>145.60706992086435</v>
      </c>
      <c r="AH348" s="408">
        <v>0</v>
      </c>
      <c r="AI348" s="408">
        <v>0</v>
      </c>
      <c r="AJ348" s="408">
        <v>0</v>
      </c>
      <c r="AK348" s="408">
        <v>0</v>
      </c>
      <c r="AL348" s="408">
        <v>0</v>
      </c>
      <c r="AM348" s="408"/>
      <c r="AN348" s="408">
        <v>96.418405628504757</v>
      </c>
      <c r="AO348" s="408">
        <v>301.45123767370904</v>
      </c>
      <c r="AP348" s="408">
        <v>454.07928272948061</v>
      </c>
      <c r="AQ348" s="408">
        <v>0</v>
      </c>
      <c r="AR348" s="408">
        <v>0</v>
      </c>
      <c r="AS348" s="408">
        <v>0</v>
      </c>
      <c r="AT348" s="408">
        <v>0</v>
      </c>
      <c r="AU348" s="408">
        <v>0</v>
      </c>
      <c r="AV348" s="408">
        <v>0</v>
      </c>
      <c r="AW348" s="408">
        <v>0</v>
      </c>
      <c r="AX348" s="408">
        <v>0</v>
      </c>
      <c r="AY348" s="408">
        <v>0</v>
      </c>
      <c r="AZ348" s="408">
        <v>0</v>
      </c>
      <c r="BA348" s="408"/>
      <c r="BB348" s="408">
        <v>0</v>
      </c>
      <c r="BC348" s="408">
        <v>0</v>
      </c>
      <c r="BD348" s="408">
        <v>0</v>
      </c>
      <c r="BE348" s="408">
        <v>0</v>
      </c>
      <c r="BF348" s="408">
        <v>0</v>
      </c>
      <c r="BG348" s="408">
        <v>1828.5626443474007</v>
      </c>
      <c r="BH348" s="408">
        <v>0</v>
      </c>
      <c r="BI348" s="408">
        <v>84.52</v>
      </c>
      <c r="BJ348" s="408">
        <v>364.79</v>
      </c>
      <c r="BK348" s="408">
        <v>9566.01</v>
      </c>
      <c r="BL348" s="408">
        <v>485</v>
      </c>
      <c r="BM348" s="408"/>
      <c r="BN348" s="408"/>
      <c r="BO348" s="408"/>
      <c r="BP348" s="408"/>
      <c r="BQ348" s="408"/>
      <c r="BR348" s="408"/>
      <c r="BS348" s="408"/>
      <c r="BT348" s="408"/>
      <c r="BU348" s="408"/>
      <c r="BV348" s="408">
        <v>12758.527239980504</v>
      </c>
      <c r="BW348" s="408"/>
      <c r="BX348" s="408"/>
      <c r="BY348" s="408"/>
      <c r="BZ348" s="408"/>
      <c r="CA348" s="408"/>
      <c r="CB348" s="408"/>
      <c r="CC348" s="408"/>
      <c r="CD348" s="408"/>
      <c r="CE348" s="408"/>
      <c r="CF348" s="408"/>
      <c r="CG348" s="408"/>
      <c r="CH348" s="408"/>
      <c r="CI348" s="408">
        <v>28255.4247</v>
      </c>
      <c r="CJ348" s="408">
        <v>-9809.2001799999962</v>
      </c>
      <c r="CK348" s="408"/>
      <c r="CL348" s="408"/>
      <c r="CM348" s="408"/>
      <c r="CN348" s="408"/>
      <c r="CO348" s="408">
        <v>-11016.137479999998</v>
      </c>
      <c r="CP348" s="408">
        <v>1207.5015299999991</v>
      </c>
      <c r="CQ348" s="408">
        <v>31</v>
      </c>
      <c r="CR348" s="408">
        <v>1626.7145131766192</v>
      </c>
      <c r="CS348" s="408">
        <v>36.394820021365206</v>
      </c>
      <c r="CT348" s="408">
        <v>54.82191381233514</v>
      </c>
      <c r="CU348" s="408">
        <v>0</v>
      </c>
      <c r="CV348" s="408">
        <v>0</v>
      </c>
      <c r="CW348" s="408">
        <v>0</v>
      </c>
      <c r="CX348" s="408">
        <v>0</v>
      </c>
      <c r="CY348" s="408">
        <v>0</v>
      </c>
      <c r="CZ348" s="408">
        <v>128.63972273654508</v>
      </c>
      <c r="DA348" s="408">
        <v>0</v>
      </c>
      <c r="DB348" s="408">
        <v>0</v>
      </c>
      <c r="DC348" s="408">
        <v>1207.1357425273072</v>
      </c>
      <c r="DD348" s="408">
        <v>0</v>
      </c>
      <c r="DE348" s="408">
        <v>0</v>
      </c>
      <c r="DF348" s="408">
        <v>0</v>
      </c>
      <c r="DG348" s="408">
        <v>201.95155310235964</v>
      </c>
      <c r="DH348" s="408">
        <v>0</v>
      </c>
      <c r="DI348" s="408">
        <v>0</v>
      </c>
      <c r="DJ348" s="408"/>
      <c r="DK348" s="408">
        <v>0</v>
      </c>
      <c r="DL348" s="408">
        <v>0</v>
      </c>
      <c r="DM348" s="408">
        <v>0</v>
      </c>
      <c r="DN348" s="408">
        <v>0</v>
      </c>
      <c r="DO348" s="408">
        <v>0</v>
      </c>
      <c r="DP348" s="408">
        <v>-2.2292390232954631</v>
      </c>
      <c r="DQ348" s="408">
        <v>0</v>
      </c>
      <c r="DR348" s="408">
        <v>0</v>
      </c>
      <c r="DS348" s="408"/>
      <c r="DT348" s="408"/>
      <c r="DU348" s="408"/>
      <c r="DV348" s="408">
        <v>20384.472351163466</v>
      </c>
      <c r="DW348" s="408">
        <v>0</v>
      </c>
      <c r="DX348" s="408">
        <v>0</v>
      </c>
      <c r="DY348" s="408">
        <v>-11016.137479999996</v>
      </c>
      <c r="DZ348" s="408">
        <v>1207.5015299999977</v>
      </c>
      <c r="EA348" s="408">
        <v>0</v>
      </c>
      <c r="EB348" s="408">
        <v>0</v>
      </c>
      <c r="EC348" s="408">
        <v>-11435.479012534301</v>
      </c>
      <c r="ED348" s="408">
        <v>0</v>
      </c>
      <c r="EE348" s="408">
        <v>0</v>
      </c>
      <c r="EF348" s="408">
        <v>0</v>
      </c>
      <c r="EG348" s="408">
        <v>0</v>
      </c>
      <c r="EH348" s="408">
        <v>0</v>
      </c>
      <c r="EI348" s="408">
        <v>0</v>
      </c>
      <c r="EJ348" s="408">
        <v>0</v>
      </c>
      <c r="EK348" s="408">
        <v>0</v>
      </c>
      <c r="EL348" s="408">
        <v>0</v>
      </c>
      <c r="EM348" s="408">
        <v>0</v>
      </c>
      <c r="EN348" s="408">
        <v>0</v>
      </c>
      <c r="EO348" s="408">
        <v>0</v>
      </c>
      <c r="EP348" s="408">
        <v>0</v>
      </c>
      <c r="EQ348" s="408">
        <v>0</v>
      </c>
      <c r="ER348" s="408">
        <v>0</v>
      </c>
      <c r="ES348" s="408">
        <v>0</v>
      </c>
      <c r="ET348" s="408">
        <v>0</v>
      </c>
      <c r="EU348" s="408">
        <v>0</v>
      </c>
      <c r="EV348" s="408">
        <v>238</v>
      </c>
      <c r="EW348" s="408">
        <v>0</v>
      </c>
      <c r="EX348" s="408">
        <v>0</v>
      </c>
      <c r="EY348" s="408">
        <v>0</v>
      </c>
      <c r="EZ348" s="408"/>
      <c r="FA348" s="408">
        <v>0</v>
      </c>
      <c r="FB348" s="408"/>
      <c r="FC348" s="408"/>
      <c r="FD348" s="408"/>
      <c r="FE348" s="408"/>
      <c r="FF348" s="408">
        <v>0</v>
      </c>
      <c r="FG348" s="408">
        <v>0</v>
      </c>
      <c r="FH348" s="408">
        <v>0</v>
      </c>
      <c r="FI348" s="408">
        <v>0</v>
      </c>
    </row>
    <row r="349" spans="1:165">
      <c r="A349" s="408">
        <v>353</v>
      </c>
      <c r="B349" s="408" t="s">
        <v>2237</v>
      </c>
      <c r="C349" s="408" t="s">
        <v>2235</v>
      </c>
      <c r="D349" s="408" t="s">
        <v>1955</v>
      </c>
      <c r="E349" s="408" t="s">
        <v>969</v>
      </c>
      <c r="F349" s="408" t="s">
        <v>2242</v>
      </c>
      <c r="G349" s="408" t="s">
        <v>1322</v>
      </c>
      <c r="H349" s="408" t="s">
        <v>1322</v>
      </c>
      <c r="I349" s="408" t="s">
        <v>1322</v>
      </c>
      <c r="J349" s="408" t="s">
        <v>2236</v>
      </c>
      <c r="K349" s="824">
        <v>44562</v>
      </c>
      <c r="L349" s="408">
        <v>0</v>
      </c>
      <c r="M349" s="408">
        <v>0</v>
      </c>
      <c r="N349" s="408">
        <v>0.12</v>
      </c>
      <c r="O349" s="408">
        <v>0.12</v>
      </c>
      <c r="P349" s="408">
        <v>0.12</v>
      </c>
      <c r="Q349" s="408">
        <v>0.12</v>
      </c>
      <c r="R349" s="408"/>
      <c r="S349" s="408">
        <v>510.28</v>
      </c>
      <c r="T349" s="408">
        <v>209.4</v>
      </c>
      <c r="U349" s="408"/>
      <c r="V349" s="408">
        <v>86.361599999999996</v>
      </c>
      <c r="W349" s="408">
        <v>86.361599999999996</v>
      </c>
      <c r="X349" s="408">
        <v>64.107600000000005</v>
      </c>
      <c r="Y349" s="408">
        <v>0</v>
      </c>
      <c r="Z349" s="408">
        <v>0</v>
      </c>
      <c r="AA349" s="408">
        <v>0</v>
      </c>
      <c r="AB349" s="408">
        <v>0</v>
      </c>
      <c r="AC349" s="408">
        <v>0</v>
      </c>
      <c r="AD349" s="408">
        <v>8.9029373754977392</v>
      </c>
      <c r="AE349" s="408">
        <v>46.248637426776121</v>
      </c>
      <c r="AF349" s="408">
        <v>24.798089494922998</v>
      </c>
      <c r="AG349" s="408">
        <v>0.3303557957025528</v>
      </c>
      <c r="AH349" s="408">
        <v>0</v>
      </c>
      <c r="AI349" s="408">
        <v>0</v>
      </c>
      <c r="AJ349" s="408">
        <v>0</v>
      </c>
      <c r="AK349" s="408">
        <v>0</v>
      </c>
      <c r="AL349" s="408">
        <v>0</v>
      </c>
      <c r="AM349" s="408"/>
      <c r="AN349" s="408">
        <v>0.21875571789946438</v>
      </c>
      <c r="AO349" s="408">
        <v>0.68393769300722407</v>
      </c>
      <c r="AP349" s="408">
        <v>1.030222796459467</v>
      </c>
      <c r="AQ349" s="408">
        <v>0</v>
      </c>
      <c r="AR349" s="408">
        <v>0</v>
      </c>
      <c r="AS349" s="408">
        <v>0</v>
      </c>
      <c r="AT349" s="408">
        <v>0</v>
      </c>
      <c r="AU349" s="408">
        <v>0</v>
      </c>
      <c r="AV349" s="408">
        <v>0</v>
      </c>
      <c r="AW349" s="408">
        <v>0</v>
      </c>
      <c r="AX349" s="408">
        <v>0</v>
      </c>
      <c r="AY349" s="408">
        <v>0</v>
      </c>
      <c r="AZ349" s="408">
        <v>0</v>
      </c>
      <c r="BA349" s="408"/>
      <c r="BB349" s="408">
        <v>0</v>
      </c>
      <c r="BC349" s="408">
        <v>0</v>
      </c>
      <c r="BD349" s="408">
        <v>0</v>
      </c>
      <c r="BE349" s="408">
        <v>0</v>
      </c>
      <c r="BF349" s="408">
        <v>0</v>
      </c>
      <c r="BG349" s="408">
        <v>4.1486740148926682</v>
      </c>
      <c r="BH349" s="408">
        <v>0</v>
      </c>
      <c r="BI349" s="408">
        <v>0.23</v>
      </c>
      <c r="BJ349" s="408">
        <v>1.08</v>
      </c>
      <c r="BK349" s="408">
        <v>28.93</v>
      </c>
      <c r="BL349" s="408">
        <v>0</v>
      </c>
      <c r="BM349" s="408"/>
      <c r="BN349" s="408"/>
      <c r="BO349" s="408"/>
      <c r="BP349" s="408"/>
      <c r="BQ349" s="408"/>
      <c r="BR349" s="408"/>
      <c r="BS349" s="408"/>
      <c r="BT349" s="408"/>
      <c r="BU349" s="408"/>
      <c r="BV349" s="408">
        <v>28.946763509815668</v>
      </c>
      <c r="BW349" s="408"/>
      <c r="BX349" s="408"/>
      <c r="BY349" s="408"/>
      <c r="BZ349" s="408"/>
      <c r="CA349" s="408"/>
      <c r="CB349" s="408"/>
      <c r="CC349" s="408"/>
      <c r="CD349" s="408"/>
      <c r="CE349" s="408"/>
      <c r="CF349" s="408"/>
      <c r="CG349" s="408"/>
      <c r="CH349" s="408"/>
      <c r="CI349" s="408">
        <v>64.107600000000005</v>
      </c>
      <c r="CJ349" s="408">
        <v>-22.283999999999992</v>
      </c>
      <c r="CK349" s="408"/>
      <c r="CL349" s="408"/>
      <c r="CM349" s="408"/>
      <c r="CN349" s="408"/>
      <c r="CO349" s="408">
        <v>-24.993599999999997</v>
      </c>
      <c r="CP349" s="408">
        <v>2.739599999999998</v>
      </c>
      <c r="CQ349" s="408">
        <v>31</v>
      </c>
      <c r="CR349" s="408">
        <v>3.6907175432718944</v>
      </c>
      <c r="CS349" s="408">
        <v>8.2573186412883581E-2</v>
      </c>
      <c r="CT349" s="408">
        <v>0.12438089008489572</v>
      </c>
      <c r="CU349" s="408">
        <v>0</v>
      </c>
      <c r="CV349" s="408">
        <v>0</v>
      </c>
      <c r="CW349" s="408">
        <v>0</v>
      </c>
      <c r="CX349" s="408">
        <v>0</v>
      </c>
      <c r="CY349" s="408">
        <v>0</v>
      </c>
      <c r="CZ349" s="408">
        <v>0.29185998994886297</v>
      </c>
      <c r="DA349" s="408">
        <v>0</v>
      </c>
      <c r="DB349" s="408">
        <v>0</v>
      </c>
      <c r="DC349" s="408">
        <v>2.7387700951632006</v>
      </c>
      <c r="DD349" s="408">
        <v>0</v>
      </c>
      <c r="DE349" s="408">
        <v>0</v>
      </c>
      <c r="DF349" s="408">
        <v>0</v>
      </c>
      <c r="DG349" s="408">
        <v>0.45819111705740312</v>
      </c>
      <c r="DH349" s="408">
        <v>0</v>
      </c>
      <c r="DI349" s="408">
        <v>0</v>
      </c>
      <c r="DJ349" s="408"/>
      <c r="DK349" s="408">
        <v>0</v>
      </c>
      <c r="DL349" s="408">
        <v>0</v>
      </c>
      <c r="DM349" s="408">
        <v>0</v>
      </c>
      <c r="DN349" s="408">
        <v>0</v>
      </c>
      <c r="DO349" s="408">
        <v>0</v>
      </c>
      <c r="DP349" s="408">
        <v>-5.0577353953499826E-3</v>
      </c>
      <c r="DQ349" s="408">
        <v>0</v>
      </c>
      <c r="DR349" s="408">
        <v>0</v>
      </c>
      <c r="DS349" s="408"/>
      <c r="DT349" s="408"/>
      <c r="DU349" s="408"/>
      <c r="DV349" s="408">
        <v>46.248637426776121</v>
      </c>
      <c r="DW349" s="408">
        <v>0</v>
      </c>
      <c r="DX349" s="408">
        <v>0</v>
      </c>
      <c r="DY349" s="408">
        <v>-24.993599999999994</v>
      </c>
      <c r="DZ349" s="408">
        <v>2.7395999999999994</v>
      </c>
      <c r="EA349" s="408">
        <v>0</v>
      </c>
      <c r="EB349" s="408">
        <v>0</v>
      </c>
      <c r="EC349" s="408">
        <v>-25.945009198240079</v>
      </c>
      <c r="ED349" s="408">
        <v>0</v>
      </c>
      <c r="EE349" s="408">
        <v>0</v>
      </c>
      <c r="EF349" s="408">
        <v>0</v>
      </c>
      <c r="EG349" s="408">
        <v>0</v>
      </c>
      <c r="EH349" s="408">
        <v>0</v>
      </c>
      <c r="EI349" s="408">
        <v>0</v>
      </c>
      <c r="EJ349" s="408">
        <v>0</v>
      </c>
      <c r="EK349" s="408">
        <v>0</v>
      </c>
      <c r="EL349" s="408">
        <v>0</v>
      </c>
      <c r="EM349" s="408">
        <v>0</v>
      </c>
      <c r="EN349" s="408">
        <v>0</v>
      </c>
      <c r="EO349" s="408">
        <v>0</v>
      </c>
      <c r="EP349" s="408">
        <v>0</v>
      </c>
      <c r="EQ349" s="408">
        <v>0</v>
      </c>
      <c r="ER349" s="408">
        <v>0</v>
      </c>
      <c r="ES349" s="408">
        <v>0</v>
      </c>
      <c r="ET349" s="408">
        <v>0</v>
      </c>
      <c r="EU349" s="408">
        <v>0</v>
      </c>
      <c r="EV349" s="408">
        <v>238</v>
      </c>
      <c r="EW349" s="408">
        <v>0</v>
      </c>
      <c r="EX349" s="408">
        <v>0</v>
      </c>
      <c r="EY349" s="408">
        <v>0</v>
      </c>
      <c r="EZ349" s="408"/>
      <c r="FA349" s="408">
        <v>0</v>
      </c>
      <c r="FB349" s="408"/>
      <c r="FC349" s="408"/>
      <c r="FD349" s="408"/>
      <c r="FE349" s="408"/>
      <c r="FF349" s="408">
        <v>0</v>
      </c>
      <c r="FG349" s="408">
        <v>0</v>
      </c>
      <c r="FH349" s="408">
        <v>0</v>
      </c>
      <c r="FI349" s="408">
        <v>0</v>
      </c>
    </row>
    <row r="350" spans="1:165">
      <c r="A350" s="408">
        <v>354</v>
      </c>
      <c r="B350" s="408" t="s">
        <v>1036</v>
      </c>
      <c r="C350" s="408" t="s">
        <v>2321</v>
      </c>
      <c r="D350" s="408" t="s">
        <v>1955</v>
      </c>
      <c r="E350" s="408" t="s">
        <v>969</v>
      </c>
      <c r="F350" s="408" t="s">
        <v>969</v>
      </c>
      <c r="G350" s="408" t="s">
        <v>1322</v>
      </c>
      <c r="H350" s="408" t="s">
        <v>1322</v>
      </c>
      <c r="I350" s="408" t="s">
        <v>973</v>
      </c>
      <c r="J350" s="408" t="s">
        <v>2236</v>
      </c>
      <c r="K350" s="824">
        <v>44562</v>
      </c>
      <c r="L350" s="408">
        <v>0</v>
      </c>
      <c r="M350" s="408">
        <v>0</v>
      </c>
      <c r="N350" s="408">
        <v>0.1</v>
      </c>
      <c r="O350" s="408">
        <v>0.1</v>
      </c>
      <c r="P350" s="408">
        <v>0.1</v>
      </c>
      <c r="Q350" s="408">
        <v>0.1</v>
      </c>
      <c r="R350" s="408"/>
      <c r="S350" s="408">
        <v>1292.1099999999999</v>
      </c>
      <c r="T350" s="408">
        <v>209.4</v>
      </c>
      <c r="U350" s="408"/>
      <c r="V350" s="408">
        <v>150.15099999999998</v>
      </c>
      <c r="W350" s="408">
        <v>150.15099999999998</v>
      </c>
      <c r="X350" s="408">
        <v>99.677999999999997</v>
      </c>
      <c r="Y350" s="408">
        <v>0</v>
      </c>
      <c r="Z350" s="408">
        <v>6.1537907476677205</v>
      </c>
      <c r="AA350" s="408">
        <v>0</v>
      </c>
      <c r="AB350" s="408">
        <v>0</v>
      </c>
      <c r="AC350" s="408">
        <v>0</v>
      </c>
      <c r="AD350" s="408">
        <v>18.544485881124601</v>
      </c>
      <c r="AE350" s="408">
        <v>96.351362040313916</v>
      </c>
      <c r="AF350" s="408">
        <v>20.665074579102502</v>
      </c>
      <c r="AG350" s="408">
        <v>0.275296496418794</v>
      </c>
      <c r="AH350" s="408">
        <v>0</v>
      </c>
      <c r="AI350" s="408">
        <v>0</v>
      </c>
      <c r="AJ350" s="408">
        <v>0</v>
      </c>
      <c r="AK350" s="408">
        <v>0</v>
      </c>
      <c r="AL350" s="408">
        <v>0.95096016451246212</v>
      </c>
      <c r="AM350" s="408"/>
      <c r="AN350" s="408">
        <v>0.182296431582887</v>
      </c>
      <c r="AO350" s="408">
        <v>1.4248830272539901</v>
      </c>
      <c r="AP350" s="408">
        <v>2.1462974926238902</v>
      </c>
      <c r="AQ350" s="408">
        <v>0</v>
      </c>
      <c r="AR350" s="408">
        <v>0</v>
      </c>
      <c r="AS350" s="408">
        <v>0</v>
      </c>
      <c r="AT350" s="408">
        <v>0</v>
      </c>
      <c r="AU350" s="408">
        <v>0</v>
      </c>
      <c r="AV350" s="408">
        <v>0</v>
      </c>
      <c r="AW350" s="408">
        <v>0</v>
      </c>
      <c r="AX350" s="408">
        <v>0</v>
      </c>
      <c r="AY350" s="408">
        <v>0</v>
      </c>
      <c r="AZ350" s="408">
        <v>0</v>
      </c>
      <c r="BA350" s="408"/>
      <c r="BB350" s="408">
        <v>0</v>
      </c>
      <c r="BC350" s="408">
        <v>0</v>
      </c>
      <c r="BD350" s="408">
        <v>0</v>
      </c>
      <c r="BE350" s="408">
        <v>0</v>
      </c>
      <c r="BF350" s="408">
        <v>0</v>
      </c>
      <c r="BG350" s="408">
        <v>3.4572283457438902</v>
      </c>
      <c r="BH350" s="408">
        <v>0</v>
      </c>
      <c r="BI350" s="408">
        <v>0</v>
      </c>
      <c r="BJ350" s="408">
        <v>0</v>
      </c>
      <c r="BK350" s="408">
        <v>0</v>
      </c>
      <c r="BL350" s="408">
        <v>0</v>
      </c>
      <c r="BM350" s="408"/>
      <c r="BN350" s="408"/>
      <c r="BO350" s="408"/>
      <c r="BP350" s="408"/>
      <c r="BQ350" s="408"/>
      <c r="BR350" s="408"/>
      <c r="BS350" s="408"/>
      <c r="BT350" s="408"/>
      <c r="BU350" s="408"/>
      <c r="BV350" s="408">
        <v>24.122302924846391</v>
      </c>
      <c r="BW350" s="408"/>
      <c r="BX350" s="408"/>
      <c r="BY350" s="408"/>
      <c r="BZ350" s="408"/>
      <c r="CA350" s="408"/>
      <c r="CB350" s="408"/>
      <c r="CC350" s="408"/>
      <c r="CD350" s="408"/>
      <c r="CE350" s="408"/>
      <c r="CF350" s="408"/>
      <c r="CG350" s="408"/>
      <c r="CH350" s="408"/>
      <c r="CI350" s="408">
        <v>99.677999999999997</v>
      </c>
      <c r="CJ350" s="408">
        <v>-50.502999999999957</v>
      </c>
      <c r="CK350" s="408"/>
      <c r="CL350" s="408"/>
      <c r="CM350" s="408"/>
      <c r="CN350" s="408"/>
      <c r="CO350" s="408">
        <v>-52.756</v>
      </c>
      <c r="CP350" s="408">
        <v>2.2829999999999986</v>
      </c>
      <c r="CQ350" s="408">
        <v>31</v>
      </c>
      <c r="CR350" s="408">
        <v>3.5777980109178387</v>
      </c>
      <c r="CS350" s="408">
        <v>0.17202902110668994</v>
      </c>
      <c r="CT350" s="408">
        <v>0.25912685434352989</v>
      </c>
      <c r="CU350" s="408">
        <v>0</v>
      </c>
      <c r="CV350" s="408">
        <v>0</v>
      </c>
      <c r="CW350" s="408">
        <v>0</v>
      </c>
      <c r="CX350" s="408">
        <v>0</v>
      </c>
      <c r="CY350" s="408">
        <v>0</v>
      </c>
      <c r="CZ350" s="408">
        <v>0.60793345326320036</v>
      </c>
      <c r="DA350" s="408">
        <v>0</v>
      </c>
      <c r="DB350" s="408">
        <v>0</v>
      </c>
      <c r="DC350" s="408">
        <v>2.2823084126359987</v>
      </c>
      <c r="DD350" s="408">
        <v>0</v>
      </c>
      <c r="DE350" s="408">
        <v>0</v>
      </c>
      <c r="DF350" s="408">
        <v>0</v>
      </c>
      <c r="DG350" s="408">
        <v>0.38182593088116956</v>
      </c>
      <c r="DH350" s="408">
        <v>0</v>
      </c>
      <c r="DI350" s="408">
        <v>-0.10727363621395014</v>
      </c>
      <c r="DJ350" s="408"/>
      <c r="DK350" s="408">
        <v>0</v>
      </c>
      <c r="DL350" s="408">
        <v>0</v>
      </c>
      <c r="DM350" s="408">
        <v>0</v>
      </c>
      <c r="DN350" s="408">
        <v>0</v>
      </c>
      <c r="DO350" s="408">
        <v>-1.3937245602689163E-2</v>
      </c>
      <c r="DP350" s="408">
        <v>-4.2147794961249763E-3</v>
      </c>
      <c r="DQ350" s="408">
        <v>0</v>
      </c>
      <c r="DR350" s="408">
        <v>0</v>
      </c>
      <c r="DS350" s="408"/>
      <c r="DT350" s="408"/>
      <c r="DU350" s="408"/>
      <c r="DV350" s="408">
        <v>96.351362040313916</v>
      </c>
      <c r="DW350" s="408">
        <v>0</v>
      </c>
      <c r="DX350" s="408">
        <v>0</v>
      </c>
      <c r="DY350" s="408">
        <v>-52.755999999999986</v>
      </c>
      <c r="DZ350" s="408">
        <v>2.2829999999999977</v>
      </c>
      <c r="EA350" s="408">
        <v>0</v>
      </c>
      <c r="EB350" s="408">
        <v>0</v>
      </c>
      <c r="EC350" s="408">
        <v>-54.052121608054108</v>
      </c>
      <c r="ED350" s="408">
        <v>0</v>
      </c>
      <c r="EE350" s="408">
        <v>0</v>
      </c>
      <c r="EF350" s="408">
        <v>0</v>
      </c>
      <c r="EG350" s="408">
        <v>0</v>
      </c>
      <c r="EH350" s="408">
        <v>0</v>
      </c>
      <c r="EI350" s="408">
        <v>0</v>
      </c>
      <c r="EJ350" s="408">
        <v>0</v>
      </c>
      <c r="EK350" s="408">
        <v>0</v>
      </c>
      <c r="EL350" s="408">
        <v>0</v>
      </c>
      <c r="EM350" s="408">
        <v>0</v>
      </c>
      <c r="EN350" s="408">
        <v>0</v>
      </c>
      <c r="EO350" s="408">
        <v>0</v>
      </c>
      <c r="EP350" s="408">
        <v>0</v>
      </c>
      <c r="EQ350" s="408">
        <v>0</v>
      </c>
      <c r="ER350" s="408">
        <v>0</v>
      </c>
      <c r="ES350" s="408">
        <v>0</v>
      </c>
      <c r="ET350" s="408">
        <v>0</v>
      </c>
      <c r="EU350" s="408">
        <v>0</v>
      </c>
      <c r="EV350" s="408">
        <v>238</v>
      </c>
      <c r="EW350" s="408">
        <v>0</v>
      </c>
      <c r="EX350" s="408">
        <v>0</v>
      </c>
      <c r="EY350" s="408">
        <v>0</v>
      </c>
      <c r="EZ350" s="408"/>
      <c r="FA350" s="408">
        <v>0</v>
      </c>
      <c r="FB350" s="408"/>
      <c r="FC350" s="408"/>
      <c r="FD350" s="408"/>
      <c r="FE350" s="408"/>
      <c r="FF350" s="408">
        <v>0</v>
      </c>
      <c r="FG350" s="408">
        <v>0</v>
      </c>
      <c r="FH350" s="408">
        <v>0</v>
      </c>
      <c r="FI350" s="408">
        <v>0</v>
      </c>
    </row>
    <row r="351" spans="1:165">
      <c r="A351" s="408">
        <v>355</v>
      </c>
      <c r="B351" s="408" t="s">
        <v>1036</v>
      </c>
      <c r="C351" s="408" t="s">
        <v>2321</v>
      </c>
      <c r="D351" s="408" t="s">
        <v>1955</v>
      </c>
      <c r="E351" s="408" t="s">
        <v>969</v>
      </c>
      <c r="F351" s="408" t="s">
        <v>969</v>
      </c>
      <c r="G351" s="408" t="s">
        <v>1322</v>
      </c>
      <c r="H351" s="408" t="s">
        <v>1322</v>
      </c>
      <c r="I351" s="408" t="s">
        <v>2244</v>
      </c>
      <c r="J351" s="408" t="s">
        <v>2236</v>
      </c>
      <c r="K351" s="824">
        <v>44562</v>
      </c>
      <c r="L351" s="408">
        <v>0</v>
      </c>
      <c r="M351" s="408">
        <v>0</v>
      </c>
      <c r="N351" s="408">
        <v>1.419</v>
      </c>
      <c r="O351" s="408">
        <v>1.419</v>
      </c>
      <c r="P351" s="408">
        <v>1.419</v>
      </c>
      <c r="Q351" s="408">
        <v>1.419</v>
      </c>
      <c r="R351" s="408"/>
      <c r="S351" s="408">
        <v>344.38</v>
      </c>
      <c r="T351" s="408">
        <v>209.4</v>
      </c>
      <c r="U351" s="408"/>
      <c r="V351" s="408">
        <v>785.81382000000008</v>
      </c>
      <c r="W351" s="408">
        <v>785.81382000000008</v>
      </c>
      <c r="X351" s="408">
        <v>671.39985000000001</v>
      </c>
      <c r="Y351" s="408">
        <v>0</v>
      </c>
      <c r="Z351" s="408">
        <v>87.322290709404953</v>
      </c>
      <c r="AA351" s="408">
        <v>0</v>
      </c>
      <c r="AB351" s="408">
        <v>0</v>
      </c>
      <c r="AC351" s="408">
        <v>0</v>
      </c>
      <c r="AD351" s="408">
        <v>52.638617232630459</v>
      </c>
      <c r="AE351" s="408">
        <v>273.44506878581456</v>
      </c>
      <c r="AF351" s="408">
        <v>293.23740827746451</v>
      </c>
      <c r="AG351" s="408">
        <v>3.9064572841826872</v>
      </c>
      <c r="AH351" s="408">
        <v>0</v>
      </c>
      <c r="AI351" s="408">
        <v>0</v>
      </c>
      <c r="AJ351" s="408">
        <v>0</v>
      </c>
      <c r="AK351" s="408">
        <v>0</v>
      </c>
      <c r="AL351" s="408">
        <v>13.494124734431837</v>
      </c>
      <c r="AM351" s="408"/>
      <c r="AN351" s="408">
        <v>2.5867863641611666</v>
      </c>
      <c r="AO351" s="408">
        <v>4.0437816099052126</v>
      </c>
      <c r="AP351" s="408">
        <v>6.0911922840665991</v>
      </c>
      <c r="AQ351" s="408">
        <v>0</v>
      </c>
      <c r="AR351" s="408">
        <v>0</v>
      </c>
      <c r="AS351" s="408">
        <v>0</v>
      </c>
      <c r="AT351" s="408">
        <v>0</v>
      </c>
      <c r="AU351" s="408">
        <v>0</v>
      </c>
      <c r="AV351" s="408">
        <v>0</v>
      </c>
      <c r="AW351" s="408">
        <v>0</v>
      </c>
      <c r="AX351" s="408">
        <v>0</v>
      </c>
      <c r="AY351" s="408">
        <v>0</v>
      </c>
      <c r="AZ351" s="408">
        <v>0</v>
      </c>
      <c r="BA351" s="408"/>
      <c r="BB351" s="408">
        <v>0</v>
      </c>
      <c r="BC351" s="408">
        <v>0</v>
      </c>
      <c r="BD351" s="408">
        <v>0</v>
      </c>
      <c r="BE351" s="408">
        <v>0</v>
      </c>
      <c r="BF351" s="408">
        <v>0</v>
      </c>
      <c r="BG351" s="408">
        <v>49.058070226105798</v>
      </c>
      <c r="BH351" s="408">
        <v>0</v>
      </c>
      <c r="BI351" s="408">
        <v>0</v>
      </c>
      <c r="BJ351" s="408">
        <v>0</v>
      </c>
      <c r="BK351" s="408">
        <v>0</v>
      </c>
      <c r="BL351" s="408">
        <v>0</v>
      </c>
      <c r="BM351" s="408"/>
      <c r="BN351" s="408"/>
      <c r="BO351" s="408"/>
      <c r="BP351" s="408"/>
      <c r="BQ351" s="408"/>
      <c r="BR351" s="408"/>
      <c r="BS351" s="408"/>
      <c r="BT351" s="408"/>
      <c r="BU351" s="408"/>
      <c r="BV351" s="408">
        <v>342.29547850357028</v>
      </c>
      <c r="BW351" s="408"/>
      <c r="BX351" s="408"/>
      <c r="BY351" s="408"/>
      <c r="BZ351" s="408"/>
      <c r="CA351" s="408"/>
      <c r="CB351" s="408"/>
      <c r="CC351" s="408"/>
      <c r="CD351" s="408"/>
      <c r="CE351" s="408"/>
      <c r="CF351" s="408"/>
      <c r="CG351" s="408"/>
      <c r="CH351" s="408"/>
      <c r="CI351" s="408">
        <v>671.87299999999993</v>
      </c>
      <c r="CJ351" s="408">
        <v>-113.97082000000012</v>
      </c>
      <c r="CK351" s="408"/>
      <c r="CL351" s="408"/>
      <c r="CM351" s="408"/>
      <c r="CN351" s="408"/>
      <c r="CO351" s="408">
        <v>-146.80974000000001</v>
      </c>
      <c r="CP351" s="408">
        <v>32.395769999999978</v>
      </c>
      <c r="CQ351" s="408">
        <v>31</v>
      </c>
      <c r="CR351" s="408">
        <v>38.973514368346173</v>
      </c>
      <c r="CS351" s="408">
        <v>0.48821396466616651</v>
      </c>
      <c r="CT351" s="408">
        <v>0.73540201262695337</v>
      </c>
      <c r="CU351" s="408">
        <v>0</v>
      </c>
      <c r="CV351" s="408">
        <v>0</v>
      </c>
      <c r="CW351" s="408">
        <v>0</v>
      </c>
      <c r="CX351" s="408">
        <v>0</v>
      </c>
      <c r="CY351" s="408">
        <v>0</v>
      </c>
      <c r="CZ351" s="408">
        <v>1.7256221905726576</v>
      </c>
      <c r="DA351" s="408">
        <v>0</v>
      </c>
      <c r="DB351" s="408">
        <v>0</v>
      </c>
      <c r="DC351" s="408">
        <v>32.385956375304772</v>
      </c>
      <c r="DD351" s="408">
        <v>0</v>
      </c>
      <c r="DE351" s="408">
        <v>0</v>
      </c>
      <c r="DF351" s="408">
        <v>0</v>
      </c>
      <c r="DG351" s="408">
        <v>5.4181099592038038</v>
      </c>
      <c r="DH351" s="408">
        <v>0</v>
      </c>
      <c r="DI351" s="408">
        <v>-1.5222128978759457</v>
      </c>
      <c r="DJ351" s="408"/>
      <c r="DK351" s="408">
        <v>0</v>
      </c>
      <c r="DL351" s="408">
        <v>0</v>
      </c>
      <c r="DM351" s="408">
        <v>0</v>
      </c>
      <c r="DN351" s="408">
        <v>0</v>
      </c>
      <c r="DO351" s="408">
        <v>-0.19776951510215923</v>
      </c>
      <c r="DP351" s="408">
        <v>-5.980772105001364E-2</v>
      </c>
      <c r="DQ351" s="408">
        <v>0</v>
      </c>
      <c r="DR351" s="408">
        <v>0</v>
      </c>
      <c r="DS351" s="408"/>
      <c r="DT351" s="408"/>
      <c r="DU351" s="408"/>
      <c r="DV351" s="408">
        <v>273.44506878581456</v>
      </c>
      <c r="DW351" s="408">
        <v>0</v>
      </c>
      <c r="DX351" s="408">
        <v>0</v>
      </c>
      <c r="DY351" s="408">
        <v>-146.80974000000003</v>
      </c>
      <c r="DZ351" s="408">
        <v>32.39576999999997</v>
      </c>
      <c r="EA351" s="408">
        <v>0</v>
      </c>
      <c r="EB351" s="408">
        <v>0</v>
      </c>
      <c r="EC351" s="408">
        <v>-153.39986688459521</v>
      </c>
      <c r="ED351" s="408">
        <v>0</v>
      </c>
      <c r="EE351" s="408">
        <v>0</v>
      </c>
      <c r="EF351" s="408">
        <v>0</v>
      </c>
      <c r="EG351" s="408">
        <v>0</v>
      </c>
      <c r="EH351" s="408">
        <v>0</v>
      </c>
      <c r="EI351" s="408">
        <v>0</v>
      </c>
      <c r="EJ351" s="408">
        <v>0</v>
      </c>
      <c r="EK351" s="408">
        <v>0</v>
      </c>
      <c r="EL351" s="408">
        <v>0</v>
      </c>
      <c r="EM351" s="408">
        <v>0</v>
      </c>
      <c r="EN351" s="408">
        <v>0</v>
      </c>
      <c r="EO351" s="408">
        <v>0</v>
      </c>
      <c r="EP351" s="408">
        <v>0</v>
      </c>
      <c r="EQ351" s="408">
        <v>0</v>
      </c>
      <c r="ER351" s="408">
        <v>0</v>
      </c>
      <c r="ES351" s="408">
        <v>0</v>
      </c>
      <c r="ET351" s="408">
        <v>0</v>
      </c>
      <c r="EU351" s="408">
        <v>0</v>
      </c>
      <c r="EV351" s="408">
        <v>238</v>
      </c>
      <c r="EW351" s="408">
        <v>0</v>
      </c>
      <c r="EX351" s="408">
        <v>0</v>
      </c>
      <c r="EY351" s="408">
        <v>0</v>
      </c>
      <c r="EZ351" s="408"/>
      <c r="FA351" s="408">
        <v>0</v>
      </c>
      <c r="FB351" s="408"/>
      <c r="FC351" s="408"/>
      <c r="FD351" s="408"/>
      <c r="FE351" s="408"/>
      <c r="FF351" s="408">
        <v>0</v>
      </c>
      <c r="FG351" s="408">
        <v>0</v>
      </c>
      <c r="FH351" s="408">
        <v>0</v>
      </c>
      <c r="FI351" s="408">
        <v>0</v>
      </c>
    </row>
    <row r="352" spans="1:165">
      <c r="A352" s="408">
        <v>356</v>
      </c>
      <c r="B352" s="408" t="s">
        <v>1036</v>
      </c>
      <c r="C352" s="408" t="s">
        <v>2321</v>
      </c>
      <c r="D352" s="408" t="s">
        <v>1955</v>
      </c>
      <c r="E352" s="408" t="s">
        <v>969</v>
      </c>
      <c r="F352" s="408" t="s">
        <v>969</v>
      </c>
      <c r="G352" s="408" t="s">
        <v>1322</v>
      </c>
      <c r="H352" s="408" t="s">
        <v>1322</v>
      </c>
      <c r="I352" s="408" t="s">
        <v>1322</v>
      </c>
      <c r="J352" s="408" t="s">
        <v>2236</v>
      </c>
      <c r="K352" s="824">
        <v>44562</v>
      </c>
      <c r="L352" s="408">
        <v>0</v>
      </c>
      <c r="M352" s="408">
        <v>0</v>
      </c>
      <c r="N352" s="408">
        <v>0</v>
      </c>
      <c r="O352" s="408">
        <v>0</v>
      </c>
      <c r="P352" s="408">
        <v>0</v>
      </c>
      <c r="Q352" s="408">
        <v>0</v>
      </c>
      <c r="R352" s="408"/>
      <c r="S352" s="408"/>
      <c r="T352" s="408"/>
      <c r="U352" s="408"/>
      <c r="V352" s="408"/>
      <c r="W352" s="408"/>
      <c r="X352" s="408"/>
      <c r="Y352" s="408"/>
      <c r="Z352" s="408"/>
      <c r="AA352" s="408">
        <v>0</v>
      </c>
      <c r="AB352" s="408"/>
      <c r="AC352" s="408"/>
      <c r="AD352" s="408"/>
      <c r="AE352" s="408"/>
      <c r="AF352" s="408"/>
      <c r="AG352" s="408"/>
      <c r="AH352" s="408"/>
      <c r="AI352" s="408"/>
      <c r="AJ352" s="408"/>
      <c r="AK352" s="408"/>
      <c r="AL352" s="408"/>
      <c r="AM352" s="408"/>
      <c r="AN352" s="408"/>
      <c r="AO352" s="408"/>
      <c r="AP352" s="408"/>
      <c r="AQ352" s="408"/>
      <c r="AR352" s="408"/>
      <c r="AS352" s="408"/>
      <c r="AT352" s="408"/>
      <c r="AU352" s="408"/>
      <c r="AV352" s="408"/>
      <c r="AW352" s="408"/>
      <c r="AX352" s="408"/>
      <c r="AY352" s="408"/>
      <c r="AZ352" s="408">
        <v>0</v>
      </c>
      <c r="BA352" s="408"/>
      <c r="BB352" s="408"/>
      <c r="BC352" s="408"/>
      <c r="BD352" s="408"/>
      <c r="BE352" s="408"/>
      <c r="BF352" s="408"/>
      <c r="BG352" s="408"/>
      <c r="BH352" s="408"/>
      <c r="BI352" s="408">
        <v>3.17</v>
      </c>
      <c r="BJ352" s="408">
        <v>14.54</v>
      </c>
      <c r="BK352" s="408">
        <v>378.64</v>
      </c>
      <c r="BL352" s="408">
        <v>2</v>
      </c>
      <c r="BM352" s="408"/>
      <c r="BN352" s="408"/>
      <c r="BO352" s="408"/>
      <c r="BP352" s="408"/>
      <c r="BQ352" s="408"/>
      <c r="BR352" s="408"/>
      <c r="BS352" s="408"/>
      <c r="BT352" s="408"/>
      <c r="BU352" s="408"/>
      <c r="BV352" s="408"/>
      <c r="BW352" s="408"/>
      <c r="BX352" s="408"/>
      <c r="BY352" s="408"/>
      <c r="BZ352" s="408"/>
      <c r="CA352" s="408"/>
      <c r="CB352" s="408"/>
      <c r="CC352" s="408"/>
      <c r="CD352" s="408"/>
      <c r="CE352" s="408"/>
      <c r="CF352" s="408"/>
      <c r="CG352" s="408"/>
      <c r="CH352" s="408"/>
      <c r="CI352" s="408"/>
      <c r="CJ352" s="408">
        <v>-0.03</v>
      </c>
      <c r="CK352" s="408"/>
      <c r="CL352" s="408"/>
      <c r="CM352" s="408"/>
      <c r="CN352" s="408"/>
      <c r="CO352" s="408">
        <v>0</v>
      </c>
      <c r="CP352" s="408">
        <v>0</v>
      </c>
      <c r="CQ352" s="408">
        <v>31</v>
      </c>
      <c r="CR352" s="408"/>
      <c r="CS352" s="408"/>
      <c r="CT352" s="408"/>
      <c r="CU352" s="408"/>
      <c r="CV352" s="408"/>
      <c r="CW352" s="408"/>
      <c r="CX352" s="408"/>
      <c r="CY352" s="408"/>
      <c r="CZ352" s="408"/>
      <c r="DA352" s="408"/>
      <c r="DB352" s="408"/>
      <c r="DC352" s="408"/>
      <c r="DD352" s="408"/>
      <c r="DE352" s="408"/>
      <c r="DF352" s="408"/>
      <c r="DG352" s="408"/>
      <c r="DH352" s="408"/>
      <c r="DI352" s="408"/>
      <c r="DJ352" s="408"/>
      <c r="DK352" s="408">
        <v>0</v>
      </c>
      <c r="DL352" s="408"/>
      <c r="DM352" s="408"/>
      <c r="DN352" s="408"/>
      <c r="DO352" s="408"/>
      <c r="DP352" s="408"/>
      <c r="DQ352" s="408"/>
      <c r="DR352" s="408"/>
      <c r="DS352" s="408"/>
      <c r="DT352" s="408"/>
      <c r="DU352" s="408"/>
      <c r="DV352" s="408"/>
      <c r="DW352" s="408"/>
      <c r="DX352" s="408"/>
      <c r="DY352" s="408"/>
      <c r="DZ352" s="408"/>
      <c r="EA352" s="408"/>
      <c r="EB352" s="408"/>
      <c r="EC352" s="408"/>
      <c r="ED352" s="408"/>
      <c r="EE352" s="408"/>
      <c r="EF352" s="408"/>
      <c r="EG352" s="408"/>
      <c r="EH352" s="408"/>
      <c r="EI352" s="408"/>
      <c r="EJ352" s="408"/>
      <c r="EK352" s="408"/>
      <c r="EL352" s="408"/>
      <c r="EM352" s="408"/>
      <c r="EN352" s="408"/>
      <c r="EO352" s="408"/>
      <c r="EP352" s="408"/>
      <c r="EQ352" s="408"/>
      <c r="ER352" s="408"/>
      <c r="ES352" s="408"/>
      <c r="ET352" s="408"/>
      <c r="EU352" s="408"/>
      <c r="EV352" s="408">
        <v>238</v>
      </c>
      <c r="EW352" s="408"/>
      <c r="EX352" s="408"/>
      <c r="EY352" s="408"/>
      <c r="EZ352" s="408"/>
      <c r="FA352" s="408">
        <v>0</v>
      </c>
      <c r="FB352" s="408"/>
      <c r="FC352" s="408"/>
      <c r="FD352" s="408"/>
      <c r="FE352" s="408"/>
      <c r="FF352" s="408">
        <v>0</v>
      </c>
      <c r="FG352" s="408">
        <v>0</v>
      </c>
      <c r="FH352" s="408">
        <v>0</v>
      </c>
      <c r="FI352" s="408">
        <v>0</v>
      </c>
    </row>
    <row r="353" spans="1:165">
      <c r="A353" s="408">
        <v>357</v>
      </c>
      <c r="B353" s="408" t="s">
        <v>1036</v>
      </c>
      <c r="C353" s="408" t="s">
        <v>2321</v>
      </c>
      <c r="D353" s="408" t="s">
        <v>1955</v>
      </c>
      <c r="E353" s="408" t="s">
        <v>969</v>
      </c>
      <c r="F353" s="408" t="s">
        <v>969</v>
      </c>
      <c r="G353" s="408" t="s">
        <v>1322</v>
      </c>
      <c r="H353" s="408" t="s">
        <v>1322</v>
      </c>
      <c r="I353" s="408" t="s">
        <v>2322</v>
      </c>
      <c r="J353" s="408" t="s">
        <v>2236</v>
      </c>
      <c r="K353" s="824">
        <v>44562</v>
      </c>
      <c r="L353" s="408">
        <v>0</v>
      </c>
      <c r="M353" s="408">
        <v>0</v>
      </c>
      <c r="N353" s="408">
        <v>0.15</v>
      </c>
      <c r="O353" s="408">
        <v>0.15</v>
      </c>
      <c r="P353" s="408">
        <v>0.15</v>
      </c>
      <c r="Q353" s="408">
        <v>0.15</v>
      </c>
      <c r="R353" s="408"/>
      <c r="S353" s="408">
        <v>818.26</v>
      </c>
      <c r="T353" s="408">
        <v>209.4</v>
      </c>
      <c r="U353" s="408"/>
      <c r="V353" s="408">
        <v>154.149</v>
      </c>
      <c r="W353" s="408">
        <v>154.149</v>
      </c>
      <c r="X353" s="408">
        <v>110.24699999999999</v>
      </c>
      <c r="Y353" s="408">
        <v>0</v>
      </c>
      <c r="Z353" s="408">
        <v>9.230686121501579</v>
      </c>
      <c r="AA353" s="408">
        <v>0</v>
      </c>
      <c r="AB353" s="408">
        <v>0</v>
      </c>
      <c r="AC353" s="408">
        <v>0</v>
      </c>
      <c r="AD353" s="408">
        <v>16.6930075790583</v>
      </c>
      <c r="AE353" s="408">
        <v>86.716246277000693</v>
      </c>
      <c r="AF353" s="408">
        <v>30.997611868653749</v>
      </c>
      <c r="AG353" s="408">
        <v>0.41294474462819103</v>
      </c>
      <c r="AH353" s="408">
        <v>0</v>
      </c>
      <c r="AI353" s="408">
        <v>0</v>
      </c>
      <c r="AJ353" s="408">
        <v>0</v>
      </c>
      <c r="AK353" s="408">
        <v>0</v>
      </c>
      <c r="AL353" s="408">
        <v>1.426440246768693</v>
      </c>
      <c r="AM353" s="408"/>
      <c r="AN353" s="408">
        <v>0.2734446473743305</v>
      </c>
      <c r="AO353" s="408">
        <v>1.2824024246219623</v>
      </c>
      <c r="AP353" s="408">
        <v>1.9316677433614948</v>
      </c>
      <c r="AQ353" s="408">
        <v>0</v>
      </c>
      <c r="AR353" s="408">
        <v>0</v>
      </c>
      <c r="AS353" s="408">
        <v>0</v>
      </c>
      <c r="AT353" s="408">
        <v>0</v>
      </c>
      <c r="AU353" s="408">
        <v>0</v>
      </c>
      <c r="AV353" s="408">
        <v>0</v>
      </c>
      <c r="AW353" s="408">
        <v>0</v>
      </c>
      <c r="AX353" s="408">
        <v>0</v>
      </c>
      <c r="AY353" s="408">
        <v>0</v>
      </c>
      <c r="AZ353" s="408">
        <v>0</v>
      </c>
      <c r="BA353" s="408"/>
      <c r="BB353" s="408">
        <v>0</v>
      </c>
      <c r="BC353" s="408">
        <v>0</v>
      </c>
      <c r="BD353" s="408">
        <v>0</v>
      </c>
      <c r="BE353" s="408">
        <v>0</v>
      </c>
      <c r="BF353" s="408">
        <v>0</v>
      </c>
      <c r="BG353" s="408">
        <v>5.1858425186158348</v>
      </c>
      <c r="BH353" s="408">
        <v>0</v>
      </c>
      <c r="BI353" s="408">
        <v>0</v>
      </c>
      <c r="BJ353" s="408">
        <v>0</v>
      </c>
      <c r="BK353" s="408">
        <v>0</v>
      </c>
      <c r="BL353" s="408">
        <v>0</v>
      </c>
      <c r="BM353" s="408"/>
      <c r="BN353" s="408"/>
      <c r="BO353" s="408"/>
      <c r="BP353" s="408"/>
      <c r="BQ353" s="408"/>
      <c r="BR353" s="408"/>
      <c r="BS353" s="408"/>
      <c r="BT353" s="408"/>
      <c r="BU353" s="408"/>
      <c r="BV353" s="408">
        <v>36.183454387269585</v>
      </c>
      <c r="BW353" s="408"/>
      <c r="BX353" s="408"/>
      <c r="BY353" s="408"/>
      <c r="BZ353" s="408"/>
      <c r="CA353" s="408"/>
      <c r="CB353" s="408"/>
      <c r="CC353" s="408"/>
      <c r="CD353" s="408"/>
      <c r="CE353" s="408"/>
      <c r="CF353" s="408"/>
      <c r="CG353" s="408"/>
      <c r="CH353" s="408"/>
      <c r="CI353" s="408">
        <v>110.24699999999999</v>
      </c>
      <c r="CJ353" s="408">
        <v>-43.932000000000016</v>
      </c>
      <c r="CK353" s="408"/>
      <c r="CL353" s="408"/>
      <c r="CM353" s="408"/>
      <c r="CN353" s="408"/>
      <c r="CO353" s="408">
        <v>-47.326499999999996</v>
      </c>
      <c r="CP353" s="408">
        <v>3.4244999999999974</v>
      </c>
      <c r="CQ353" s="408">
        <v>31</v>
      </c>
      <c r="CR353" s="408">
        <v>4.7433417220138665</v>
      </c>
      <c r="CS353" s="408">
        <v>0.15482704864392316</v>
      </c>
      <c r="CT353" s="408">
        <v>0.23321416890918001</v>
      </c>
      <c r="CU353" s="408">
        <v>0</v>
      </c>
      <c r="CV353" s="408">
        <v>0</v>
      </c>
      <c r="CW353" s="408">
        <v>0</v>
      </c>
      <c r="CX353" s="408">
        <v>0</v>
      </c>
      <c r="CY353" s="408">
        <v>0</v>
      </c>
      <c r="CZ353" s="408">
        <v>0.5472374811541485</v>
      </c>
      <c r="DA353" s="408">
        <v>0</v>
      </c>
      <c r="DB353" s="408">
        <v>0</v>
      </c>
      <c r="DC353" s="408">
        <v>3.4234626189539981</v>
      </c>
      <c r="DD353" s="408">
        <v>0</v>
      </c>
      <c r="DE353" s="408">
        <v>0</v>
      </c>
      <c r="DF353" s="408">
        <v>0</v>
      </c>
      <c r="DG353" s="408">
        <v>0.57273889632175479</v>
      </c>
      <c r="DH353" s="408">
        <v>0</v>
      </c>
      <c r="DI353" s="408">
        <v>-0.16091045432092344</v>
      </c>
      <c r="DJ353" s="408"/>
      <c r="DK353" s="408">
        <v>0</v>
      </c>
      <c r="DL353" s="408">
        <v>0</v>
      </c>
      <c r="DM353" s="408">
        <v>0</v>
      </c>
      <c r="DN353" s="408">
        <v>0</v>
      </c>
      <c r="DO353" s="408">
        <v>-2.0905868404033523E-2</v>
      </c>
      <c r="DP353" s="408">
        <v>-6.3221692441874922E-3</v>
      </c>
      <c r="DQ353" s="408">
        <v>0</v>
      </c>
      <c r="DR353" s="408">
        <v>0</v>
      </c>
      <c r="DS353" s="408"/>
      <c r="DT353" s="408"/>
      <c r="DU353" s="408"/>
      <c r="DV353" s="408">
        <v>86.716246277000693</v>
      </c>
      <c r="DW353" s="408">
        <v>0</v>
      </c>
      <c r="DX353" s="408">
        <v>0</v>
      </c>
      <c r="DY353" s="408">
        <v>-47.326499999999996</v>
      </c>
      <c r="DZ353" s="408">
        <v>3.4244999999999983</v>
      </c>
      <c r="EA353" s="408">
        <v>0</v>
      </c>
      <c r="EB353" s="408">
        <v>0</v>
      </c>
      <c r="EC353" s="408">
        <v>-48.64692091428104</v>
      </c>
      <c r="ED353" s="408">
        <v>0</v>
      </c>
      <c r="EE353" s="408">
        <v>0</v>
      </c>
      <c r="EF353" s="408">
        <v>0</v>
      </c>
      <c r="EG353" s="408">
        <v>0</v>
      </c>
      <c r="EH353" s="408">
        <v>0</v>
      </c>
      <c r="EI353" s="408">
        <v>0</v>
      </c>
      <c r="EJ353" s="408">
        <v>0</v>
      </c>
      <c r="EK353" s="408">
        <v>0</v>
      </c>
      <c r="EL353" s="408">
        <v>0</v>
      </c>
      <c r="EM353" s="408">
        <v>0</v>
      </c>
      <c r="EN353" s="408">
        <v>0</v>
      </c>
      <c r="EO353" s="408">
        <v>0</v>
      </c>
      <c r="EP353" s="408">
        <v>0</v>
      </c>
      <c r="EQ353" s="408">
        <v>0</v>
      </c>
      <c r="ER353" s="408">
        <v>0</v>
      </c>
      <c r="ES353" s="408">
        <v>0</v>
      </c>
      <c r="ET353" s="408">
        <v>0</v>
      </c>
      <c r="EU353" s="408">
        <v>0</v>
      </c>
      <c r="EV353" s="408">
        <v>238</v>
      </c>
      <c r="EW353" s="408">
        <v>0</v>
      </c>
      <c r="EX353" s="408">
        <v>0</v>
      </c>
      <c r="EY353" s="408">
        <v>0</v>
      </c>
      <c r="EZ353" s="408"/>
      <c r="FA353" s="408">
        <v>0</v>
      </c>
      <c r="FB353" s="408"/>
      <c r="FC353" s="408"/>
      <c r="FD353" s="408"/>
      <c r="FE353" s="408"/>
      <c r="FF353" s="408">
        <v>0</v>
      </c>
      <c r="FG353" s="408">
        <v>0</v>
      </c>
      <c r="FH353" s="408">
        <v>0</v>
      </c>
      <c r="FI353" s="408">
        <v>0</v>
      </c>
    </row>
    <row r="354" spans="1:165">
      <c r="A354" s="408">
        <v>358</v>
      </c>
      <c r="B354" s="408" t="s">
        <v>1036</v>
      </c>
      <c r="C354" s="408" t="s">
        <v>2235</v>
      </c>
      <c r="D354" s="408" t="s">
        <v>1958</v>
      </c>
      <c r="E354" s="408" t="s">
        <v>970</v>
      </c>
      <c r="F354" s="408" t="s">
        <v>1322</v>
      </c>
      <c r="G354" s="408" t="s">
        <v>1322</v>
      </c>
      <c r="H354" s="408" t="s">
        <v>1322</v>
      </c>
      <c r="I354" s="408" t="s">
        <v>1322</v>
      </c>
      <c r="J354" s="408" t="s">
        <v>2236</v>
      </c>
      <c r="K354" s="824">
        <v>44562</v>
      </c>
      <c r="L354" s="408">
        <v>0</v>
      </c>
      <c r="M354" s="408">
        <v>0</v>
      </c>
      <c r="N354" s="408">
        <v>11.927</v>
      </c>
      <c r="O354" s="408">
        <v>11.927</v>
      </c>
      <c r="P354" s="408">
        <v>11.927</v>
      </c>
      <c r="Q354" s="408">
        <v>11.927</v>
      </c>
      <c r="R354" s="408"/>
      <c r="S354" s="408">
        <v>581.32000000000005</v>
      </c>
      <c r="T354" s="408">
        <v>209.4</v>
      </c>
      <c r="U354" s="408"/>
      <c r="V354" s="408">
        <v>9430.9174400000011</v>
      </c>
      <c r="W354" s="408">
        <v>9430.9174400000011</v>
      </c>
      <c r="X354" s="408">
        <v>7204.7428899999995</v>
      </c>
      <c r="Y354" s="408">
        <v>0</v>
      </c>
      <c r="Z354" s="408">
        <v>733.9626224743289</v>
      </c>
      <c r="AA354" s="408">
        <v>0</v>
      </c>
      <c r="AB354" s="408">
        <v>0</v>
      </c>
      <c r="AC354" s="408">
        <v>0</v>
      </c>
      <c r="AD354" s="408">
        <v>884.87778397967941</v>
      </c>
      <c r="AE354" s="408">
        <v>4596.7291549096562</v>
      </c>
      <c r="AF354" s="408">
        <v>2464.7234450495553</v>
      </c>
      <c r="AG354" s="408">
        <v>32.834613127869559</v>
      </c>
      <c r="AH354" s="408">
        <v>0</v>
      </c>
      <c r="AI354" s="408">
        <v>0</v>
      </c>
      <c r="AJ354" s="408">
        <v>0</v>
      </c>
      <c r="AK354" s="408">
        <v>0</v>
      </c>
      <c r="AL354" s="408">
        <v>113.42101882140135</v>
      </c>
      <c r="AM354" s="408"/>
      <c r="AN354" s="408">
        <v>21.742495394890931</v>
      </c>
      <c r="AO354" s="408">
        <v>67.977707204143002</v>
      </c>
      <c r="AP354" s="408">
        <v>102.39556077810053</v>
      </c>
      <c r="AQ354" s="408">
        <v>0</v>
      </c>
      <c r="AR354" s="408">
        <v>0</v>
      </c>
      <c r="AS354" s="408">
        <v>0</v>
      </c>
      <c r="AT354" s="408">
        <v>0</v>
      </c>
      <c r="AU354" s="408">
        <v>0</v>
      </c>
      <c r="AV354" s="408">
        <v>0</v>
      </c>
      <c r="AW354" s="408">
        <v>0</v>
      </c>
      <c r="AX354" s="408">
        <v>0</v>
      </c>
      <c r="AY354" s="408">
        <v>0</v>
      </c>
      <c r="AZ354" s="408">
        <v>0</v>
      </c>
      <c r="BA354" s="408"/>
      <c r="BB354" s="408">
        <v>0</v>
      </c>
      <c r="BC354" s="408">
        <v>0</v>
      </c>
      <c r="BD354" s="408">
        <v>0</v>
      </c>
      <c r="BE354" s="408">
        <v>0</v>
      </c>
      <c r="BF354" s="408">
        <v>0</v>
      </c>
      <c r="BG354" s="408">
        <v>412.34362479687377</v>
      </c>
      <c r="BH354" s="408">
        <v>0</v>
      </c>
      <c r="BI354" s="408">
        <v>25.28</v>
      </c>
      <c r="BJ354" s="408">
        <v>115.69</v>
      </c>
      <c r="BK354" s="408">
        <v>1851.36</v>
      </c>
      <c r="BL354" s="408">
        <v>7</v>
      </c>
      <c r="BM354" s="408"/>
      <c r="BN354" s="408"/>
      <c r="BO354" s="408"/>
      <c r="BP354" s="408"/>
      <c r="BQ354" s="408"/>
      <c r="BR354" s="408"/>
      <c r="BS354" s="408"/>
      <c r="BT354" s="408"/>
      <c r="BU354" s="408"/>
      <c r="BV354" s="408">
        <v>2877.0670698464291</v>
      </c>
      <c r="BW354" s="408"/>
      <c r="BX354" s="408"/>
      <c r="BY354" s="408"/>
      <c r="BZ354" s="408"/>
      <c r="CA354" s="408"/>
      <c r="CB354" s="408"/>
      <c r="CC354" s="408"/>
      <c r="CD354" s="408"/>
      <c r="CE354" s="408"/>
      <c r="CF354" s="408"/>
      <c r="CG354" s="408"/>
      <c r="CH354" s="408"/>
      <c r="CI354" s="408">
        <v>7206.5550999999996</v>
      </c>
      <c r="CJ354" s="408">
        <v>-2224.3923400000022</v>
      </c>
      <c r="CK354" s="408"/>
      <c r="CL354" s="408"/>
      <c r="CM354" s="408"/>
      <c r="CN354" s="408"/>
      <c r="CO354" s="408">
        <v>-2498.4679600000009</v>
      </c>
      <c r="CP354" s="408">
        <v>272.29340999999982</v>
      </c>
      <c r="CQ354" s="408">
        <v>31</v>
      </c>
      <c r="CR354" s="408">
        <v>352.36974594742878</v>
      </c>
      <c r="CS354" s="408">
        <v>8.2070866195538628</v>
      </c>
      <c r="CT354" s="408">
        <v>12.362423967021257</v>
      </c>
      <c r="CU354" s="408">
        <v>0</v>
      </c>
      <c r="CV354" s="408">
        <v>0</v>
      </c>
      <c r="CW354" s="408">
        <v>0</v>
      </c>
      <c r="CX354" s="408">
        <v>0</v>
      </c>
      <c r="CY354" s="408">
        <v>0</v>
      </c>
      <c r="CZ354" s="408">
        <v>29.008450834334212</v>
      </c>
      <c r="DA354" s="408">
        <v>0</v>
      </c>
      <c r="DB354" s="408">
        <v>0</v>
      </c>
      <c r="DC354" s="408">
        <v>272.2109243750956</v>
      </c>
      <c r="DD354" s="408">
        <v>0</v>
      </c>
      <c r="DE354" s="408">
        <v>0</v>
      </c>
      <c r="DF354" s="408">
        <v>0</v>
      </c>
      <c r="DG354" s="408">
        <v>45.540378776197088</v>
      </c>
      <c r="DH354" s="408">
        <v>0</v>
      </c>
      <c r="DI354" s="408">
        <v>-12.794526591237741</v>
      </c>
      <c r="DJ354" s="408"/>
      <c r="DK354" s="408">
        <v>0</v>
      </c>
      <c r="DL354" s="408">
        <v>0</v>
      </c>
      <c r="DM354" s="408">
        <v>0</v>
      </c>
      <c r="DN354" s="408">
        <v>0</v>
      </c>
      <c r="DO354" s="408">
        <v>-1.6622952830327336</v>
      </c>
      <c r="DP354" s="408">
        <v>-0.50269675050282459</v>
      </c>
      <c r="DQ354" s="408">
        <v>0</v>
      </c>
      <c r="DR354" s="408">
        <v>0</v>
      </c>
      <c r="DS354" s="408"/>
      <c r="DT354" s="408"/>
      <c r="DU354" s="408"/>
      <c r="DV354" s="408">
        <v>4596.7291549096562</v>
      </c>
      <c r="DW354" s="408">
        <v>0</v>
      </c>
      <c r="DX354" s="408">
        <v>0</v>
      </c>
      <c r="DY354" s="408">
        <v>-2498.4679600000009</v>
      </c>
      <c r="DZ354" s="408">
        <v>272.29340999999977</v>
      </c>
      <c r="EA354" s="408">
        <v>0</v>
      </c>
      <c r="EB354" s="408">
        <v>0</v>
      </c>
      <c r="EC354" s="408">
        <v>-2578.7177058950783</v>
      </c>
      <c r="ED354" s="408">
        <v>0</v>
      </c>
      <c r="EE354" s="408">
        <v>0</v>
      </c>
      <c r="EF354" s="408">
        <v>0</v>
      </c>
      <c r="EG354" s="408">
        <v>0</v>
      </c>
      <c r="EH354" s="408">
        <v>0</v>
      </c>
      <c r="EI354" s="408">
        <v>0</v>
      </c>
      <c r="EJ354" s="408">
        <v>0</v>
      </c>
      <c r="EK354" s="408">
        <v>0</v>
      </c>
      <c r="EL354" s="408">
        <v>0</v>
      </c>
      <c r="EM354" s="408">
        <v>0</v>
      </c>
      <c r="EN354" s="408">
        <v>0</v>
      </c>
      <c r="EO354" s="408">
        <v>0</v>
      </c>
      <c r="EP354" s="408">
        <v>0</v>
      </c>
      <c r="EQ354" s="408">
        <v>0</v>
      </c>
      <c r="ER354" s="408">
        <v>0</v>
      </c>
      <c r="ES354" s="408">
        <v>0</v>
      </c>
      <c r="ET354" s="408">
        <v>0</v>
      </c>
      <c r="EU354" s="408">
        <v>0</v>
      </c>
      <c r="EV354" s="408">
        <v>238</v>
      </c>
      <c r="EW354" s="408">
        <v>0</v>
      </c>
      <c r="EX354" s="408">
        <v>0</v>
      </c>
      <c r="EY354" s="408">
        <v>0</v>
      </c>
      <c r="EZ354" s="408"/>
      <c r="FA354" s="408">
        <v>0</v>
      </c>
      <c r="FB354" s="408"/>
      <c r="FC354" s="408"/>
      <c r="FD354" s="408"/>
      <c r="FE354" s="408"/>
      <c r="FF354" s="408">
        <v>0</v>
      </c>
      <c r="FG354" s="408">
        <v>0</v>
      </c>
      <c r="FH354" s="408">
        <v>0</v>
      </c>
      <c r="FI354" s="408">
        <v>0</v>
      </c>
    </row>
    <row r="355" spans="1:165">
      <c r="A355" s="408">
        <v>359</v>
      </c>
      <c r="B355" s="408" t="s">
        <v>2238</v>
      </c>
      <c r="C355" s="408" t="s">
        <v>2235</v>
      </c>
      <c r="D355" s="408" t="s">
        <v>1958</v>
      </c>
      <c r="E355" s="408" t="s">
        <v>970</v>
      </c>
      <c r="F355" s="408" t="s">
        <v>1322</v>
      </c>
      <c r="G355" s="408" t="s">
        <v>1322</v>
      </c>
      <c r="H355" s="408" t="s">
        <v>1322</v>
      </c>
      <c r="I355" s="408" t="s">
        <v>1322</v>
      </c>
      <c r="J355" s="408" t="s">
        <v>2236</v>
      </c>
      <c r="K355" s="824">
        <v>44562</v>
      </c>
      <c r="L355" s="408">
        <v>0</v>
      </c>
      <c r="M355" s="408">
        <v>0</v>
      </c>
      <c r="N355" s="408">
        <v>2.7690000000000001</v>
      </c>
      <c r="O355" s="408">
        <v>2.7690000000000001</v>
      </c>
      <c r="P355" s="408">
        <v>2.7690000000000001</v>
      </c>
      <c r="Q355" s="408">
        <v>2.7690000000000001</v>
      </c>
      <c r="R355" s="408"/>
      <c r="S355" s="408">
        <v>581.32000000000005</v>
      </c>
      <c r="T355" s="408">
        <v>209.4</v>
      </c>
      <c r="U355" s="408"/>
      <c r="V355" s="408">
        <v>2189.5036800000003</v>
      </c>
      <c r="W355" s="408">
        <v>2189.5036800000003</v>
      </c>
      <c r="X355" s="408">
        <v>1672.6698299999998</v>
      </c>
      <c r="Y355" s="408">
        <v>0</v>
      </c>
      <c r="Z355" s="408">
        <v>170.39846580291916</v>
      </c>
      <c r="AA355" s="408">
        <v>0</v>
      </c>
      <c r="AB355" s="408">
        <v>0</v>
      </c>
      <c r="AC355" s="408">
        <v>0</v>
      </c>
      <c r="AD355" s="408">
        <v>205.43527993961035</v>
      </c>
      <c r="AE355" s="408">
        <v>1067.1873086228591</v>
      </c>
      <c r="AF355" s="408">
        <v>572.21591509534824</v>
      </c>
      <c r="AG355" s="408">
        <v>7.622959985836407</v>
      </c>
      <c r="AH355" s="408">
        <v>0</v>
      </c>
      <c r="AI355" s="408">
        <v>0</v>
      </c>
      <c r="AJ355" s="408">
        <v>0</v>
      </c>
      <c r="AK355" s="408">
        <v>0</v>
      </c>
      <c r="AL355" s="408">
        <v>26.332086955350075</v>
      </c>
      <c r="AM355" s="408"/>
      <c r="AN355" s="408">
        <v>5.0477881905301416</v>
      </c>
      <c r="AO355" s="408">
        <v>15.781862266141696</v>
      </c>
      <c r="AP355" s="408">
        <v>23.772391028302206</v>
      </c>
      <c r="AQ355" s="408">
        <v>0</v>
      </c>
      <c r="AR355" s="408">
        <v>0</v>
      </c>
      <c r="AS355" s="408">
        <v>0</v>
      </c>
      <c r="AT355" s="408">
        <v>0</v>
      </c>
      <c r="AU355" s="408">
        <v>0</v>
      </c>
      <c r="AV355" s="408">
        <v>0</v>
      </c>
      <c r="AW355" s="408">
        <v>0</v>
      </c>
      <c r="AX355" s="408">
        <v>0</v>
      </c>
      <c r="AY355" s="408">
        <v>0</v>
      </c>
      <c r="AZ355" s="408">
        <v>0</v>
      </c>
      <c r="BA355" s="408"/>
      <c r="BB355" s="408">
        <v>0</v>
      </c>
      <c r="BC355" s="408">
        <v>0</v>
      </c>
      <c r="BD355" s="408">
        <v>0</v>
      </c>
      <c r="BE355" s="408">
        <v>0</v>
      </c>
      <c r="BF355" s="408">
        <v>0</v>
      </c>
      <c r="BG355" s="408">
        <v>95.730652893648312</v>
      </c>
      <c r="BH355" s="408">
        <v>0</v>
      </c>
      <c r="BI355" s="408">
        <v>5.87</v>
      </c>
      <c r="BJ355" s="408">
        <v>26.86</v>
      </c>
      <c r="BK355" s="408">
        <v>518.66999999999996</v>
      </c>
      <c r="BL355" s="408">
        <v>3</v>
      </c>
      <c r="BM355" s="408"/>
      <c r="BN355" s="408"/>
      <c r="BO355" s="408"/>
      <c r="BP355" s="408"/>
      <c r="BQ355" s="408"/>
      <c r="BR355" s="408"/>
      <c r="BS355" s="408"/>
      <c r="BT355" s="408"/>
      <c r="BU355" s="408"/>
      <c r="BV355" s="408">
        <v>667.94656798899655</v>
      </c>
      <c r="BW355" s="408"/>
      <c r="BX355" s="408"/>
      <c r="BY355" s="408"/>
      <c r="BZ355" s="408"/>
      <c r="CA355" s="408"/>
      <c r="CB355" s="408"/>
      <c r="CC355" s="408"/>
      <c r="CD355" s="408"/>
      <c r="CE355" s="408"/>
      <c r="CF355" s="408"/>
      <c r="CG355" s="408"/>
      <c r="CH355" s="408"/>
      <c r="CI355" s="408">
        <v>1673.2738999999999</v>
      </c>
      <c r="CJ355" s="408">
        <v>-516.25978000000055</v>
      </c>
      <c r="CK355" s="408"/>
      <c r="CL355" s="408"/>
      <c r="CM355" s="408"/>
      <c r="CN355" s="408"/>
      <c r="CO355" s="408">
        <v>-580.05012000000022</v>
      </c>
      <c r="CP355" s="408">
        <v>63.216269999999959</v>
      </c>
      <c r="CQ355" s="408">
        <v>31</v>
      </c>
      <c r="CR355" s="408">
        <v>81.806977993496048</v>
      </c>
      <c r="CS355" s="408">
        <v>1.9053762764772895</v>
      </c>
      <c r="CT355" s="408">
        <v>2.870089038708965</v>
      </c>
      <c r="CU355" s="408">
        <v>0</v>
      </c>
      <c r="CV355" s="408">
        <v>0</v>
      </c>
      <c r="CW355" s="408">
        <v>0</v>
      </c>
      <c r="CX355" s="408">
        <v>0</v>
      </c>
      <c r="CY355" s="408">
        <v>0</v>
      </c>
      <c r="CZ355" s="408">
        <v>6.7346692680700357</v>
      </c>
      <c r="DA355" s="408">
        <v>0</v>
      </c>
      <c r="DB355" s="408">
        <v>0</v>
      </c>
      <c r="DC355" s="408">
        <v>63.19711994589079</v>
      </c>
      <c r="DD355" s="408">
        <v>0</v>
      </c>
      <c r="DE355" s="408">
        <v>0</v>
      </c>
      <c r="DF355" s="408">
        <v>0</v>
      </c>
      <c r="DG355" s="408">
        <v>10.572760026099601</v>
      </c>
      <c r="DH355" s="408">
        <v>0</v>
      </c>
      <c r="DI355" s="408">
        <v>-2.9704069867642602</v>
      </c>
      <c r="DJ355" s="408"/>
      <c r="DK355" s="408">
        <v>0</v>
      </c>
      <c r="DL355" s="408">
        <v>0</v>
      </c>
      <c r="DM355" s="408">
        <v>0</v>
      </c>
      <c r="DN355" s="408">
        <v>0</v>
      </c>
      <c r="DO355" s="408">
        <v>-0.38592233073845961</v>
      </c>
      <c r="DP355" s="408">
        <v>-0.11670724424770107</v>
      </c>
      <c r="DQ355" s="408">
        <v>0</v>
      </c>
      <c r="DR355" s="408">
        <v>0</v>
      </c>
      <c r="DS355" s="408"/>
      <c r="DT355" s="408"/>
      <c r="DU355" s="408"/>
      <c r="DV355" s="408">
        <v>1067.1873086228591</v>
      </c>
      <c r="DW355" s="408">
        <v>0</v>
      </c>
      <c r="DX355" s="408">
        <v>0</v>
      </c>
      <c r="DY355" s="408">
        <v>-580.05012000000033</v>
      </c>
      <c r="DZ355" s="408">
        <v>63.216269999999895</v>
      </c>
      <c r="EA355" s="408">
        <v>0</v>
      </c>
      <c r="EB355" s="408">
        <v>0</v>
      </c>
      <c r="EC355" s="408">
        <v>-598.68108724938986</v>
      </c>
      <c r="ED355" s="408">
        <v>0</v>
      </c>
      <c r="EE355" s="408">
        <v>0</v>
      </c>
      <c r="EF355" s="408">
        <v>0</v>
      </c>
      <c r="EG355" s="408">
        <v>0</v>
      </c>
      <c r="EH355" s="408">
        <v>0</v>
      </c>
      <c r="EI355" s="408">
        <v>0</v>
      </c>
      <c r="EJ355" s="408">
        <v>0</v>
      </c>
      <c r="EK355" s="408">
        <v>0</v>
      </c>
      <c r="EL355" s="408">
        <v>0</v>
      </c>
      <c r="EM355" s="408">
        <v>0</v>
      </c>
      <c r="EN355" s="408">
        <v>0</v>
      </c>
      <c r="EO355" s="408">
        <v>0</v>
      </c>
      <c r="EP355" s="408">
        <v>0</v>
      </c>
      <c r="EQ355" s="408">
        <v>0</v>
      </c>
      <c r="ER355" s="408">
        <v>0</v>
      </c>
      <c r="ES355" s="408">
        <v>0</v>
      </c>
      <c r="ET355" s="408">
        <v>0</v>
      </c>
      <c r="EU355" s="408">
        <v>0</v>
      </c>
      <c r="EV355" s="408">
        <v>238</v>
      </c>
      <c r="EW355" s="408">
        <v>0</v>
      </c>
      <c r="EX355" s="408">
        <v>0</v>
      </c>
      <c r="EY355" s="408">
        <v>0</v>
      </c>
      <c r="EZ355" s="408"/>
      <c r="FA355" s="408">
        <v>0</v>
      </c>
      <c r="FB355" s="408"/>
      <c r="FC355" s="408"/>
      <c r="FD355" s="408"/>
      <c r="FE355" s="408"/>
      <c r="FF355" s="408">
        <v>0</v>
      </c>
      <c r="FG355" s="408">
        <v>0</v>
      </c>
      <c r="FH355" s="408">
        <v>0</v>
      </c>
      <c r="FI355" s="408">
        <v>0</v>
      </c>
    </row>
    <row r="356" spans="1:165">
      <c r="A356" s="408">
        <v>360</v>
      </c>
      <c r="B356" s="408" t="s">
        <v>1036</v>
      </c>
      <c r="C356" s="408" t="s">
        <v>2243</v>
      </c>
      <c r="D356" s="408" t="s">
        <v>597</v>
      </c>
      <c r="E356" s="408" t="s">
        <v>970</v>
      </c>
      <c r="F356" s="408" t="s">
        <v>1322</v>
      </c>
      <c r="G356" s="408" t="s">
        <v>1322</v>
      </c>
      <c r="H356" s="408" t="s">
        <v>1322</v>
      </c>
      <c r="I356" s="408" t="s">
        <v>973</v>
      </c>
      <c r="J356" s="408" t="s">
        <v>2236</v>
      </c>
      <c r="K356" s="824">
        <v>44562</v>
      </c>
      <c r="L356" s="408">
        <v>0</v>
      </c>
      <c r="M356" s="408">
        <v>0</v>
      </c>
      <c r="N356" s="408">
        <v>10.324999999999999</v>
      </c>
      <c r="O356" s="408">
        <v>10.324999999999999</v>
      </c>
      <c r="P356" s="408">
        <v>10.324999999999999</v>
      </c>
      <c r="Q356" s="408">
        <v>10.324999999999999</v>
      </c>
      <c r="R356" s="408"/>
      <c r="S356" s="408">
        <v>1614.19</v>
      </c>
      <c r="T356" s="408">
        <v>209.4</v>
      </c>
      <c r="U356" s="408"/>
      <c r="V356" s="408">
        <v>18828.566749999998</v>
      </c>
      <c r="W356" s="408">
        <v>18828.566749999998</v>
      </c>
      <c r="X356" s="408">
        <v>12515.44875</v>
      </c>
      <c r="Y356" s="408">
        <v>0</v>
      </c>
      <c r="Z356" s="408">
        <v>552.77963838612243</v>
      </c>
      <c r="AA356" s="408">
        <v>0</v>
      </c>
      <c r="AB356" s="408">
        <v>0</v>
      </c>
      <c r="AC356" s="408">
        <v>0</v>
      </c>
      <c r="AD356" s="408">
        <v>3215.390750301769</v>
      </c>
      <c r="AE356" s="408">
        <v>12006.288061669868</v>
      </c>
      <c r="AF356" s="408">
        <v>2133.6689502923332</v>
      </c>
      <c r="AG356" s="408">
        <v>28.424363255240479</v>
      </c>
      <c r="AH356" s="408">
        <v>0</v>
      </c>
      <c r="AI356" s="408">
        <v>0</v>
      </c>
      <c r="AJ356" s="408">
        <v>0</v>
      </c>
      <c r="AK356" s="408">
        <v>0</v>
      </c>
      <c r="AL356" s="408">
        <v>98.186636985911704</v>
      </c>
      <c r="AM356" s="408"/>
      <c r="AN356" s="408">
        <v>13.709992485346337</v>
      </c>
      <c r="AO356" s="408">
        <v>249.81260447378105</v>
      </c>
      <c r="AP356" s="408">
        <v>372.0996170895171</v>
      </c>
      <c r="AQ356" s="408">
        <v>0</v>
      </c>
      <c r="AR356" s="408">
        <v>0</v>
      </c>
      <c r="AS356" s="408">
        <v>0</v>
      </c>
      <c r="AT356" s="408">
        <v>0</v>
      </c>
      <c r="AU356" s="408">
        <v>0</v>
      </c>
      <c r="AV356" s="408">
        <v>0</v>
      </c>
      <c r="AW356" s="408">
        <v>0</v>
      </c>
      <c r="AX356" s="408">
        <v>0</v>
      </c>
      <c r="AY356" s="408">
        <v>0</v>
      </c>
      <c r="AZ356" s="408">
        <v>0</v>
      </c>
      <c r="BA356" s="408"/>
      <c r="BB356" s="408">
        <v>0</v>
      </c>
      <c r="BC356" s="408">
        <v>0</v>
      </c>
      <c r="BD356" s="408">
        <v>0</v>
      </c>
      <c r="BE356" s="408">
        <v>0</v>
      </c>
      <c r="BF356" s="408">
        <v>0</v>
      </c>
      <c r="BG356" s="408">
        <v>158.2248054296027</v>
      </c>
      <c r="BH356" s="408">
        <v>0</v>
      </c>
      <c r="BI356" s="408">
        <v>0</v>
      </c>
      <c r="BJ356" s="408">
        <v>0</v>
      </c>
      <c r="BK356" s="408">
        <v>0</v>
      </c>
      <c r="BL356" s="408">
        <v>0</v>
      </c>
      <c r="BM356" s="408"/>
      <c r="BN356" s="408"/>
      <c r="BO356" s="408"/>
      <c r="BP356" s="408"/>
      <c r="BQ356" s="408"/>
      <c r="BR356" s="408"/>
      <c r="BS356" s="408"/>
      <c r="BT356" s="408"/>
      <c r="BU356" s="408"/>
      <c r="BV356" s="408">
        <v>2291.893755721936</v>
      </c>
      <c r="BW356" s="408"/>
      <c r="BX356" s="408"/>
      <c r="BY356" s="408"/>
      <c r="BZ356" s="408"/>
      <c r="CA356" s="408"/>
      <c r="CB356" s="408"/>
      <c r="CC356" s="408"/>
      <c r="CD356" s="408"/>
      <c r="CE356" s="408"/>
      <c r="CF356" s="408"/>
      <c r="CG356" s="408"/>
      <c r="CH356" s="408"/>
      <c r="CI356" s="408">
        <v>12521.5095</v>
      </c>
      <c r="CJ356" s="408">
        <v>-6307.0872499999932</v>
      </c>
      <c r="CK356" s="408"/>
      <c r="CL356" s="408"/>
      <c r="CM356" s="408"/>
      <c r="CN356" s="408"/>
      <c r="CO356" s="408">
        <v>-6548.8377500000006</v>
      </c>
      <c r="CP356" s="408">
        <v>235.71974999999981</v>
      </c>
      <c r="CQ356" s="408">
        <v>31</v>
      </c>
      <c r="CR356" s="408">
        <v>422.2240795838552</v>
      </c>
      <c r="CS356" s="408">
        <v>30.160382982844453</v>
      </c>
      <c r="CT356" s="408">
        <v>44.92434231983583</v>
      </c>
      <c r="CU356" s="408">
        <v>0</v>
      </c>
      <c r="CV356" s="408">
        <v>0</v>
      </c>
      <c r="CW356" s="408">
        <v>0</v>
      </c>
      <c r="CX356" s="408">
        <v>0</v>
      </c>
      <c r="CY356" s="408">
        <v>0</v>
      </c>
      <c r="CZ356" s="408">
        <v>105.40834698528988</v>
      </c>
      <c r="DA356" s="408">
        <v>0</v>
      </c>
      <c r="DB356" s="408">
        <v>0</v>
      </c>
      <c r="DC356" s="408">
        <v>235.64834360466648</v>
      </c>
      <c r="DD356" s="408">
        <v>0</v>
      </c>
      <c r="DE356" s="408">
        <v>0</v>
      </c>
      <c r="DF356" s="408">
        <v>0</v>
      </c>
      <c r="DG356" s="408">
        <v>17.474788350623726</v>
      </c>
      <c r="DH356" s="408">
        <v>0</v>
      </c>
      <c r="DI356" s="408">
        <v>-9.6361225570090028</v>
      </c>
      <c r="DJ356" s="408"/>
      <c r="DK356" s="408">
        <v>0</v>
      </c>
      <c r="DL356" s="408">
        <v>0</v>
      </c>
      <c r="DM356" s="408">
        <v>0</v>
      </c>
      <c r="DN356" s="408">
        <v>0</v>
      </c>
      <c r="DO356" s="408">
        <v>-1.439020608477648</v>
      </c>
      <c r="DP356" s="408">
        <v>-0.31698149391918307</v>
      </c>
      <c r="DQ356" s="408">
        <v>0</v>
      </c>
      <c r="DR356" s="408">
        <v>0</v>
      </c>
      <c r="DS356" s="408"/>
      <c r="DT356" s="408"/>
      <c r="DU356" s="408"/>
      <c r="DV356" s="408">
        <v>12006.288061669868</v>
      </c>
      <c r="DW356" s="408">
        <v>0</v>
      </c>
      <c r="DX356" s="408">
        <v>0</v>
      </c>
      <c r="DY356" s="408">
        <v>-6548.8377499999988</v>
      </c>
      <c r="DZ356" s="408">
        <v>235.71974999999975</v>
      </c>
      <c r="EA356" s="408">
        <v>0</v>
      </c>
      <c r="EB356" s="408">
        <v>0</v>
      </c>
      <c r="EC356" s="408">
        <v>-6735.4039281684445</v>
      </c>
      <c r="ED356" s="408">
        <v>0</v>
      </c>
      <c r="EE356" s="408">
        <v>0</v>
      </c>
      <c r="EF356" s="408">
        <v>0</v>
      </c>
      <c r="EG356" s="408">
        <v>0</v>
      </c>
      <c r="EH356" s="408">
        <v>0</v>
      </c>
      <c r="EI356" s="408">
        <v>0</v>
      </c>
      <c r="EJ356" s="408">
        <v>0</v>
      </c>
      <c r="EK356" s="408">
        <v>0</v>
      </c>
      <c r="EL356" s="408">
        <v>0</v>
      </c>
      <c r="EM356" s="408">
        <v>0</v>
      </c>
      <c r="EN356" s="408">
        <v>0</v>
      </c>
      <c r="EO356" s="408">
        <v>0</v>
      </c>
      <c r="EP356" s="408">
        <v>0</v>
      </c>
      <c r="EQ356" s="408">
        <v>0</v>
      </c>
      <c r="ER356" s="408">
        <v>0</v>
      </c>
      <c r="ES356" s="408">
        <v>0</v>
      </c>
      <c r="ET356" s="408">
        <v>0</v>
      </c>
      <c r="EU356" s="408">
        <v>0</v>
      </c>
      <c r="EV356" s="408">
        <v>238</v>
      </c>
      <c r="EW356" s="408">
        <v>0</v>
      </c>
      <c r="EX356" s="408">
        <v>0</v>
      </c>
      <c r="EY356" s="408">
        <v>0</v>
      </c>
      <c r="EZ356" s="408"/>
      <c r="FA356" s="408">
        <v>0</v>
      </c>
      <c r="FB356" s="408"/>
      <c r="FC356" s="408"/>
      <c r="FD356" s="408"/>
      <c r="FE356" s="408"/>
      <c r="FF356" s="408">
        <v>0</v>
      </c>
      <c r="FG356" s="408">
        <v>0</v>
      </c>
      <c r="FH356" s="408">
        <v>0</v>
      </c>
      <c r="FI356" s="408">
        <v>0</v>
      </c>
    </row>
    <row r="357" spans="1:165">
      <c r="A357" s="408">
        <v>361</v>
      </c>
      <c r="B357" s="408" t="s">
        <v>1036</v>
      </c>
      <c r="C357" s="408" t="s">
        <v>2243</v>
      </c>
      <c r="D357" s="408" t="s">
        <v>597</v>
      </c>
      <c r="E357" s="408" t="s">
        <v>970</v>
      </c>
      <c r="F357" s="408" t="s">
        <v>1322</v>
      </c>
      <c r="G357" s="408" t="s">
        <v>1322</v>
      </c>
      <c r="H357" s="408" t="s">
        <v>1322</v>
      </c>
      <c r="I357" s="408" t="s">
        <v>2244</v>
      </c>
      <c r="J357" s="408" t="s">
        <v>2236</v>
      </c>
      <c r="K357" s="824">
        <v>44562</v>
      </c>
      <c r="L357" s="408">
        <v>0</v>
      </c>
      <c r="M357" s="408">
        <v>0</v>
      </c>
      <c r="N357" s="408">
        <v>335.81400000000002</v>
      </c>
      <c r="O357" s="408">
        <v>335.81400000000002</v>
      </c>
      <c r="P357" s="408">
        <v>335.81400000000002</v>
      </c>
      <c r="Q357" s="408">
        <v>335.81400000000002</v>
      </c>
      <c r="R357" s="408"/>
      <c r="S357" s="408">
        <v>79.7</v>
      </c>
      <c r="T357" s="408">
        <v>209.4</v>
      </c>
      <c r="U357" s="408"/>
      <c r="V357" s="408">
        <v>97083.827400000009</v>
      </c>
      <c r="W357" s="408">
        <v>97083.827400000009</v>
      </c>
      <c r="X357" s="408">
        <v>104948.59128000001</v>
      </c>
      <c r="Y357" s="408">
        <v>0</v>
      </c>
      <c r="Z357" s="408">
        <v>17978.803049394417</v>
      </c>
      <c r="AA357" s="408">
        <v>0</v>
      </c>
      <c r="AB357" s="408">
        <v>0</v>
      </c>
      <c r="AC357" s="408">
        <v>0</v>
      </c>
      <c r="AD357" s="408">
        <v>0</v>
      </c>
      <c r="AE357" s="408">
        <v>0</v>
      </c>
      <c r="AF357" s="408">
        <v>69396.21354706728</v>
      </c>
      <c r="AG357" s="408">
        <v>924.48417648380894</v>
      </c>
      <c r="AH357" s="408">
        <v>0</v>
      </c>
      <c r="AI357" s="408">
        <v>0</v>
      </c>
      <c r="AJ357" s="408">
        <v>0</v>
      </c>
      <c r="AK357" s="408">
        <v>0</v>
      </c>
      <c r="AL357" s="408">
        <v>3193.4573668558796</v>
      </c>
      <c r="AM357" s="408"/>
      <c r="AN357" s="408">
        <v>445.90870861734584</v>
      </c>
      <c r="AO357" s="408">
        <v>0</v>
      </c>
      <c r="AP357" s="408">
        <v>0</v>
      </c>
      <c r="AQ357" s="408">
        <v>0</v>
      </c>
      <c r="AR357" s="408">
        <v>0</v>
      </c>
      <c r="AS357" s="408">
        <v>0</v>
      </c>
      <c r="AT357" s="408">
        <v>0</v>
      </c>
      <c r="AU357" s="408">
        <v>0</v>
      </c>
      <c r="AV357" s="408">
        <v>0</v>
      </c>
      <c r="AW357" s="408">
        <v>0</v>
      </c>
      <c r="AX357" s="408">
        <v>0</v>
      </c>
      <c r="AY357" s="408">
        <v>0</v>
      </c>
      <c r="AZ357" s="408">
        <v>0</v>
      </c>
      <c r="BA357" s="408"/>
      <c r="BB357" s="408">
        <v>0</v>
      </c>
      <c r="BC357" s="408">
        <v>0</v>
      </c>
      <c r="BD357" s="408">
        <v>0</v>
      </c>
      <c r="BE357" s="408">
        <v>0</v>
      </c>
      <c r="BF357" s="408">
        <v>0</v>
      </c>
      <c r="BG357" s="408">
        <v>5146.1602722069347</v>
      </c>
      <c r="BH357" s="408">
        <v>0</v>
      </c>
      <c r="BI357" s="408">
        <v>0</v>
      </c>
      <c r="BJ357" s="408">
        <v>0</v>
      </c>
      <c r="BK357" s="408">
        <v>0</v>
      </c>
      <c r="BL357" s="408">
        <v>0</v>
      </c>
      <c r="BM357" s="408"/>
      <c r="BN357" s="408"/>
      <c r="BO357" s="408"/>
      <c r="BP357" s="408"/>
      <c r="BQ357" s="408"/>
      <c r="BR357" s="408"/>
      <c r="BS357" s="408"/>
      <c r="BT357" s="408"/>
      <c r="BU357" s="408"/>
      <c r="BV357" s="408">
        <v>74542.373819274217</v>
      </c>
      <c r="BW357" s="408"/>
      <c r="BX357" s="408"/>
      <c r="BY357" s="408"/>
      <c r="BZ357" s="408"/>
      <c r="CA357" s="408"/>
      <c r="CB357" s="408"/>
      <c r="CC357" s="408"/>
      <c r="CD357" s="408"/>
      <c r="CE357" s="408"/>
      <c r="CF357" s="408"/>
      <c r="CG357" s="408"/>
      <c r="CH357" s="408"/>
      <c r="CI357" s="408">
        <v>104947.34120000001</v>
      </c>
      <c r="CJ357" s="408">
        <v>7863.4838000000163</v>
      </c>
      <c r="CK357" s="408"/>
      <c r="CL357" s="408"/>
      <c r="CM357" s="408"/>
      <c r="CN357" s="408"/>
      <c r="CO357" s="408">
        <v>198.13026000000116</v>
      </c>
      <c r="CP357" s="408">
        <v>7666.6336199999951</v>
      </c>
      <c r="CQ357" s="408">
        <v>31</v>
      </c>
      <c r="CR357" s="408">
        <v>7862.1459064465162</v>
      </c>
      <c r="CS357" s="408">
        <v>0</v>
      </c>
      <c r="CT357" s="408">
        <v>0</v>
      </c>
      <c r="CU357" s="408">
        <v>0</v>
      </c>
      <c r="CV357" s="408">
        <v>0</v>
      </c>
      <c r="CW357" s="408">
        <v>0</v>
      </c>
      <c r="CX357" s="408">
        <v>0</v>
      </c>
      <c r="CY357" s="408">
        <v>0</v>
      </c>
      <c r="CZ357" s="408">
        <v>0</v>
      </c>
      <c r="DA357" s="408">
        <v>0</v>
      </c>
      <c r="DB357" s="408">
        <v>0</v>
      </c>
      <c r="DC357" s="408">
        <v>7664.3111728094518</v>
      </c>
      <c r="DD357" s="408">
        <v>0</v>
      </c>
      <c r="DE357" s="408">
        <v>0</v>
      </c>
      <c r="DF357" s="408">
        <v>0</v>
      </c>
      <c r="DG357" s="408">
        <v>568.3562784674441</v>
      </c>
      <c r="DH357" s="408">
        <v>0</v>
      </c>
      <c r="DI357" s="408">
        <v>-313.40870318251109</v>
      </c>
      <c r="DJ357" s="408"/>
      <c r="DK357" s="408">
        <v>0</v>
      </c>
      <c r="DL357" s="408">
        <v>0</v>
      </c>
      <c r="DM357" s="408">
        <v>0</v>
      </c>
      <c r="DN357" s="408">
        <v>0</v>
      </c>
      <c r="DO357" s="408">
        <v>-46.803221948214286</v>
      </c>
      <c r="DP357" s="408">
        <v>-10.309619699658811</v>
      </c>
      <c r="DQ357" s="408">
        <v>0</v>
      </c>
      <c r="DR357" s="408">
        <v>0</v>
      </c>
      <c r="DS357" s="408"/>
      <c r="DT357" s="408"/>
      <c r="DU357" s="408"/>
      <c r="DV357" s="408">
        <v>0</v>
      </c>
      <c r="DW357" s="408">
        <v>0</v>
      </c>
      <c r="DX357" s="408">
        <v>0</v>
      </c>
      <c r="DY357" s="408">
        <v>198.13026000000173</v>
      </c>
      <c r="DZ357" s="408">
        <v>7666.6336200000078</v>
      </c>
      <c r="EA357" s="408">
        <v>0</v>
      </c>
      <c r="EB357" s="408">
        <v>0</v>
      </c>
      <c r="EC357" s="408">
        <v>0</v>
      </c>
      <c r="ED357" s="408">
        <v>0</v>
      </c>
      <c r="EE357" s="408">
        <v>0</v>
      </c>
      <c r="EF357" s="408">
        <v>0</v>
      </c>
      <c r="EG357" s="408">
        <v>0</v>
      </c>
      <c r="EH357" s="408">
        <v>0</v>
      </c>
      <c r="EI357" s="408">
        <v>0</v>
      </c>
      <c r="EJ357" s="408">
        <v>0</v>
      </c>
      <c r="EK357" s="408">
        <v>0</v>
      </c>
      <c r="EL357" s="408">
        <v>0</v>
      </c>
      <c r="EM357" s="408">
        <v>0</v>
      </c>
      <c r="EN357" s="408">
        <v>0</v>
      </c>
      <c r="EO357" s="408">
        <v>0</v>
      </c>
      <c r="EP357" s="408">
        <v>0</v>
      </c>
      <c r="EQ357" s="408">
        <v>0</v>
      </c>
      <c r="ER357" s="408">
        <v>0</v>
      </c>
      <c r="ES357" s="408">
        <v>0</v>
      </c>
      <c r="ET357" s="408">
        <v>0</v>
      </c>
      <c r="EU357" s="408">
        <v>0</v>
      </c>
      <c r="EV357" s="408">
        <v>238</v>
      </c>
      <c r="EW357" s="408">
        <v>0</v>
      </c>
      <c r="EX357" s="408">
        <v>0</v>
      </c>
      <c r="EY357" s="408">
        <v>0</v>
      </c>
      <c r="EZ357" s="408"/>
      <c r="FA357" s="408">
        <v>0</v>
      </c>
      <c r="FB357" s="408"/>
      <c r="FC357" s="408"/>
      <c r="FD357" s="408"/>
      <c r="FE357" s="408"/>
      <c r="FF357" s="408">
        <v>0</v>
      </c>
      <c r="FG357" s="408">
        <v>0</v>
      </c>
      <c r="FH357" s="408">
        <v>0</v>
      </c>
      <c r="FI357" s="408">
        <v>0</v>
      </c>
    </row>
    <row r="358" spans="1:165">
      <c r="A358" s="408">
        <v>362</v>
      </c>
      <c r="B358" s="408" t="s">
        <v>1036</v>
      </c>
      <c r="C358" s="408" t="s">
        <v>2243</v>
      </c>
      <c r="D358" s="408" t="s">
        <v>597</v>
      </c>
      <c r="E358" s="408" t="s">
        <v>970</v>
      </c>
      <c r="F358" s="408" t="s">
        <v>1322</v>
      </c>
      <c r="G358" s="408" t="s">
        <v>1322</v>
      </c>
      <c r="H358" s="408" t="s">
        <v>1322</v>
      </c>
      <c r="I358" s="408" t="s">
        <v>1322</v>
      </c>
      <c r="J358" s="408" t="s">
        <v>2236</v>
      </c>
      <c r="K358" s="824">
        <v>44562</v>
      </c>
      <c r="L358" s="408">
        <v>1772</v>
      </c>
      <c r="M358" s="408">
        <v>1772</v>
      </c>
      <c r="N358" s="408">
        <v>0</v>
      </c>
      <c r="O358" s="408">
        <v>0</v>
      </c>
      <c r="P358" s="408">
        <v>0</v>
      </c>
      <c r="Q358" s="408">
        <v>0</v>
      </c>
      <c r="R358" s="408">
        <v>44.35</v>
      </c>
      <c r="S358" s="408"/>
      <c r="T358" s="408"/>
      <c r="U358" s="408">
        <v>78588.2</v>
      </c>
      <c r="V358" s="408"/>
      <c r="W358" s="408">
        <v>78588.2</v>
      </c>
      <c r="X358" s="408">
        <v>51334.84</v>
      </c>
      <c r="Y358" s="408">
        <v>0</v>
      </c>
      <c r="Z358" s="408">
        <v>0</v>
      </c>
      <c r="AA358" s="408">
        <v>0</v>
      </c>
      <c r="AB358" s="408">
        <v>0</v>
      </c>
      <c r="AC358" s="408">
        <v>0</v>
      </c>
      <c r="AD358" s="408">
        <v>23252.29685528715</v>
      </c>
      <c r="AE358" s="408">
        <v>50888.023618341911</v>
      </c>
      <c r="AF358" s="408"/>
      <c r="AG358" s="408"/>
      <c r="AH358" s="408"/>
      <c r="AI358" s="408">
        <v>0</v>
      </c>
      <c r="AJ358" s="408">
        <v>0</v>
      </c>
      <c r="AK358" s="408">
        <v>0</v>
      </c>
      <c r="AL358" s="408">
        <v>0</v>
      </c>
      <c r="AM358" s="408"/>
      <c r="AN358" s="408">
        <v>0</v>
      </c>
      <c r="AO358" s="408">
        <v>1757.3290656232334</v>
      </c>
      <c r="AP358" s="408">
        <v>2688.6403491192418</v>
      </c>
      <c r="AQ358" s="408">
        <v>0</v>
      </c>
      <c r="AR358" s="408">
        <v>0</v>
      </c>
      <c r="AS358" s="408"/>
      <c r="AT358" s="408"/>
      <c r="AU358" s="408">
        <v>0</v>
      </c>
      <c r="AV358" s="408">
        <v>0</v>
      </c>
      <c r="AW358" s="408">
        <v>0</v>
      </c>
      <c r="AX358" s="408"/>
      <c r="AY358" s="408"/>
      <c r="AZ358" s="408">
        <v>0</v>
      </c>
      <c r="BA358" s="408"/>
      <c r="BB358" s="408">
        <v>0</v>
      </c>
      <c r="BC358" s="408">
        <v>0</v>
      </c>
      <c r="BD358" s="408">
        <v>0</v>
      </c>
      <c r="BE358" s="408">
        <v>0</v>
      </c>
      <c r="BF358" s="408"/>
      <c r="BG358" s="408">
        <v>0</v>
      </c>
      <c r="BH358" s="408">
        <v>0</v>
      </c>
      <c r="BI358" s="408">
        <v>639.01</v>
      </c>
      <c r="BJ358" s="408">
        <v>2921.38</v>
      </c>
      <c r="BK358" s="408">
        <v>45926.5</v>
      </c>
      <c r="BL358" s="408">
        <v>7</v>
      </c>
      <c r="BM358" s="408"/>
      <c r="BN358" s="408"/>
      <c r="BO358" s="408"/>
      <c r="BP358" s="408"/>
      <c r="BQ358" s="408"/>
      <c r="BR358" s="408"/>
      <c r="BS358" s="408"/>
      <c r="BT358" s="408"/>
      <c r="BU358" s="408"/>
      <c r="BV358" s="408">
        <v>0</v>
      </c>
      <c r="BW358" s="408"/>
      <c r="BX358" s="408"/>
      <c r="BY358" s="408"/>
      <c r="BZ358" s="408"/>
      <c r="CA358" s="408"/>
      <c r="CB358" s="408"/>
      <c r="CC358" s="408"/>
      <c r="CD358" s="408"/>
      <c r="CE358" s="408"/>
      <c r="CF358" s="408"/>
      <c r="CG358" s="408"/>
      <c r="CH358" s="408"/>
      <c r="CI358" s="408">
        <v>51334.84</v>
      </c>
      <c r="CJ358" s="408">
        <v>-27253.389999999985</v>
      </c>
      <c r="CK358" s="408"/>
      <c r="CL358" s="408"/>
      <c r="CM358" s="408"/>
      <c r="CN358" s="408"/>
      <c r="CO358" s="408">
        <v>-27253.360000000004</v>
      </c>
      <c r="CP358" s="408">
        <v>0</v>
      </c>
      <c r="CQ358" s="408">
        <v>31</v>
      </c>
      <c r="CR358" s="408">
        <v>1299.0378882613441</v>
      </c>
      <c r="CS358" s="408">
        <v>212.16590635099124</v>
      </c>
      <c r="CT358" s="408">
        <v>324.60500863589277</v>
      </c>
      <c r="CU358" s="408">
        <v>0</v>
      </c>
      <c r="CV358" s="408">
        <v>0</v>
      </c>
      <c r="CW358" s="408"/>
      <c r="CX358" s="408"/>
      <c r="CY358" s="408"/>
      <c r="CZ358" s="408">
        <v>762.26697327446163</v>
      </c>
      <c r="DA358" s="408">
        <v>0</v>
      </c>
      <c r="DB358" s="408">
        <v>0</v>
      </c>
      <c r="DC358" s="408"/>
      <c r="DD358" s="408"/>
      <c r="DE358" s="408">
        <v>0</v>
      </c>
      <c r="DF358" s="408">
        <v>0</v>
      </c>
      <c r="DG358" s="408">
        <v>0</v>
      </c>
      <c r="DH358" s="408">
        <v>0</v>
      </c>
      <c r="DI358" s="408">
        <v>0</v>
      </c>
      <c r="DJ358" s="408"/>
      <c r="DK358" s="408">
        <v>0</v>
      </c>
      <c r="DL358" s="408">
        <v>0</v>
      </c>
      <c r="DM358" s="408"/>
      <c r="DN358" s="408">
        <v>0</v>
      </c>
      <c r="DO358" s="408">
        <v>0</v>
      </c>
      <c r="DP358" s="408">
        <v>0</v>
      </c>
      <c r="DQ358" s="408">
        <v>0</v>
      </c>
      <c r="DR358" s="408">
        <v>0</v>
      </c>
      <c r="DS358" s="408"/>
      <c r="DT358" s="408"/>
      <c r="DU358" s="408">
        <v>50888.023618341911</v>
      </c>
      <c r="DV358" s="408"/>
      <c r="DW358" s="408">
        <v>0</v>
      </c>
      <c r="DX358" s="408">
        <v>0</v>
      </c>
      <c r="DY358" s="408">
        <v>-27253.360000000001</v>
      </c>
      <c r="DZ358" s="408"/>
      <c r="EA358" s="408">
        <v>0</v>
      </c>
      <c r="EB358" s="408"/>
      <c r="EC358" s="408">
        <v>-28547.657062297461</v>
      </c>
      <c r="ED358" s="408"/>
      <c r="EE358" s="408">
        <v>0</v>
      </c>
      <c r="EF358" s="408">
        <v>0</v>
      </c>
      <c r="EG358" s="408"/>
      <c r="EH358" s="408">
        <v>0</v>
      </c>
      <c r="EI358" s="408">
        <v>0</v>
      </c>
      <c r="EJ358" s="408">
        <v>0</v>
      </c>
      <c r="EK358" s="408">
        <v>0</v>
      </c>
      <c r="EL358" s="408">
        <v>0</v>
      </c>
      <c r="EM358" s="408"/>
      <c r="EN358" s="408"/>
      <c r="EO358" s="408">
        <v>0</v>
      </c>
      <c r="EP358" s="408">
        <v>0</v>
      </c>
      <c r="EQ358" s="408"/>
      <c r="ER358" s="408">
        <v>0</v>
      </c>
      <c r="ES358" s="408"/>
      <c r="ET358" s="408">
        <v>0</v>
      </c>
      <c r="EU358" s="408"/>
      <c r="EV358" s="408">
        <v>238</v>
      </c>
      <c r="EW358" s="408"/>
      <c r="EX358" s="408"/>
      <c r="EY358" s="408"/>
      <c r="EZ358" s="408"/>
      <c r="FA358" s="408">
        <v>0</v>
      </c>
      <c r="FB358" s="408"/>
      <c r="FC358" s="408"/>
      <c r="FD358" s="408"/>
      <c r="FE358" s="408"/>
      <c r="FF358" s="408">
        <v>0</v>
      </c>
      <c r="FG358" s="408">
        <v>0</v>
      </c>
      <c r="FH358" s="408">
        <v>0</v>
      </c>
      <c r="FI358" s="408">
        <v>0</v>
      </c>
    </row>
    <row r="359" spans="1:165">
      <c r="A359" s="408">
        <v>363</v>
      </c>
      <c r="B359" s="408" t="s">
        <v>1036</v>
      </c>
      <c r="C359" s="408" t="s">
        <v>2235</v>
      </c>
      <c r="D359" s="408" t="s">
        <v>1958</v>
      </c>
      <c r="E359" s="408" t="s">
        <v>998</v>
      </c>
      <c r="F359" s="408" t="s">
        <v>1322</v>
      </c>
      <c r="G359" s="408" t="s">
        <v>1322</v>
      </c>
      <c r="H359" s="408" t="s">
        <v>1322</v>
      </c>
      <c r="I359" s="408" t="s">
        <v>1322</v>
      </c>
      <c r="J359" s="408" t="s">
        <v>2236</v>
      </c>
      <c r="K359" s="824">
        <v>44562</v>
      </c>
      <c r="L359" s="408">
        <v>0</v>
      </c>
      <c r="M359" s="408">
        <v>0</v>
      </c>
      <c r="N359" s="408">
        <v>510.64499999999998</v>
      </c>
      <c r="O359" s="408">
        <v>510.64499999999998</v>
      </c>
      <c r="P359" s="408">
        <v>510.64499999999998</v>
      </c>
      <c r="Q359" s="408">
        <v>510.64499999999998</v>
      </c>
      <c r="R359" s="408"/>
      <c r="S359" s="408">
        <v>581.32000000000005</v>
      </c>
      <c r="T359" s="408">
        <v>209.4</v>
      </c>
      <c r="U359" s="408"/>
      <c r="V359" s="408">
        <v>403777.21440000006</v>
      </c>
      <c r="W359" s="408">
        <v>403777.21440000006</v>
      </c>
      <c r="X359" s="408">
        <v>308465.32514999999</v>
      </c>
      <c r="Y359" s="408">
        <v>0</v>
      </c>
      <c r="Z359" s="408">
        <v>31424.024763427828</v>
      </c>
      <c r="AA359" s="408">
        <v>0</v>
      </c>
      <c r="AB359" s="408">
        <v>0</v>
      </c>
      <c r="AC359" s="408">
        <v>0</v>
      </c>
      <c r="AD359" s="408">
        <v>37885.337134258691</v>
      </c>
      <c r="AE359" s="408">
        <v>196805.29548996742</v>
      </c>
      <c r="AF359" s="408">
        <v>105525.17008445796</v>
      </c>
      <c r="AG359" s="408">
        <v>1405.7877941377506</v>
      </c>
      <c r="AH359" s="408">
        <v>0</v>
      </c>
      <c r="AI359" s="408">
        <v>0</v>
      </c>
      <c r="AJ359" s="408">
        <v>0</v>
      </c>
      <c r="AK359" s="408">
        <v>0</v>
      </c>
      <c r="AL359" s="408">
        <v>4856.030532074662</v>
      </c>
      <c r="AM359" s="408"/>
      <c r="AN359" s="408">
        <v>930.88761305643322</v>
      </c>
      <c r="AO359" s="408">
        <v>2910.4113603806159</v>
      </c>
      <c r="AP359" s="408">
        <v>4383.9843324837047</v>
      </c>
      <c r="AQ359" s="408">
        <v>0</v>
      </c>
      <c r="AR359" s="408">
        <v>0</v>
      </c>
      <c r="AS359" s="408">
        <v>0</v>
      </c>
      <c r="AT359" s="408">
        <v>0</v>
      </c>
      <c r="AU359" s="408">
        <v>0</v>
      </c>
      <c r="AV359" s="408">
        <v>0</v>
      </c>
      <c r="AW359" s="408">
        <v>0</v>
      </c>
      <c r="AX359" s="408">
        <v>0</v>
      </c>
      <c r="AY359" s="408">
        <v>0</v>
      </c>
      <c r="AZ359" s="408">
        <v>0</v>
      </c>
      <c r="BA359" s="408"/>
      <c r="BB359" s="408">
        <v>0</v>
      </c>
      <c r="BC359" s="408">
        <v>0</v>
      </c>
      <c r="BD359" s="408">
        <v>0</v>
      </c>
      <c r="BE359" s="408">
        <v>0</v>
      </c>
      <c r="BF359" s="408">
        <v>0</v>
      </c>
      <c r="BG359" s="408">
        <v>17654.163686123888</v>
      </c>
      <c r="BH359" s="408">
        <v>0</v>
      </c>
      <c r="BI359" s="408">
        <v>1079.94</v>
      </c>
      <c r="BJ359" s="408">
        <v>4953.63</v>
      </c>
      <c r="BK359" s="408">
        <v>128997.1</v>
      </c>
      <c r="BL359" s="408">
        <v>823</v>
      </c>
      <c r="BM359" s="408"/>
      <c r="BN359" s="408"/>
      <c r="BO359" s="408"/>
      <c r="BP359" s="408"/>
      <c r="BQ359" s="408"/>
      <c r="BR359" s="408"/>
      <c r="BS359" s="408"/>
      <c r="BT359" s="408"/>
      <c r="BU359" s="408"/>
      <c r="BV359" s="408">
        <v>123179.33377058184</v>
      </c>
      <c r="BW359" s="408"/>
      <c r="BX359" s="408"/>
      <c r="BY359" s="408"/>
      <c r="BZ359" s="408"/>
      <c r="CA359" s="408"/>
      <c r="CB359" s="408"/>
      <c r="CC359" s="408"/>
      <c r="CD359" s="408"/>
      <c r="CE359" s="408"/>
      <c r="CF359" s="408"/>
      <c r="CG359" s="408"/>
      <c r="CH359" s="408"/>
      <c r="CI359" s="408">
        <v>308468.3455</v>
      </c>
      <c r="CJ359" s="408">
        <v>-95308.898900000087</v>
      </c>
      <c r="CK359" s="408"/>
      <c r="CL359" s="408"/>
      <c r="CM359" s="408"/>
      <c r="CN359" s="408"/>
      <c r="CO359" s="408">
        <v>-106969.91460000003</v>
      </c>
      <c r="CP359" s="408">
        <v>11658.025349999991</v>
      </c>
      <c r="CQ359" s="408">
        <v>31</v>
      </c>
      <c r="CR359" s="408">
        <v>15086.42985824807</v>
      </c>
      <c r="CS359" s="408">
        <v>351.37987313172471</v>
      </c>
      <c r="CT359" s="408">
        <v>529.28733014501267</v>
      </c>
      <c r="CU359" s="408">
        <v>0</v>
      </c>
      <c r="CV359" s="408">
        <v>0</v>
      </c>
      <c r="CW359" s="408">
        <v>0</v>
      </c>
      <c r="CX359" s="408">
        <v>0</v>
      </c>
      <c r="CY359" s="408">
        <v>0</v>
      </c>
      <c r="CZ359" s="408">
        <v>1241.9737047286471</v>
      </c>
      <c r="DA359" s="408">
        <v>0</v>
      </c>
      <c r="DB359" s="408">
        <v>0</v>
      </c>
      <c r="DC359" s="408">
        <v>11654.4937937051</v>
      </c>
      <c r="DD359" s="408">
        <v>0</v>
      </c>
      <c r="DE359" s="408">
        <v>0</v>
      </c>
      <c r="DF359" s="408">
        <v>0</v>
      </c>
      <c r="DG359" s="408">
        <v>1949.775024748149</v>
      </c>
      <c r="DH359" s="408">
        <v>0</v>
      </c>
      <c r="DI359" s="408">
        <v>-547.78745964472182</v>
      </c>
      <c r="DJ359" s="408"/>
      <c r="DK359" s="408">
        <v>0</v>
      </c>
      <c r="DL359" s="408">
        <v>0</v>
      </c>
      <c r="DM359" s="408">
        <v>0</v>
      </c>
      <c r="DN359" s="408">
        <v>0</v>
      </c>
      <c r="DO359" s="408">
        <v>-71.16984780785242</v>
      </c>
      <c r="DP359" s="408">
        <v>-21.522560757987435</v>
      </c>
      <c r="DQ359" s="408">
        <v>0</v>
      </c>
      <c r="DR359" s="408">
        <v>0</v>
      </c>
      <c r="DS359" s="408"/>
      <c r="DT359" s="408"/>
      <c r="DU359" s="408"/>
      <c r="DV359" s="408">
        <v>196805.29548996742</v>
      </c>
      <c r="DW359" s="408">
        <v>0</v>
      </c>
      <c r="DX359" s="408">
        <v>0</v>
      </c>
      <c r="DY359" s="408">
        <v>-106969.91460000005</v>
      </c>
      <c r="DZ359" s="408">
        <v>11658.025349999996</v>
      </c>
      <c r="EA359" s="408">
        <v>0</v>
      </c>
      <c r="EB359" s="408">
        <v>0</v>
      </c>
      <c r="EC359" s="408">
        <v>-110405.74351696087</v>
      </c>
      <c r="ED359" s="408">
        <v>0</v>
      </c>
      <c r="EE359" s="408">
        <v>0</v>
      </c>
      <c r="EF359" s="408">
        <v>0</v>
      </c>
      <c r="EG359" s="408">
        <v>0</v>
      </c>
      <c r="EH359" s="408">
        <v>0</v>
      </c>
      <c r="EI359" s="408">
        <v>0</v>
      </c>
      <c r="EJ359" s="408">
        <v>0</v>
      </c>
      <c r="EK359" s="408">
        <v>0</v>
      </c>
      <c r="EL359" s="408">
        <v>0</v>
      </c>
      <c r="EM359" s="408">
        <v>0</v>
      </c>
      <c r="EN359" s="408">
        <v>0</v>
      </c>
      <c r="EO359" s="408">
        <v>0</v>
      </c>
      <c r="EP359" s="408">
        <v>0</v>
      </c>
      <c r="EQ359" s="408">
        <v>0</v>
      </c>
      <c r="ER359" s="408">
        <v>0</v>
      </c>
      <c r="ES359" s="408">
        <v>0</v>
      </c>
      <c r="ET359" s="408">
        <v>0</v>
      </c>
      <c r="EU359" s="408">
        <v>0</v>
      </c>
      <c r="EV359" s="408">
        <v>238</v>
      </c>
      <c r="EW359" s="408">
        <v>0</v>
      </c>
      <c r="EX359" s="408">
        <v>0</v>
      </c>
      <c r="EY359" s="408">
        <v>0</v>
      </c>
      <c r="EZ359" s="408"/>
      <c r="FA359" s="408">
        <v>0</v>
      </c>
      <c r="FB359" s="408"/>
      <c r="FC359" s="408"/>
      <c r="FD359" s="408"/>
      <c r="FE359" s="408"/>
      <c r="FF359" s="408">
        <v>0</v>
      </c>
      <c r="FG359" s="408">
        <v>0</v>
      </c>
      <c r="FH359" s="408">
        <v>0</v>
      </c>
      <c r="FI359" s="408">
        <v>0</v>
      </c>
    </row>
    <row r="360" spans="1:165">
      <c r="A360" s="408">
        <v>364</v>
      </c>
      <c r="B360" s="408" t="s">
        <v>2238</v>
      </c>
      <c r="C360" s="408" t="s">
        <v>2235</v>
      </c>
      <c r="D360" s="408" t="s">
        <v>1958</v>
      </c>
      <c r="E360" s="408" t="s">
        <v>998</v>
      </c>
      <c r="F360" s="408" t="s">
        <v>1322</v>
      </c>
      <c r="G360" s="408" t="s">
        <v>1322</v>
      </c>
      <c r="H360" s="408" t="s">
        <v>1322</v>
      </c>
      <c r="I360" s="408" t="s">
        <v>1322</v>
      </c>
      <c r="J360" s="408" t="s">
        <v>2236</v>
      </c>
      <c r="K360" s="824">
        <v>44562</v>
      </c>
      <c r="L360" s="408">
        <v>0</v>
      </c>
      <c r="M360" s="408">
        <v>0</v>
      </c>
      <c r="N360" s="408">
        <v>48.195999999999998</v>
      </c>
      <c r="O360" s="408">
        <v>48.195999999999998</v>
      </c>
      <c r="P360" s="408">
        <v>48.195999999999998</v>
      </c>
      <c r="Q360" s="408">
        <v>48.195999999999998</v>
      </c>
      <c r="R360" s="408"/>
      <c r="S360" s="408">
        <v>581.32000000000005</v>
      </c>
      <c r="T360" s="408">
        <v>209.4</v>
      </c>
      <c r="U360" s="408"/>
      <c r="V360" s="408">
        <v>38109.541120000002</v>
      </c>
      <c r="W360" s="408">
        <v>38109.541120000002</v>
      </c>
      <c r="X360" s="408">
        <v>29113.757719999998</v>
      </c>
      <c r="Y360" s="408">
        <v>0</v>
      </c>
      <c r="Z360" s="408">
        <v>2965.8809887459342</v>
      </c>
      <c r="AA360" s="408">
        <v>0</v>
      </c>
      <c r="AB360" s="408">
        <v>0</v>
      </c>
      <c r="AC360" s="408">
        <v>0</v>
      </c>
      <c r="AD360" s="408">
        <v>3575.7164145790753</v>
      </c>
      <c r="AE360" s="408">
        <v>18574.994411840849</v>
      </c>
      <c r="AF360" s="408">
        <v>9959.73934414424</v>
      </c>
      <c r="AG360" s="408">
        <v>132.68189941400195</v>
      </c>
      <c r="AH360" s="408">
        <v>0</v>
      </c>
      <c r="AI360" s="408">
        <v>0</v>
      </c>
      <c r="AJ360" s="408">
        <v>0</v>
      </c>
      <c r="AK360" s="408">
        <v>0</v>
      </c>
      <c r="AL360" s="408">
        <v>458.32476088842617</v>
      </c>
      <c r="AM360" s="408"/>
      <c r="AN360" s="408">
        <v>87.859588165688209</v>
      </c>
      <c r="AO360" s="408">
        <v>274.69217543480141</v>
      </c>
      <c r="AP360" s="408">
        <v>413.77181581800397</v>
      </c>
      <c r="AQ360" s="408">
        <v>0</v>
      </c>
      <c r="AR360" s="408">
        <v>0</v>
      </c>
      <c r="AS360" s="408">
        <v>0</v>
      </c>
      <c r="AT360" s="408">
        <v>0</v>
      </c>
      <c r="AU360" s="408">
        <v>0</v>
      </c>
      <c r="AV360" s="408">
        <v>0</v>
      </c>
      <c r="AW360" s="408">
        <v>0</v>
      </c>
      <c r="AX360" s="408">
        <v>0</v>
      </c>
      <c r="AY360" s="408">
        <v>0</v>
      </c>
      <c r="AZ360" s="408">
        <v>0</v>
      </c>
      <c r="BA360" s="408"/>
      <c r="BB360" s="408">
        <v>0</v>
      </c>
      <c r="BC360" s="408">
        <v>0</v>
      </c>
      <c r="BD360" s="408">
        <v>0</v>
      </c>
      <c r="BE360" s="408">
        <v>0</v>
      </c>
      <c r="BF360" s="408">
        <v>0</v>
      </c>
      <c r="BG360" s="408">
        <v>1666.2457735147252</v>
      </c>
      <c r="BH360" s="408">
        <v>0</v>
      </c>
      <c r="BI360" s="408">
        <v>107.27</v>
      </c>
      <c r="BJ360" s="408">
        <v>491.74</v>
      </c>
      <c r="BK360" s="408">
        <v>29450.87</v>
      </c>
      <c r="BL360" s="408">
        <v>84</v>
      </c>
      <c r="BM360" s="408"/>
      <c r="BN360" s="408"/>
      <c r="BO360" s="408"/>
      <c r="BP360" s="408"/>
      <c r="BQ360" s="408"/>
      <c r="BR360" s="408"/>
      <c r="BS360" s="408"/>
      <c r="BT360" s="408"/>
      <c r="BU360" s="408"/>
      <c r="BV360" s="408">
        <v>11625.985117658965</v>
      </c>
      <c r="BW360" s="408"/>
      <c r="BX360" s="408"/>
      <c r="BY360" s="408"/>
      <c r="BZ360" s="408"/>
      <c r="CA360" s="408"/>
      <c r="CB360" s="408"/>
      <c r="CC360" s="408"/>
      <c r="CD360" s="408"/>
      <c r="CE360" s="408"/>
      <c r="CF360" s="408"/>
      <c r="CG360" s="408"/>
      <c r="CH360" s="408"/>
      <c r="CI360" s="408">
        <v>29116.173999999999</v>
      </c>
      <c r="CJ360" s="408">
        <v>-8993.3971200000015</v>
      </c>
      <c r="CK360" s="408"/>
      <c r="CL360" s="408"/>
      <c r="CM360" s="408"/>
      <c r="CN360" s="408"/>
      <c r="CO360" s="408">
        <v>-10096.098080000003</v>
      </c>
      <c r="CP360" s="408">
        <v>1100.3146799999993</v>
      </c>
      <c r="CQ360" s="408">
        <v>31</v>
      </c>
      <c r="CR360" s="408">
        <v>1423.8963926957549</v>
      </c>
      <c r="CS360" s="408">
        <v>33.164144102961131</v>
      </c>
      <c r="CT360" s="408">
        <v>49.955511487763545</v>
      </c>
      <c r="CU360" s="408">
        <v>0</v>
      </c>
      <c r="CV360" s="408">
        <v>0</v>
      </c>
      <c r="CW360" s="408">
        <v>0</v>
      </c>
      <c r="CX360" s="408">
        <v>0</v>
      </c>
      <c r="CY360" s="408">
        <v>0</v>
      </c>
      <c r="CZ360" s="408">
        <v>117.22070062979537</v>
      </c>
      <c r="DA360" s="408">
        <v>0</v>
      </c>
      <c r="DB360" s="408">
        <v>0</v>
      </c>
      <c r="DC360" s="408">
        <v>1099.9813625540464</v>
      </c>
      <c r="DD360" s="408">
        <v>0</v>
      </c>
      <c r="DE360" s="408">
        <v>0</v>
      </c>
      <c r="DF360" s="408">
        <v>0</v>
      </c>
      <c r="DG360" s="408">
        <v>184.02482564748857</v>
      </c>
      <c r="DH360" s="408">
        <v>0</v>
      </c>
      <c r="DI360" s="408">
        <v>-51.701601709675288</v>
      </c>
      <c r="DJ360" s="408"/>
      <c r="DK360" s="408">
        <v>0</v>
      </c>
      <c r="DL360" s="408">
        <v>0</v>
      </c>
      <c r="DM360" s="408">
        <v>0</v>
      </c>
      <c r="DN360" s="408">
        <v>0</v>
      </c>
      <c r="DO360" s="408">
        <v>-6.7171948906720331</v>
      </c>
      <c r="DP360" s="408">
        <v>-2.0313551259523877</v>
      </c>
      <c r="DQ360" s="408">
        <v>0</v>
      </c>
      <c r="DR360" s="408">
        <v>0</v>
      </c>
      <c r="DS360" s="408"/>
      <c r="DT360" s="408"/>
      <c r="DU360" s="408"/>
      <c r="DV360" s="408">
        <v>18574.994411840849</v>
      </c>
      <c r="DW360" s="408">
        <v>0</v>
      </c>
      <c r="DX360" s="408">
        <v>0</v>
      </c>
      <c r="DY360" s="408">
        <v>-10096.098080000003</v>
      </c>
      <c r="DZ360" s="408">
        <v>1100.3146799999995</v>
      </c>
      <c r="EA360" s="408">
        <v>0</v>
      </c>
      <c r="EB360" s="408">
        <v>0</v>
      </c>
      <c r="EC360" s="408">
        <v>-10420.380527653157</v>
      </c>
      <c r="ED360" s="408">
        <v>0</v>
      </c>
      <c r="EE360" s="408">
        <v>0</v>
      </c>
      <c r="EF360" s="408">
        <v>0</v>
      </c>
      <c r="EG360" s="408">
        <v>0</v>
      </c>
      <c r="EH360" s="408">
        <v>0</v>
      </c>
      <c r="EI360" s="408">
        <v>0</v>
      </c>
      <c r="EJ360" s="408">
        <v>0</v>
      </c>
      <c r="EK360" s="408">
        <v>0</v>
      </c>
      <c r="EL360" s="408">
        <v>0</v>
      </c>
      <c r="EM360" s="408">
        <v>0</v>
      </c>
      <c r="EN360" s="408">
        <v>0</v>
      </c>
      <c r="EO360" s="408">
        <v>0</v>
      </c>
      <c r="EP360" s="408">
        <v>0</v>
      </c>
      <c r="EQ360" s="408">
        <v>0</v>
      </c>
      <c r="ER360" s="408">
        <v>0</v>
      </c>
      <c r="ES360" s="408">
        <v>0</v>
      </c>
      <c r="ET360" s="408">
        <v>0</v>
      </c>
      <c r="EU360" s="408">
        <v>0</v>
      </c>
      <c r="EV360" s="408">
        <v>238</v>
      </c>
      <c r="EW360" s="408">
        <v>0</v>
      </c>
      <c r="EX360" s="408">
        <v>0</v>
      </c>
      <c r="EY360" s="408">
        <v>0</v>
      </c>
      <c r="EZ360" s="408"/>
      <c r="FA360" s="408">
        <v>0</v>
      </c>
      <c r="FB360" s="408"/>
      <c r="FC360" s="408"/>
      <c r="FD360" s="408"/>
      <c r="FE360" s="408"/>
      <c r="FF360" s="408">
        <v>0</v>
      </c>
      <c r="FG360" s="408">
        <v>0</v>
      </c>
      <c r="FH360" s="408">
        <v>0</v>
      </c>
      <c r="FI360" s="408">
        <v>0</v>
      </c>
    </row>
    <row r="361" spans="1:165">
      <c r="A361" s="408">
        <v>365</v>
      </c>
      <c r="B361" s="408" t="s">
        <v>2238</v>
      </c>
      <c r="C361" s="408" t="s">
        <v>2235</v>
      </c>
      <c r="D361" s="408" t="s">
        <v>1958</v>
      </c>
      <c r="E361" s="408" t="s">
        <v>998</v>
      </c>
      <c r="F361" s="408" t="s">
        <v>1322</v>
      </c>
      <c r="G361" s="408" t="s">
        <v>1322</v>
      </c>
      <c r="H361" s="408" t="s">
        <v>1322</v>
      </c>
      <c r="I361" s="408" t="s">
        <v>1322</v>
      </c>
      <c r="J361" s="408" t="s">
        <v>2236</v>
      </c>
      <c r="K361" s="824">
        <v>44562</v>
      </c>
      <c r="L361" s="408">
        <v>0</v>
      </c>
      <c r="M361" s="408">
        <v>0</v>
      </c>
      <c r="N361" s="408">
        <v>-4.3639999999999999</v>
      </c>
      <c r="O361" s="408">
        <v>-4.3639999999999999</v>
      </c>
      <c r="P361" s="408">
        <v>-4.3639999999999999</v>
      </c>
      <c r="Q361" s="408">
        <v>-4.3639999999999999</v>
      </c>
      <c r="R361" s="408"/>
      <c r="S361" s="408">
        <v>581.32000000000005</v>
      </c>
      <c r="T361" s="408">
        <v>209.4</v>
      </c>
      <c r="U361" s="408"/>
      <c r="V361" s="408">
        <v>-3450.70208</v>
      </c>
      <c r="W361" s="408">
        <v>-3450.70208</v>
      </c>
      <c r="X361" s="408">
        <v>-2636.1614799999998</v>
      </c>
      <c r="Y361" s="408">
        <v>0</v>
      </c>
      <c r="Z361" s="408">
        <v>-268.55142822821927</v>
      </c>
      <c r="AA361" s="408">
        <v>0</v>
      </c>
      <c r="AB361" s="408">
        <v>0</v>
      </c>
      <c r="AC361" s="408">
        <v>0</v>
      </c>
      <c r="AD361" s="408">
        <v>-323.77015588893443</v>
      </c>
      <c r="AE361" s="408">
        <v>-1681.9087810870915</v>
      </c>
      <c r="AF361" s="408">
        <v>-901.82385463203309</v>
      </c>
      <c r="AG361" s="408">
        <v>-12.01393910371617</v>
      </c>
      <c r="AH361" s="408">
        <v>0</v>
      </c>
      <c r="AI361" s="408">
        <v>0</v>
      </c>
      <c r="AJ361" s="408">
        <v>0</v>
      </c>
      <c r="AK361" s="408">
        <v>0</v>
      </c>
      <c r="AL361" s="408">
        <v>-41.49990157932384</v>
      </c>
      <c r="AM361" s="408"/>
      <c r="AN361" s="408">
        <v>-7.9554162742771881</v>
      </c>
      <c r="AO361" s="408">
        <v>-24.872534102362714</v>
      </c>
      <c r="AP361" s="408">
        <v>-37.465769031242623</v>
      </c>
      <c r="AQ361" s="408">
        <v>0</v>
      </c>
      <c r="AR361" s="408">
        <v>0</v>
      </c>
      <c r="AS361" s="408">
        <v>0</v>
      </c>
      <c r="AT361" s="408">
        <v>0</v>
      </c>
      <c r="AU361" s="408">
        <v>0</v>
      </c>
      <c r="AV361" s="408">
        <v>0</v>
      </c>
      <c r="AW361" s="408">
        <v>0</v>
      </c>
      <c r="AX361" s="408">
        <v>0</v>
      </c>
      <c r="AY361" s="408">
        <v>0</v>
      </c>
      <c r="AZ361" s="408">
        <v>0</v>
      </c>
      <c r="BA361" s="408"/>
      <c r="BB361" s="408">
        <v>0</v>
      </c>
      <c r="BC361" s="408">
        <v>0</v>
      </c>
      <c r="BD361" s="408">
        <v>0</v>
      </c>
      <c r="BE361" s="408">
        <v>0</v>
      </c>
      <c r="BF361" s="408">
        <v>0</v>
      </c>
      <c r="BG361" s="408">
        <v>-150.87344500826336</v>
      </c>
      <c r="BH361" s="408">
        <v>0</v>
      </c>
      <c r="BI361" s="408">
        <v>-11.44</v>
      </c>
      <c r="BJ361" s="408">
        <v>-52.6</v>
      </c>
      <c r="BK361" s="408">
        <v>-1759.15</v>
      </c>
      <c r="BL361" s="408">
        <v>2</v>
      </c>
      <c r="BM361" s="408"/>
      <c r="BN361" s="408"/>
      <c r="BO361" s="408"/>
      <c r="BP361" s="408"/>
      <c r="BQ361" s="408"/>
      <c r="BR361" s="408"/>
      <c r="BS361" s="408"/>
      <c r="BT361" s="408"/>
      <c r="BU361" s="408"/>
      <c r="BV361" s="408">
        <v>-1052.6972996402965</v>
      </c>
      <c r="BW361" s="408"/>
      <c r="BX361" s="408"/>
      <c r="BY361" s="408"/>
      <c r="BZ361" s="408"/>
      <c r="CA361" s="408"/>
      <c r="CB361" s="408"/>
      <c r="CC361" s="408"/>
      <c r="CD361" s="408"/>
      <c r="CE361" s="408"/>
      <c r="CF361" s="408"/>
      <c r="CG361" s="408"/>
      <c r="CH361" s="408"/>
      <c r="CI361" s="408">
        <v>-2633.7452000000003</v>
      </c>
      <c r="CJ361" s="408">
        <v>816.92687999999907</v>
      </c>
      <c r="CK361" s="408"/>
      <c r="CL361" s="408"/>
      <c r="CM361" s="408"/>
      <c r="CN361" s="408"/>
      <c r="CO361" s="408">
        <v>914.1707200000003</v>
      </c>
      <c r="CP361" s="408">
        <v>-99.630119999999934</v>
      </c>
      <c r="CQ361" s="408">
        <v>31</v>
      </c>
      <c r="CR361" s="408">
        <v>-128.92945177450929</v>
      </c>
      <c r="CS361" s="408">
        <v>-3.0029115458818687</v>
      </c>
      <c r="CT361" s="408">
        <v>-4.5233183694207</v>
      </c>
      <c r="CU361" s="408">
        <v>0</v>
      </c>
      <c r="CV361" s="408">
        <v>0</v>
      </c>
      <c r="CW361" s="408">
        <v>0</v>
      </c>
      <c r="CX361" s="408">
        <v>0</v>
      </c>
      <c r="CY361" s="408">
        <v>0</v>
      </c>
      <c r="CZ361" s="408">
        <v>-10.613974967807053</v>
      </c>
      <c r="DA361" s="408">
        <v>0</v>
      </c>
      <c r="DB361" s="408">
        <v>0</v>
      </c>
      <c r="DC361" s="408">
        <v>-99.599939127434936</v>
      </c>
      <c r="DD361" s="408">
        <v>0</v>
      </c>
      <c r="DE361" s="408">
        <v>0</v>
      </c>
      <c r="DF361" s="408">
        <v>0</v>
      </c>
      <c r="DG361" s="408">
        <v>-16.662883623654238</v>
      </c>
      <c r="DH361" s="408">
        <v>0</v>
      </c>
      <c r="DI361" s="408">
        <v>4.6814214843767559</v>
      </c>
      <c r="DJ361" s="408"/>
      <c r="DK361" s="408">
        <v>0</v>
      </c>
      <c r="DL361" s="408">
        <v>0</v>
      </c>
      <c r="DM361" s="408">
        <v>0</v>
      </c>
      <c r="DN361" s="408">
        <v>0</v>
      </c>
      <c r="DO361" s="408">
        <v>0.60822139810134956</v>
      </c>
      <c r="DP361" s="408">
        <v>0.18393297721089397</v>
      </c>
      <c r="DQ361" s="408">
        <v>0</v>
      </c>
      <c r="DR361" s="408">
        <v>0</v>
      </c>
      <c r="DS361" s="408"/>
      <c r="DT361" s="408"/>
      <c r="DU361" s="408"/>
      <c r="DV361" s="408">
        <v>-1681.9087810870915</v>
      </c>
      <c r="DW361" s="408">
        <v>0</v>
      </c>
      <c r="DX361" s="408">
        <v>0</v>
      </c>
      <c r="DY361" s="408">
        <v>914.17072000000053</v>
      </c>
      <c r="DZ361" s="408">
        <v>-99.63011999999992</v>
      </c>
      <c r="EA361" s="408">
        <v>0</v>
      </c>
      <c r="EB361" s="408">
        <v>0</v>
      </c>
      <c r="EC361" s="408">
        <v>943.53350117599746</v>
      </c>
      <c r="ED361" s="408">
        <v>0</v>
      </c>
      <c r="EE361" s="408">
        <v>0</v>
      </c>
      <c r="EF361" s="408">
        <v>0</v>
      </c>
      <c r="EG361" s="408">
        <v>0</v>
      </c>
      <c r="EH361" s="408">
        <v>0</v>
      </c>
      <c r="EI361" s="408">
        <v>0</v>
      </c>
      <c r="EJ361" s="408">
        <v>0</v>
      </c>
      <c r="EK361" s="408">
        <v>0</v>
      </c>
      <c r="EL361" s="408">
        <v>0</v>
      </c>
      <c r="EM361" s="408">
        <v>0</v>
      </c>
      <c r="EN361" s="408">
        <v>0</v>
      </c>
      <c r="EO361" s="408">
        <v>0</v>
      </c>
      <c r="EP361" s="408">
        <v>0</v>
      </c>
      <c r="EQ361" s="408">
        <v>0</v>
      </c>
      <c r="ER361" s="408">
        <v>0</v>
      </c>
      <c r="ES361" s="408">
        <v>0</v>
      </c>
      <c r="ET361" s="408">
        <v>0</v>
      </c>
      <c r="EU361" s="408">
        <v>0</v>
      </c>
      <c r="EV361" s="408">
        <v>238</v>
      </c>
      <c r="EW361" s="408">
        <v>0</v>
      </c>
      <c r="EX361" s="408">
        <v>0</v>
      </c>
      <c r="EY361" s="408">
        <v>0</v>
      </c>
      <c r="EZ361" s="408"/>
      <c r="FA361" s="408">
        <v>0</v>
      </c>
      <c r="FB361" s="408"/>
      <c r="FC361" s="408"/>
      <c r="FD361" s="408"/>
      <c r="FE361" s="408"/>
      <c r="FF361" s="408">
        <v>0</v>
      </c>
      <c r="FG361" s="408">
        <v>0</v>
      </c>
      <c r="FH361" s="408">
        <v>0</v>
      </c>
      <c r="FI361" s="408">
        <v>0</v>
      </c>
    </row>
    <row r="362" spans="1:165">
      <c r="A362" s="408">
        <v>366</v>
      </c>
      <c r="B362" s="408" t="s">
        <v>1036</v>
      </c>
      <c r="C362" s="408" t="s">
        <v>2243</v>
      </c>
      <c r="D362" s="408" t="s">
        <v>597</v>
      </c>
      <c r="E362" s="408" t="s">
        <v>998</v>
      </c>
      <c r="F362" s="408" t="s">
        <v>1322</v>
      </c>
      <c r="G362" s="408" t="s">
        <v>1322</v>
      </c>
      <c r="H362" s="408" t="s">
        <v>1322</v>
      </c>
      <c r="I362" s="408" t="s">
        <v>973</v>
      </c>
      <c r="J362" s="408" t="s">
        <v>2236</v>
      </c>
      <c r="K362" s="824">
        <v>44562</v>
      </c>
      <c r="L362" s="408">
        <v>0</v>
      </c>
      <c r="M362" s="408">
        <v>0</v>
      </c>
      <c r="N362" s="408">
        <v>44.05</v>
      </c>
      <c r="O362" s="408">
        <v>44.05</v>
      </c>
      <c r="P362" s="408">
        <v>44.05</v>
      </c>
      <c r="Q362" s="408">
        <v>44.05</v>
      </c>
      <c r="R362" s="408"/>
      <c r="S362" s="408">
        <v>1614.19</v>
      </c>
      <c r="T362" s="408">
        <v>209.4</v>
      </c>
      <c r="U362" s="408"/>
      <c r="V362" s="408">
        <v>80329.13949999999</v>
      </c>
      <c r="W362" s="408">
        <v>80329.13949999999</v>
      </c>
      <c r="X362" s="408">
        <v>53395.20749999999</v>
      </c>
      <c r="Y362" s="408">
        <v>0</v>
      </c>
      <c r="Z362" s="408">
        <v>2358.3479971824399</v>
      </c>
      <c r="AA362" s="408">
        <v>0</v>
      </c>
      <c r="AB362" s="408">
        <v>0</v>
      </c>
      <c r="AC362" s="408">
        <v>0</v>
      </c>
      <c r="AD362" s="408">
        <v>13717.962474653068</v>
      </c>
      <c r="AE362" s="408">
        <v>51222.952941070958</v>
      </c>
      <c r="AF362" s="408">
        <v>9102.9653520946504</v>
      </c>
      <c r="AG362" s="408">
        <v>121.26810667247875</v>
      </c>
      <c r="AH362" s="408">
        <v>0</v>
      </c>
      <c r="AI362" s="408">
        <v>0</v>
      </c>
      <c r="AJ362" s="408">
        <v>0</v>
      </c>
      <c r="AK362" s="408">
        <v>0</v>
      </c>
      <c r="AL362" s="408">
        <v>418.89795246773951</v>
      </c>
      <c r="AM362" s="408"/>
      <c r="AN362" s="408">
        <v>58.49154178978268</v>
      </c>
      <c r="AO362" s="408">
        <v>1065.7864626702233</v>
      </c>
      <c r="AP362" s="408">
        <v>1587.5049039024918</v>
      </c>
      <c r="AQ362" s="408">
        <v>0</v>
      </c>
      <c r="AR362" s="408">
        <v>0</v>
      </c>
      <c r="AS362" s="408">
        <v>0</v>
      </c>
      <c r="AT362" s="408">
        <v>0</v>
      </c>
      <c r="AU362" s="408">
        <v>0</v>
      </c>
      <c r="AV362" s="408">
        <v>0</v>
      </c>
      <c r="AW362" s="408">
        <v>0</v>
      </c>
      <c r="AX362" s="408">
        <v>0</v>
      </c>
      <c r="AY362" s="408">
        <v>0</v>
      </c>
      <c r="AZ362" s="408">
        <v>0</v>
      </c>
      <c r="BA362" s="408"/>
      <c r="BB362" s="408">
        <v>0</v>
      </c>
      <c r="BC362" s="408">
        <v>0</v>
      </c>
      <c r="BD362" s="408">
        <v>0</v>
      </c>
      <c r="BE362" s="408">
        <v>0</v>
      </c>
      <c r="BF362" s="408">
        <v>0</v>
      </c>
      <c r="BG362" s="408">
        <v>675.04142171176738</v>
      </c>
      <c r="BH362" s="408">
        <v>0</v>
      </c>
      <c r="BI362" s="408">
        <v>0</v>
      </c>
      <c r="BJ362" s="408">
        <v>0</v>
      </c>
      <c r="BK362" s="408">
        <v>0</v>
      </c>
      <c r="BL362" s="408">
        <v>0</v>
      </c>
      <c r="BM362" s="408"/>
      <c r="BN362" s="408"/>
      <c r="BO362" s="408"/>
      <c r="BP362" s="408"/>
      <c r="BQ362" s="408"/>
      <c r="BR362" s="408"/>
      <c r="BS362" s="408"/>
      <c r="BT362" s="408"/>
      <c r="BU362" s="408"/>
      <c r="BV362" s="408">
        <v>9778.0067738064172</v>
      </c>
      <c r="BW362" s="408"/>
      <c r="BX362" s="408"/>
      <c r="BY362" s="408"/>
      <c r="BZ362" s="408"/>
      <c r="CA362" s="408"/>
      <c r="CB362" s="408"/>
      <c r="CC362" s="408"/>
      <c r="CD362" s="408"/>
      <c r="CE362" s="408"/>
      <c r="CF362" s="408"/>
      <c r="CG362" s="408"/>
      <c r="CH362" s="408"/>
      <c r="CI362" s="408">
        <v>53395.20749999999</v>
      </c>
      <c r="CJ362" s="408">
        <v>-26933.961999999985</v>
      </c>
      <c r="CK362" s="408"/>
      <c r="CL362" s="408"/>
      <c r="CM362" s="408"/>
      <c r="CN362" s="408"/>
      <c r="CO362" s="408">
        <v>-27939.593500000003</v>
      </c>
      <c r="CP362" s="408">
        <v>1005.6614999999993</v>
      </c>
      <c r="CQ362" s="408">
        <v>31</v>
      </c>
      <c r="CR362" s="408">
        <v>1801.3530949800297</v>
      </c>
      <c r="CS362" s="408">
        <v>128.67456371857611</v>
      </c>
      <c r="CT362" s="408">
        <v>191.66269047833111</v>
      </c>
      <c r="CU362" s="408">
        <v>0</v>
      </c>
      <c r="CV362" s="408">
        <v>0</v>
      </c>
      <c r="CW362" s="408">
        <v>0</v>
      </c>
      <c r="CX362" s="408">
        <v>0</v>
      </c>
      <c r="CY362" s="408">
        <v>0</v>
      </c>
      <c r="CZ362" s="408">
        <v>449.70825033433539</v>
      </c>
      <c r="DA362" s="408">
        <v>0</v>
      </c>
      <c r="DB362" s="408">
        <v>0</v>
      </c>
      <c r="DC362" s="408">
        <v>1005.3568557661583</v>
      </c>
      <c r="DD362" s="408">
        <v>0</v>
      </c>
      <c r="DE362" s="408">
        <v>0</v>
      </c>
      <c r="DF362" s="408">
        <v>0</v>
      </c>
      <c r="DG362" s="408">
        <v>74.553455384501262</v>
      </c>
      <c r="DH362" s="408">
        <v>0</v>
      </c>
      <c r="DI362" s="408">
        <v>-41.111011974454414</v>
      </c>
      <c r="DJ362" s="408"/>
      <c r="DK362" s="408">
        <v>0</v>
      </c>
      <c r="DL362" s="408">
        <v>0</v>
      </c>
      <c r="DM362" s="408">
        <v>0</v>
      </c>
      <c r="DN362" s="408">
        <v>0</v>
      </c>
      <c r="DO362" s="408">
        <v>-6.1393566879845594</v>
      </c>
      <c r="DP362" s="408">
        <v>-1.3523520394324535</v>
      </c>
      <c r="DQ362" s="408">
        <v>0</v>
      </c>
      <c r="DR362" s="408">
        <v>0</v>
      </c>
      <c r="DS362" s="408"/>
      <c r="DT362" s="408"/>
      <c r="DU362" s="408"/>
      <c r="DV362" s="408">
        <v>51222.952941070958</v>
      </c>
      <c r="DW362" s="408">
        <v>0</v>
      </c>
      <c r="DX362" s="408">
        <v>0</v>
      </c>
      <c r="DY362" s="408">
        <v>-27939.593500000003</v>
      </c>
      <c r="DZ362" s="408">
        <v>1005.6614999999983</v>
      </c>
      <c r="EA362" s="408">
        <v>0</v>
      </c>
      <c r="EB362" s="408">
        <v>0</v>
      </c>
      <c r="EC362" s="408">
        <v>-28735.548962307021</v>
      </c>
      <c r="ED362" s="408">
        <v>0</v>
      </c>
      <c r="EE362" s="408">
        <v>0</v>
      </c>
      <c r="EF362" s="408">
        <v>0</v>
      </c>
      <c r="EG362" s="408">
        <v>0</v>
      </c>
      <c r="EH362" s="408">
        <v>0</v>
      </c>
      <c r="EI362" s="408">
        <v>0</v>
      </c>
      <c r="EJ362" s="408">
        <v>0</v>
      </c>
      <c r="EK362" s="408">
        <v>0</v>
      </c>
      <c r="EL362" s="408">
        <v>0</v>
      </c>
      <c r="EM362" s="408">
        <v>0</v>
      </c>
      <c r="EN362" s="408">
        <v>0</v>
      </c>
      <c r="EO362" s="408">
        <v>0</v>
      </c>
      <c r="EP362" s="408">
        <v>0</v>
      </c>
      <c r="EQ362" s="408">
        <v>0</v>
      </c>
      <c r="ER362" s="408">
        <v>0</v>
      </c>
      <c r="ES362" s="408">
        <v>0</v>
      </c>
      <c r="ET362" s="408">
        <v>0</v>
      </c>
      <c r="EU362" s="408">
        <v>0</v>
      </c>
      <c r="EV362" s="408">
        <v>238</v>
      </c>
      <c r="EW362" s="408">
        <v>0</v>
      </c>
      <c r="EX362" s="408">
        <v>0</v>
      </c>
      <c r="EY362" s="408">
        <v>0</v>
      </c>
      <c r="EZ362" s="408"/>
      <c r="FA362" s="408">
        <v>0</v>
      </c>
      <c r="FB362" s="408"/>
      <c r="FC362" s="408"/>
      <c r="FD362" s="408"/>
      <c r="FE362" s="408"/>
      <c r="FF362" s="408">
        <v>0</v>
      </c>
      <c r="FG362" s="408">
        <v>0</v>
      </c>
      <c r="FH362" s="408">
        <v>0</v>
      </c>
      <c r="FI362" s="408">
        <v>0</v>
      </c>
    </row>
    <row r="363" spans="1:165">
      <c r="A363" s="408">
        <v>367</v>
      </c>
      <c r="B363" s="408" t="s">
        <v>2238</v>
      </c>
      <c r="C363" s="408" t="s">
        <v>2243</v>
      </c>
      <c r="D363" s="408" t="s">
        <v>597</v>
      </c>
      <c r="E363" s="408" t="s">
        <v>998</v>
      </c>
      <c r="F363" s="408" t="s">
        <v>1322</v>
      </c>
      <c r="G363" s="408" t="s">
        <v>1322</v>
      </c>
      <c r="H363" s="408" t="s">
        <v>1322</v>
      </c>
      <c r="I363" s="408" t="s">
        <v>973</v>
      </c>
      <c r="J363" s="408" t="s">
        <v>2236</v>
      </c>
      <c r="K363" s="824">
        <v>44562</v>
      </c>
      <c r="L363" s="408">
        <v>0</v>
      </c>
      <c r="M363" s="408">
        <v>0</v>
      </c>
      <c r="N363" s="408">
        <v>2.67</v>
      </c>
      <c r="O363" s="408">
        <v>2.67</v>
      </c>
      <c r="P363" s="408">
        <v>2.67</v>
      </c>
      <c r="Q363" s="408">
        <v>2.67</v>
      </c>
      <c r="R363" s="408"/>
      <c r="S363" s="408">
        <v>1614.19</v>
      </c>
      <c r="T363" s="408">
        <v>209.4</v>
      </c>
      <c r="U363" s="408"/>
      <c r="V363" s="408">
        <v>4868.9853000000003</v>
      </c>
      <c r="W363" s="408">
        <v>4868.9853000000003</v>
      </c>
      <c r="X363" s="408">
        <v>3236.4404999999997</v>
      </c>
      <c r="Y363" s="408">
        <v>0</v>
      </c>
      <c r="Z363" s="408">
        <v>142.94640527757355</v>
      </c>
      <c r="AA363" s="408">
        <v>0</v>
      </c>
      <c r="AB363" s="408">
        <v>0</v>
      </c>
      <c r="AC363" s="408">
        <v>0</v>
      </c>
      <c r="AD363" s="408">
        <v>831.48603421847201</v>
      </c>
      <c r="AE363" s="408">
        <v>3104.7737651001012</v>
      </c>
      <c r="AF363" s="408">
        <v>551.75749126203675</v>
      </c>
      <c r="AG363" s="408">
        <v>7.3504164543817998</v>
      </c>
      <c r="AH363" s="408">
        <v>0</v>
      </c>
      <c r="AI363" s="408">
        <v>0</v>
      </c>
      <c r="AJ363" s="408">
        <v>0</v>
      </c>
      <c r="AK363" s="408">
        <v>0</v>
      </c>
      <c r="AL363" s="408">
        <v>25.390636392482737</v>
      </c>
      <c r="AM363" s="408"/>
      <c r="AN363" s="408">
        <v>3.5453443037166803</v>
      </c>
      <c r="AO363" s="408">
        <v>64.60045074527801</v>
      </c>
      <c r="AP363" s="408">
        <v>96.223339237676583</v>
      </c>
      <c r="AQ363" s="408">
        <v>0</v>
      </c>
      <c r="AR363" s="408">
        <v>0</v>
      </c>
      <c r="AS363" s="408">
        <v>0</v>
      </c>
      <c r="AT363" s="408">
        <v>0</v>
      </c>
      <c r="AU363" s="408">
        <v>0</v>
      </c>
      <c r="AV363" s="408">
        <v>0</v>
      </c>
      <c r="AW363" s="408">
        <v>0</v>
      </c>
      <c r="AX363" s="408">
        <v>0</v>
      </c>
      <c r="AY363" s="408">
        <v>0</v>
      </c>
      <c r="AZ363" s="408">
        <v>0</v>
      </c>
      <c r="BA363" s="408"/>
      <c r="BB363" s="408">
        <v>0</v>
      </c>
      <c r="BC363" s="408">
        <v>0</v>
      </c>
      <c r="BD363" s="408">
        <v>0</v>
      </c>
      <c r="BE363" s="408">
        <v>0</v>
      </c>
      <c r="BF363" s="408">
        <v>0</v>
      </c>
      <c r="BG363" s="408">
        <v>40.916245084459</v>
      </c>
      <c r="BH363" s="408">
        <v>0</v>
      </c>
      <c r="BI363" s="408">
        <v>0</v>
      </c>
      <c r="BJ363" s="408">
        <v>0</v>
      </c>
      <c r="BK363" s="408">
        <v>0</v>
      </c>
      <c r="BL363" s="408">
        <v>0</v>
      </c>
      <c r="BM363" s="408"/>
      <c r="BN363" s="408"/>
      <c r="BO363" s="408"/>
      <c r="BP363" s="408"/>
      <c r="BQ363" s="408"/>
      <c r="BR363" s="408"/>
      <c r="BS363" s="408"/>
      <c r="BT363" s="408"/>
      <c r="BU363" s="408"/>
      <c r="BV363" s="408">
        <v>592.67373634649573</v>
      </c>
      <c r="BW363" s="408"/>
      <c r="BX363" s="408"/>
      <c r="BY363" s="408"/>
      <c r="BZ363" s="408"/>
      <c r="CA363" s="408"/>
      <c r="CB363" s="408"/>
      <c r="CC363" s="408"/>
      <c r="CD363" s="408"/>
      <c r="CE363" s="408"/>
      <c r="CF363" s="408"/>
      <c r="CG363" s="408"/>
      <c r="CH363" s="408"/>
      <c r="CI363" s="408">
        <v>3236.4404999999997</v>
      </c>
      <c r="CJ363" s="408">
        <v>-1632.5748000000012</v>
      </c>
      <c r="CK363" s="408"/>
      <c r="CL363" s="408"/>
      <c r="CM363" s="408"/>
      <c r="CN363" s="408"/>
      <c r="CO363" s="408">
        <v>-1693.5009000000002</v>
      </c>
      <c r="CP363" s="408">
        <v>60.956099999999957</v>
      </c>
      <c r="CQ363" s="408">
        <v>31</v>
      </c>
      <c r="CR363" s="408">
        <v>109.1853067785853</v>
      </c>
      <c r="CS363" s="408">
        <v>7.7993435897525103</v>
      </c>
      <c r="CT363" s="408">
        <v>11.617239127744469</v>
      </c>
      <c r="CU363" s="408">
        <v>0</v>
      </c>
      <c r="CV363" s="408">
        <v>0</v>
      </c>
      <c r="CW363" s="408">
        <v>0</v>
      </c>
      <c r="CX363" s="408">
        <v>0</v>
      </c>
      <c r="CY363" s="408">
        <v>0</v>
      </c>
      <c r="CZ363" s="408">
        <v>27.258139123556816</v>
      </c>
      <c r="DA363" s="408">
        <v>0</v>
      </c>
      <c r="DB363" s="408">
        <v>0</v>
      </c>
      <c r="DC363" s="408">
        <v>60.93763461738115</v>
      </c>
      <c r="DD363" s="408">
        <v>0</v>
      </c>
      <c r="DE363" s="408">
        <v>0</v>
      </c>
      <c r="DF363" s="408">
        <v>0</v>
      </c>
      <c r="DG363" s="408">
        <v>4.5189041061661399</v>
      </c>
      <c r="DH363" s="408">
        <v>0</v>
      </c>
      <c r="DI363" s="408">
        <v>-2.4918592956139207</v>
      </c>
      <c r="DJ363" s="408"/>
      <c r="DK363" s="408">
        <v>0</v>
      </c>
      <c r="DL363" s="408">
        <v>0</v>
      </c>
      <c r="DM363" s="408">
        <v>0</v>
      </c>
      <c r="DN363" s="408">
        <v>0</v>
      </c>
      <c r="DO363" s="408">
        <v>-0.37212445759179857</v>
      </c>
      <c r="DP363" s="408">
        <v>-8.1970032810094295E-2</v>
      </c>
      <c r="DQ363" s="408">
        <v>0</v>
      </c>
      <c r="DR363" s="408">
        <v>0</v>
      </c>
      <c r="DS363" s="408"/>
      <c r="DT363" s="408"/>
      <c r="DU363" s="408"/>
      <c r="DV363" s="408">
        <v>3104.7737651001012</v>
      </c>
      <c r="DW363" s="408">
        <v>0</v>
      </c>
      <c r="DX363" s="408">
        <v>0</v>
      </c>
      <c r="DY363" s="408">
        <v>-1693.5009000000005</v>
      </c>
      <c r="DZ363" s="408">
        <v>60.956099999999992</v>
      </c>
      <c r="EA363" s="408">
        <v>0</v>
      </c>
      <c r="EB363" s="408">
        <v>0</v>
      </c>
      <c r="EC363" s="408">
        <v>-1741.746100553002</v>
      </c>
      <c r="ED363" s="408">
        <v>0</v>
      </c>
      <c r="EE363" s="408">
        <v>0</v>
      </c>
      <c r="EF363" s="408">
        <v>0</v>
      </c>
      <c r="EG363" s="408">
        <v>0</v>
      </c>
      <c r="EH363" s="408">
        <v>0</v>
      </c>
      <c r="EI363" s="408">
        <v>0</v>
      </c>
      <c r="EJ363" s="408">
        <v>0</v>
      </c>
      <c r="EK363" s="408">
        <v>0</v>
      </c>
      <c r="EL363" s="408">
        <v>0</v>
      </c>
      <c r="EM363" s="408">
        <v>0</v>
      </c>
      <c r="EN363" s="408">
        <v>0</v>
      </c>
      <c r="EO363" s="408">
        <v>0</v>
      </c>
      <c r="EP363" s="408">
        <v>0</v>
      </c>
      <c r="EQ363" s="408">
        <v>0</v>
      </c>
      <c r="ER363" s="408">
        <v>0</v>
      </c>
      <c r="ES363" s="408">
        <v>0</v>
      </c>
      <c r="ET363" s="408">
        <v>0</v>
      </c>
      <c r="EU363" s="408">
        <v>0</v>
      </c>
      <c r="EV363" s="408">
        <v>238</v>
      </c>
      <c r="EW363" s="408">
        <v>0</v>
      </c>
      <c r="EX363" s="408">
        <v>0</v>
      </c>
      <c r="EY363" s="408">
        <v>0</v>
      </c>
      <c r="EZ363" s="408"/>
      <c r="FA363" s="408">
        <v>0</v>
      </c>
      <c r="FB363" s="408"/>
      <c r="FC363" s="408"/>
      <c r="FD363" s="408"/>
      <c r="FE363" s="408"/>
      <c r="FF363" s="408">
        <v>0</v>
      </c>
      <c r="FG363" s="408">
        <v>0</v>
      </c>
      <c r="FH363" s="408">
        <v>0</v>
      </c>
      <c r="FI363" s="408">
        <v>0</v>
      </c>
    </row>
    <row r="364" spans="1:165">
      <c r="A364" s="408">
        <v>368</v>
      </c>
      <c r="B364" s="408" t="s">
        <v>1036</v>
      </c>
      <c r="C364" s="408" t="s">
        <v>2243</v>
      </c>
      <c r="D364" s="408" t="s">
        <v>597</v>
      </c>
      <c r="E364" s="408" t="s">
        <v>998</v>
      </c>
      <c r="F364" s="408" t="s">
        <v>1322</v>
      </c>
      <c r="G364" s="408" t="s">
        <v>1322</v>
      </c>
      <c r="H364" s="408" t="s">
        <v>1322</v>
      </c>
      <c r="I364" s="408" t="s">
        <v>2244</v>
      </c>
      <c r="J364" s="408" t="s">
        <v>2236</v>
      </c>
      <c r="K364" s="824">
        <v>44562</v>
      </c>
      <c r="L364" s="408">
        <v>0</v>
      </c>
      <c r="M364" s="408">
        <v>0</v>
      </c>
      <c r="N364" s="408">
        <v>662.23599999999999</v>
      </c>
      <c r="O364" s="408">
        <v>662.23599999999999</v>
      </c>
      <c r="P364" s="408">
        <v>662.23599999999999</v>
      </c>
      <c r="Q364" s="408">
        <v>662.23599999999999</v>
      </c>
      <c r="R364" s="408"/>
      <c r="S364" s="408">
        <v>79.7</v>
      </c>
      <c r="T364" s="408">
        <v>209.4</v>
      </c>
      <c r="U364" s="408"/>
      <c r="V364" s="408">
        <v>191452.4276</v>
      </c>
      <c r="W364" s="408">
        <v>191452.4276</v>
      </c>
      <c r="X364" s="408">
        <v>206961.99472000002</v>
      </c>
      <c r="Y364" s="408">
        <v>0</v>
      </c>
      <c r="Z364" s="408">
        <v>35454.777395280602</v>
      </c>
      <c r="AA364" s="408">
        <v>0</v>
      </c>
      <c r="AB364" s="408">
        <v>0</v>
      </c>
      <c r="AC364" s="408">
        <v>0</v>
      </c>
      <c r="AD364" s="408">
        <v>0</v>
      </c>
      <c r="AE364" s="408">
        <v>0</v>
      </c>
      <c r="AF364" s="408">
        <v>136851.56328966524</v>
      </c>
      <c r="AG364" s="408">
        <v>1823.1125060239647</v>
      </c>
      <c r="AH364" s="408">
        <v>0</v>
      </c>
      <c r="AI364" s="408">
        <v>0</v>
      </c>
      <c r="AJ364" s="408">
        <v>0</v>
      </c>
      <c r="AK364" s="408">
        <v>0</v>
      </c>
      <c r="AL364" s="408">
        <v>6297.6005550607479</v>
      </c>
      <c r="AM364" s="408"/>
      <c r="AN364" s="408">
        <v>879.34630348918336</v>
      </c>
      <c r="AO364" s="408">
        <v>0</v>
      </c>
      <c r="AP364" s="408">
        <v>0</v>
      </c>
      <c r="AQ364" s="408">
        <v>0</v>
      </c>
      <c r="AR364" s="408">
        <v>0</v>
      </c>
      <c r="AS364" s="408">
        <v>0</v>
      </c>
      <c r="AT364" s="408">
        <v>0</v>
      </c>
      <c r="AU364" s="408">
        <v>0</v>
      </c>
      <c r="AV364" s="408">
        <v>0</v>
      </c>
      <c r="AW364" s="408">
        <v>0</v>
      </c>
      <c r="AX364" s="408">
        <v>0</v>
      </c>
      <c r="AY364" s="408">
        <v>0</v>
      </c>
      <c r="AZ364" s="408">
        <v>0</v>
      </c>
      <c r="BA364" s="408"/>
      <c r="BB364" s="408">
        <v>0</v>
      </c>
      <c r="BC364" s="408">
        <v>0</v>
      </c>
      <c r="BD364" s="408">
        <v>0</v>
      </c>
      <c r="BE364" s="408">
        <v>0</v>
      </c>
      <c r="BF364" s="408">
        <v>0</v>
      </c>
      <c r="BG364" s="408">
        <v>10148.393438109286</v>
      </c>
      <c r="BH364" s="408">
        <v>0</v>
      </c>
      <c r="BI364" s="408">
        <v>0</v>
      </c>
      <c r="BJ364" s="408">
        <v>0</v>
      </c>
      <c r="BK364" s="408">
        <v>0</v>
      </c>
      <c r="BL364" s="408">
        <v>0</v>
      </c>
      <c r="BM364" s="408"/>
      <c r="BN364" s="408"/>
      <c r="BO364" s="408"/>
      <c r="BP364" s="408"/>
      <c r="BQ364" s="408"/>
      <c r="BR364" s="408"/>
      <c r="BS364" s="408"/>
      <c r="BT364" s="408"/>
      <c r="BU364" s="408"/>
      <c r="BV364" s="408">
        <v>146999.95672777452</v>
      </c>
      <c r="BW364" s="408"/>
      <c r="BX364" s="408"/>
      <c r="BY364" s="408"/>
      <c r="BZ364" s="408"/>
      <c r="CA364" s="408"/>
      <c r="CB364" s="408"/>
      <c r="CC364" s="408"/>
      <c r="CD364" s="408"/>
      <c r="CE364" s="408"/>
      <c r="CF364" s="408"/>
      <c r="CG364" s="408"/>
      <c r="CH364" s="408"/>
      <c r="CI364" s="408">
        <v>206963.24480000001</v>
      </c>
      <c r="CJ364" s="408">
        <v>15510.787199999992</v>
      </c>
      <c r="CK364" s="408"/>
      <c r="CL364" s="408"/>
      <c r="CM364" s="408"/>
      <c r="CN364" s="408"/>
      <c r="CO364" s="408">
        <v>390.71924000000223</v>
      </c>
      <c r="CP364" s="408">
        <v>15118.847879999988</v>
      </c>
      <c r="CQ364" s="408">
        <v>31</v>
      </c>
      <c r="CR364" s="408">
        <v>15504.404392019118</v>
      </c>
      <c r="CS364" s="408">
        <v>0</v>
      </c>
      <c r="CT364" s="408">
        <v>0</v>
      </c>
      <c r="CU364" s="408">
        <v>0</v>
      </c>
      <c r="CV364" s="408">
        <v>0</v>
      </c>
      <c r="CW364" s="408">
        <v>0</v>
      </c>
      <c r="CX364" s="408">
        <v>0</v>
      </c>
      <c r="CY364" s="408">
        <v>0</v>
      </c>
      <c r="CZ364" s="408">
        <v>0</v>
      </c>
      <c r="DA364" s="408">
        <v>0</v>
      </c>
      <c r="DB364" s="408">
        <v>0</v>
      </c>
      <c r="DC364" s="408">
        <v>15114.26793950412</v>
      </c>
      <c r="DD364" s="408">
        <v>0</v>
      </c>
      <c r="DE364" s="408">
        <v>0</v>
      </c>
      <c r="DF364" s="408">
        <v>0</v>
      </c>
      <c r="DG364" s="408">
        <v>1120.8168463112488</v>
      </c>
      <c r="DH364" s="408">
        <v>0</v>
      </c>
      <c r="DI364" s="408">
        <v>-618.05203464052465</v>
      </c>
      <c r="DJ364" s="408"/>
      <c r="DK364" s="408">
        <v>0</v>
      </c>
      <c r="DL364" s="408">
        <v>0</v>
      </c>
      <c r="DM364" s="408">
        <v>0</v>
      </c>
      <c r="DN364" s="408">
        <v>0</v>
      </c>
      <c r="DO364" s="408">
        <v>-92.297457789423788</v>
      </c>
      <c r="DP364" s="408">
        <v>-20.330901366301759</v>
      </c>
      <c r="DQ364" s="408">
        <v>0</v>
      </c>
      <c r="DR364" s="408">
        <v>0</v>
      </c>
      <c r="DS364" s="408"/>
      <c r="DT364" s="408"/>
      <c r="DU364" s="408"/>
      <c r="DV364" s="408">
        <v>0</v>
      </c>
      <c r="DW364" s="408">
        <v>0</v>
      </c>
      <c r="DX364" s="408">
        <v>0</v>
      </c>
      <c r="DY364" s="408">
        <v>390.71924000000581</v>
      </c>
      <c r="DZ364" s="408">
        <v>15118.847879999987</v>
      </c>
      <c r="EA364" s="408">
        <v>0</v>
      </c>
      <c r="EB364" s="408">
        <v>0</v>
      </c>
      <c r="EC364" s="408">
        <v>0</v>
      </c>
      <c r="ED364" s="408">
        <v>0</v>
      </c>
      <c r="EE364" s="408">
        <v>0</v>
      </c>
      <c r="EF364" s="408">
        <v>0</v>
      </c>
      <c r="EG364" s="408">
        <v>0</v>
      </c>
      <c r="EH364" s="408">
        <v>0</v>
      </c>
      <c r="EI364" s="408">
        <v>0</v>
      </c>
      <c r="EJ364" s="408">
        <v>0</v>
      </c>
      <c r="EK364" s="408">
        <v>0</v>
      </c>
      <c r="EL364" s="408">
        <v>0</v>
      </c>
      <c r="EM364" s="408">
        <v>0</v>
      </c>
      <c r="EN364" s="408">
        <v>0</v>
      </c>
      <c r="EO364" s="408">
        <v>0</v>
      </c>
      <c r="EP364" s="408">
        <v>0</v>
      </c>
      <c r="EQ364" s="408">
        <v>0</v>
      </c>
      <c r="ER364" s="408">
        <v>0</v>
      </c>
      <c r="ES364" s="408">
        <v>0</v>
      </c>
      <c r="ET364" s="408">
        <v>0</v>
      </c>
      <c r="EU364" s="408">
        <v>0</v>
      </c>
      <c r="EV364" s="408">
        <v>238</v>
      </c>
      <c r="EW364" s="408">
        <v>0</v>
      </c>
      <c r="EX364" s="408">
        <v>0</v>
      </c>
      <c r="EY364" s="408">
        <v>0</v>
      </c>
      <c r="EZ364" s="408"/>
      <c r="FA364" s="408">
        <v>0</v>
      </c>
      <c r="FB364" s="408"/>
      <c r="FC364" s="408"/>
      <c r="FD364" s="408"/>
      <c r="FE364" s="408"/>
      <c r="FF364" s="408">
        <v>0</v>
      </c>
      <c r="FG364" s="408">
        <v>0</v>
      </c>
      <c r="FH364" s="408">
        <v>0</v>
      </c>
      <c r="FI364" s="408">
        <v>0</v>
      </c>
    </row>
    <row r="365" spans="1:165">
      <c r="A365" s="408">
        <v>369</v>
      </c>
      <c r="B365" s="408" t="s">
        <v>2238</v>
      </c>
      <c r="C365" s="408" t="s">
        <v>2243</v>
      </c>
      <c r="D365" s="408" t="s">
        <v>597</v>
      </c>
      <c r="E365" s="408" t="s">
        <v>998</v>
      </c>
      <c r="F365" s="408" t="s">
        <v>1322</v>
      </c>
      <c r="G365" s="408" t="s">
        <v>1322</v>
      </c>
      <c r="H365" s="408" t="s">
        <v>1322</v>
      </c>
      <c r="I365" s="408" t="s">
        <v>2244</v>
      </c>
      <c r="J365" s="408" t="s">
        <v>2236</v>
      </c>
      <c r="K365" s="824">
        <v>44562</v>
      </c>
      <c r="L365" s="408">
        <v>0</v>
      </c>
      <c r="M365" s="408">
        <v>0</v>
      </c>
      <c r="N365" s="408">
        <v>16.32</v>
      </c>
      <c r="O365" s="408">
        <v>16.32</v>
      </c>
      <c r="P365" s="408">
        <v>16.32</v>
      </c>
      <c r="Q365" s="408">
        <v>16.32</v>
      </c>
      <c r="R365" s="408"/>
      <c r="S365" s="408">
        <v>79.7</v>
      </c>
      <c r="T365" s="408">
        <v>209.4</v>
      </c>
      <c r="U365" s="408"/>
      <c r="V365" s="408">
        <v>4718.112000000001</v>
      </c>
      <c r="W365" s="408">
        <v>4718.112000000001</v>
      </c>
      <c r="X365" s="408">
        <v>5100.3263999999999</v>
      </c>
      <c r="Y365" s="408">
        <v>0</v>
      </c>
      <c r="Z365" s="408">
        <v>873.73982551685413</v>
      </c>
      <c r="AA365" s="408">
        <v>0</v>
      </c>
      <c r="AB365" s="408">
        <v>0</v>
      </c>
      <c r="AC365" s="408">
        <v>0</v>
      </c>
      <c r="AD365" s="408">
        <v>0</v>
      </c>
      <c r="AE365" s="408">
        <v>0</v>
      </c>
      <c r="AF365" s="408">
        <v>3372.540171309528</v>
      </c>
      <c r="AG365" s="408">
        <v>44.92838821554718</v>
      </c>
      <c r="AH365" s="408">
        <v>0</v>
      </c>
      <c r="AI365" s="408">
        <v>0</v>
      </c>
      <c r="AJ365" s="408">
        <v>0</v>
      </c>
      <c r="AK365" s="408">
        <v>0</v>
      </c>
      <c r="AL365" s="408">
        <v>155.19669884843381</v>
      </c>
      <c r="AM365" s="408"/>
      <c r="AN365" s="408">
        <v>21.670419114852518</v>
      </c>
      <c r="AO365" s="408">
        <v>0</v>
      </c>
      <c r="AP365" s="408">
        <v>0</v>
      </c>
      <c r="AQ365" s="408">
        <v>0</v>
      </c>
      <c r="AR365" s="408">
        <v>0</v>
      </c>
      <c r="AS365" s="408">
        <v>0</v>
      </c>
      <c r="AT365" s="408">
        <v>0</v>
      </c>
      <c r="AU365" s="408">
        <v>0</v>
      </c>
      <c r="AV365" s="408">
        <v>0</v>
      </c>
      <c r="AW365" s="408">
        <v>0</v>
      </c>
      <c r="AX365" s="408">
        <v>0</v>
      </c>
      <c r="AY365" s="408">
        <v>0</v>
      </c>
      <c r="AZ365" s="408">
        <v>0</v>
      </c>
      <c r="BA365" s="408"/>
      <c r="BB365" s="408">
        <v>0</v>
      </c>
      <c r="BC365" s="408">
        <v>0</v>
      </c>
      <c r="BD365" s="408">
        <v>0</v>
      </c>
      <c r="BE365" s="408">
        <v>0</v>
      </c>
      <c r="BF365" s="408">
        <v>0</v>
      </c>
      <c r="BG365" s="408">
        <v>250.0948014151202</v>
      </c>
      <c r="BH365" s="408">
        <v>0</v>
      </c>
      <c r="BI365" s="408">
        <v>0</v>
      </c>
      <c r="BJ365" s="408">
        <v>0</v>
      </c>
      <c r="BK365" s="408">
        <v>0</v>
      </c>
      <c r="BL365" s="408">
        <v>0</v>
      </c>
      <c r="BM365" s="408"/>
      <c r="BN365" s="408"/>
      <c r="BO365" s="408"/>
      <c r="BP365" s="408"/>
      <c r="BQ365" s="408"/>
      <c r="BR365" s="408"/>
      <c r="BS365" s="408"/>
      <c r="BT365" s="408"/>
      <c r="BU365" s="408"/>
      <c r="BV365" s="408">
        <v>3622.6349727246484</v>
      </c>
      <c r="BW365" s="408"/>
      <c r="BX365" s="408"/>
      <c r="BY365" s="408"/>
      <c r="BZ365" s="408"/>
      <c r="CA365" s="408"/>
      <c r="CB365" s="408"/>
      <c r="CC365" s="408"/>
      <c r="CD365" s="408"/>
      <c r="CE365" s="408"/>
      <c r="CF365" s="408"/>
      <c r="CG365" s="408"/>
      <c r="CH365" s="408"/>
      <c r="CI365" s="408">
        <v>5100.3263999999999</v>
      </c>
      <c r="CJ365" s="408">
        <v>382.18439999999919</v>
      </c>
      <c r="CK365" s="408"/>
      <c r="CL365" s="408"/>
      <c r="CM365" s="408"/>
      <c r="CN365" s="408"/>
      <c r="CO365" s="408">
        <v>9.6288000000000551</v>
      </c>
      <c r="CP365" s="408">
        <v>372.58559999999977</v>
      </c>
      <c r="CQ365" s="408">
        <v>31</v>
      </c>
      <c r="CR365" s="408">
        <v>382.08717085412536</v>
      </c>
      <c r="CS365" s="408">
        <v>0</v>
      </c>
      <c r="CT365" s="408">
        <v>0</v>
      </c>
      <c r="CU365" s="408">
        <v>0</v>
      </c>
      <c r="CV365" s="408">
        <v>0</v>
      </c>
      <c r="CW365" s="408">
        <v>0</v>
      </c>
      <c r="CX365" s="408">
        <v>0</v>
      </c>
      <c r="CY365" s="408">
        <v>0</v>
      </c>
      <c r="CZ365" s="408">
        <v>0</v>
      </c>
      <c r="DA365" s="408">
        <v>0</v>
      </c>
      <c r="DB365" s="408">
        <v>0</v>
      </c>
      <c r="DC365" s="408">
        <v>372.47273294219531</v>
      </c>
      <c r="DD365" s="408">
        <v>0</v>
      </c>
      <c r="DE365" s="408">
        <v>0</v>
      </c>
      <c r="DF365" s="408">
        <v>0</v>
      </c>
      <c r="DG365" s="408">
        <v>27.621166671397503</v>
      </c>
      <c r="DH365" s="408">
        <v>0</v>
      </c>
      <c r="DI365" s="408">
        <v>-15.231139964202043</v>
      </c>
      <c r="DJ365" s="408"/>
      <c r="DK365" s="408">
        <v>0</v>
      </c>
      <c r="DL365" s="408">
        <v>0</v>
      </c>
      <c r="DM365" s="408">
        <v>0</v>
      </c>
      <c r="DN365" s="408">
        <v>0</v>
      </c>
      <c r="DO365" s="408">
        <v>-2.2745584823588558</v>
      </c>
      <c r="DP365" s="408">
        <v>-0.50103031290664291</v>
      </c>
      <c r="DQ365" s="408">
        <v>0</v>
      </c>
      <c r="DR365" s="408">
        <v>0</v>
      </c>
      <c r="DS365" s="408"/>
      <c r="DT365" s="408"/>
      <c r="DU365" s="408"/>
      <c r="DV365" s="408">
        <v>0</v>
      </c>
      <c r="DW365" s="408">
        <v>0</v>
      </c>
      <c r="DX365" s="408">
        <v>0</v>
      </c>
      <c r="DY365" s="408">
        <v>9.6287999999999556</v>
      </c>
      <c r="DZ365" s="408">
        <v>372.58559999999943</v>
      </c>
      <c r="EA365" s="408">
        <v>0</v>
      </c>
      <c r="EB365" s="408">
        <v>0</v>
      </c>
      <c r="EC365" s="408">
        <v>0</v>
      </c>
      <c r="ED365" s="408">
        <v>0</v>
      </c>
      <c r="EE365" s="408">
        <v>0</v>
      </c>
      <c r="EF365" s="408">
        <v>0</v>
      </c>
      <c r="EG365" s="408">
        <v>0</v>
      </c>
      <c r="EH365" s="408">
        <v>0</v>
      </c>
      <c r="EI365" s="408">
        <v>0</v>
      </c>
      <c r="EJ365" s="408">
        <v>0</v>
      </c>
      <c r="EK365" s="408">
        <v>0</v>
      </c>
      <c r="EL365" s="408">
        <v>0</v>
      </c>
      <c r="EM365" s="408">
        <v>0</v>
      </c>
      <c r="EN365" s="408">
        <v>0</v>
      </c>
      <c r="EO365" s="408">
        <v>0</v>
      </c>
      <c r="EP365" s="408">
        <v>0</v>
      </c>
      <c r="EQ365" s="408">
        <v>0</v>
      </c>
      <c r="ER365" s="408">
        <v>0</v>
      </c>
      <c r="ES365" s="408">
        <v>0</v>
      </c>
      <c r="ET365" s="408">
        <v>0</v>
      </c>
      <c r="EU365" s="408">
        <v>0</v>
      </c>
      <c r="EV365" s="408">
        <v>238</v>
      </c>
      <c r="EW365" s="408">
        <v>0</v>
      </c>
      <c r="EX365" s="408">
        <v>0</v>
      </c>
      <c r="EY365" s="408">
        <v>0</v>
      </c>
      <c r="EZ365" s="408"/>
      <c r="FA365" s="408">
        <v>0</v>
      </c>
      <c r="FB365" s="408"/>
      <c r="FC365" s="408"/>
      <c r="FD365" s="408"/>
      <c r="FE365" s="408"/>
      <c r="FF365" s="408">
        <v>0</v>
      </c>
      <c r="FG365" s="408">
        <v>0</v>
      </c>
      <c r="FH365" s="408">
        <v>0</v>
      </c>
      <c r="FI365" s="408">
        <v>0</v>
      </c>
    </row>
    <row r="366" spans="1:165">
      <c r="A366" s="408">
        <v>370</v>
      </c>
      <c r="B366" s="408" t="s">
        <v>1036</v>
      </c>
      <c r="C366" s="408" t="s">
        <v>2243</v>
      </c>
      <c r="D366" s="408" t="s">
        <v>597</v>
      </c>
      <c r="E366" s="408" t="s">
        <v>998</v>
      </c>
      <c r="F366" s="408" t="s">
        <v>1322</v>
      </c>
      <c r="G366" s="408" t="s">
        <v>1322</v>
      </c>
      <c r="H366" s="408" t="s">
        <v>1322</v>
      </c>
      <c r="I366" s="408" t="s">
        <v>1322</v>
      </c>
      <c r="J366" s="408" t="s">
        <v>2236</v>
      </c>
      <c r="K366" s="824">
        <v>44562</v>
      </c>
      <c r="L366" s="408">
        <v>4654</v>
      </c>
      <c r="M366" s="408">
        <v>4654</v>
      </c>
      <c r="N366" s="408">
        <v>0</v>
      </c>
      <c r="O366" s="408">
        <v>0</v>
      </c>
      <c r="P366" s="408">
        <v>0</v>
      </c>
      <c r="Q366" s="408">
        <v>0</v>
      </c>
      <c r="R366" s="408">
        <v>44.35</v>
      </c>
      <c r="S366" s="408"/>
      <c r="T366" s="408"/>
      <c r="U366" s="408">
        <v>206404.9</v>
      </c>
      <c r="V366" s="408"/>
      <c r="W366" s="408">
        <v>206404.9</v>
      </c>
      <c r="X366" s="408">
        <v>134826.38</v>
      </c>
      <c r="Y366" s="408">
        <v>0</v>
      </c>
      <c r="Z366" s="408">
        <v>0</v>
      </c>
      <c r="AA366" s="408">
        <v>0</v>
      </c>
      <c r="AB366" s="408">
        <v>0</v>
      </c>
      <c r="AC366" s="408">
        <v>0</v>
      </c>
      <c r="AD366" s="408">
        <v>61070.084404348985</v>
      </c>
      <c r="AE366" s="408">
        <v>133652.85661386189</v>
      </c>
      <c r="AF366" s="408"/>
      <c r="AG366" s="408"/>
      <c r="AH366" s="408"/>
      <c r="AI366" s="408">
        <v>0</v>
      </c>
      <c r="AJ366" s="408">
        <v>0</v>
      </c>
      <c r="AK366" s="408">
        <v>0</v>
      </c>
      <c r="AL366" s="408">
        <v>0</v>
      </c>
      <c r="AM366" s="408"/>
      <c r="AN366" s="408">
        <v>0</v>
      </c>
      <c r="AO366" s="408">
        <v>4615.4680989901408</v>
      </c>
      <c r="AP366" s="408">
        <v>7061.4741449215298</v>
      </c>
      <c r="AQ366" s="408">
        <v>0</v>
      </c>
      <c r="AR366" s="408">
        <v>0</v>
      </c>
      <c r="AS366" s="408"/>
      <c r="AT366" s="408"/>
      <c r="AU366" s="408">
        <v>0</v>
      </c>
      <c r="AV366" s="408">
        <v>0</v>
      </c>
      <c r="AW366" s="408">
        <v>0</v>
      </c>
      <c r="AX366" s="408"/>
      <c r="AY366" s="408"/>
      <c r="AZ366" s="408">
        <v>0</v>
      </c>
      <c r="BA366" s="408"/>
      <c r="BB366" s="408">
        <v>0</v>
      </c>
      <c r="BC366" s="408">
        <v>0</v>
      </c>
      <c r="BD366" s="408">
        <v>0</v>
      </c>
      <c r="BE366" s="408">
        <v>0</v>
      </c>
      <c r="BF366" s="408"/>
      <c r="BG366" s="408">
        <v>0</v>
      </c>
      <c r="BH366" s="408">
        <v>0</v>
      </c>
      <c r="BI366" s="408">
        <v>1465.35</v>
      </c>
      <c r="BJ366" s="408">
        <v>6699.53</v>
      </c>
      <c r="BK366" s="408">
        <v>171807.33</v>
      </c>
      <c r="BL366" s="408">
        <v>34</v>
      </c>
      <c r="BM366" s="408"/>
      <c r="BN366" s="408"/>
      <c r="BO366" s="408"/>
      <c r="BP366" s="408"/>
      <c r="BQ366" s="408"/>
      <c r="BR366" s="408"/>
      <c r="BS366" s="408"/>
      <c r="BT366" s="408"/>
      <c r="BU366" s="408"/>
      <c r="BV366" s="408">
        <v>0</v>
      </c>
      <c r="BW366" s="408"/>
      <c r="BX366" s="408"/>
      <c r="BY366" s="408"/>
      <c r="BZ366" s="408"/>
      <c r="CA366" s="408"/>
      <c r="CB366" s="408"/>
      <c r="CC366" s="408"/>
      <c r="CD366" s="408"/>
      <c r="CE366" s="408"/>
      <c r="CF366" s="408"/>
      <c r="CG366" s="408"/>
      <c r="CH366" s="408"/>
      <c r="CI366" s="408">
        <v>134826.38</v>
      </c>
      <c r="CJ366" s="408">
        <v>-71578.550000000017</v>
      </c>
      <c r="CK366" s="408"/>
      <c r="CL366" s="408"/>
      <c r="CM366" s="408"/>
      <c r="CN366" s="408"/>
      <c r="CO366" s="408">
        <v>-71578.520000000019</v>
      </c>
      <c r="CP366" s="408">
        <v>0</v>
      </c>
      <c r="CQ366" s="408">
        <v>31</v>
      </c>
      <c r="CR366" s="408">
        <v>3411.8071850836714</v>
      </c>
      <c r="CS366" s="408">
        <v>557.23483530333579</v>
      </c>
      <c r="CT366" s="408">
        <v>852.54611184618807</v>
      </c>
      <c r="CU366" s="408">
        <v>0</v>
      </c>
      <c r="CV366" s="408">
        <v>0</v>
      </c>
      <c r="CW366" s="408"/>
      <c r="CX366" s="408"/>
      <c r="CY366" s="408"/>
      <c r="CZ366" s="408">
        <v>2002.0262379341584</v>
      </c>
      <c r="DA366" s="408">
        <v>0</v>
      </c>
      <c r="DB366" s="408">
        <v>0</v>
      </c>
      <c r="DC366" s="408"/>
      <c r="DD366" s="408"/>
      <c r="DE366" s="408">
        <v>0</v>
      </c>
      <c r="DF366" s="408">
        <v>0</v>
      </c>
      <c r="DG366" s="408">
        <v>0</v>
      </c>
      <c r="DH366" s="408">
        <v>0</v>
      </c>
      <c r="DI366" s="408">
        <v>0</v>
      </c>
      <c r="DJ366" s="408"/>
      <c r="DK366" s="408">
        <v>0</v>
      </c>
      <c r="DL366" s="408">
        <v>0</v>
      </c>
      <c r="DM366" s="408"/>
      <c r="DN366" s="408">
        <v>0</v>
      </c>
      <c r="DO366" s="408">
        <v>0</v>
      </c>
      <c r="DP366" s="408">
        <v>0</v>
      </c>
      <c r="DQ366" s="408">
        <v>0</v>
      </c>
      <c r="DR366" s="408">
        <v>0</v>
      </c>
      <c r="DS366" s="408"/>
      <c r="DT366" s="408"/>
      <c r="DU366" s="408">
        <v>133652.85661386189</v>
      </c>
      <c r="DV366" s="408"/>
      <c r="DW366" s="408">
        <v>0</v>
      </c>
      <c r="DX366" s="408">
        <v>0</v>
      </c>
      <c r="DY366" s="408">
        <v>-71578.51999999999</v>
      </c>
      <c r="DZ366" s="408"/>
      <c r="EA366" s="408">
        <v>0</v>
      </c>
      <c r="EB366" s="408"/>
      <c r="EC366" s="408">
        <v>-74977.8758284043</v>
      </c>
      <c r="ED366" s="408"/>
      <c r="EE366" s="408">
        <v>0</v>
      </c>
      <c r="EF366" s="408">
        <v>0</v>
      </c>
      <c r="EG366" s="408"/>
      <c r="EH366" s="408">
        <v>0</v>
      </c>
      <c r="EI366" s="408">
        <v>0</v>
      </c>
      <c r="EJ366" s="408">
        <v>0</v>
      </c>
      <c r="EK366" s="408">
        <v>0</v>
      </c>
      <c r="EL366" s="408">
        <v>0</v>
      </c>
      <c r="EM366" s="408"/>
      <c r="EN366" s="408"/>
      <c r="EO366" s="408">
        <v>0</v>
      </c>
      <c r="EP366" s="408">
        <v>0</v>
      </c>
      <c r="EQ366" s="408"/>
      <c r="ER366" s="408">
        <v>0</v>
      </c>
      <c r="ES366" s="408"/>
      <c r="ET366" s="408">
        <v>0</v>
      </c>
      <c r="EU366" s="408"/>
      <c r="EV366" s="408">
        <v>238</v>
      </c>
      <c r="EW366" s="408"/>
      <c r="EX366" s="408"/>
      <c r="EY366" s="408"/>
      <c r="EZ366" s="408"/>
      <c r="FA366" s="408">
        <v>0</v>
      </c>
      <c r="FB366" s="408"/>
      <c r="FC366" s="408"/>
      <c r="FD366" s="408"/>
      <c r="FE366" s="408"/>
      <c r="FF366" s="408">
        <v>0</v>
      </c>
      <c r="FG366" s="408">
        <v>0</v>
      </c>
      <c r="FH366" s="408">
        <v>0</v>
      </c>
      <c r="FI366" s="408">
        <v>0</v>
      </c>
    </row>
    <row r="367" spans="1:165">
      <c r="A367" s="408">
        <v>371</v>
      </c>
      <c r="B367" s="408" t="s">
        <v>2238</v>
      </c>
      <c r="C367" s="408" t="s">
        <v>2243</v>
      </c>
      <c r="D367" s="408" t="s">
        <v>597</v>
      </c>
      <c r="E367" s="408" t="s">
        <v>998</v>
      </c>
      <c r="F367" s="408" t="s">
        <v>1322</v>
      </c>
      <c r="G367" s="408" t="s">
        <v>1322</v>
      </c>
      <c r="H367" s="408" t="s">
        <v>1322</v>
      </c>
      <c r="I367" s="408" t="s">
        <v>1322</v>
      </c>
      <c r="J367" s="408" t="s">
        <v>2236</v>
      </c>
      <c r="K367" s="824">
        <v>44562</v>
      </c>
      <c r="L367" s="408">
        <v>565</v>
      </c>
      <c r="M367" s="408">
        <v>565</v>
      </c>
      <c r="N367" s="408">
        <v>0</v>
      </c>
      <c r="O367" s="408">
        <v>0</v>
      </c>
      <c r="P367" s="408">
        <v>0</v>
      </c>
      <c r="Q367" s="408">
        <v>0</v>
      </c>
      <c r="R367" s="408">
        <v>44.35</v>
      </c>
      <c r="S367" s="408"/>
      <c r="T367" s="408"/>
      <c r="U367" s="408">
        <v>25057.75</v>
      </c>
      <c r="V367" s="408"/>
      <c r="W367" s="408">
        <v>25057.75</v>
      </c>
      <c r="X367" s="408">
        <v>16368.05</v>
      </c>
      <c r="Y367" s="408">
        <v>0</v>
      </c>
      <c r="Z367" s="408">
        <v>0</v>
      </c>
      <c r="AA367" s="408">
        <v>0</v>
      </c>
      <c r="AB367" s="408">
        <v>0</v>
      </c>
      <c r="AC367" s="408">
        <v>0</v>
      </c>
      <c r="AD367" s="408">
        <v>7413.9659837681947</v>
      </c>
      <c r="AE367" s="408">
        <v>16225.58315144649</v>
      </c>
      <c r="AF367" s="408"/>
      <c r="AG367" s="408"/>
      <c r="AH367" s="408"/>
      <c r="AI367" s="408">
        <v>0</v>
      </c>
      <c r="AJ367" s="408">
        <v>0</v>
      </c>
      <c r="AK367" s="408">
        <v>0</v>
      </c>
      <c r="AL367" s="408">
        <v>0</v>
      </c>
      <c r="AM367" s="408"/>
      <c r="AN367" s="408">
        <v>0</v>
      </c>
      <c r="AO367" s="408">
        <v>560.32219078844639</v>
      </c>
      <c r="AP367" s="408">
        <v>857.26963727560474</v>
      </c>
      <c r="AQ367" s="408">
        <v>0</v>
      </c>
      <c r="AR367" s="408">
        <v>0</v>
      </c>
      <c r="AS367" s="408"/>
      <c r="AT367" s="408"/>
      <c r="AU367" s="408">
        <v>0</v>
      </c>
      <c r="AV367" s="408">
        <v>0</v>
      </c>
      <c r="AW367" s="408">
        <v>0</v>
      </c>
      <c r="AX367" s="408"/>
      <c r="AY367" s="408"/>
      <c r="AZ367" s="408">
        <v>0</v>
      </c>
      <c r="BA367" s="408"/>
      <c r="BB367" s="408">
        <v>0</v>
      </c>
      <c r="BC367" s="408">
        <v>0</v>
      </c>
      <c r="BD367" s="408">
        <v>0</v>
      </c>
      <c r="BE367" s="408">
        <v>0</v>
      </c>
      <c r="BF367" s="408"/>
      <c r="BG367" s="408">
        <v>0</v>
      </c>
      <c r="BH367" s="408">
        <v>0</v>
      </c>
      <c r="BI367" s="408">
        <v>87.93</v>
      </c>
      <c r="BJ367" s="408">
        <v>402.09</v>
      </c>
      <c r="BK367" s="408">
        <v>10440</v>
      </c>
      <c r="BL367" s="408">
        <v>3</v>
      </c>
      <c r="BM367" s="408"/>
      <c r="BN367" s="408"/>
      <c r="BO367" s="408"/>
      <c r="BP367" s="408"/>
      <c r="BQ367" s="408"/>
      <c r="BR367" s="408"/>
      <c r="BS367" s="408"/>
      <c r="BT367" s="408"/>
      <c r="BU367" s="408"/>
      <c r="BV367" s="408">
        <v>0</v>
      </c>
      <c r="BW367" s="408"/>
      <c r="BX367" s="408"/>
      <c r="BY367" s="408"/>
      <c r="BZ367" s="408"/>
      <c r="CA367" s="408"/>
      <c r="CB367" s="408"/>
      <c r="CC367" s="408"/>
      <c r="CD367" s="408"/>
      <c r="CE367" s="408"/>
      <c r="CF367" s="408"/>
      <c r="CG367" s="408"/>
      <c r="CH367" s="408"/>
      <c r="CI367" s="408">
        <v>16368.05</v>
      </c>
      <c r="CJ367" s="408">
        <v>-8689.7299999999959</v>
      </c>
      <c r="CK367" s="408"/>
      <c r="CL367" s="408"/>
      <c r="CM367" s="408"/>
      <c r="CN367" s="408"/>
      <c r="CO367" s="408">
        <v>-8689.7000000000007</v>
      </c>
      <c r="CP367" s="408">
        <v>0</v>
      </c>
      <c r="CQ367" s="408">
        <v>31</v>
      </c>
      <c r="CR367" s="408">
        <v>414.1966178711391</v>
      </c>
      <c r="CS367" s="408">
        <v>67.64883582861728</v>
      </c>
      <c r="CT367" s="408">
        <v>103.49990399507874</v>
      </c>
      <c r="CU367" s="408">
        <v>0</v>
      </c>
      <c r="CV367" s="408">
        <v>0</v>
      </c>
      <c r="CW367" s="408"/>
      <c r="CX367" s="408"/>
      <c r="CY367" s="408"/>
      <c r="CZ367" s="408">
        <v>243.04787804744319</v>
      </c>
      <c r="DA367" s="408">
        <v>0</v>
      </c>
      <c r="DB367" s="408">
        <v>0</v>
      </c>
      <c r="DC367" s="408"/>
      <c r="DD367" s="408"/>
      <c r="DE367" s="408">
        <v>0</v>
      </c>
      <c r="DF367" s="408">
        <v>0</v>
      </c>
      <c r="DG367" s="408">
        <v>0</v>
      </c>
      <c r="DH367" s="408">
        <v>0</v>
      </c>
      <c r="DI367" s="408">
        <v>0</v>
      </c>
      <c r="DJ367" s="408"/>
      <c r="DK367" s="408">
        <v>0</v>
      </c>
      <c r="DL367" s="408">
        <v>0</v>
      </c>
      <c r="DM367" s="408"/>
      <c r="DN367" s="408">
        <v>0</v>
      </c>
      <c r="DO367" s="408">
        <v>0</v>
      </c>
      <c r="DP367" s="408">
        <v>0</v>
      </c>
      <c r="DQ367" s="408">
        <v>0</v>
      </c>
      <c r="DR367" s="408">
        <v>0</v>
      </c>
      <c r="DS367" s="408"/>
      <c r="DT367" s="408"/>
      <c r="DU367" s="408">
        <v>16225.58315144649</v>
      </c>
      <c r="DV367" s="408"/>
      <c r="DW367" s="408">
        <v>0</v>
      </c>
      <c r="DX367" s="408">
        <v>0</v>
      </c>
      <c r="DY367" s="408">
        <v>-8689.7000000000007</v>
      </c>
      <c r="DZ367" s="408"/>
      <c r="EA367" s="408">
        <v>0</v>
      </c>
      <c r="EB367" s="408"/>
      <c r="EC367" s="408">
        <v>-9102.3850113984572</v>
      </c>
      <c r="ED367" s="408"/>
      <c r="EE367" s="408">
        <v>0</v>
      </c>
      <c r="EF367" s="408">
        <v>0</v>
      </c>
      <c r="EG367" s="408"/>
      <c r="EH367" s="408">
        <v>0</v>
      </c>
      <c r="EI367" s="408">
        <v>0</v>
      </c>
      <c r="EJ367" s="408">
        <v>0</v>
      </c>
      <c r="EK367" s="408">
        <v>0</v>
      </c>
      <c r="EL367" s="408">
        <v>0</v>
      </c>
      <c r="EM367" s="408"/>
      <c r="EN367" s="408"/>
      <c r="EO367" s="408">
        <v>0</v>
      </c>
      <c r="EP367" s="408">
        <v>0</v>
      </c>
      <c r="EQ367" s="408"/>
      <c r="ER367" s="408">
        <v>0</v>
      </c>
      <c r="ES367" s="408"/>
      <c r="ET367" s="408">
        <v>0</v>
      </c>
      <c r="EU367" s="408"/>
      <c r="EV367" s="408">
        <v>238</v>
      </c>
      <c r="EW367" s="408"/>
      <c r="EX367" s="408"/>
      <c r="EY367" s="408"/>
      <c r="EZ367" s="408"/>
      <c r="FA367" s="408">
        <v>0</v>
      </c>
      <c r="FB367" s="408"/>
      <c r="FC367" s="408"/>
      <c r="FD367" s="408"/>
      <c r="FE367" s="408"/>
      <c r="FF367" s="408">
        <v>0</v>
      </c>
      <c r="FG367" s="408">
        <v>0</v>
      </c>
      <c r="FH367" s="408">
        <v>0</v>
      </c>
      <c r="FI367" s="408">
        <v>0</v>
      </c>
    </row>
    <row r="368" spans="1:165">
      <c r="A368" s="408">
        <v>372</v>
      </c>
      <c r="B368" s="408" t="s">
        <v>1036</v>
      </c>
      <c r="C368" s="408" t="s">
        <v>2235</v>
      </c>
      <c r="D368" s="408" t="s">
        <v>2245</v>
      </c>
      <c r="E368" s="408" t="s">
        <v>974</v>
      </c>
      <c r="F368" s="408" t="s">
        <v>1322</v>
      </c>
      <c r="G368" s="408" t="s">
        <v>1322</v>
      </c>
      <c r="H368" s="408" t="s">
        <v>1322</v>
      </c>
      <c r="I368" s="408" t="s">
        <v>1322</v>
      </c>
      <c r="J368" s="408" t="s">
        <v>2236</v>
      </c>
      <c r="K368" s="824">
        <v>44562</v>
      </c>
      <c r="L368" s="408">
        <v>0</v>
      </c>
      <c r="M368" s="408">
        <v>0</v>
      </c>
      <c r="N368" s="408">
        <v>4942.1019999999999</v>
      </c>
      <c r="O368" s="408">
        <v>4942.1019999999999</v>
      </c>
      <c r="P368" s="408">
        <v>4942.1019999999999</v>
      </c>
      <c r="Q368" s="408">
        <v>4942.1019999999999</v>
      </c>
      <c r="R368" s="408"/>
      <c r="S368" s="408">
        <v>581.32000000000005</v>
      </c>
      <c r="T368" s="408">
        <v>209.4</v>
      </c>
      <c r="U368" s="408"/>
      <c r="V368" s="408">
        <v>3907818.8934400002</v>
      </c>
      <c r="W368" s="408">
        <v>3907818.8934400002</v>
      </c>
      <c r="X368" s="408">
        <v>2985375.5551399998</v>
      </c>
      <c r="Y368" s="408">
        <v>0</v>
      </c>
      <c r="Z368" s="408">
        <v>304126.61561630131</v>
      </c>
      <c r="AA368" s="408">
        <v>0</v>
      </c>
      <c r="AB368" s="408">
        <v>0</v>
      </c>
      <c r="AC368" s="408">
        <v>0</v>
      </c>
      <c r="AD368" s="408">
        <v>366660.20507768437</v>
      </c>
      <c r="AE368" s="408">
        <v>1904712.3627012093</v>
      </c>
      <c r="AF368" s="408">
        <v>1021289.0640753162</v>
      </c>
      <c r="AG368" s="408">
        <v>13605.433655443147</v>
      </c>
      <c r="AH368" s="408">
        <v>0</v>
      </c>
      <c r="AI368" s="408">
        <v>0</v>
      </c>
      <c r="AJ368" s="408">
        <v>0</v>
      </c>
      <c r="AK368" s="408">
        <v>0</v>
      </c>
      <c r="AL368" s="408">
        <v>46997.421309573678</v>
      </c>
      <c r="AM368" s="408"/>
      <c r="AN368" s="408">
        <v>9009.2755911864897</v>
      </c>
      <c r="AO368" s="408">
        <v>28167.415337386567</v>
      </c>
      <c r="AP368" s="408">
        <v>42428.884523566041</v>
      </c>
      <c r="AQ368" s="408">
        <v>0</v>
      </c>
      <c r="AR368" s="408">
        <v>0</v>
      </c>
      <c r="AS368" s="408">
        <v>0</v>
      </c>
      <c r="AT368" s="408">
        <v>0</v>
      </c>
      <c r="AU368" s="408">
        <v>0</v>
      </c>
      <c r="AV368" s="408">
        <v>0</v>
      </c>
      <c r="AW368" s="408">
        <v>0</v>
      </c>
      <c r="AX368" s="408">
        <v>0</v>
      </c>
      <c r="AY368" s="408">
        <v>0</v>
      </c>
      <c r="AZ368" s="408">
        <v>0</v>
      </c>
      <c r="BA368" s="408"/>
      <c r="BB368" s="408">
        <v>0</v>
      </c>
      <c r="BC368" s="408">
        <v>0</v>
      </c>
      <c r="BD368" s="408">
        <v>0</v>
      </c>
      <c r="BE368" s="408">
        <v>0</v>
      </c>
      <c r="BF368" s="408">
        <v>0</v>
      </c>
      <c r="BG368" s="408">
        <v>170859.7512195757</v>
      </c>
      <c r="BH368" s="408">
        <v>0</v>
      </c>
      <c r="BI368" s="408">
        <v>9395.48</v>
      </c>
      <c r="BJ368" s="408">
        <v>43275.57</v>
      </c>
      <c r="BK368" s="408">
        <v>288263.67999999999</v>
      </c>
      <c r="BL368" s="408">
        <v>13733</v>
      </c>
      <c r="BM368" s="408"/>
      <c r="BN368" s="408"/>
      <c r="BO368" s="408"/>
      <c r="BP368" s="408"/>
      <c r="BQ368" s="408"/>
      <c r="BR368" s="408">
        <v>358252.97397999966</v>
      </c>
      <c r="BS368" s="408"/>
      <c r="BT368" s="408"/>
      <c r="BU368" s="408"/>
      <c r="BV368" s="408">
        <v>1192148.8152948918</v>
      </c>
      <c r="BW368" s="408"/>
      <c r="BX368" s="408"/>
      <c r="BY368" s="408"/>
      <c r="BZ368" s="408"/>
      <c r="CA368" s="408"/>
      <c r="CB368" s="408"/>
      <c r="CC368" s="408"/>
      <c r="CD368" s="408"/>
      <c r="CE368" s="408"/>
      <c r="CF368" s="408"/>
      <c r="CG368" s="408"/>
      <c r="CH368" s="408"/>
      <c r="CI368" s="408">
        <v>2627121.5180000002</v>
      </c>
      <c r="CJ368" s="408">
        <v>-811840.18869999889</v>
      </c>
      <c r="CK368" s="408"/>
      <c r="CL368" s="408"/>
      <c r="CM368" s="408"/>
      <c r="CN368" s="408"/>
      <c r="CO368" s="408">
        <v>-1035271.5269600004</v>
      </c>
      <c r="CP368" s="408">
        <v>112828.18865999991</v>
      </c>
      <c r="CQ368" s="408">
        <v>31</v>
      </c>
      <c r="CR368" s="408">
        <v>146008.8225191813</v>
      </c>
      <c r="CS368" s="408">
        <v>3400.7092476457074</v>
      </c>
      <c r="CT368" s="408">
        <v>5122.5253804195236</v>
      </c>
      <c r="CU368" s="408">
        <v>0</v>
      </c>
      <c r="CV368" s="408">
        <v>0</v>
      </c>
      <c r="CW368" s="408">
        <v>0</v>
      </c>
      <c r="CX368" s="408">
        <v>0</v>
      </c>
      <c r="CY368" s="408">
        <v>0</v>
      </c>
      <c r="CZ368" s="408">
        <v>12020.015333718853</v>
      </c>
      <c r="DA368" s="408">
        <v>0</v>
      </c>
      <c r="DB368" s="408">
        <v>0</v>
      </c>
      <c r="DC368" s="408">
        <v>112794.00970705191</v>
      </c>
      <c r="DD368" s="408">
        <v>0</v>
      </c>
      <c r="DE368" s="408">
        <v>0</v>
      </c>
      <c r="DF368" s="408">
        <v>0</v>
      </c>
      <c r="DG368" s="408">
        <v>18870.226966596907</v>
      </c>
      <c r="DH368" s="408">
        <v>0</v>
      </c>
      <c r="DI368" s="408">
        <v>-5301.5725208023214</v>
      </c>
      <c r="DJ368" s="408"/>
      <c r="DK368" s="408">
        <v>0</v>
      </c>
      <c r="DL368" s="408">
        <v>0</v>
      </c>
      <c r="DM368" s="408">
        <v>0</v>
      </c>
      <c r="DN368" s="408">
        <v>0</v>
      </c>
      <c r="DO368" s="408">
        <v>-688.7928936754106</v>
      </c>
      <c r="DP368" s="408">
        <v>-208.29870177358316</v>
      </c>
      <c r="DQ368" s="408">
        <v>0</v>
      </c>
      <c r="DR368" s="408">
        <v>0</v>
      </c>
      <c r="DS368" s="408"/>
      <c r="DT368" s="408"/>
      <c r="DU368" s="408"/>
      <c r="DV368" s="408">
        <v>1904712.3627012093</v>
      </c>
      <c r="DW368" s="408">
        <v>0</v>
      </c>
      <c r="DX368" s="408">
        <v>0</v>
      </c>
      <c r="DY368" s="408">
        <v>-1035271.5269600006</v>
      </c>
      <c r="DZ368" s="408">
        <v>112828.18865999987</v>
      </c>
      <c r="EA368" s="408">
        <v>0</v>
      </c>
      <c r="EB368" s="408">
        <v>0</v>
      </c>
      <c r="EC368" s="408">
        <v>-1068524.0154053392</v>
      </c>
      <c r="ED368" s="408">
        <v>0</v>
      </c>
      <c r="EE368" s="408">
        <v>0</v>
      </c>
      <c r="EF368" s="408">
        <v>0</v>
      </c>
      <c r="EG368" s="408">
        <v>0</v>
      </c>
      <c r="EH368" s="408">
        <v>0</v>
      </c>
      <c r="EI368" s="408">
        <v>0</v>
      </c>
      <c r="EJ368" s="408">
        <v>0</v>
      </c>
      <c r="EK368" s="408">
        <v>0</v>
      </c>
      <c r="EL368" s="408">
        <v>0</v>
      </c>
      <c r="EM368" s="408">
        <v>0</v>
      </c>
      <c r="EN368" s="408">
        <v>0</v>
      </c>
      <c r="EO368" s="408">
        <v>0</v>
      </c>
      <c r="EP368" s="408">
        <v>0</v>
      </c>
      <c r="EQ368" s="408">
        <v>0</v>
      </c>
      <c r="ER368" s="408">
        <v>0</v>
      </c>
      <c r="ES368" s="408">
        <v>0</v>
      </c>
      <c r="ET368" s="408">
        <v>0</v>
      </c>
      <c r="EU368" s="408">
        <v>0</v>
      </c>
      <c r="EV368" s="408">
        <v>238</v>
      </c>
      <c r="EW368" s="408">
        <v>0</v>
      </c>
      <c r="EX368" s="408">
        <v>0</v>
      </c>
      <c r="EY368" s="408">
        <v>0</v>
      </c>
      <c r="EZ368" s="408"/>
      <c r="FA368" s="408">
        <v>0</v>
      </c>
      <c r="FB368" s="408"/>
      <c r="FC368" s="408"/>
      <c r="FD368" s="408"/>
      <c r="FE368" s="408"/>
      <c r="FF368" s="408">
        <v>0</v>
      </c>
      <c r="FG368" s="408">
        <v>0</v>
      </c>
      <c r="FH368" s="408">
        <v>0</v>
      </c>
      <c r="FI368" s="408">
        <v>0</v>
      </c>
    </row>
    <row r="369" spans="1:165">
      <c r="A369" s="408">
        <v>373</v>
      </c>
      <c r="B369" s="408" t="s">
        <v>2237</v>
      </c>
      <c r="C369" s="408" t="s">
        <v>2235</v>
      </c>
      <c r="D369" s="408" t="s">
        <v>2245</v>
      </c>
      <c r="E369" s="408" t="s">
        <v>974</v>
      </c>
      <c r="F369" s="408" t="s">
        <v>1322</v>
      </c>
      <c r="G369" s="408" t="s">
        <v>1322</v>
      </c>
      <c r="H369" s="408" t="s">
        <v>1322</v>
      </c>
      <c r="I369" s="408" t="s">
        <v>1322</v>
      </c>
      <c r="J369" s="408" t="s">
        <v>2236</v>
      </c>
      <c r="K369" s="824">
        <v>44562</v>
      </c>
      <c r="L369" s="408">
        <v>0</v>
      </c>
      <c r="M369" s="408">
        <v>0</v>
      </c>
      <c r="N369" s="408">
        <v>-3.0510000000000002</v>
      </c>
      <c r="O369" s="408">
        <v>-3.0510000000000002</v>
      </c>
      <c r="P369" s="408">
        <v>-3.0510000000000002</v>
      </c>
      <c r="Q369" s="408">
        <v>-3.0510000000000002</v>
      </c>
      <c r="R369" s="408"/>
      <c r="S369" s="408">
        <v>581.32000000000005</v>
      </c>
      <c r="T369" s="408">
        <v>209.4</v>
      </c>
      <c r="U369" s="408"/>
      <c r="V369" s="408">
        <v>-2412.4867200000003</v>
      </c>
      <c r="W369" s="408">
        <v>-2412.4867200000003</v>
      </c>
      <c r="X369" s="408">
        <v>-1843.01757</v>
      </c>
      <c r="Y369" s="408">
        <v>0</v>
      </c>
      <c r="Z369" s="408">
        <v>-187.75215571134214</v>
      </c>
      <c r="AA369" s="408">
        <v>0</v>
      </c>
      <c r="AB369" s="408">
        <v>0</v>
      </c>
      <c r="AC369" s="408">
        <v>0</v>
      </c>
      <c r="AD369" s="408">
        <v>-226.35718277203003</v>
      </c>
      <c r="AE369" s="408">
        <v>-1175.8716065757828</v>
      </c>
      <c r="AF369" s="408">
        <v>-630.49142540841729</v>
      </c>
      <c r="AG369" s="408">
        <v>-8.399296105737406</v>
      </c>
      <c r="AH369" s="408">
        <v>0</v>
      </c>
      <c r="AI369" s="408">
        <v>0</v>
      </c>
      <c r="AJ369" s="408">
        <v>0</v>
      </c>
      <c r="AK369" s="408">
        <v>0</v>
      </c>
      <c r="AL369" s="408">
        <v>-29.013794619275217</v>
      </c>
      <c r="AM369" s="408"/>
      <c r="AN369" s="408">
        <v>-5.5618641275938829</v>
      </c>
      <c r="AO369" s="408">
        <v>-17.389115844708673</v>
      </c>
      <c r="AP369" s="408">
        <v>-26.193414599981953</v>
      </c>
      <c r="AQ369" s="408">
        <v>0</v>
      </c>
      <c r="AR369" s="408">
        <v>0</v>
      </c>
      <c r="AS369" s="408">
        <v>0</v>
      </c>
      <c r="AT369" s="408">
        <v>0</v>
      </c>
      <c r="AU369" s="408">
        <v>0</v>
      </c>
      <c r="AV369" s="408">
        <v>0</v>
      </c>
      <c r="AW369" s="408">
        <v>0</v>
      </c>
      <c r="AX369" s="408">
        <v>0</v>
      </c>
      <c r="AY369" s="408">
        <v>0</v>
      </c>
      <c r="AZ369" s="408">
        <v>0</v>
      </c>
      <c r="BA369" s="408"/>
      <c r="BB369" s="408">
        <v>0</v>
      </c>
      <c r="BC369" s="408">
        <v>0</v>
      </c>
      <c r="BD369" s="408">
        <v>0</v>
      </c>
      <c r="BE369" s="408">
        <v>0</v>
      </c>
      <c r="BF369" s="408">
        <v>0</v>
      </c>
      <c r="BG369" s="408">
        <v>-105.48003682864609</v>
      </c>
      <c r="BH369" s="408">
        <v>0</v>
      </c>
      <c r="BI369" s="408">
        <v>-5.59</v>
      </c>
      <c r="BJ369" s="408">
        <v>-26.05</v>
      </c>
      <c r="BK369" s="408">
        <v>-97.92</v>
      </c>
      <c r="BL369" s="408">
        <v>0</v>
      </c>
      <c r="BM369" s="408"/>
      <c r="BN369" s="408"/>
      <c r="BO369" s="408"/>
      <c r="BP369" s="408"/>
      <c r="BQ369" s="408"/>
      <c r="BR369" s="408">
        <v>-221.16698999999977</v>
      </c>
      <c r="BS369" s="408"/>
      <c r="BT369" s="408"/>
      <c r="BU369" s="408"/>
      <c r="BV369" s="408">
        <v>-735.97146223706341</v>
      </c>
      <c r="BW369" s="408"/>
      <c r="BX369" s="408"/>
      <c r="BY369" s="408"/>
      <c r="BZ369" s="408"/>
      <c r="CA369" s="408"/>
      <c r="CB369" s="408"/>
      <c r="CC369" s="408"/>
      <c r="CD369" s="408"/>
      <c r="CE369" s="408"/>
      <c r="CF369" s="408"/>
      <c r="CG369" s="408"/>
      <c r="CH369" s="408"/>
      <c r="CI369" s="408">
        <v>-1621.319</v>
      </c>
      <c r="CJ369" s="408">
        <v>501.6893500000001</v>
      </c>
      <c r="CK369" s="408"/>
      <c r="CL369" s="408"/>
      <c r="CM369" s="408"/>
      <c r="CN369" s="408"/>
      <c r="CO369" s="408">
        <v>639.12348000000031</v>
      </c>
      <c r="CP369" s="408">
        <v>-69.654329999999959</v>
      </c>
      <c r="CQ369" s="408">
        <v>31</v>
      </c>
      <c r="CR369" s="408">
        <v>-90.13834953346236</v>
      </c>
      <c r="CS369" s="408">
        <v>-2.0994232645475641</v>
      </c>
      <c r="CT369" s="408">
        <v>-3.1623841304084728</v>
      </c>
      <c r="CU369" s="408">
        <v>0</v>
      </c>
      <c r="CV369" s="408">
        <v>0</v>
      </c>
      <c r="CW369" s="408">
        <v>0</v>
      </c>
      <c r="CX369" s="408">
        <v>0</v>
      </c>
      <c r="CY369" s="408">
        <v>0</v>
      </c>
      <c r="CZ369" s="408">
        <v>-7.4205402444498816</v>
      </c>
      <c r="DA369" s="408">
        <v>0</v>
      </c>
      <c r="DB369" s="408">
        <v>0</v>
      </c>
      <c r="DC369" s="408">
        <v>-69.633229669524326</v>
      </c>
      <c r="DD369" s="408">
        <v>0</v>
      </c>
      <c r="DE369" s="408">
        <v>0</v>
      </c>
      <c r="DF369" s="408">
        <v>0</v>
      </c>
      <c r="DG369" s="408">
        <v>-11.649509151184489</v>
      </c>
      <c r="DH369" s="408">
        <v>0</v>
      </c>
      <c r="DI369" s="408">
        <v>3.2729186408876103</v>
      </c>
      <c r="DJ369" s="408"/>
      <c r="DK369" s="408">
        <v>0</v>
      </c>
      <c r="DL369" s="408">
        <v>0</v>
      </c>
      <c r="DM369" s="408">
        <v>0</v>
      </c>
      <c r="DN369" s="408">
        <v>0</v>
      </c>
      <c r="DO369" s="408">
        <v>0.42522536333804339</v>
      </c>
      <c r="DP369" s="408">
        <v>0.12859292242677345</v>
      </c>
      <c r="DQ369" s="408">
        <v>0</v>
      </c>
      <c r="DR369" s="408">
        <v>0</v>
      </c>
      <c r="DS369" s="408"/>
      <c r="DT369" s="408"/>
      <c r="DU369" s="408"/>
      <c r="DV369" s="408">
        <v>-1175.8716065757828</v>
      </c>
      <c r="DW369" s="408">
        <v>0</v>
      </c>
      <c r="DX369" s="408">
        <v>0</v>
      </c>
      <c r="DY369" s="408">
        <v>639.12348000000043</v>
      </c>
      <c r="DZ369" s="408">
        <v>-69.654329999999959</v>
      </c>
      <c r="EA369" s="408">
        <v>0</v>
      </c>
      <c r="EB369" s="408">
        <v>0</v>
      </c>
      <c r="EC369" s="408">
        <v>659.65185886525398</v>
      </c>
      <c r="ED369" s="408">
        <v>0</v>
      </c>
      <c r="EE369" s="408">
        <v>0</v>
      </c>
      <c r="EF369" s="408">
        <v>0</v>
      </c>
      <c r="EG369" s="408">
        <v>0</v>
      </c>
      <c r="EH369" s="408">
        <v>0</v>
      </c>
      <c r="EI369" s="408">
        <v>0</v>
      </c>
      <c r="EJ369" s="408">
        <v>0</v>
      </c>
      <c r="EK369" s="408">
        <v>0</v>
      </c>
      <c r="EL369" s="408">
        <v>0</v>
      </c>
      <c r="EM369" s="408">
        <v>0</v>
      </c>
      <c r="EN369" s="408">
        <v>0</v>
      </c>
      <c r="EO369" s="408">
        <v>0</v>
      </c>
      <c r="EP369" s="408">
        <v>0</v>
      </c>
      <c r="EQ369" s="408">
        <v>0</v>
      </c>
      <c r="ER369" s="408">
        <v>0</v>
      </c>
      <c r="ES369" s="408">
        <v>0</v>
      </c>
      <c r="ET369" s="408">
        <v>0</v>
      </c>
      <c r="EU369" s="408">
        <v>0</v>
      </c>
      <c r="EV369" s="408">
        <v>238</v>
      </c>
      <c r="EW369" s="408">
        <v>0</v>
      </c>
      <c r="EX369" s="408">
        <v>0</v>
      </c>
      <c r="EY369" s="408">
        <v>0</v>
      </c>
      <c r="EZ369" s="408"/>
      <c r="FA369" s="408">
        <v>0</v>
      </c>
      <c r="FB369" s="408"/>
      <c r="FC369" s="408"/>
      <c r="FD369" s="408"/>
      <c r="FE369" s="408"/>
      <c r="FF369" s="408">
        <v>0</v>
      </c>
      <c r="FG369" s="408">
        <v>0</v>
      </c>
      <c r="FH369" s="408">
        <v>0</v>
      </c>
      <c r="FI369" s="408">
        <v>0</v>
      </c>
    </row>
    <row r="370" spans="1:165">
      <c r="A370" s="408">
        <v>374</v>
      </c>
      <c r="B370" s="408" t="s">
        <v>2238</v>
      </c>
      <c r="C370" s="408" t="s">
        <v>2235</v>
      </c>
      <c r="D370" s="408" t="s">
        <v>2245</v>
      </c>
      <c r="E370" s="408" t="s">
        <v>974</v>
      </c>
      <c r="F370" s="408" t="s">
        <v>1322</v>
      </c>
      <c r="G370" s="408" t="s">
        <v>1322</v>
      </c>
      <c r="H370" s="408" t="s">
        <v>1322</v>
      </c>
      <c r="I370" s="408" t="s">
        <v>1322</v>
      </c>
      <c r="J370" s="408" t="s">
        <v>2236</v>
      </c>
      <c r="K370" s="824">
        <v>44562</v>
      </c>
      <c r="L370" s="408">
        <v>0</v>
      </c>
      <c r="M370" s="408">
        <v>0</v>
      </c>
      <c r="N370" s="408">
        <v>179.251</v>
      </c>
      <c r="O370" s="408">
        <v>179.251</v>
      </c>
      <c r="P370" s="408">
        <v>179.251</v>
      </c>
      <c r="Q370" s="408">
        <v>179.251</v>
      </c>
      <c r="R370" s="408"/>
      <c r="S370" s="408">
        <v>581.32000000000005</v>
      </c>
      <c r="T370" s="408">
        <v>209.4</v>
      </c>
      <c r="U370" s="408"/>
      <c r="V370" s="408">
        <v>141737.35072000002</v>
      </c>
      <c r="W370" s="408">
        <v>141737.35072000002</v>
      </c>
      <c r="X370" s="408">
        <v>108280.15157</v>
      </c>
      <c r="Y370" s="408">
        <v>0</v>
      </c>
      <c r="Z370" s="408">
        <v>11030.731453101866</v>
      </c>
      <c r="AA370" s="408">
        <v>0</v>
      </c>
      <c r="AB370" s="408">
        <v>0</v>
      </c>
      <c r="AC370" s="408">
        <v>0</v>
      </c>
      <c r="AD370" s="408">
        <v>13298.836895794544</v>
      </c>
      <c r="AE370" s="408">
        <v>69084.287561558725</v>
      </c>
      <c r="AF370" s="408">
        <v>37042.352833787023</v>
      </c>
      <c r="AG370" s="408">
        <v>493.47172279565245</v>
      </c>
      <c r="AH370" s="408">
        <v>0</v>
      </c>
      <c r="AI370" s="408">
        <v>0</v>
      </c>
      <c r="AJ370" s="408">
        <v>0</v>
      </c>
      <c r="AK370" s="408">
        <v>0</v>
      </c>
      <c r="AL370" s="408">
        <v>1704.6056044902334</v>
      </c>
      <c r="AM370" s="408"/>
      <c r="AN370" s="408">
        <v>326.76817657664077</v>
      </c>
      <c r="AO370" s="408">
        <v>1021.637628410316</v>
      </c>
      <c r="AP370" s="408">
        <v>1538.9038874012995</v>
      </c>
      <c r="AQ370" s="408">
        <v>0</v>
      </c>
      <c r="AR370" s="408">
        <v>0</v>
      </c>
      <c r="AS370" s="408">
        <v>0</v>
      </c>
      <c r="AT370" s="408">
        <v>0</v>
      </c>
      <c r="AU370" s="408">
        <v>0</v>
      </c>
      <c r="AV370" s="408">
        <v>0</v>
      </c>
      <c r="AW370" s="408">
        <v>0</v>
      </c>
      <c r="AX370" s="408">
        <v>0</v>
      </c>
      <c r="AY370" s="408">
        <v>0</v>
      </c>
      <c r="AZ370" s="408">
        <v>0</v>
      </c>
      <c r="BA370" s="408"/>
      <c r="BB370" s="408">
        <v>0</v>
      </c>
      <c r="BC370" s="408">
        <v>0</v>
      </c>
      <c r="BD370" s="408">
        <v>0</v>
      </c>
      <c r="BE370" s="408">
        <v>0</v>
      </c>
      <c r="BF370" s="408">
        <v>0</v>
      </c>
      <c r="BG370" s="408">
        <v>6197.1163820293805</v>
      </c>
      <c r="BH370" s="408">
        <v>0</v>
      </c>
      <c r="BI370" s="408">
        <v>350.41</v>
      </c>
      <c r="BJ370" s="408">
        <v>1619.05</v>
      </c>
      <c r="BK370" s="408">
        <v>10442.4</v>
      </c>
      <c r="BL370" s="408">
        <v>786</v>
      </c>
      <c r="BM370" s="408"/>
      <c r="BN370" s="408"/>
      <c r="BO370" s="408"/>
      <c r="BP370" s="408"/>
      <c r="BQ370" s="408"/>
      <c r="BR370" s="408">
        <v>12993.904989999986</v>
      </c>
      <c r="BS370" s="408"/>
      <c r="BT370" s="408"/>
      <c r="BU370" s="408"/>
      <c r="BV370" s="408">
        <v>43239.469215816403</v>
      </c>
      <c r="BW370" s="408"/>
      <c r="BX370" s="408"/>
      <c r="BY370" s="408"/>
      <c r="BZ370" s="408"/>
      <c r="CA370" s="408"/>
      <c r="CB370" s="408"/>
      <c r="CC370" s="408"/>
      <c r="CD370" s="408"/>
      <c r="CE370" s="408"/>
      <c r="CF370" s="408"/>
      <c r="CG370" s="408"/>
      <c r="CH370" s="408"/>
      <c r="CI370" s="408">
        <v>95285.714999999997</v>
      </c>
      <c r="CJ370" s="408">
        <v>-29446.123349999994</v>
      </c>
      <c r="CK370" s="408"/>
      <c r="CL370" s="408"/>
      <c r="CM370" s="408"/>
      <c r="CN370" s="408"/>
      <c r="CO370" s="408">
        <v>-37549.499480000013</v>
      </c>
      <c r="CP370" s="408">
        <v>4092.3003299999973</v>
      </c>
      <c r="CQ370" s="408">
        <v>31</v>
      </c>
      <c r="CR370" s="408">
        <v>5295.768368476769</v>
      </c>
      <c r="CS370" s="408">
        <v>123.34438531413161</v>
      </c>
      <c r="CT370" s="408">
        <v>185.79499107173024</v>
      </c>
      <c r="CU370" s="408">
        <v>0</v>
      </c>
      <c r="CV370" s="408">
        <v>0</v>
      </c>
      <c r="CW370" s="408">
        <v>0</v>
      </c>
      <c r="CX370" s="408">
        <v>0</v>
      </c>
      <c r="CY370" s="408">
        <v>0</v>
      </c>
      <c r="CZ370" s="408">
        <v>435.96829215269827</v>
      </c>
      <c r="DA370" s="408">
        <v>0</v>
      </c>
      <c r="DB370" s="408">
        <v>0</v>
      </c>
      <c r="DC370" s="408">
        <v>4091.0606527341515</v>
      </c>
      <c r="DD370" s="408">
        <v>0</v>
      </c>
      <c r="DE370" s="408">
        <v>0</v>
      </c>
      <c r="DF370" s="408">
        <v>0</v>
      </c>
      <c r="DG370" s="408">
        <v>684.42679936380591</v>
      </c>
      <c r="DH370" s="408">
        <v>0</v>
      </c>
      <c r="DI370" s="408">
        <v>-192.28906564986755</v>
      </c>
      <c r="DJ370" s="408"/>
      <c r="DK370" s="408">
        <v>0</v>
      </c>
      <c r="DL370" s="408">
        <v>0</v>
      </c>
      <c r="DM370" s="408">
        <v>0</v>
      </c>
      <c r="DN370" s="408">
        <v>0</v>
      </c>
      <c r="DO370" s="408">
        <v>-24.982652115276323</v>
      </c>
      <c r="DP370" s="408">
        <v>-7.5550343945989766</v>
      </c>
      <c r="DQ370" s="408">
        <v>0</v>
      </c>
      <c r="DR370" s="408">
        <v>0</v>
      </c>
      <c r="DS370" s="408"/>
      <c r="DT370" s="408"/>
      <c r="DU370" s="408"/>
      <c r="DV370" s="408">
        <v>69084.287561558725</v>
      </c>
      <c r="DW370" s="408">
        <v>0</v>
      </c>
      <c r="DX370" s="408">
        <v>0</v>
      </c>
      <c r="DY370" s="408">
        <v>-37549.499480000013</v>
      </c>
      <c r="DZ370" s="408">
        <v>4092.3003299999982</v>
      </c>
      <c r="EA370" s="408">
        <v>0</v>
      </c>
      <c r="EB370" s="408">
        <v>0</v>
      </c>
      <c r="EC370" s="408">
        <v>-38755.573698281107</v>
      </c>
      <c r="ED370" s="408">
        <v>0</v>
      </c>
      <c r="EE370" s="408">
        <v>0</v>
      </c>
      <c r="EF370" s="408">
        <v>0</v>
      </c>
      <c r="EG370" s="408">
        <v>0</v>
      </c>
      <c r="EH370" s="408">
        <v>0</v>
      </c>
      <c r="EI370" s="408">
        <v>0</v>
      </c>
      <c r="EJ370" s="408">
        <v>0</v>
      </c>
      <c r="EK370" s="408">
        <v>0</v>
      </c>
      <c r="EL370" s="408">
        <v>0</v>
      </c>
      <c r="EM370" s="408">
        <v>0</v>
      </c>
      <c r="EN370" s="408">
        <v>0</v>
      </c>
      <c r="EO370" s="408">
        <v>0</v>
      </c>
      <c r="EP370" s="408">
        <v>0</v>
      </c>
      <c r="EQ370" s="408">
        <v>0</v>
      </c>
      <c r="ER370" s="408">
        <v>0</v>
      </c>
      <c r="ES370" s="408">
        <v>0</v>
      </c>
      <c r="ET370" s="408">
        <v>0</v>
      </c>
      <c r="EU370" s="408">
        <v>0</v>
      </c>
      <c r="EV370" s="408">
        <v>238</v>
      </c>
      <c r="EW370" s="408">
        <v>0</v>
      </c>
      <c r="EX370" s="408">
        <v>0</v>
      </c>
      <c r="EY370" s="408">
        <v>0</v>
      </c>
      <c r="EZ370" s="408"/>
      <c r="FA370" s="408">
        <v>0</v>
      </c>
      <c r="FB370" s="408"/>
      <c r="FC370" s="408"/>
      <c r="FD370" s="408"/>
      <c r="FE370" s="408"/>
      <c r="FF370" s="408">
        <v>0</v>
      </c>
      <c r="FG370" s="408">
        <v>0</v>
      </c>
      <c r="FH370" s="408">
        <v>0</v>
      </c>
      <c r="FI370" s="408">
        <v>0</v>
      </c>
    </row>
    <row r="371" spans="1:165">
      <c r="A371" s="408">
        <v>375</v>
      </c>
      <c r="B371" s="408" t="s">
        <v>2238</v>
      </c>
      <c r="C371" s="408" t="s">
        <v>2235</v>
      </c>
      <c r="D371" s="408" t="s">
        <v>2245</v>
      </c>
      <c r="E371" s="408" t="s">
        <v>974</v>
      </c>
      <c r="F371" s="408" t="s">
        <v>1322</v>
      </c>
      <c r="G371" s="408" t="s">
        <v>1322</v>
      </c>
      <c r="H371" s="408" t="s">
        <v>1322</v>
      </c>
      <c r="I371" s="408" t="s">
        <v>1322</v>
      </c>
      <c r="J371" s="408" t="s">
        <v>2236</v>
      </c>
      <c r="K371" s="824">
        <v>44562</v>
      </c>
      <c r="L371" s="408">
        <v>0</v>
      </c>
      <c r="M371" s="408">
        <v>0</v>
      </c>
      <c r="N371" s="408">
        <v>-2.613</v>
      </c>
      <c r="O371" s="408">
        <v>-2.613</v>
      </c>
      <c r="P371" s="408">
        <v>-2.613</v>
      </c>
      <c r="Q371" s="408">
        <v>-2.613</v>
      </c>
      <c r="R371" s="408"/>
      <c r="S371" s="408">
        <v>581.32000000000005</v>
      </c>
      <c r="T371" s="408">
        <v>209.4</v>
      </c>
      <c r="U371" s="408"/>
      <c r="V371" s="408">
        <v>-2066.1513599999998</v>
      </c>
      <c r="W371" s="408">
        <v>-2066.1513599999998</v>
      </c>
      <c r="X371" s="408">
        <v>-1578.4349099999999</v>
      </c>
      <c r="Y371" s="408">
        <v>0</v>
      </c>
      <c r="Z371" s="408">
        <v>-160.79855223655753</v>
      </c>
      <c r="AA371" s="408">
        <v>0</v>
      </c>
      <c r="AB371" s="408">
        <v>0</v>
      </c>
      <c r="AC371" s="408">
        <v>0</v>
      </c>
      <c r="AD371" s="408">
        <v>-193.86146135146328</v>
      </c>
      <c r="AE371" s="408">
        <v>-1007.06407996805</v>
      </c>
      <c r="AF371" s="408">
        <v>-539.97839875194836</v>
      </c>
      <c r="AG371" s="408">
        <v>-7.1934974514230872</v>
      </c>
      <c r="AH371" s="408">
        <v>0</v>
      </c>
      <c r="AI371" s="408">
        <v>0</v>
      </c>
      <c r="AJ371" s="408">
        <v>0</v>
      </c>
      <c r="AK371" s="408">
        <v>0</v>
      </c>
      <c r="AL371" s="408">
        <v>-24.848589098710633</v>
      </c>
      <c r="AM371" s="408"/>
      <c r="AN371" s="408">
        <v>-4.7634057572608368</v>
      </c>
      <c r="AO371" s="408">
        <v>-14.892743265232303</v>
      </c>
      <c r="AP371" s="408">
        <v>-22.433101392904895</v>
      </c>
      <c r="AQ371" s="408">
        <v>0</v>
      </c>
      <c r="AR371" s="408">
        <v>0</v>
      </c>
      <c r="AS371" s="408">
        <v>0</v>
      </c>
      <c r="AT371" s="408">
        <v>0</v>
      </c>
      <c r="AU371" s="408">
        <v>0</v>
      </c>
      <c r="AV371" s="408">
        <v>0</v>
      </c>
      <c r="AW371" s="408">
        <v>0</v>
      </c>
      <c r="AX371" s="408">
        <v>0</v>
      </c>
      <c r="AY371" s="408">
        <v>0</v>
      </c>
      <c r="AZ371" s="408">
        <v>0</v>
      </c>
      <c r="BA371" s="408"/>
      <c r="BB371" s="408">
        <v>0</v>
      </c>
      <c r="BC371" s="408">
        <v>0</v>
      </c>
      <c r="BD371" s="408">
        <v>0</v>
      </c>
      <c r="BE371" s="408">
        <v>0</v>
      </c>
      <c r="BF371" s="408">
        <v>0</v>
      </c>
      <c r="BG371" s="408">
        <v>-90.337376674287839</v>
      </c>
      <c r="BH371" s="408">
        <v>0</v>
      </c>
      <c r="BI371" s="408">
        <v>-4.47</v>
      </c>
      <c r="BJ371" s="408">
        <v>-20.52</v>
      </c>
      <c r="BK371" s="408">
        <v>0</v>
      </c>
      <c r="BL371" s="408">
        <v>2</v>
      </c>
      <c r="BM371" s="408"/>
      <c r="BN371" s="408"/>
      <c r="BO371" s="408"/>
      <c r="BP371" s="408"/>
      <c r="BQ371" s="408"/>
      <c r="BR371" s="408">
        <v>-189.4163699999998</v>
      </c>
      <c r="BS371" s="408"/>
      <c r="BT371" s="408"/>
      <c r="BU371" s="408"/>
      <c r="BV371" s="408">
        <v>-630.3157754262362</v>
      </c>
      <c r="BW371" s="408"/>
      <c r="BX371" s="408"/>
      <c r="BY371" s="408"/>
      <c r="BZ371" s="408"/>
      <c r="CA371" s="408"/>
      <c r="CB371" s="408"/>
      <c r="CC371" s="408"/>
      <c r="CD371" s="408"/>
      <c r="CE371" s="408"/>
      <c r="CF371" s="408"/>
      <c r="CG371" s="408"/>
      <c r="CH371" s="408"/>
      <c r="CI371" s="408">
        <v>-1387.4238</v>
      </c>
      <c r="CJ371" s="408">
        <v>430.80224999999996</v>
      </c>
      <c r="CK371" s="408"/>
      <c r="CL371" s="408"/>
      <c r="CM371" s="408"/>
      <c r="CN371" s="408"/>
      <c r="CO371" s="408">
        <v>547.37124000000017</v>
      </c>
      <c r="CP371" s="408">
        <v>-59.654789999999956</v>
      </c>
      <c r="CQ371" s="408">
        <v>31</v>
      </c>
      <c r="CR371" s="408">
        <v>-77.19813416287684</v>
      </c>
      <c r="CS371" s="408">
        <v>-1.7980311341405422</v>
      </c>
      <c r="CT371" s="408">
        <v>-2.7083938815986031</v>
      </c>
      <c r="CU371" s="408">
        <v>0</v>
      </c>
      <c r="CV371" s="408">
        <v>0</v>
      </c>
      <c r="CW371" s="408">
        <v>0</v>
      </c>
      <c r="CX371" s="408">
        <v>0</v>
      </c>
      <c r="CY371" s="408">
        <v>0</v>
      </c>
      <c r="CZ371" s="408">
        <v>-6.3552512811365034</v>
      </c>
      <c r="DA371" s="408">
        <v>0</v>
      </c>
      <c r="DB371" s="408">
        <v>0</v>
      </c>
      <c r="DC371" s="408">
        <v>-59.636718822178636</v>
      </c>
      <c r="DD371" s="408">
        <v>0</v>
      </c>
      <c r="DE371" s="408">
        <v>0</v>
      </c>
      <c r="DF371" s="408">
        <v>0</v>
      </c>
      <c r="DG371" s="408">
        <v>-9.9771115739249723</v>
      </c>
      <c r="DH371" s="408">
        <v>0</v>
      </c>
      <c r="DI371" s="408">
        <v>2.8030601142704938</v>
      </c>
      <c r="DJ371" s="408"/>
      <c r="DK371" s="408">
        <v>0</v>
      </c>
      <c r="DL371" s="408">
        <v>0</v>
      </c>
      <c r="DM371" s="408">
        <v>0</v>
      </c>
      <c r="DN371" s="408">
        <v>0</v>
      </c>
      <c r="DO371" s="408">
        <v>0.36418022759826485</v>
      </c>
      <c r="DP371" s="408">
        <v>0.11013218823374515</v>
      </c>
      <c r="DQ371" s="408">
        <v>0</v>
      </c>
      <c r="DR371" s="408">
        <v>0</v>
      </c>
      <c r="DS371" s="408"/>
      <c r="DT371" s="408"/>
      <c r="DU371" s="408"/>
      <c r="DV371" s="408">
        <v>-1007.06407996805</v>
      </c>
      <c r="DW371" s="408">
        <v>0</v>
      </c>
      <c r="DX371" s="408">
        <v>0</v>
      </c>
      <c r="DY371" s="408">
        <v>547.37124000000017</v>
      </c>
      <c r="DZ371" s="408">
        <v>-59.654789999999934</v>
      </c>
      <c r="EA371" s="408">
        <v>0</v>
      </c>
      <c r="EB371" s="408">
        <v>0</v>
      </c>
      <c r="EC371" s="408">
        <v>564.9525752916777</v>
      </c>
      <c r="ED371" s="408">
        <v>0</v>
      </c>
      <c r="EE371" s="408">
        <v>0</v>
      </c>
      <c r="EF371" s="408">
        <v>0</v>
      </c>
      <c r="EG371" s="408">
        <v>0</v>
      </c>
      <c r="EH371" s="408">
        <v>0</v>
      </c>
      <c r="EI371" s="408">
        <v>0</v>
      </c>
      <c r="EJ371" s="408">
        <v>0</v>
      </c>
      <c r="EK371" s="408">
        <v>0</v>
      </c>
      <c r="EL371" s="408">
        <v>0</v>
      </c>
      <c r="EM371" s="408">
        <v>0</v>
      </c>
      <c r="EN371" s="408">
        <v>0</v>
      </c>
      <c r="EO371" s="408">
        <v>0</v>
      </c>
      <c r="EP371" s="408">
        <v>0</v>
      </c>
      <c r="EQ371" s="408">
        <v>0</v>
      </c>
      <c r="ER371" s="408">
        <v>0</v>
      </c>
      <c r="ES371" s="408">
        <v>0</v>
      </c>
      <c r="ET371" s="408">
        <v>0</v>
      </c>
      <c r="EU371" s="408">
        <v>0</v>
      </c>
      <c r="EV371" s="408">
        <v>238</v>
      </c>
      <c r="EW371" s="408">
        <v>0</v>
      </c>
      <c r="EX371" s="408">
        <v>0</v>
      </c>
      <c r="EY371" s="408">
        <v>0</v>
      </c>
      <c r="EZ371" s="408"/>
      <c r="FA371" s="408">
        <v>0</v>
      </c>
      <c r="FB371" s="408"/>
      <c r="FC371" s="408"/>
      <c r="FD371" s="408"/>
      <c r="FE371" s="408"/>
      <c r="FF371" s="408">
        <v>0</v>
      </c>
      <c r="FG371" s="408">
        <v>0</v>
      </c>
      <c r="FH371" s="408">
        <v>0</v>
      </c>
      <c r="FI371" s="408">
        <v>0</v>
      </c>
    </row>
    <row r="372" spans="1:165">
      <c r="A372" s="408">
        <v>376</v>
      </c>
      <c r="B372" s="408" t="s">
        <v>1036</v>
      </c>
      <c r="C372" s="408" t="s">
        <v>2243</v>
      </c>
      <c r="D372" s="408" t="s">
        <v>597</v>
      </c>
      <c r="E372" s="408" t="s">
        <v>974</v>
      </c>
      <c r="F372" s="408" t="s">
        <v>1322</v>
      </c>
      <c r="G372" s="408" t="s">
        <v>1322</v>
      </c>
      <c r="H372" s="408" t="s">
        <v>1322</v>
      </c>
      <c r="I372" s="408" t="s">
        <v>973</v>
      </c>
      <c r="J372" s="408" t="s">
        <v>2236</v>
      </c>
      <c r="K372" s="824">
        <v>44562</v>
      </c>
      <c r="L372" s="408">
        <v>0</v>
      </c>
      <c r="M372" s="408">
        <v>0</v>
      </c>
      <c r="N372" s="408">
        <v>50.764000000000003</v>
      </c>
      <c r="O372" s="408">
        <v>48.733440000000002</v>
      </c>
      <c r="P372" s="408">
        <v>50.764000000000003</v>
      </c>
      <c r="Q372" s="408">
        <v>48.733440000000002</v>
      </c>
      <c r="R372" s="408"/>
      <c r="S372" s="408">
        <v>1614.19</v>
      </c>
      <c r="T372" s="408">
        <v>209.4</v>
      </c>
      <c r="U372" s="408"/>
      <c r="V372" s="408">
        <v>92572.722760000004</v>
      </c>
      <c r="W372" s="408">
        <v>92572.722760000004</v>
      </c>
      <c r="X372" s="408">
        <v>61533.582600000002</v>
      </c>
      <c r="Y372" s="408">
        <v>0</v>
      </c>
      <c r="Z372" s="408">
        <v>2717.8019915770578</v>
      </c>
      <c r="AA372" s="408">
        <v>0</v>
      </c>
      <c r="AB372" s="408">
        <v>0</v>
      </c>
      <c r="AC372" s="408">
        <v>0</v>
      </c>
      <c r="AD372" s="408">
        <v>15808.822861822666</v>
      </c>
      <c r="AE372" s="408">
        <v>59030.237981850769</v>
      </c>
      <c r="AF372" s="408">
        <v>10490.418459335593</v>
      </c>
      <c r="AG372" s="408">
        <v>139.75151344203661</v>
      </c>
      <c r="AH372" s="408">
        <v>0</v>
      </c>
      <c r="AI372" s="408">
        <v>0</v>
      </c>
      <c r="AJ372" s="408">
        <v>0</v>
      </c>
      <c r="AK372" s="408">
        <v>0</v>
      </c>
      <c r="AL372" s="408">
        <v>482.74541791310628</v>
      </c>
      <c r="AM372" s="408"/>
      <c r="AN372" s="408">
        <v>67.406688477106201</v>
      </c>
      <c r="AO372" s="408">
        <v>1228.2311916229562</v>
      </c>
      <c r="AP372" s="408">
        <v>1829.4687614462225</v>
      </c>
      <c r="AQ372" s="408">
        <v>0</v>
      </c>
      <c r="AR372" s="408">
        <v>0</v>
      </c>
      <c r="AS372" s="408">
        <v>0</v>
      </c>
      <c r="AT372" s="408">
        <v>0</v>
      </c>
      <c r="AU372" s="408">
        <v>0</v>
      </c>
      <c r="AV372" s="408">
        <v>0</v>
      </c>
      <c r="AW372" s="408">
        <v>0</v>
      </c>
      <c r="AX372" s="408">
        <v>0</v>
      </c>
      <c r="AY372" s="408">
        <v>0</v>
      </c>
      <c r="AZ372" s="408">
        <v>0</v>
      </c>
      <c r="BA372" s="408"/>
      <c r="BB372" s="408">
        <v>0</v>
      </c>
      <c r="BC372" s="408">
        <v>0</v>
      </c>
      <c r="BD372" s="408">
        <v>0</v>
      </c>
      <c r="BE372" s="408">
        <v>0</v>
      </c>
      <c r="BF372" s="408">
        <v>0</v>
      </c>
      <c r="BG372" s="408">
        <v>777.92968744100256</v>
      </c>
      <c r="BH372" s="408">
        <v>0</v>
      </c>
      <c r="BI372" s="408">
        <v>0</v>
      </c>
      <c r="BJ372" s="408">
        <v>0</v>
      </c>
      <c r="BK372" s="408">
        <v>0</v>
      </c>
      <c r="BL372" s="408">
        <v>0</v>
      </c>
      <c r="BM372" s="408"/>
      <c r="BN372" s="408"/>
      <c r="BO372" s="408"/>
      <c r="BP372" s="408"/>
      <c r="BQ372" s="408"/>
      <c r="BR372" s="408">
        <v>2461.3433040000014</v>
      </c>
      <c r="BS372" s="408"/>
      <c r="BT372" s="408"/>
      <c r="BU372" s="408"/>
      <c r="BV372" s="408">
        <v>11268.348146776596</v>
      </c>
      <c r="BW372" s="408"/>
      <c r="BX372" s="408"/>
      <c r="BY372" s="408"/>
      <c r="BZ372" s="408"/>
      <c r="CA372" s="408"/>
      <c r="CB372" s="408"/>
      <c r="CC372" s="408"/>
      <c r="CD372" s="408"/>
      <c r="CE372" s="408"/>
      <c r="CF372" s="408"/>
      <c r="CG372" s="408"/>
      <c r="CH372" s="408"/>
      <c r="CI372" s="408">
        <v>59068.069499999998</v>
      </c>
      <c r="CJ372" s="408">
        <v>-29801.774349599989</v>
      </c>
      <c r="CK372" s="408"/>
      <c r="CL372" s="408"/>
      <c r="CM372" s="408"/>
      <c r="CN372" s="408"/>
      <c r="CO372" s="408">
        <v>-32198.082280000006</v>
      </c>
      <c r="CP372" s="408">
        <v>1158.9421199999992</v>
      </c>
      <c r="CQ372" s="408">
        <v>31</v>
      </c>
      <c r="CR372" s="408">
        <v>2075.9112034861901</v>
      </c>
      <c r="CS372" s="408">
        <v>148.28684568921221</v>
      </c>
      <c r="CT372" s="408">
        <v>220.87547830742346</v>
      </c>
      <c r="CU372" s="408">
        <v>0</v>
      </c>
      <c r="CV372" s="408">
        <v>0</v>
      </c>
      <c r="CW372" s="408">
        <v>0</v>
      </c>
      <c r="CX372" s="408">
        <v>0</v>
      </c>
      <c r="CY372" s="408">
        <v>0</v>
      </c>
      <c r="CZ372" s="408">
        <v>518.25175073716673</v>
      </c>
      <c r="DA372" s="408">
        <v>0</v>
      </c>
      <c r="DB372" s="408">
        <v>0</v>
      </c>
      <c r="DC372" s="408">
        <v>1158.5910425905386</v>
      </c>
      <c r="DD372" s="408">
        <v>0</v>
      </c>
      <c r="DE372" s="408">
        <v>0</v>
      </c>
      <c r="DF372" s="408">
        <v>0</v>
      </c>
      <c r="DG372" s="408">
        <v>85.916722114388676</v>
      </c>
      <c r="DH372" s="408">
        <v>0</v>
      </c>
      <c r="DI372" s="408">
        <v>-47.377058158256659</v>
      </c>
      <c r="DJ372" s="408"/>
      <c r="DK372" s="408">
        <v>0</v>
      </c>
      <c r="DL372" s="408">
        <v>0</v>
      </c>
      <c r="DM372" s="408">
        <v>0</v>
      </c>
      <c r="DN372" s="408">
        <v>0</v>
      </c>
      <c r="DO372" s="408">
        <v>-7.0751033577491285</v>
      </c>
      <c r="DP372" s="408">
        <v>-1.5584744365436762</v>
      </c>
      <c r="DQ372" s="408">
        <v>0</v>
      </c>
      <c r="DR372" s="408">
        <v>0</v>
      </c>
      <c r="DS372" s="408"/>
      <c r="DT372" s="408"/>
      <c r="DU372" s="408"/>
      <c r="DV372" s="408">
        <v>59030.237981850769</v>
      </c>
      <c r="DW372" s="408">
        <v>0</v>
      </c>
      <c r="DX372" s="408">
        <v>0</v>
      </c>
      <c r="DY372" s="408">
        <v>-32198.082280000002</v>
      </c>
      <c r="DZ372" s="408">
        <v>1158.9421199999997</v>
      </c>
      <c r="EA372" s="408">
        <v>0</v>
      </c>
      <c r="EB372" s="408">
        <v>0</v>
      </c>
      <c r="EC372" s="408">
        <v>-33115.355448866147</v>
      </c>
      <c r="ED372" s="408">
        <v>0</v>
      </c>
      <c r="EE372" s="408">
        <v>0</v>
      </c>
      <c r="EF372" s="408">
        <v>0</v>
      </c>
      <c r="EG372" s="408">
        <v>0</v>
      </c>
      <c r="EH372" s="408">
        <v>0</v>
      </c>
      <c r="EI372" s="408">
        <v>0</v>
      </c>
      <c r="EJ372" s="408">
        <v>0</v>
      </c>
      <c r="EK372" s="408">
        <v>0</v>
      </c>
      <c r="EL372" s="408">
        <v>0</v>
      </c>
      <c r="EM372" s="408">
        <v>0</v>
      </c>
      <c r="EN372" s="408">
        <v>0</v>
      </c>
      <c r="EO372" s="408">
        <v>0</v>
      </c>
      <c r="EP372" s="408">
        <v>0</v>
      </c>
      <c r="EQ372" s="408">
        <v>0</v>
      </c>
      <c r="ER372" s="408">
        <v>0</v>
      </c>
      <c r="ES372" s="408">
        <v>0</v>
      </c>
      <c r="ET372" s="408">
        <v>0</v>
      </c>
      <c r="EU372" s="408">
        <v>0</v>
      </c>
      <c r="EV372" s="408">
        <v>238</v>
      </c>
      <c r="EW372" s="408">
        <v>0</v>
      </c>
      <c r="EX372" s="408">
        <v>0</v>
      </c>
      <c r="EY372" s="408">
        <v>0</v>
      </c>
      <c r="EZ372" s="408"/>
      <c r="FA372" s="408">
        <v>0</v>
      </c>
      <c r="FB372" s="408"/>
      <c r="FC372" s="408"/>
      <c r="FD372" s="408"/>
      <c r="FE372" s="408"/>
      <c r="FF372" s="408">
        <v>0</v>
      </c>
      <c r="FG372" s="408">
        <v>0</v>
      </c>
      <c r="FH372" s="408">
        <v>0</v>
      </c>
      <c r="FI372" s="408">
        <v>0</v>
      </c>
    </row>
    <row r="373" spans="1:165">
      <c r="A373" s="408">
        <v>377</v>
      </c>
      <c r="B373" s="408" t="s">
        <v>2238</v>
      </c>
      <c r="C373" s="408" t="s">
        <v>2243</v>
      </c>
      <c r="D373" s="408" t="s">
        <v>597</v>
      </c>
      <c r="E373" s="408" t="s">
        <v>974</v>
      </c>
      <c r="F373" s="408" t="s">
        <v>1322</v>
      </c>
      <c r="G373" s="408" t="s">
        <v>1322</v>
      </c>
      <c r="H373" s="408" t="s">
        <v>1322</v>
      </c>
      <c r="I373" s="408" t="s">
        <v>973</v>
      </c>
      <c r="J373" s="408" t="s">
        <v>2236</v>
      </c>
      <c r="K373" s="824">
        <v>44562</v>
      </c>
      <c r="L373" s="408">
        <v>0</v>
      </c>
      <c r="M373" s="408">
        <v>0</v>
      </c>
      <c r="N373" s="408">
        <v>7.4580000000000002</v>
      </c>
      <c r="O373" s="408">
        <v>7.1596799999999998</v>
      </c>
      <c r="P373" s="408">
        <v>7.4580000000000002</v>
      </c>
      <c r="Q373" s="408">
        <v>7.1596799999999998</v>
      </c>
      <c r="R373" s="408"/>
      <c r="S373" s="408">
        <v>1614.19</v>
      </c>
      <c r="T373" s="408">
        <v>209.4</v>
      </c>
      <c r="U373" s="408"/>
      <c r="V373" s="408">
        <v>13600.334220000001</v>
      </c>
      <c r="W373" s="408">
        <v>13600.334220000001</v>
      </c>
      <c r="X373" s="408">
        <v>9040.2147000000004</v>
      </c>
      <c r="Y373" s="408">
        <v>0</v>
      </c>
      <c r="Z373" s="408">
        <v>399.28625114612123</v>
      </c>
      <c r="AA373" s="408">
        <v>0</v>
      </c>
      <c r="AB373" s="408">
        <v>0</v>
      </c>
      <c r="AC373" s="408">
        <v>0</v>
      </c>
      <c r="AD373" s="408">
        <v>2322.5553719855297</v>
      </c>
      <c r="AE373" s="408">
        <v>8672.4354831897217</v>
      </c>
      <c r="AF373" s="408">
        <v>1541.2012621094646</v>
      </c>
      <c r="AG373" s="408">
        <v>20.531612702913659</v>
      </c>
      <c r="AH373" s="408">
        <v>0</v>
      </c>
      <c r="AI373" s="408">
        <v>0</v>
      </c>
      <c r="AJ373" s="408">
        <v>0</v>
      </c>
      <c r="AK373" s="408">
        <v>0</v>
      </c>
      <c r="AL373" s="408">
        <v>70.922609069339416</v>
      </c>
      <c r="AM373" s="408"/>
      <c r="AN373" s="408">
        <v>9.9030628528535587</v>
      </c>
      <c r="AO373" s="408">
        <v>180.44575343006869</v>
      </c>
      <c r="AP373" s="408">
        <v>268.77665319647639</v>
      </c>
      <c r="AQ373" s="408">
        <v>0</v>
      </c>
      <c r="AR373" s="408">
        <v>0</v>
      </c>
      <c r="AS373" s="408">
        <v>0</v>
      </c>
      <c r="AT373" s="408">
        <v>0</v>
      </c>
      <c r="AU373" s="408">
        <v>0</v>
      </c>
      <c r="AV373" s="408">
        <v>0</v>
      </c>
      <c r="AW373" s="408">
        <v>0</v>
      </c>
      <c r="AX373" s="408">
        <v>0</v>
      </c>
      <c r="AY373" s="408">
        <v>0</v>
      </c>
      <c r="AZ373" s="408">
        <v>0</v>
      </c>
      <c r="BA373" s="408"/>
      <c r="BB373" s="408">
        <v>0</v>
      </c>
      <c r="BC373" s="408">
        <v>0</v>
      </c>
      <c r="BD373" s="408">
        <v>0</v>
      </c>
      <c r="BE373" s="408">
        <v>0</v>
      </c>
      <c r="BF373" s="408">
        <v>0</v>
      </c>
      <c r="BG373" s="408">
        <v>114.28964638198325</v>
      </c>
      <c r="BH373" s="408">
        <v>0</v>
      </c>
      <c r="BI373" s="408">
        <v>0</v>
      </c>
      <c r="BJ373" s="408">
        <v>0</v>
      </c>
      <c r="BK373" s="408">
        <v>0</v>
      </c>
      <c r="BL373" s="408">
        <v>0</v>
      </c>
      <c r="BM373" s="408"/>
      <c r="BN373" s="408"/>
      <c r="BO373" s="408"/>
      <c r="BP373" s="408"/>
      <c r="BQ373" s="408"/>
      <c r="BR373" s="408">
        <v>361.6085880000004</v>
      </c>
      <c r="BS373" s="408"/>
      <c r="BT373" s="408"/>
      <c r="BU373" s="408"/>
      <c r="BV373" s="408">
        <v>1655.4909084914477</v>
      </c>
      <c r="BW373" s="408"/>
      <c r="BX373" s="408"/>
      <c r="BY373" s="408"/>
      <c r="BZ373" s="408"/>
      <c r="CA373" s="408"/>
      <c r="CB373" s="408"/>
      <c r="CC373" s="408"/>
      <c r="CD373" s="408"/>
      <c r="CE373" s="408"/>
      <c r="CF373" s="408"/>
      <c r="CG373" s="408"/>
      <c r="CH373" s="408"/>
      <c r="CI373" s="408">
        <v>8678.9940000000006</v>
      </c>
      <c r="CJ373" s="408">
        <v>-4377.3568512000002</v>
      </c>
      <c r="CK373" s="408"/>
      <c r="CL373" s="408"/>
      <c r="CM373" s="408"/>
      <c r="CN373" s="408"/>
      <c r="CO373" s="408">
        <v>-4730.3856600000008</v>
      </c>
      <c r="CP373" s="408">
        <v>170.26613999999989</v>
      </c>
      <c r="CQ373" s="408">
        <v>31</v>
      </c>
      <c r="CR373" s="408">
        <v>304.9827782601833</v>
      </c>
      <c r="CS373" s="408">
        <v>21.785582206881742</v>
      </c>
      <c r="CT373" s="408">
        <v>32.449951091654782</v>
      </c>
      <c r="CU373" s="408">
        <v>0</v>
      </c>
      <c r="CV373" s="408">
        <v>0</v>
      </c>
      <c r="CW373" s="408">
        <v>0</v>
      </c>
      <c r="CX373" s="408">
        <v>0</v>
      </c>
      <c r="CY373" s="408">
        <v>0</v>
      </c>
      <c r="CZ373" s="408">
        <v>76.139026810294581</v>
      </c>
      <c r="DA373" s="408">
        <v>0</v>
      </c>
      <c r="DB373" s="408">
        <v>0</v>
      </c>
      <c r="DC373" s="408">
        <v>170.21456141439285</v>
      </c>
      <c r="DD373" s="408">
        <v>0</v>
      </c>
      <c r="DE373" s="408">
        <v>0</v>
      </c>
      <c r="DF373" s="408">
        <v>0</v>
      </c>
      <c r="DG373" s="408">
        <v>12.622466975201135</v>
      </c>
      <c r="DH373" s="408">
        <v>0</v>
      </c>
      <c r="DI373" s="408">
        <v>-6.9604069762879703</v>
      </c>
      <c r="DJ373" s="408"/>
      <c r="DK373" s="408">
        <v>0</v>
      </c>
      <c r="DL373" s="408">
        <v>0</v>
      </c>
      <c r="DM373" s="408">
        <v>0</v>
      </c>
      <c r="DN373" s="408">
        <v>0</v>
      </c>
      <c r="DO373" s="408">
        <v>-1.0394397770485426</v>
      </c>
      <c r="DP373" s="408">
        <v>-0.22896348490549912</v>
      </c>
      <c r="DQ373" s="408">
        <v>0</v>
      </c>
      <c r="DR373" s="408">
        <v>0</v>
      </c>
      <c r="DS373" s="408"/>
      <c r="DT373" s="408"/>
      <c r="DU373" s="408"/>
      <c r="DV373" s="408">
        <v>8672.4354831897217</v>
      </c>
      <c r="DW373" s="408">
        <v>0</v>
      </c>
      <c r="DX373" s="408">
        <v>0</v>
      </c>
      <c r="DY373" s="408">
        <v>-4730.3856600000008</v>
      </c>
      <c r="DZ373" s="408">
        <v>170.26613999999995</v>
      </c>
      <c r="EA373" s="408">
        <v>0</v>
      </c>
      <c r="EB373" s="408">
        <v>0</v>
      </c>
      <c r="EC373" s="408">
        <v>-4865.1469730053523</v>
      </c>
      <c r="ED373" s="408">
        <v>0</v>
      </c>
      <c r="EE373" s="408">
        <v>0</v>
      </c>
      <c r="EF373" s="408">
        <v>0</v>
      </c>
      <c r="EG373" s="408">
        <v>0</v>
      </c>
      <c r="EH373" s="408">
        <v>0</v>
      </c>
      <c r="EI373" s="408">
        <v>0</v>
      </c>
      <c r="EJ373" s="408">
        <v>0</v>
      </c>
      <c r="EK373" s="408">
        <v>0</v>
      </c>
      <c r="EL373" s="408">
        <v>0</v>
      </c>
      <c r="EM373" s="408">
        <v>0</v>
      </c>
      <c r="EN373" s="408">
        <v>0</v>
      </c>
      <c r="EO373" s="408">
        <v>0</v>
      </c>
      <c r="EP373" s="408">
        <v>0</v>
      </c>
      <c r="EQ373" s="408">
        <v>0</v>
      </c>
      <c r="ER373" s="408">
        <v>0</v>
      </c>
      <c r="ES373" s="408">
        <v>0</v>
      </c>
      <c r="ET373" s="408">
        <v>0</v>
      </c>
      <c r="EU373" s="408">
        <v>0</v>
      </c>
      <c r="EV373" s="408">
        <v>238</v>
      </c>
      <c r="EW373" s="408">
        <v>0</v>
      </c>
      <c r="EX373" s="408">
        <v>0</v>
      </c>
      <c r="EY373" s="408">
        <v>0</v>
      </c>
      <c r="EZ373" s="408"/>
      <c r="FA373" s="408">
        <v>0</v>
      </c>
      <c r="FB373" s="408"/>
      <c r="FC373" s="408"/>
      <c r="FD373" s="408"/>
      <c r="FE373" s="408"/>
      <c r="FF373" s="408">
        <v>0</v>
      </c>
      <c r="FG373" s="408">
        <v>0</v>
      </c>
      <c r="FH373" s="408">
        <v>0</v>
      </c>
      <c r="FI373" s="408">
        <v>0</v>
      </c>
    </row>
    <row r="374" spans="1:165">
      <c r="A374" s="408">
        <v>378</v>
      </c>
      <c r="B374" s="408" t="s">
        <v>1036</v>
      </c>
      <c r="C374" s="408" t="s">
        <v>2243</v>
      </c>
      <c r="D374" s="408" t="s">
        <v>597</v>
      </c>
      <c r="E374" s="408" t="s">
        <v>974</v>
      </c>
      <c r="F374" s="408" t="s">
        <v>1322</v>
      </c>
      <c r="G374" s="408" t="s">
        <v>1322</v>
      </c>
      <c r="H374" s="408" t="s">
        <v>1322</v>
      </c>
      <c r="I374" s="408" t="s">
        <v>2244</v>
      </c>
      <c r="J374" s="408" t="s">
        <v>2236</v>
      </c>
      <c r="K374" s="824">
        <v>44562</v>
      </c>
      <c r="L374" s="408">
        <v>0</v>
      </c>
      <c r="M374" s="408">
        <v>0</v>
      </c>
      <c r="N374" s="408">
        <v>565.78700000000003</v>
      </c>
      <c r="O374" s="408">
        <v>543.15552000000002</v>
      </c>
      <c r="P374" s="408">
        <v>565.78700000000003</v>
      </c>
      <c r="Q374" s="408">
        <v>543.15552000000002</v>
      </c>
      <c r="R374" s="408"/>
      <c r="S374" s="408">
        <v>79.7</v>
      </c>
      <c r="T374" s="408">
        <v>209.4</v>
      </c>
      <c r="U374" s="408"/>
      <c r="V374" s="408">
        <v>163569.02170000001</v>
      </c>
      <c r="W374" s="408">
        <v>163569.02170000001</v>
      </c>
      <c r="X374" s="408">
        <v>176819.75324000002</v>
      </c>
      <c r="Y374" s="408">
        <v>0</v>
      </c>
      <c r="Z374" s="408">
        <v>30291.092810030907</v>
      </c>
      <c r="AA374" s="408">
        <v>0</v>
      </c>
      <c r="AB374" s="408">
        <v>0</v>
      </c>
      <c r="AC374" s="408">
        <v>0</v>
      </c>
      <c r="AD374" s="408">
        <v>0</v>
      </c>
      <c r="AE374" s="408">
        <v>0</v>
      </c>
      <c r="AF374" s="408">
        <v>116920.30550886667</v>
      </c>
      <c r="AG374" s="408">
        <v>1557.5917881930022</v>
      </c>
      <c r="AH374" s="408">
        <v>0</v>
      </c>
      <c r="AI374" s="408">
        <v>0</v>
      </c>
      <c r="AJ374" s="408">
        <v>0</v>
      </c>
      <c r="AK374" s="408">
        <v>0</v>
      </c>
      <c r="AL374" s="408">
        <v>5380.4089859901242</v>
      </c>
      <c r="AM374" s="408"/>
      <c r="AN374" s="408">
        <v>751.27704777788369</v>
      </c>
      <c r="AO374" s="408">
        <v>0</v>
      </c>
      <c r="AP374" s="408">
        <v>0</v>
      </c>
      <c r="AQ374" s="408">
        <v>0</v>
      </c>
      <c r="AR374" s="408">
        <v>0</v>
      </c>
      <c r="AS374" s="408">
        <v>0</v>
      </c>
      <c r="AT374" s="408">
        <v>0</v>
      </c>
      <c r="AU374" s="408">
        <v>0</v>
      </c>
      <c r="AV374" s="408">
        <v>0</v>
      </c>
      <c r="AW374" s="408">
        <v>0</v>
      </c>
      <c r="AX374" s="408">
        <v>0</v>
      </c>
      <c r="AY374" s="408">
        <v>0</v>
      </c>
      <c r="AZ374" s="408">
        <v>0</v>
      </c>
      <c r="BA374" s="408"/>
      <c r="BB374" s="408">
        <v>0</v>
      </c>
      <c r="BC374" s="408">
        <v>0</v>
      </c>
      <c r="BD374" s="408">
        <v>0</v>
      </c>
      <c r="BE374" s="408">
        <v>0</v>
      </c>
      <c r="BF374" s="408">
        <v>0</v>
      </c>
      <c r="BG374" s="408">
        <v>8670.3668755059207</v>
      </c>
      <c r="BH374" s="408">
        <v>0</v>
      </c>
      <c r="BI374" s="408">
        <v>0</v>
      </c>
      <c r="BJ374" s="408">
        <v>0</v>
      </c>
      <c r="BK374" s="408">
        <v>0</v>
      </c>
      <c r="BL374" s="408">
        <v>0</v>
      </c>
      <c r="BM374" s="408"/>
      <c r="BN374" s="408"/>
      <c r="BO374" s="408"/>
      <c r="BP374" s="408"/>
      <c r="BQ374" s="408"/>
      <c r="BR374" s="408">
        <v>7072.7901296000027</v>
      </c>
      <c r="BS374" s="408"/>
      <c r="BT374" s="408"/>
      <c r="BU374" s="408"/>
      <c r="BV374" s="408">
        <v>125590.67238437259</v>
      </c>
      <c r="BW374" s="408"/>
      <c r="BX374" s="408"/>
      <c r="BY374" s="408"/>
      <c r="BZ374" s="408"/>
      <c r="CA374" s="408"/>
      <c r="CB374" s="408"/>
      <c r="CC374" s="408"/>
      <c r="CD374" s="408"/>
      <c r="CE374" s="408"/>
      <c r="CF374" s="408"/>
      <c r="CG374" s="408"/>
      <c r="CH374" s="408"/>
      <c r="CI374" s="408">
        <v>169748.36319999999</v>
      </c>
      <c r="CJ374" s="408">
        <v>12722.072367999965</v>
      </c>
      <c r="CK374" s="408"/>
      <c r="CL374" s="408"/>
      <c r="CM374" s="408"/>
      <c r="CN374" s="408"/>
      <c r="CO374" s="408">
        <v>333.81433000000197</v>
      </c>
      <c r="CP374" s="408">
        <v>12916.917209999992</v>
      </c>
      <c r="CQ374" s="408">
        <v>31</v>
      </c>
      <c r="CR374" s="408">
        <v>13246.320719120267</v>
      </c>
      <c r="CS374" s="408">
        <v>0</v>
      </c>
      <c r="CT374" s="408">
        <v>0</v>
      </c>
      <c r="CU374" s="408">
        <v>0</v>
      </c>
      <c r="CV374" s="408">
        <v>0</v>
      </c>
      <c r="CW374" s="408">
        <v>0</v>
      </c>
      <c r="CX374" s="408">
        <v>0</v>
      </c>
      <c r="CY374" s="408">
        <v>0</v>
      </c>
      <c r="CZ374" s="408">
        <v>0</v>
      </c>
      <c r="DA374" s="408">
        <v>0</v>
      </c>
      <c r="DB374" s="408">
        <v>0</v>
      </c>
      <c r="DC374" s="408">
        <v>12913.004298600834</v>
      </c>
      <c r="DD374" s="408">
        <v>0</v>
      </c>
      <c r="DE374" s="408">
        <v>0</v>
      </c>
      <c r="DF374" s="408">
        <v>0</v>
      </c>
      <c r="DG374" s="408">
        <v>957.57947472487649</v>
      </c>
      <c r="DH374" s="408">
        <v>0</v>
      </c>
      <c r="DI374" s="408">
        <v>-528.03805066948553</v>
      </c>
      <c r="DJ374" s="408"/>
      <c r="DK374" s="408">
        <v>0</v>
      </c>
      <c r="DL374" s="408">
        <v>0</v>
      </c>
      <c r="DM374" s="408">
        <v>0</v>
      </c>
      <c r="DN374" s="408">
        <v>0</v>
      </c>
      <c r="DO374" s="408">
        <v>-78.855123778086636</v>
      </c>
      <c r="DP374" s="408">
        <v>-17.369879757874401</v>
      </c>
      <c r="DQ374" s="408">
        <v>0</v>
      </c>
      <c r="DR374" s="408">
        <v>0</v>
      </c>
      <c r="DS374" s="408"/>
      <c r="DT374" s="408"/>
      <c r="DU374" s="408"/>
      <c r="DV374" s="408">
        <v>0</v>
      </c>
      <c r="DW374" s="408">
        <v>0</v>
      </c>
      <c r="DX374" s="408">
        <v>0</v>
      </c>
      <c r="DY374" s="408">
        <v>333.81433000000106</v>
      </c>
      <c r="DZ374" s="408">
        <v>12916.91721</v>
      </c>
      <c r="EA374" s="408">
        <v>0</v>
      </c>
      <c r="EB374" s="408">
        <v>0</v>
      </c>
      <c r="EC374" s="408">
        <v>0</v>
      </c>
      <c r="ED374" s="408">
        <v>0</v>
      </c>
      <c r="EE374" s="408">
        <v>0</v>
      </c>
      <c r="EF374" s="408">
        <v>0</v>
      </c>
      <c r="EG374" s="408">
        <v>0</v>
      </c>
      <c r="EH374" s="408">
        <v>0</v>
      </c>
      <c r="EI374" s="408">
        <v>0</v>
      </c>
      <c r="EJ374" s="408">
        <v>0</v>
      </c>
      <c r="EK374" s="408">
        <v>0</v>
      </c>
      <c r="EL374" s="408">
        <v>0</v>
      </c>
      <c r="EM374" s="408">
        <v>0</v>
      </c>
      <c r="EN374" s="408">
        <v>0</v>
      </c>
      <c r="EO374" s="408">
        <v>0</v>
      </c>
      <c r="EP374" s="408">
        <v>0</v>
      </c>
      <c r="EQ374" s="408">
        <v>0</v>
      </c>
      <c r="ER374" s="408">
        <v>0</v>
      </c>
      <c r="ES374" s="408">
        <v>0</v>
      </c>
      <c r="ET374" s="408">
        <v>0</v>
      </c>
      <c r="EU374" s="408">
        <v>0</v>
      </c>
      <c r="EV374" s="408">
        <v>238</v>
      </c>
      <c r="EW374" s="408">
        <v>0</v>
      </c>
      <c r="EX374" s="408">
        <v>0</v>
      </c>
      <c r="EY374" s="408">
        <v>0</v>
      </c>
      <c r="EZ374" s="408"/>
      <c r="FA374" s="408">
        <v>0</v>
      </c>
      <c r="FB374" s="408"/>
      <c r="FC374" s="408"/>
      <c r="FD374" s="408"/>
      <c r="FE374" s="408"/>
      <c r="FF374" s="408">
        <v>0</v>
      </c>
      <c r="FG374" s="408">
        <v>0</v>
      </c>
      <c r="FH374" s="408">
        <v>0</v>
      </c>
      <c r="FI374" s="408">
        <v>0</v>
      </c>
    </row>
    <row r="375" spans="1:165">
      <c r="A375" s="408">
        <v>379</v>
      </c>
      <c r="B375" s="408" t="s">
        <v>2238</v>
      </c>
      <c r="C375" s="408" t="s">
        <v>2243</v>
      </c>
      <c r="D375" s="408" t="s">
        <v>597</v>
      </c>
      <c r="E375" s="408" t="s">
        <v>974</v>
      </c>
      <c r="F375" s="408" t="s">
        <v>1322</v>
      </c>
      <c r="G375" s="408" t="s">
        <v>1322</v>
      </c>
      <c r="H375" s="408" t="s">
        <v>1322</v>
      </c>
      <c r="I375" s="408" t="s">
        <v>2244</v>
      </c>
      <c r="J375" s="408" t="s">
        <v>2236</v>
      </c>
      <c r="K375" s="824">
        <v>44562</v>
      </c>
      <c r="L375" s="408">
        <v>0</v>
      </c>
      <c r="M375" s="408">
        <v>0</v>
      </c>
      <c r="N375" s="408">
        <v>23.693999999999999</v>
      </c>
      <c r="O375" s="408">
        <v>22.74624</v>
      </c>
      <c r="P375" s="408">
        <v>23.693999999999999</v>
      </c>
      <c r="Q375" s="408">
        <v>22.74624</v>
      </c>
      <c r="R375" s="408"/>
      <c r="S375" s="408">
        <v>79.7</v>
      </c>
      <c r="T375" s="408">
        <v>209.4</v>
      </c>
      <c r="U375" s="408"/>
      <c r="V375" s="408">
        <v>6849.9353999999994</v>
      </c>
      <c r="W375" s="408">
        <v>6849.9353999999994</v>
      </c>
      <c r="X375" s="408">
        <v>7404.8488799999996</v>
      </c>
      <c r="Y375" s="408">
        <v>0</v>
      </c>
      <c r="Z375" s="408">
        <v>1268.5288863845797</v>
      </c>
      <c r="AA375" s="408">
        <v>0</v>
      </c>
      <c r="AB375" s="408">
        <v>0</v>
      </c>
      <c r="AC375" s="408">
        <v>0</v>
      </c>
      <c r="AD375" s="408">
        <v>0</v>
      </c>
      <c r="AE375" s="408">
        <v>0</v>
      </c>
      <c r="AF375" s="408">
        <v>4896.3827707725459</v>
      </c>
      <c r="AG375" s="408">
        <v>65.22875186146905</v>
      </c>
      <c r="AH375" s="408">
        <v>0</v>
      </c>
      <c r="AI375" s="408">
        <v>0</v>
      </c>
      <c r="AJ375" s="408">
        <v>0</v>
      </c>
      <c r="AK375" s="408">
        <v>0</v>
      </c>
      <c r="AL375" s="408">
        <v>225.32050137958274</v>
      </c>
      <c r="AM375" s="408"/>
      <c r="AN375" s="408">
        <v>31.461943045791394</v>
      </c>
      <c r="AO375" s="408">
        <v>0</v>
      </c>
      <c r="AP375" s="408">
        <v>0</v>
      </c>
      <c r="AQ375" s="408">
        <v>0</v>
      </c>
      <c r="AR375" s="408">
        <v>0</v>
      </c>
      <c r="AS375" s="408">
        <v>0</v>
      </c>
      <c r="AT375" s="408">
        <v>0</v>
      </c>
      <c r="AU375" s="408">
        <v>0</v>
      </c>
      <c r="AV375" s="408">
        <v>0</v>
      </c>
      <c r="AW375" s="408">
        <v>0</v>
      </c>
      <c r="AX375" s="408">
        <v>0</v>
      </c>
      <c r="AY375" s="408">
        <v>0</v>
      </c>
      <c r="AZ375" s="408">
        <v>0</v>
      </c>
      <c r="BA375" s="408"/>
      <c r="BB375" s="408">
        <v>0</v>
      </c>
      <c r="BC375" s="408">
        <v>0</v>
      </c>
      <c r="BD375" s="408">
        <v>0</v>
      </c>
      <c r="BE375" s="408">
        <v>0</v>
      </c>
      <c r="BF375" s="408">
        <v>0</v>
      </c>
      <c r="BG375" s="408">
        <v>363.09719514276088</v>
      </c>
      <c r="BH375" s="408">
        <v>0</v>
      </c>
      <c r="BI375" s="408">
        <v>0</v>
      </c>
      <c r="BJ375" s="408">
        <v>0</v>
      </c>
      <c r="BK375" s="408">
        <v>0</v>
      </c>
      <c r="BL375" s="408">
        <v>0</v>
      </c>
      <c r="BM375" s="408"/>
      <c r="BN375" s="408"/>
      <c r="BO375" s="408"/>
      <c r="BP375" s="408"/>
      <c r="BQ375" s="408"/>
      <c r="BR375" s="408">
        <v>296.19395519999961</v>
      </c>
      <c r="BS375" s="408"/>
      <c r="BT375" s="408"/>
      <c r="BU375" s="408"/>
      <c r="BV375" s="408">
        <v>5259.4799659153068</v>
      </c>
      <c r="BW375" s="408"/>
      <c r="BX375" s="408"/>
      <c r="BY375" s="408"/>
      <c r="BZ375" s="408"/>
      <c r="CA375" s="408"/>
      <c r="CB375" s="408"/>
      <c r="CC375" s="408"/>
      <c r="CD375" s="408"/>
      <c r="CE375" s="408"/>
      <c r="CF375" s="408"/>
      <c r="CG375" s="408"/>
      <c r="CH375" s="408"/>
      <c r="CI375" s="408">
        <v>7109.83</v>
      </c>
      <c r="CJ375" s="408">
        <v>533.86201599999913</v>
      </c>
      <c r="CK375" s="408"/>
      <c r="CL375" s="408"/>
      <c r="CM375" s="408"/>
      <c r="CN375" s="408"/>
      <c r="CO375" s="408">
        <v>13.979460000000079</v>
      </c>
      <c r="CP375" s="408">
        <v>540.93401999999958</v>
      </c>
      <c r="CQ375" s="408">
        <v>31</v>
      </c>
      <c r="CR375" s="408">
        <v>554.72876386137432</v>
      </c>
      <c r="CS375" s="408">
        <v>0</v>
      </c>
      <c r="CT375" s="408">
        <v>0</v>
      </c>
      <c r="CU375" s="408">
        <v>0</v>
      </c>
      <c r="CV375" s="408">
        <v>0</v>
      </c>
      <c r="CW375" s="408">
        <v>0</v>
      </c>
      <c r="CX375" s="408">
        <v>0</v>
      </c>
      <c r="CY375" s="408">
        <v>0</v>
      </c>
      <c r="CZ375" s="408">
        <v>0</v>
      </c>
      <c r="DA375" s="408">
        <v>0</v>
      </c>
      <c r="DB375" s="408">
        <v>0</v>
      </c>
      <c r="DC375" s="408">
        <v>540.77015528997345</v>
      </c>
      <c r="DD375" s="408">
        <v>0</v>
      </c>
      <c r="DE375" s="408">
        <v>0</v>
      </c>
      <c r="DF375" s="408">
        <v>0</v>
      </c>
      <c r="DG375" s="408">
        <v>40.101465876966472</v>
      </c>
      <c r="DH375" s="408">
        <v>0</v>
      </c>
      <c r="DI375" s="408">
        <v>-22.113151367144837</v>
      </c>
      <c r="DJ375" s="408"/>
      <c r="DK375" s="408">
        <v>0</v>
      </c>
      <c r="DL375" s="408">
        <v>0</v>
      </c>
      <c r="DM375" s="408">
        <v>0</v>
      </c>
      <c r="DN375" s="408">
        <v>0</v>
      </c>
      <c r="DO375" s="408">
        <v>-3.3022909731011509</v>
      </c>
      <c r="DP375" s="408">
        <v>-0.72741496531924099</v>
      </c>
      <c r="DQ375" s="408">
        <v>0</v>
      </c>
      <c r="DR375" s="408">
        <v>0</v>
      </c>
      <c r="DS375" s="408"/>
      <c r="DT375" s="408"/>
      <c r="DU375" s="408"/>
      <c r="DV375" s="408">
        <v>0</v>
      </c>
      <c r="DW375" s="408">
        <v>0</v>
      </c>
      <c r="DX375" s="408">
        <v>0</v>
      </c>
      <c r="DY375" s="408">
        <v>13.979460000000017</v>
      </c>
      <c r="DZ375" s="408">
        <v>540.93401999999969</v>
      </c>
      <c r="EA375" s="408">
        <v>0</v>
      </c>
      <c r="EB375" s="408">
        <v>0</v>
      </c>
      <c r="EC375" s="408">
        <v>0</v>
      </c>
      <c r="ED375" s="408">
        <v>0</v>
      </c>
      <c r="EE375" s="408">
        <v>0</v>
      </c>
      <c r="EF375" s="408">
        <v>0</v>
      </c>
      <c r="EG375" s="408">
        <v>0</v>
      </c>
      <c r="EH375" s="408">
        <v>0</v>
      </c>
      <c r="EI375" s="408">
        <v>0</v>
      </c>
      <c r="EJ375" s="408">
        <v>0</v>
      </c>
      <c r="EK375" s="408">
        <v>0</v>
      </c>
      <c r="EL375" s="408">
        <v>0</v>
      </c>
      <c r="EM375" s="408">
        <v>0</v>
      </c>
      <c r="EN375" s="408">
        <v>0</v>
      </c>
      <c r="EO375" s="408">
        <v>0</v>
      </c>
      <c r="EP375" s="408">
        <v>0</v>
      </c>
      <c r="EQ375" s="408">
        <v>0</v>
      </c>
      <c r="ER375" s="408">
        <v>0</v>
      </c>
      <c r="ES375" s="408">
        <v>0</v>
      </c>
      <c r="ET375" s="408">
        <v>0</v>
      </c>
      <c r="EU375" s="408">
        <v>0</v>
      </c>
      <c r="EV375" s="408">
        <v>238</v>
      </c>
      <c r="EW375" s="408">
        <v>0</v>
      </c>
      <c r="EX375" s="408">
        <v>0</v>
      </c>
      <c r="EY375" s="408">
        <v>0</v>
      </c>
      <c r="EZ375" s="408"/>
      <c r="FA375" s="408">
        <v>0</v>
      </c>
      <c r="FB375" s="408"/>
      <c r="FC375" s="408"/>
      <c r="FD375" s="408"/>
      <c r="FE375" s="408"/>
      <c r="FF375" s="408">
        <v>0</v>
      </c>
      <c r="FG375" s="408">
        <v>0</v>
      </c>
      <c r="FH375" s="408">
        <v>0</v>
      </c>
      <c r="FI375" s="408">
        <v>0</v>
      </c>
    </row>
    <row r="376" spans="1:165">
      <c r="A376" s="408">
        <v>380</v>
      </c>
      <c r="B376" s="408" t="s">
        <v>1036</v>
      </c>
      <c r="C376" s="408" t="s">
        <v>2243</v>
      </c>
      <c r="D376" s="408" t="s">
        <v>597</v>
      </c>
      <c r="E376" s="408" t="s">
        <v>974</v>
      </c>
      <c r="F376" s="408" t="s">
        <v>1322</v>
      </c>
      <c r="G376" s="408" t="s">
        <v>1322</v>
      </c>
      <c r="H376" s="408" t="s">
        <v>1322</v>
      </c>
      <c r="I376" s="408" t="s">
        <v>1322</v>
      </c>
      <c r="J376" s="408" t="s">
        <v>2236</v>
      </c>
      <c r="K376" s="824">
        <v>44562</v>
      </c>
      <c r="L376" s="408">
        <v>2721</v>
      </c>
      <c r="M376" s="408">
        <v>2612.16</v>
      </c>
      <c r="N376" s="408">
        <v>0</v>
      </c>
      <c r="O376" s="408">
        <v>0</v>
      </c>
      <c r="P376" s="408">
        <v>0</v>
      </c>
      <c r="Q376" s="408">
        <v>0</v>
      </c>
      <c r="R376" s="408">
        <v>44.35</v>
      </c>
      <c r="S376" s="408"/>
      <c r="T376" s="408"/>
      <c r="U376" s="408">
        <v>120676.35</v>
      </c>
      <c r="V376" s="408"/>
      <c r="W376" s="408">
        <v>120676.35</v>
      </c>
      <c r="X376" s="408">
        <v>78827.37</v>
      </c>
      <c r="Y376" s="408">
        <v>0</v>
      </c>
      <c r="Z376" s="408">
        <v>0</v>
      </c>
      <c r="AA376" s="408">
        <v>0</v>
      </c>
      <c r="AB376" s="408">
        <v>0</v>
      </c>
      <c r="AC376" s="408">
        <v>0</v>
      </c>
      <c r="AD376" s="408">
        <v>35705.135295280103</v>
      </c>
      <c r="AE376" s="408">
        <v>78141.259743514864</v>
      </c>
      <c r="AF376" s="408"/>
      <c r="AG376" s="408"/>
      <c r="AH376" s="408"/>
      <c r="AI376" s="408">
        <v>0</v>
      </c>
      <c r="AJ376" s="408">
        <v>0</v>
      </c>
      <c r="AK376" s="408">
        <v>0</v>
      </c>
      <c r="AL376" s="408">
        <v>0</v>
      </c>
      <c r="AM376" s="408"/>
      <c r="AN376" s="408">
        <v>0</v>
      </c>
      <c r="AO376" s="408">
        <v>2698.472002009491</v>
      </c>
      <c r="AP376" s="408">
        <v>4128.5498814635757</v>
      </c>
      <c r="AQ376" s="408">
        <v>0</v>
      </c>
      <c r="AR376" s="408">
        <v>0</v>
      </c>
      <c r="AS376" s="408"/>
      <c r="AT376" s="408"/>
      <c r="AU376" s="408">
        <v>0</v>
      </c>
      <c r="AV376" s="408">
        <v>0</v>
      </c>
      <c r="AW376" s="408">
        <v>0</v>
      </c>
      <c r="AX376" s="408"/>
      <c r="AY376" s="408"/>
      <c r="AZ376" s="408">
        <v>0</v>
      </c>
      <c r="BA376" s="408"/>
      <c r="BB376" s="408">
        <v>0</v>
      </c>
      <c r="BC376" s="408">
        <v>0</v>
      </c>
      <c r="BD376" s="408">
        <v>0</v>
      </c>
      <c r="BE376" s="408">
        <v>0</v>
      </c>
      <c r="BF376" s="408"/>
      <c r="BG376" s="408">
        <v>0</v>
      </c>
      <c r="BH376" s="408">
        <v>0</v>
      </c>
      <c r="BI376" s="408">
        <v>1162.3599999999999</v>
      </c>
      <c r="BJ376" s="408">
        <v>5313.9</v>
      </c>
      <c r="BK376" s="408">
        <v>117.68</v>
      </c>
      <c r="BL376" s="408">
        <v>16</v>
      </c>
      <c r="BM376" s="408"/>
      <c r="BN376" s="408"/>
      <c r="BO376" s="408"/>
      <c r="BP376" s="408"/>
      <c r="BQ376" s="408"/>
      <c r="BR376" s="408">
        <v>3153.0948000000039</v>
      </c>
      <c r="BS376" s="408"/>
      <c r="BT376" s="408"/>
      <c r="BU376" s="408"/>
      <c r="BV376" s="408">
        <v>0</v>
      </c>
      <c r="BW376" s="408"/>
      <c r="BX376" s="408"/>
      <c r="BY376" s="408"/>
      <c r="BZ376" s="408"/>
      <c r="CA376" s="408"/>
      <c r="CB376" s="408"/>
      <c r="CC376" s="408"/>
      <c r="CD376" s="408"/>
      <c r="CE376" s="408"/>
      <c r="CF376" s="408"/>
      <c r="CG376" s="408"/>
      <c r="CH376" s="408"/>
      <c r="CI376" s="408">
        <v>75674.275199999989</v>
      </c>
      <c r="CJ376" s="408">
        <v>-40175.050799999997</v>
      </c>
      <c r="CK376" s="408"/>
      <c r="CL376" s="408"/>
      <c r="CM376" s="408"/>
      <c r="CN376" s="408"/>
      <c r="CO376" s="408">
        <v>-41848.98000000001</v>
      </c>
      <c r="CP376" s="408">
        <v>0</v>
      </c>
      <c r="CQ376" s="408">
        <v>31</v>
      </c>
      <c r="CR376" s="408">
        <v>1994.7415880130429</v>
      </c>
      <c r="CS376" s="408">
        <v>325.79200405250958</v>
      </c>
      <c r="CT376" s="408">
        <v>498.44821021346797</v>
      </c>
      <c r="CU376" s="408">
        <v>0</v>
      </c>
      <c r="CV376" s="408">
        <v>0</v>
      </c>
      <c r="CW376" s="408"/>
      <c r="CX376" s="408"/>
      <c r="CY376" s="408"/>
      <c r="CZ376" s="408">
        <v>1170.5013737470654</v>
      </c>
      <c r="DA376" s="408">
        <v>0</v>
      </c>
      <c r="DB376" s="408">
        <v>0</v>
      </c>
      <c r="DC376" s="408"/>
      <c r="DD376" s="408"/>
      <c r="DE376" s="408">
        <v>0</v>
      </c>
      <c r="DF376" s="408">
        <v>0</v>
      </c>
      <c r="DG376" s="408">
        <v>0</v>
      </c>
      <c r="DH376" s="408">
        <v>0</v>
      </c>
      <c r="DI376" s="408">
        <v>0</v>
      </c>
      <c r="DJ376" s="408"/>
      <c r="DK376" s="408">
        <v>0</v>
      </c>
      <c r="DL376" s="408">
        <v>0</v>
      </c>
      <c r="DM376" s="408"/>
      <c r="DN376" s="408">
        <v>0</v>
      </c>
      <c r="DO376" s="408">
        <v>0</v>
      </c>
      <c r="DP376" s="408">
        <v>0</v>
      </c>
      <c r="DQ376" s="408">
        <v>0</v>
      </c>
      <c r="DR376" s="408">
        <v>0</v>
      </c>
      <c r="DS376" s="408"/>
      <c r="DT376" s="408"/>
      <c r="DU376" s="408">
        <v>78141.259743514864</v>
      </c>
      <c r="DV376" s="408"/>
      <c r="DW376" s="408">
        <v>0</v>
      </c>
      <c r="DX376" s="408">
        <v>0</v>
      </c>
      <c r="DY376" s="408">
        <v>-41848.98000000001</v>
      </c>
      <c r="DZ376" s="408"/>
      <c r="EA376" s="408">
        <v>0</v>
      </c>
      <c r="EB376" s="408"/>
      <c r="EC376" s="408">
        <v>-43836.441798256994</v>
      </c>
      <c r="ED376" s="408"/>
      <c r="EE376" s="408">
        <v>0</v>
      </c>
      <c r="EF376" s="408">
        <v>0</v>
      </c>
      <c r="EG376" s="408"/>
      <c r="EH376" s="408">
        <v>0</v>
      </c>
      <c r="EI376" s="408">
        <v>0</v>
      </c>
      <c r="EJ376" s="408">
        <v>0</v>
      </c>
      <c r="EK376" s="408">
        <v>0</v>
      </c>
      <c r="EL376" s="408">
        <v>0</v>
      </c>
      <c r="EM376" s="408"/>
      <c r="EN376" s="408"/>
      <c r="EO376" s="408">
        <v>0</v>
      </c>
      <c r="EP376" s="408">
        <v>0</v>
      </c>
      <c r="EQ376" s="408"/>
      <c r="ER376" s="408">
        <v>0</v>
      </c>
      <c r="ES376" s="408"/>
      <c r="ET376" s="408">
        <v>0</v>
      </c>
      <c r="EU376" s="408"/>
      <c r="EV376" s="408">
        <v>238</v>
      </c>
      <c r="EW376" s="408"/>
      <c r="EX376" s="408"/>
      <c r="EY376" s="408"/>
      <c r="EZ376" s="408"/>
      <c r="FA376" s="408">
        <v>0</v>
      </c>
      <c r="FB376" s="408"/>
      <c r="FC376" s="408"/>
      <c r="FD376" s="408"/>
      <c r="FE376" s="408"/>
      <c r="FF376" s="408">
        <v>0</v>
      </c>
      <c r="FG376" s="408">
        <v>0</v>
      </c>
      <c r="FH376" s="408">
        <v>0</v>
      </c>
      <c r="FI376" s="408">
        <v>0</v>
      </c>
    </row>
    <row r="377" spans="1:165">
      <c r="A377" s="408">
        <v>381</v>
      </c>
      <c r="B377" s="408" t="s">
        <v>2238</v>
      </c>
      <c r="C377" s="408" t="s">
        <v>2243</v>
      </c>
      <c r="D377" s="408" t="s">
        <v>597</v>
      </c>
      <c r="E377" s="408" t="s">
        <v>974</v>
      </c>
      <c r="F377" s="408" t="s">
        <v>1322</v>
      </c>
      <c r="G377" s="408" t="s">
        <v>1322</v>
      </c>
      <c r="H377" s="408" t="s">
        <v>1322</v>
      </c>
      <c r="I377" s="408" t="s">
        <v>1322</v>
      </c>
      <c r="J377" s="408" t="s">
        <v>2236</v>
      </c>
      <c r="K377" s="824">
        <v>44562</v>
      </c>
      <c r="L377" s="408">
        <v>1222</v>
      </c>
      <c r="M377" s="408">
        <v>1173.1199999999999</v>
      </c>
      <c r="N377" s="408">
        <v>0</v>
      </c>
      <c r="O377" s="408">
        <v>0</v>
      </c>
      <c r="P377" s="408">
        <v>0</v>
      </c>
      <c r="Q377" s="408">
        <v>0</v>
      </c>
      <c r="R377" s="408">
        <v>44.35</v>
      </c>
      <c r="S377" s="408"/>
      <c r="T377" s="408"/>
      <c r="U377" s="408">
        <v>54195.700000000004</v>
      </c>
      <c r="V377" s="408"/>
      <c r="W377" s="408">
        <v>54195.700000000004</v>
      </c>
      <c r="X377" s="408">
        <v>35401.339999999997</v>
      </c>
      <c r="Y377" s="408">
        <v>0</v>
      </c>
      <c r="Z377" s="408">
        <v>0</v>
      </c>
      <c r="AA377" s="408">
        <v>0</v>
      </c>
      <c r="AB377" s="408">
        <v>0</v>
      </c>
      <c r="AC377" s="408">
        <v>0</v>
      </c>
      <c r="AD377" s="408">
        <v>16035.161826840236</v>
      </c>
      <c r="AE377" s="408">
        <v>35093.20816118161</v>
      </c>
      <c r="AF377" s="408"/>
      <c r="AG377" s="408"/>
      <c r="AH377" s="408"/>
      <c r="AI377" s="408">
        <v>0</v>
      </c>
      <c r="AJ377" s="408">
        <v>0</v>
      </c>
      <c r="AK377" s="408">
        <v>0</v>
      </c>
      <c r="AL377" s="408">
        <v>0</v>
      </c>
      <c r="AM377" s="408"/>
      <c r="AN377" s="408">
        <v>0</v>
      </c>
      <c r="AO377" s="408">
        <v>1211.8826852097018</v>
      </c>
      <c r="AP377" s="408">
        <v>1854.1300827447592</v>
      </c>
      <c r="AQ377" s="408">
        <v>0</v>
      </c>
      <c r="AR377" s="408">
        <v>0</v>
      </c>
      <c r="AS377" s="408"/>
      <c r="AT377" s="408"/>
      <c r="AU377" s="408">
        <v>0</v>
      </c>
      <c r="AV377" s="408">
        <v>0</v>
      </c>
      <c r="AW377" s="408">
        <v>0</v>
      </c>
      <c r="AX377" s="408"/>
      <c r="AY377" s="408"/>
      <c r="AZ377" s="408">
        <v>0</v>
      </c>
      <c r="BA377" s="408"/>
      <c r="BB377" s="408">
        <v>0</v>
      </c>
      <c r="BC377" s="408">
        <v>0</v>
      </c>
      <c r="BD377" s="408">
        <v>0</v>
      </c>
      <c r="BE377" s="408">
        <v>0</v>
      </c>
      <c r="BF377" s="408"/>
      <c r="BG377" s="408">
        <v>0</v>
      </c>
      <c r="BH377" s="408">
        <v>0</v>
      </c>
      <c r="BI377" s="408">
        <v>177.62</v>
      </c>
      <c r="BJ377" s="408">
        <v>812.09</v>
      </c>
      <c r="BK377" s="408">
        <v>50.25</v>
      </c>
      <c r="BL377" s="408">
        <v>8</v>
      </c>
      <c r="BM377" s="408"/>
      <c r="BN377" s="408"/>
      <c r="BO377" s="408"/>
      <c r="BP377" s="408"/>
      <c r="BQ377" s="408"/>
      <c r="BR377" s="408">
        <v>1416.0536000000031</v>
      </c>
      <c r="BS377" s="408"/>
      <c r="BT377" s="408"/>
      <c r="BU377" s="408"/>
      <c r="BV377" s="408">
        <v>0</v>
      </c>
      <c r="BW377" s="408"/>
      <c r="BX377" s="408"/>
      <c r="BY377" s="408"/>
      <c r="BZ377" s="408"/>
      <c r="CA377" s="408"/>
      <c r="CB377" s="408"/>
      <c r="CC377" s="408"/>
      <c r="CD377" s="408"/>
      <c r="CE377" s="408"/>
      <c r="CF377" s="408"/>
      <c r="CG377" s="408"/>
      <c r="CH377" s="408"/>
      <c r="CI377" s="408">
        <v>33985.286399999997</v>
      </c>
      <c r="CJ377" s="408">
        <v>-18042.615600000005</v>
      </c>
      <c r="CK377" s="408"/>
      <c r="CL377" s="408"/>
      <c r="CM377" s="408"/>
      <c r="CN377" s="408"/>
      <c r="CO377" s="408">
        <v>-18794.360000000004</v>
      </c>
      <c r="CP377" s="408">
        <v>0</v>
      </c>
      <c r="CQ377" s="408">
        <v>31</v>
      </c>
      <c r="CR377" s="408">
        <v>895.8376407761607</v>
      </c>
      <c r="CS377" s="408">
        <v>146.3130573142837</v>
      </c>
      <c r="CT377" s="408">
        <v>223.85288970263059</v>
      </c>
      <c r="CU377" s="408">
        <v>0</v>
      </c>
      <c r="CV377" s="408">
        <v>0</v>
      </c>
      <c r="CW377" s="408"/>
      <c r="CX377" s="408"/>
      <c r="CY377" s="408"/>
      <c r="CZ377" s="408">
        <v>525.67169375924823</v>
      </c>
      <c r="DA377" s="408">
        <v>0</v>
      </c>
      <c r="DB377" s="408">
        <v>0</v>
      </c>
      <c r="DC377" s="408"/>
      <c r="DD377" s="408"/>
      <c r="DE377" s="408">
        <v>0</v>
      </c>
      <c r="DF377" s="408">
        <v>0</v>
      </c>
      <c r="DG377" s="408">
        <v>0</v>
      </c>
      <c r="DH377" s="408">
        <v>0</v>
      </c>
      <c r="DI377" s="408">
        <v>0</v>
      </c>
      <c r="DJ377" s="408"/>
      <c r="DK377" s="408">
        <v>0</v>
      </c>
      <c r="DL377" s="408">
        <v>0</v>
      </c>
      <c r="DM377" s="408"/>
      <c r="DN377" s="408">
        <v>0</v>
      </c>
      <c r="DO377" s="408">
        <v>0</v>
      </c>
      <c r="DP377" s="408">
        <v>0</v>
      </c>
      <c r="DQ377" s="408">
        <v>0</v>
      </c>
      <c r="DR377" s="408">
        <v>0</v>
      </c>
      <c r="DS377" s="408"/>
      <c r="DT377" s="408"/>
      <c r="DU377" s="408">
        <v>35093.20816118161</v>
      </c>
      <c r="DV377" s="408"/>
      <c r="DW377" s="408">
        <v>0</v>
      </c>
      <c r="DX377" s="408">
        <v>0</v>
      </c>
      <c r="DY377" s="408">
        <v>-18794.360000000008</v>
      </c>
      <c r="DZ377" s="408"/>
      <c r="EA377" s="408">
        <v>0</v>
      </c>
      <c r="EB377" s="408"/>
      <c r="EC377" s="408">
        <v>-19686.928290139669</v>
      </c>
      <c r="ED377" s="408"/>
      <c r="EE377" s="408">
        <v>0</v>
      </c>
      <c r="EF377" s="408">
        <v>0</v>
      </c>
      <c r="EG377" s="408"/>
      <c r="EH377" s="408">
        <v>0</v>
      </c>
      <c r="EI377" s="408">
        <v>0</v>
      </c>
      <c r="EJ377" s="408">
        <v>0</v>
      </c>
      <c r="EK377" s="408">
        <v>0</v>
      </c>
      <c r="EL377" s="408">
        <v>0</v>
      </c>
      <c r="EM377" s="408"/>
      <c r="EN377" s="408"/>
      <c r="EO377" s="408">
        <v>0</v>
      </c>
      <c r="EP377" s="408">
        <v>0</v>
      </c>
      <c r="EQ377" s="408"/>
      <c r="ER377" s="408">
        <v>0</v>
      </c>
      <c r="ES377" s="408"/>
      <c r="ET377" s="408">
        <v>0</v>
      </c>
      <c r="EU377" s="408"/>
      <c r="EV377" s="408">
        <v>238</v>
      </c>
      <c r="EW377" s="408"/>
      <c r="EX377" s="408"/>
      <c r="EY377" s="408"/>
      <c r="EZ377" s="408"/>
      <c r="FA377" s="408">
        <v>0</v>
      </c>
      <c r="FB377" s="408"/>
      <c r="FC377" s="408"/>
      <c r="FD377" s="408"/>
      <c r="FE377" s="408"/>
      <c r="FF377" s="408">
        <v>0</v>
      </c>
      <c r="FG377" s="408">
        <v>0</v>
      </c>
      <c r="FH377" s="408">
        <v>0</v>
      </c>
      <c r="FI377" s="408">
        <v>0</v>
      </c>
    </row>
    <row r="378" spans="1:165">
      <c r="A378" s="408">
        <v>382</v>
      </c>
      <c r="B378" s="408" t="s">
        <v>1036</v>
      </c>
      <c r="C378" s="408" t="s">
        <v>2235</v>
      </c>
      <c r="D378" s="408" t="s">
        <v>1958</v>
      </c>
      <c r="E378" s="408" t="s">
        <v>2246</v>
      </c>
      <c r="F378" s="408" t="s">
        <v>1322</v>
      </c>
      <c r="G378" s="408" t="s">
        <v>1322</v>
      </c>
      <c r="H378" s="408" t="s">
        <v>1322</v>
      </c>
      <c r="I378" s="408" t="s">
        <v>1322</v>
      </c>
      <c r="J378" s="408" t="s">
        <v>2236</v>
      </c>
      <c r="K378" s="824">
        <v>44562</v>
      </c>
      <c r="L378" s="408">
        <v>0</v>
      </c>
      <c r="M378" s="408">
        <v>0</v>
      </c>
      <c r="N378" s="408">
        <v>326.17200000000003</v>
      </c>
      <c r="O378" s="408">
        <v>326.17200000000003</v>
      </c>
      <c r="P378" s="408">
        <v>326.17200000000003</v>
      </c>
      <c r="Q378" s="408">
        <v>326.17200000000003</v>
      </c>
      <c r="R378" s="408"/>
      <c r="S378" s="408">
        <v>581.32000000000005</v>
      </c>
      <c r="T378" s="408">
        <v>209.4</v>
      </c>
      <c r="U378" s="408"/>
      <c r="V378" s="408">
        <v>257910.72384000005</v>
      </c>
      <c r="W378" s="408">
        <v>257910.72384000005</v>
      </c>
      <c r="X378" s="408">
        <v>197030.72003999999</v>
      </c>
      <c r="Y378" s="408">
        <v>0</v>
      </c>
      <c r="Z378" s="408">
        <v>20071.942357482756</v>
      </c>
      <c r="AA378" s="408">
        <v>0</v>
      </c>
      <c r="AB378" s="408">
        <v>0</v>
      </c>
      <c r="AC378" s="408">
        <v>0</v>
      </c>
      <c r="AD378" s="408">
        <v>24199.074080340408</v>
      </c>
      <c r="AE378" s="408">
        <v>125708.42138972018</v>
      </c>
      <c r="AF378" s="408">
        <v>67403.687056150215</v>
      </c>
      <c r="AG378" s="408">
        <v>897.94008829910888</v>
      </c>
      <c r="AH378" s="408">
        <v>0</v>
      </c>
      <c r="AI378" s="408">
        <v>0</v>
      </c>
      <c r="AJ378" s="408">
        <v>0</v>
      </c>
      <c r="AK378" s="408">
        <v>0</v>
      </c>
      <c r="AL378" s="408">
        <v>3101.7657877935881</v>
      </c>
      <c r="AM378" s="408"/>
      <c r="AN378" s="408">
        <v>594.59991682253417</v>
      </c>
      <c r="AO378" s="408">
        <v>1859.0110433629359</v>
      </c>
      <c r="AP378" s="408">
        <v>2800.2485830564779</v>
      </c>
      <c r="AQ378" s="408">
        <v>0</v>
      </c>
      <c r="AR378" s="408">
        <v>0</v>
      </c>
      <c r="AS378" s="408">
        <v>0</v>
      </c>
      <c r="AT378" s="408">
        <v>0</v>
      </c>
      <c r="AU378" s="408">
        <v>0</v>
      </c>
      <c r="AV378" s="408">
        <v>0</v>
      </c>
      <c r="AW378" s="408">
        <v>0</v>
      </c>
      <c r="AX378" s="408">
        <v>0</v>
      </c>
      <c r="AY378" s="408">
        <v>0</v>
      </c>
      <c r="AZ378" s="408">
        <v>0</v>
      </c>
      <c r="BA378" s="408"/>
      <c r="BB378" s="408">
        <v>0</v>
      </c>
      <c r="BC378" s="408">
        <v>0</v>
      </c>
      <c r="BD378" s="408">
        <v>0</v>
      </c>
      <c r="BE378" s="408">
        <v>0</v>
      </c>
      <c r="BF378" s="408">
        <v>0</v>
      </c>
      <c r="BG378" s="408">
        <v>11276.510839879762</v>
      </c>
      <c r="BH378" s="408">
        <v>0</v>
      </c>
      <c r="BI378" s="408">
        <v>689.85</v>
      </c>
      <c r="BJ378" s="408">
        <v>3164.23</v>
      </c>
      <c r="BK378" s="408">
        <v>74243.649999999994</v>
      </c>
      <c r="BL378" s="408">
        <v>481</v>
      </c>
      <c r="BM378" s="408"/>
      <c r="BN378" s="408"/>
      <c r="BO378" s="408"/>
      <c r="BP378" s="408"/>
      <c r="BQ378" s="408"/>
      <c r="BR378" s="408"/>
      <c r="BS378" s="408"/>
      <c r="BT378" s="408"/>
      <c r="BU378" s="408"/>
      <c r="BV378" s="408">
        <v>78680.197896029975</v>
      </c>
      <c r="BW378" s="408"/>
      <c r="BX378" s="408"/>
      <c r="BY378" s="408"/>
      <c r="BZ378" s="408"/>
      <c r="CA378" s="408"/>
      <c r="CB378" s="408"/>
      <c r="CC378" s="408"/>
      <c r="CD378" s="408"/>
      <c r="CE378" s="408"/>
      <c r="CF378" s="408"/>
      <c r="CG378" s="408"/>
      <c r="CH378" s="408"/>
      <c r="CI378" s="408">
        <v>197029.51190000001</v>
      </c>
      <c r="CJ378" s="408">
        <v>-60881.241940000065</v>
      </c>
      <c r="CK378" s="408"/>
      <c r="CL378" s="408"/>
      <c r="CM378" s="408"/>
      <c r="CN378" s="408"/>
      <c r="CO378" s="408">
        <v>-68326.510560000024</v>
      </c>
      <c r="CP378" s="408">
        <v>7446.5067599999957</v>
      </c>
      <c r="CQ378" s="408">
        <v>31</v>
      </c>
      <c r="CR378" s="408">
        <v>9636.3833969283733</v>
      </c>
      <c r="CS378" s="408">
        <v>224.4421779888587</v>
      </c>
      <c r="CT378" s="408">
        <v>338.0796973397546</v>
      </c>
      <c r="CU378" s="408">
        <v>0</v>
      </c>
      <c r="CV378" s="408">
        <v>0</v>
      </c>
      <c r="CW378" s="408">
        <v>0</v>
      </c>
      <c r="CX378" s="408">
        <v>0</v>
      </c>
      <c r="CY378" s="408">
        <v>0</v>
      </c>
      <c r="CZ378" s="408">
        <v>793.30463868000516</v>
      </c>
      <c r="DA378" s="408">
        <v>0</v>
      </c>
      <c r="DB378" s="408">
        <v>0</v>
      </c>
      <c r="DC378" s="408">
        <v>7444.250995663082</v>
      </c>
      <c r="DD378" s="408">
        <v>0</v>
      </c>
      <c r="DE378" s="408">
        <v>0</v>
      </c>
      <c r="DF378" s="408">
        <v>0</v>
      </c>
      <c r="DG378" s="408">
        <v>1245.4092752737288</v>
      </c>
      <c r="DH378" s="408">
        <v>0</v>
      </c>
      <c r="DI378" s="408">
        <v>-349.89656471176204</v>
      </c>
      <c r="DJ378" s="408"/>
      <c r="DK378" s="408">
        <v>0</v>
      </c>
      <c r="DL378" s="408">
        <v>0</v>
      </c>
      <c r="DM378" s="408">
        <v>0</v>
      </c>
      <c r="DN378" s="408">
        <v>0</v>
      </c>
      <c r="DO378" s="408">
        <v>-45.459392727203067</v>
      </c>
      <c r="DP378" s="408">
        <v>-13.747430578100762</v>
      </c>
      <c r="DQ378" s="408">
        <v>0</v>
      </c>
      <c r="DR378" s="408">
        <v>0</v>
      </c>
      <c r="DS378" s="408"/>
      <c r="DT378" s="408"/>
      <c r="DU378" s="408"/>
      <c r="DV378" s="408">
        <v>125708.42138972018</v>
      </c>
      <c r="DW378" s="408">
        <v>0</v>
      </c>
      <c r="DX378" s="408">
        <v>0</v>
      </c>
      <c r="DY378" s="408">
        <v>-68326.510560000039</v>
      </c>
      <c r="DZ378" s="408">
        <v>7446.5067599999893</v>
      </c>
      <c r="EA378" s="408">
        <v>0</v>
      </c>
      <c r="EB378" s="408">
        <v>0</v>
      </c>
      <c r="EC378" s="408">
        <v>-70521.129501736374</v>
      </c>
      <c r="ED378" s="408">
        <v>0</v>
      </c>
      <c r="EE378" s="408">
        <v>0</v>
      </c>
      <c r="EF378" s="408">
        <v>0</v>
      </c>
      <c r="EG378" s="408">
        <v>0</v>
      </c>
      <c r="EH378" s="408">
        <v>0</v>
      </c>
      <c r="EI378" s="408">
        <v>0</v>
      </c>
      <c r="EJ378" s="408">
        <v>0</v>
      </c>
      <c r="EK378" s="408">
        <v>0</v>
      </c>
      <c r="EL378" s="408">
        <v>0</v>
      </c>
      <c r="EM378" s="408">
        <v>0</v>
      </c>
      <c r="EN378" s="408">
        <v>0</v>
      </c>
      <c r="EO378" s="408">
        <v>0</v>
      </c>
      <c r="EP378" s="408">
        <v>0</v>
      </c>
      <c r="EQ378" s="408">
        <v>0</v>
      </c>
      <c r="ER378" s="408">
        <v>0</v>
      </c>
      <c r="ES378" s="408">
        <v>0</v>
      </c>
      <c r="ET378" s="408">
        <v>0</v>
      </c>
      <c r="EU378" s="408">
        <v>0</v>
      </c>
      <c r="EV378" s="408">
        <v>238</v>
      </c>
      <c r="EW378" s="408">
        <v>0</v>
      </c>
      <c r="EX378" s="408">
        <v>0</v>
      </c>
      <c r="EY378" s="408">
        <v>0</v>
      </c>
      <c r="EZ378" s="408"/>
      <c r="FA378" s="408">
        <v>0</v>
      </c>
      <c r="FB378" s="408"/>
      <c r="FC378" s="408"/>
      <c r="FD378" s="408"/>
      <c r="FE378" s="408"/>
      <c r="FF378" s="408">
        <v>0</v>
      </c>
      <c r="FG378" s="408">
        <v>0</v>
      </c>
      <c r="FH378" s="408">
        <v>0</v>
      </c>
      <c r="FI378" s="408">
        <v>0</v>
      </c>
    </row>
    <row r="379" spans="1:165">
      <c r="A379" s="408">
        <v>383</v>
      </c>
      <c r="B379" s="408" t="s">
        <v>2238</v>
      </c>
      <c r="C379" s="408" t="s">
        <v>2235</v>
      </c>
      <c r="D379" s="408" t="s">
        <v>1958</v>
      </c>
      <c r="E379" s="408" t="s">
        <v>2246</v>
      </c>
      <c r="F379" s="408" t="s">
        <v>1322</v>
      </c>
      <c r="G379" s="408" t="s">
        <v>1322</v>
      </c>
      <c r="H379" s="408" t="s">
        <v>1322</v>
      </c>
      <c r="I379" s="408" t="s">
        <v>1322</v>
      </c>
      <c r="J379" s="408" t="s">
        <v>2236</v>
      </c>
      <c r="K379" s="824">
        <v>44562</v>
      </c>
      <c r="L379" s="408">
        <v>0</v>
      </c>
      <c r="M379" s="408">
        <v>0</v>
      </c>
      <c r="N379" s="408">
        <v>3.339</v>
      </c>
      <c r="O379" s="408">
        <v>3.339</v>
      </c>
      <c r="P379" s="408">
        <v>3.339</v>
      </c>
      <c r="Q379" s="408">
        <v>3.339</v>
      </c>
      <c r="R379" s="408"/>
      <c r="S379" s="408">
        <v>581.32000000000005</v>
      </c>
      <c r="T379" s="408">
        <v>209.4</v>
      </c>
      <c r="U379" s="408"/>
      <c r="V379" s="408">
        <v>2640.2140800000002</v>
      </c>
      <c r="W379" s="408">
        <v>2640.2140800000002</v>
      </c>
      <c r="X379" s="408">
        <v>2016.9897299999998</v>
      </c>
      <c r="Y379" s="408">
        <v>0</v>
      </c>
      <c r="Z379" s="408">
        <v>205.47507306462515</v>
      </c>
      <c r="AA379" s="408">
        <v>0</v>
      </c>
      <c r="AB379" s="408">
        <v>0</v>
      </c>
      <c r="AC379" s="408">
        <v>0</v>
      </c>
      <c r="AD379" s="408">
        <v>247.72423247322459</v>
      </c>
      <c r="AE379" s="408">
        <v>1286.8683364000456</v>
      </c>
      <c r="AF379" s="408">
        <v>690.00684019623247</v>
      </c>
      <c r="AG379" s="408">
        <v>9.1921500154235325</v>
      </c>
      <c r="AH379" s="408">
        <v>0</v>
      </c>
      <c r="AI379" s="408">
        <v>0</v>
      </c>
      <c r="AJ379" s="408">
        <v>0</v>
      </c>
      <c r="AK379" s="408">
        <v>0</v>
      </c>
      <c r="AL379" s="408">
        <v>31.752559893071108</v>
      </c>
      <c r="AM379" s="408"/>
      <c r="AN379" s="408">
        <v>6.0868778505525967</v>
      </c>
      <c r="AO379" s="408">
        <v>19.030566307926009</v>
      </c>
      <c r="AP379" s="408">
        <v>28.66594931148467</v>
      </c>
      <c r="AQ379" s="408">
        <v>0</v>
      </c>
      <c r="AR379" s="408">
        <v>0</v>
      </c>
      <c r="AS379" s="408">
        <v>0</v>
      </c>
      <c r="AT379" s="408">
        <v>0</v>
      </c>
      <c r="AU379" s="408">
        <v>0</v>
      </c>
      <c r="AV379" s="408">
        <v>0</v>
      </c>
      <c r="AW379" s="408">
        <v>0</v>
      </c>
      <c r="AX379" s="408">
        <v>0</v>
      </c>
      <c r="AY379" s="408">
        <v>0</v>
      </c>
      <c r="AZ379" s="408">
        <v>0</v>
      </c>
      <c r="BA379" s="408"/>
      <c r="BB379" s="408">
        <v>0</v>
      </c>
      <c r="BC379" s="408">
        <v>0</v>
      </c>
      <c r="BD379" s="408">
        <v>0</v>
      </c>
      <c r="BE379" s="408">
        <v>0</v>
      </c>
      <c r="BF379" s="408">
        <v>0</v>
      </c>
      <c r="BG379" s="408">
        <v>115.43685446438849</v>
      </c>
      <c r="BH379" s="408">
        <v>0</v>
      </c>
      <c r="BI379" s="408">
        <v>7.06</v>
      </c>
      <c r="BJ379" s="408">
        <v>32.409999999999997</v>
      </c>
      <c r="BK379" s="408">
        <v>1221.4100000000001</v>
      </c>
      <c r="BL379" s="408">
        <v>4</v>
      </c>
      <c r="BM379" s="408"/>
      <c r="BN379" s="408"/>
      <c r="BO379" s="408"/>
      <c r="BP379" s="408"/>
      <c r="BQ379" s="408"/>
      <c r="BR379" s="408"/>
      <c r="BS379" s="408"/>
      <c r="BT379" s="408"/>
      <c r="BU379" s="408"/>
      <c r="BV379" s="408">
        <v>805.44369466062096</v>
      </c>
      <c r="BW379" s="408"/>
      <c r="BX379" s="408"/>
      <c r="BY379" s="408"/>
      <c r="BZ379" s="408"/>
      <c r="CA379" s="408"/>
      <c r="CB379" s="408"/>
      <c r="CC379" s="408"/>
      <c r="CD379" s="408"/>
      <c r="CE379" s="408"/>
      <c r="CF379" s="408"/>
      <c r="CG379" s="408"/>
      <c r="CH379" s="408"/>
      <c r="CI379" s="408">
        <v>2017.5937999999996</v>
      </c>
      <c r="CJ379" s="408">
        <v>-622.65028000000075</v>
      </c>
      <c r="CK379" s="408"/>
      <c r="CL379" s="408"/>
      <c r="CM379" s="408"/>
      <c r="CN379" s="408"/>
      <c r="CO379" s="408">
        <v>-699.4537200000002</v>
      </c>
      <c r="CP379" s="408">
        <v>76.229369999999946</v>
      </c>
      <c r="CQ379" s="408">
        <v>31</v>
      </c>
      <c r="CR379" s="408">
        <v>98.646984297683275</v>
      </c>
      <c r="CS379" s="408">
        <v>2.2975989119384863</v>
      </c>
      <c r="CT379" s="408">
        <v>3.4608982666122223</v>
      </c>
      <c r="CU379" s="408">
        <v>0</v>
      </c>
      <c r="CV379" s="408">
        <v>0</v>
      </c>
      <c r="CW379" s="408">
        <v>0</v>
      </c>
      <c r="CX379" s="408">
        <v>0</v>
      </c>
      <c r="CY379" s="408">
        <v>0</v>
      </c>
      <c r="CZ379" s="408">
        <v>8.1210042203271371</v>
      </c>
      <c r="DA379" s="408">
        <v>0</v>
      </c>
      <c r="DB379" s="408">
        <v>0</v>
      </c>
      <c r="DC379" s="408">
        <v>76.206277897916038</v>
      </c>
      <c r="DD379" s="408">
        <v>0</v>
      </c>
      <c r="DE379" s="408">
        <v>0</v>
      </c>
      <c r="DF379" s="408">
        <v>0</v>
      </c>
      <c r="DG379" s="408">
        <v>12.749167832122254</v>
      </c>
      <c r="DH379" s="408">
        <v>0</v>
      </c>
      <c r="DI379" s="408">
        <v>-3.5818667131837572</v>
      </c>
      <c r="DJ379" s="408"/>
      <c r="DK379" s="408">
        <v>0</v>
      </c>
      <c r="DL379" s="408">
        <v>0</v>
      </c>
      <c r="DM379" s="408">
        <v>0</v>
      </c>
      <c r="DN379" s="408">
        <v>0</v>
      </c>
      <c r="DO379" s="408">
        <v>-0.46536463067378975</v>
      </c>
      <c r="DP379" s="408">
        <v>-0.14073148737561336</v>
      </c>
      <c r="DQ379" s="408">
        <v>0</v>
      </c>
      <c r="DR379" s="408">
        <v>0</v>
      </c>
      <c r="DS379" s="408"/>
      <c r="DT379" s="408"/>
      <c r="DU379" s="408"/>
      <c r="DV379" s="408">
        <v>1286.8683364000456</v>
      </c>
      <c r="DW379" s="408">
        <v>0</v>
      </c>
      <c r="DX379" s="408">
        <v>0</v>
      </c>
      <c r="DY379" s="408">
        <v>-699.4537200000002</v>
      </c>
      <c r="DZ379" s="408">
        <v>76.229369999999903</v>
      </c>
      <c r="EA379" s="408">
        <v>0</v>
      </c>
      <c r="EB379" s="408">
        <v>0</v>
      </c>
      <c r="EC379" s="408">
        <v>-721.91988094103021</v>
      </c>
      <c r="ED379" s="408">
        <v>0</v>
      </c>
      <c r="EE379" s="408">
        <v>0</v>
      </c>
      <c r="EF379" s="408">
        <v>0</v>
      </c>
      <c r="EG379" s="408">
        <v>0</v>
      </c>
      <c r="EH379" s="408">
        <v>0</v>
      </c>
      <c r="EI379" s="408">
        <v>0</v>
      </c>
      <c r="EJ379" s="408">
        <v>0</v>
      </c>
      <c r="EK379" s="408">
        <v>0</v>
      </c>
      <c r="EL379" s="408">
        <v>0</v>
      </c>
      <c r="EM379" s="408">
        <v>0</v>
      </c>
      <c r="EN379" s="408">
        <v>0</v>
      </c>
      <c r="EO379" s="408">
        <v>0</v>
      </c>
      <c r="EP379" s="408">
        <v>0</v>
      </c>
      <c r="EQ379" s="408">
        <v>0</v>
      </c>
      <c r="ER379" s="408">
        <v>0</v>
      </c>
      <c r="ES379" s="408">
        <v>0</v>
      </c>
      <c r="ET379" s="408">
        <v>0</v>
      </c>
      <c r="EU379" s="408">
        <v>0</v>
      </c>
      <c r="EV379" s="408">
        <v>238</v>
      </c>
      <c r="EW379" s="408">
        <v>0</v>
      </c>
      <c r="EX379" s="408">
        <v>0</v>
      </c>
      <c r="EY379" s="408">
        <v>0</v>
      </c>
      <c r="EZ379" s="408"/>
      <c r="FA379" s="408">
        <v>0</v>
      </c>
      <c r="FB379" s="408"/>
      <c r="FC379" s="408"/>
      <c r="FD379" s="408"/>
      <c r="FE379" s="408"/>
      <c r="FF379" s="408">
        <v>0</v>
      </c>
      <c r="FG379" s="408">
        <v>0</v>
      </c>
      <c r="FH379" s="408">
        <v>0</v>
      </c>
      <c r="FI379" s="408">
        <v>0</v>
      </c>
    </row>
    <row r="380" spans="1:165">
      <c r="A380" s="408">
        <v>384</v>
      </c>
      <c r="B380" s="408" t="s">
        <v>1036</v>
      </c>
      <c r="C380" s="408" t="s">
        <v>2243</v>
      </c>
      <c r="D380" s="408" t="s">
        <v>597</v>
      </c>
      <c r="E380" s="408" t="s">
        <v>2246</v>
      </c>
      <c r="F380" s="408" t="s">
        <v>1322</v>
      </c>
      <c r="G380" s="408" t="s">
        <v>1322</v>
      </c>
      <c r="H380" s="408" t="s">
        <v>1322</v>
      </c>
      <c r="I380" s="408" t="s">
        <v>973</v>
      </c>
      <c r="J380" s="408" t="s">
        <v>2236</v>
      </c>
      <c r="K380" s="824">
        <v>44562</v>
      </c>
      <c r="L380" s="408">
        <v>0</v>
      </c>
      <c r="M380" s="408">
        <v>0</v>
      </c>
      <c r="N380" s="408">
        <v>0.34799999999999998</v>
      </c>
      <c r="O380" s="408">
        <v>0.34799999999999998</v>
      </c>
      <c r="P380" s="408">
        <v>0.34799999999999998</v>
      </c>
      <c r="Q380" s="408">
        <v>0.34799999999999998</v>
      </c>
      <c r="R380" s="408"/>
      <c r="S380" s="408">
        <v>1614.19</v>
      </c>
      <c r="T380" s="408">
        <v>209.4</v>
      </c>
      <c r="U380" s="408"/>
      <c r="V380" s="408">
        <v>634.60932000000003</v>
      </c>
      <c r="W380" s="408">
        <v>634.60932000000003</v>
      </c>
      <c r="X380" s="408">
        <v>421.82819999999992</v>
      </c>
      <c r="Y380" s="408">
        <v>0</v>
      </c>
      <c r="Z380" s="408">
        <v>18.631216867638798</v>
      </c>
      <c r="AA380" s="408">
        <v>0</v>
      </c>
      <c r="AB380" s="408">
        <v>0</v>
      </c>
      <c r="AC380" s="408">
        <v>0</v>
      </c>
      <c r="AD380" s="408">
        <v>108.37346063971096</v>
      </c>
      <c r="AE380" s="408">
        <v>404.6671424175413</v>
      </c>
      <c r="AF380" s="408">
        <v>71.914459535276691</v>
      </c>
      <c r="AG380" s="408">
        <v>0.95803180753740314</v>
      </c>
      <c r="AH380" s="408">
        <v>0</v>
      </c>
      <c r="AI380" s="408">
        <v>0</v>
      </c>
      <c r="AJ380" s="408">
        <v>0</v>
      </c>
      <c r="AK380" s="408">
        <v>0</v>
      </c>
      <c r="AL380" s="408">
        <v>3.3093413725033676</v>
      </c>
      <c r="AM380" s="408"/>
      <c r="AN380" s="408">
        <v>0.46208981936082572</v>
      </c>
      <c r="AO380" s="408">
        <v>8.4198340297216276</v>
      </c>
      <c r="AP380" s="408">
        <v>12.541468934348858</v>
      </c>
      <c r="AQ380" s="408">
        <v>0</v>
      </c>
      <c r="AR380" s="408">
        <v>0</v>
      </c>
      <c r="AS380" s="408">
        <v>0</v>
      </c>
      <c r="AT380" s="408">
        <v>0</v>
      </c>
      <c r="AU380" s="408">
        <v>0</v>
      </c>
      <c r="AV380" s="408">
        <v>0</v>
      </c>
      <c r="AW380" s="408">
        <v>0</v>
      </c>
      <c r="AX380" s="408">
        <v>0</v>
      </c>
      <c r="AY380" s="408">
        <v>0</v>
      </c>
      <c r="AZ380" s="408">
        <v>0</v>
      </c>
      <c r="BA380" s="408"/>
      <c r="BB380" s="408">
        <v>0</v>
      </c>
      <c r="BC380" s="408">
        <v>0</v>
      </c>
      <c r="BD380" s="408">
        <v>0</v>
      </c>
      <c r="BE380" s="408">
        <v>0</v>
      </c>
      <c r="BF380" s="408">
        <v>0</v>
      </c>
      <c r="BG380" s="408">
        <v>5.3329038537047682</v>
      </c>
      <c r="BH380" s="408">
        <v>0</v>
      </c>
      <c r="BI380" s="408">
        <v>0</v>
      </c>
      <c r="BJ380" s="408">
        <v>0</v>
      </c>
      <c r="BK380" s="408">
        <v>0</v>
      </c>
      <c r="BL380" s="408">
        <v>0</v>
      </c>
      <c r="BM380" s="408"/>
      <c r="BN380" s="408"/>
      <c r="BO380" s="408"/>
      <c r="BP380" s="408"/>
      <c r="BQ380" s="408"/>
      <c r="BR380" s="408"/>
      <c r="BS380" s="408"/>
      <c r="BT380" s="408"/>
      <c r="BU380" s="408"/>
      <c r="BV380" s="408">
        <v>77.247363388981455</v>
      </c>
      <c r="BW380" s="408"/>
      <c r="BX380" s="408"/>
      <c r="BY380" s="408"/>
      <c r="BZ380" s="408"/>
      <c r="CA380" s="408"/>
      <c r="CB380" s="408"/>
      <c r="CC380" s="408"/>
      <c r="CD380" s="408"/>
      <c r="CE380" s="408"/>
      <c r="CF380" s="408"/>
      <c r="CG380" s="408"/>
      <c r="CH380" s="408"/>
      <c r="CI380" s="408">
        <v>424.25249999999994</v>
      </c>
      <c r="CJ380" s="408">
        <v>-210.38682000000006</v>
      </c>
      <c r="CK380" s="408"/>
      <c r="CL380" s="408"/>
      <c r="CM380" s="408"/>
      <c r="CN380" s="408"/>
      <c r="CO380" s="408">
        <v>-220.72596000000001</v>
      </c>
      <c r="CP380" s="408">
        <v>7.9448399999999939</v>
      </c>
      <c r="CQ380" s="408">
        <v>31</v>
      </c>
      <c r="CR380" s="408">
        <v>14.230893917208846</v>
      </c>
      <c r="CS380" s="408">
        <v>1.0165436588890913</v>
      </c>
      <c r="CT380" s="408">
        <v>1.5141570099082688</v>
      </c>
      <c r="CU380" s="408">
        <v>0</v>
      </c>
      <c r="CV380" s="408">
        <v>0</v>
      </c>
      <c r="CW380" s="408">
        <v>0</v>
      </c>
      <c r="CX380" s="408">
        <v>0</v>
      </c>
      <c r="CY380" s="408">
        <v>0</v>
      </c>
      <c r="CZ380" s="408">
        <v>3.5527462228455988</v>
      </c>
      <c r="DA380" s="408">
        <v>0</v>
      </c>
      <c r="DB380" s="408">
        <v>0</v>
      </c>
      <c r="DC380" s="408">
        <v>7.9424332759732863</v>
      </c>
      <c r="DD380" s="408">
        <v>0</v>
      </c>
      <c r="DE380" s="408">
        <v>0</v>
      </c>
      <c r="DF380" s="408">
        <v>0</v>
      </c>
      <c r="DG380" s="408">
        <v>0.58898075990479981</v>
      </c>
      <c r="DH380" s="408">
        <v>0</v>
      </c>
      <c r="DI380" s="408">
        <v>-0.32478166100136718</v>
      </c>
      <c r="DJ380" s="408"/>
      <c r="DK380" s="408">
        <v>0</v>
      </c>
      <c r="DL380" s="408">
        <v>0</v>
      </c>
      <c r="DM380" s="408">
        <v>0</v>
      </c>
      <c r="DN380" s="408">
        <v>0</v>
      </c>
      <c r="DO380" s="408">
        <v>-4.8501614697357809E-2</v>
      </c>
      <c r="DP380" s="408">
        <v>-1.0683734613450457E-2</v>
      </c>
      <c r="DQ380" s="408">
        <v>0</v>
      </c>
      <c r="DR380" s="408">
        <v>0</v>
      </c>
      <c r="DS380" s="408"/>
      <c r="DT380" s="408"/>
      <c r="DU380" s="408"/>
      <c r="DV380" s="408">
        <v>404.6671424175413</v>
      </c>
      <c r="DW380" s="408">
        <v>0</v>
      </c>
      <c r="DX380" s="408">
        <v>0</v>
      </c>
      <c r="DY380" s="408">
        <v>-220.72596000000004</v>
      </c>
      <c r="DZ380" s="408">
        <v>7.944839999999985</v>
      </c>
      <c r="EA380" s="408">
        <v>0</v>
      </c>
      <c r="EB380" s="408">
        <v>0</v>
      </c>
      <c r="EC380" s="408">
        <v>-227.01409849904297</v>
      </c>
      <c r="ED380" s="408">
        <v>0</v>
      </c>
      <c r="EE380" s="408">
        <v>0</v>
      </c>
      <c r="EF380" s="408">
        <v>0</v>
      </c>
      <c r="EG380" s="408">
        <v>0</v>
      </c>
      <c r="EH380" s="408">
        <v>0</v>
      </c>
      <c r="EI380" s="408">
        <v>0</v>
      </c>
      <c r="EJ380" s="408">
        <v>0</v>
      </c>
      <c r="EK380" s="408">
        <v>0</v>
      </c>
      <c r="EL380" s="408">
        <v>0</v>
      </c>
      <c r="EM380" s="408">
        <v>0</v>
      </c>
      <c r="EN380" s="408">
        <v>0</v>
      </c>
      <c r="EO380" s="408">
        <v>0</v>
      </c>
      <c r="EP380" s="408">
        <v>0</v>
      </c>
      <c r="EQ380" s="408">
        <v>0</v>
      </c>
      <c r="ER380" s="408">
        <v>0</v>
      </c>
      <c r="ES380" s="408">
        <v>0</v>
      </c>
      <c r="ET380" s="408">
        <v>0</v>
      </c>
      <c r="EU380" s="408">
        <v>0</v>
      </c>
      <c r="EV380" s="408">
        <v>238</v>
      </c>
      <c r="EW380" s="408">
        <v>0</v>
      </c>
      <c r="EX380" s="408">
        <v>0</v>
      </c>
      <c r="EY380" s="408">
        <v>0</v>
      </c>
      <c r="EZ380" s="408"/>
      <c r="FA380" s="408">
        <v>0</v>
      </c>
      <c r="FB380" s="408"/>
      <c r="FC380" s="408"/>
      <c r="FD380" s="408"/>
      <c r="FE380" s="408"/>
      <c r="FF380" s="408">
        <v>0</v>
      </c>
      <c r="FG380" s="408">
        <v>0</v>
      </c>
      <c r="FH380" s="408">
        <v>0</v>
      </c>
      <c r="FI380" s="408">
        <v>0</v>
      </c>
    </row>
    <row r="381" spans="1:165">
      <c r="A381" s="408">
        <v>385</v>
      </c>
      <c r="B381" s="408" t="s">
        <v>1036</v>
      </c>
      <c r="C381" s="408" t="s">
        <v>2243</v>
      </c>
      <c r="D381" s="408" t="s">
        <v>597</v>
      </c>
      <c r="E381" s="408" t="s">
        <v>2246</v>
      </c>
      <c r="F381" s="408" t="s">
        <v>1322</v>
      </c>
      <c r="G381" s="408" t="s">
        <v>1322</v>
      </c>
      <c r="H381" s="408" t="s">
        <v>1322</v>
      </c>
      <c r="I381" s="408" t="s">
        <v>2244</v>
      </c>
      <c r="J381" s="408" t="s">
        <v>2236</v>
      </c>
      <c r="K381" s="824">
        <v>44562</v>
      </c>
      <c r="L381" s="408">
        <v>0</v>
      </c>
      <c r="M381" s="408">
        <v>0</v>
      </c>
      <c r="N381" s="408">
        <v>10.478999999999999</v>
      </c>
      <c r="O381" s="408">
        <v>10.478999999999999</v>
      </c>
      <c r="P381" s="408">
        <v>10.478999999999999</v>
      </c>
      <c r="Q381" s="408">
        <v>10.478999999999999</v>
      </c>
      <c r="R381" s="408"/>
      <c r="S381" s="408">
        <v>79.7</v>
      </c>
      <c r="T381" s="408">
        <v>209.4</v>
      </c>
      <c r="U381" s="408"/>
      <c r="V381" s="408">
        <v>3029.4789000000001</v>
      </c>
      <c r="W381" s="408">
        <v>3029.4789000000001</v>
      </c>
      <c r="X381" s="408">
        <v>3274.8970799999997</v>
      </c>
      <c r="Y381" s="408">
        <v>0</v>
      </c>
      <c r="Z381" s="408">
        <v>561.02448722984764</v>
      </c>
      <c r="AA381" s="408">
        <v>0</v>
      </c>
      <c r="AB381" s="408">
        <v>0</v>
      </c>
      <c r="AC381" s="408">
        <v>0</v>
      </c>
      <c r="AD381" s="408">
        <v>0</v>
      </c>
      <c r="AE381" s="408">
        <v>0</v>
      </c>
      <c r="AF381" s="408">
        <v>2165.4931651441507</v>
      </c>
      <c r="AG381" s="408">
        <v>28.848319859725422</v>
      </c>
      <c r="AH381" s="408">
        <v>0</v>
      </c>
      <c r="AI381" s="408">
        <v>0</v>
      </c>
      <c r="AJ381" s="408">
        <v>0</v>
      </c>
      <c r="AK381" s="408">
        <v>0</v>
      </c>
      <c r="AL381" s="408">
        <v>99.651115639260894</v>
      </c>
      <c r="AM381" s="408"/>
      <c r="AN381" s="408">
        <v>13.914480508856588</v>
      </c>
      <c r="AO381" s="408">
        <v>0</v>
      </c>
      <c r="AP381" s="408">
        <v>0</v>
      </c>
      <c r="AQ381" s="408">
        <v>0</v>
      </c>
      <c r="AR381" s="408">
        <v>0</v>
      </c>
      <c r="AS381" s="408">
        <v>0</v>
      </c>
      <c r="AT381" s="408">
        <v>0</v>
      </c>
      <c r="AU381" s="408">
        <v>0</v>
      </c>
      <c r="AV381" s="408">
        <v>0</v>
      </c>
      <c r="AW381" s="408">
        <v>0</v>
      </c>
      <c r="AX381" s="408">
        <v>0</v>
      </c>
      <c r="AY381" s="408">
        <v>0</v>
      </c>
      <c r="AZ381" s="408">
        <v>0</v>
      </c>
      <c r="BA381" s="408"/>
      <c r="BB381" s="408">
        <v>0</v>
      </c>
      <c r="BC381" s="408">
        <v>0</v>
      </c>
      <c r="BD381" s="408">
        <v>0</v>
      </c>
      <c r="BE381" s="408">
        <v>0</v>
      </c>
      <c r="BF381" s="408">
        <v>0</v>
      </c>
      <c r="BG381" s="408">
        <v>160.58476862923067</v>
      </c>
      <c r="BH381" s="408">
        <v>0</v>
      </c>
      <c r="BI381" s="408">
        <v>0</v>
      </c>
      <c r="BJ381" s="408">
        <v>0</v>
      </c>
      <c r="BK381" s="408">
        <v>0</v>
      </c>
      <c r="BL381" s="408">
        <v>0</v>
      </c>
      <c r="BM381" s="408"/>
      <c r="BN381" s="408"/>
      <c r="BO381" s="408"/>
      <c r="BP381" s="408"/>
      <c r="BQ381" s="408"/>
      <c r="BR381" s="408"/>
      <c r="BS381" s="408"/>
      <c r="BT381" s="408"/>
      <c r="BU381" s="408"/>
      <c r="BV381" s="408">
        <v>2326.0779337733811</v>
      </c>
      <c r="BW381" s="408"/>
      <c r="BX381" s="408"/>
      <c r="BY381" s="408"/>
      <c r="BZ381" s="408"/>
      <c r="CA381" s="408"/>
      <c r="CB381" s="408"/>
      <c r="CC381" s="408"/>
      <c r="CD381" s="408"/>
      <c r="CE381" s="408"/>
      <c r="CF381" s="408"/>
      <c r="CG381" s="408"/>
      <c r="CH381" s="408"/>
      <c r="CI381" s="408">
        <v>3275.2096000000001</v>
      </c>
      <c r="CJ381" s="408">
        <v>245.70069999999987</v>
      </c>
      <c r="CK381" s="408"/>
      <c r="CL381" s="408"/>
      <c r="CM381" s="408"/>
      <c r="CN381" s="408"/>
      <c r="CO381" s="408">
        <v>6.182610000000035</v>
      </c>
      <c r="CP381" s="408">
        <v>239.23556999999983</v>
      </c>
      <c r="CQ381" s="408">
        <v>31</v>
      </c>
      <c r="CR381" s="408">
        <v>245.33648672673871</v>
      </c>
      <c r="CS381" s="408">
        <v>0</v>
      </c>
      <c r="CT381" s="408">
        <v>0</v>
      </c>
      <c r="CU381" s="408">
        <v>0</v>
      </c>
      <c r="CV381" s="408">
        <v>0</v>
      </c>
      <c r="CW381" s="408">
        <v>0</v>
      </c>
      <c r="CX381" s="408">
        <v>0</v>
      </c>
      <c r="CY381" s="408">
        <v>0</v>
      </c>
      <c r="CZ381" s="408">
        <v>0</v>
      </c>
      <c r="DA381" s="408">
        <v>0</v>
      </c>
      <c r="DB381" s="408">
        <v>0</v>
      </c>
      <c r="DC381" s="408">
        <v>239.1630985601264</v>
      </c>
      <c r="DD381" s="408">
        <v>0</v>
      </c>
      <c r="DE381" s="408">
        <v>0</v>
      </c>
      <c r="DF381" s="408">
        <v>0</v>
      </c>
      <c r="DG381" s="408">
        <v>17.735429261616076</v>
      </c>
      <c r="DH381" s="408">
        <v>0</v>
      </c>
      <c r="DI381" s="408">
        <v>-9.7798477748084451</v>
      </c>
      <c r="DJ381" s="408"/>
      <c r="DK381" s="408">
        <v>0</v>
      </c>
      <c r="DL381" s="408">
        <v>0</v>
      </c>
      <c r="DM381" s="408">
        <v>0</v>
      </c>
      <c r="DN381" s="408">
        <v>0</v>
      </c>
      <c r="DO381" s="408">
        <v>-1.4604839667057945</v>
      </c>
      <c r="DP381" s="408">
        <v>-0.32170935348950458</v>
      </c>
      <c r="DQ381" s="408">
        <v>0</v>
      </c>
      <c r="DR381" s="408">
        <v>0</v>
      </c>
      <c r="DS381" s="408"/>
      <c r="DT381" s="408"/>
      <c r="DU381" s="408"/>
      <c r="DV381" s="408">
        <v>0</v>
      </c>
      <c r="DW381" s="408">
        <v>0</v>
      </c>
      <c r="DX381" s="408">
        <v>0</v>
      </c>
      <c r="DY381" s="408">
        <v>6.1826100000000679</v>
      </c>
      <c r="DZ381" s="408">
        <v>239.23556999999983</v>
      </c>
      <c r="EA381" s="408">
        <v>0</v>
      </c>
      <c r="EB381" s="408">
        <v>0</v>
      </c>
      <c r="EC381" s="408">
        <v>0</v>
      </c>
      <c r="ED381" s="408">
        <v>0</v>
      </c>
      <c r="EE381" s="408">
        <v>0</v>
      </c>
      <c r="EF381" s="408">
        <v>0</v>
      </c>
      <c r="EG381" s="408">
        <v>0</v>
      </c>
      <c r="EH381" s="408">
        <v>0</v>
      </c>
      <c r="EI381" s="408">
        <v>0</v>
      </c>
      <c r="EJ381" s="408">
        <v>0</v>
      </c>
      <c r="EK381" s="408">
        <v>0</v>
      </c>
      <c r="EL381" s="408">
        <v>0</v>
      </c>
      <c r="EM381" s="408">
        <v>0</v>
      </c>
      <c r="EN381" s="408">
        <v>0</v>
      </c>
      <c r="EO381" s="408">
        <v>0</v>
      </c>
      <c r="EP381" s="408">
        <v>0</v>
      </c>
      <c r="EQ381" s="408">
        <v>0</v>
      </c>
      <c r="ER381" s="408">
        <v>0</v>
      </c>
      <c r="ES381" s="408">
        <v>0</v>
      </c>
      <c r="ET381" s="408">
        <v>0</v>
      </c>
      <c r="EU381" s="408">
        <v>0</v>
      </c>
      <c r="EV381" s="408">
        <v>238</v>
      </c>
      <c r="EW381" s="408">
        <v>0</v>
      </c>
      <c r="EX381" s="408">
        <v>0</v>
      </c>
      <c r="EY381" s="408">
        <v>0</v>
      </c>
      <c r="EZ381" s="408"/>
      <c r="FA381" s="408">
        <v>0</v>
      </c>
      <c r="FB381" s="408"/>
      <c r="FC381" s="408"/>
      <c r="FD381" s="408"/>
      <c r="FE381" s="408"/>
      <c r="FF381" s="408">
        <v>0</v>
      </c>
      <c r="FG381" s="408">
        <v>0</v>
      </c>
      <c r="FH381" s="408">
        <v>0</v>
      </c>
      <c r="FI381" s="408">
        <v>0</v>
      </c>
    </row>
    <row r="382" spans="1:165">
      <c r="A382" s="408">
        <v>386</v>
      </c>
      <c r="B382" s="408" t="s">
        <v>1036</v>
      </c>
      <c r="C382" s="408" t="s">
        <v>2243</v>
      </c>
      <c r="D382" s="408" t="s">
        <v>597</v>
      </c>
      <c r="E382" s="408" t="s">
        <v>2246</v>
      </c>
      <c r="F382" s="408" t="s">
        <v>1322</v>
      </c>
      <c r="G382" s="408" t="s">
        <v>1322</v>
      </c>
      <c r="H382" s="408" t="s">
        <v>1322</v>
      </c>
      <c r="I382" s="408" t="s">
        <v>1322</v>
      </c>
      <c r="J382" s="408" t="s">
        <v>2236</v>
      </c>
      <c r="K382" s="824">
        <v>44562</v>
      </c>
      <c r="L382" s="408">
        <v>143</v>
      </c>
      <c r="M382" s="408">
        <v>143</v>
      </c>
      <c r="N382" s="408">
        <v>0</v>
      </c>
      <c r="O382" s="408">
        <v>0</v>
      </c>
      <c r="P382" s="408">
        <v>0</v>
      </c>
      <c r="Q382" s="408">
        <v>0</v>
      </c>
      <c r="R382" s="408">
        <v>44.35</v>
      </c>
      <c r="S382" s="408"/>
      <c r="T382" s="408"/>
      <c r="U382" s="408">
        <v>6342.05</v>
      </c>
      <c r="V382" s="408"/>
      <c r="W382" s="408">
        <v>6342.05</v>
      </c>
      <c r="X382" s="408">
        <v>4142.71</v>
      </c>
      <c r="Y382" s="408">
        <v>0</v>
      </c>
      <c r="Z382" s="408">
        <v>0</v>
      </c>
      <c r="AA382" s="408">
        <v>0</v>
      </c>
      <c r="AB382" s="408">
        <v>0</v>
      </c>
      <c r="AC382" s="408">
        <v>0</v>
      </c>
      <c r="AD382" s="408">
        <v>1876.4551073961979</v>
      </c>
      <c r="AE382" s="408">
        <v>4106.6520188616778</v>
      </c>
      <c r="AF382" s="408"/>
      <c r="AG382" s="408"/>
      <c r="AH382" s="408"/>
      <c r="AI382" s="408">
        <v>0</v>
      </c>
      <c r="AJ382" s="408">
        <v>0</v>
      </c>
      <c r="AK382" s="408">
        <v>0</v>
      </c>
      <c r="AL382" s="408">
        <v>0</v>
      </c>
      <c r="AM382" s="408"/>
      <c r="AN382" s="408">
        <v>0</v>
      </c>
      <c r="AO382" s="408">
        <v>141.81605890751828</v>
      </c>
      <c r="AP382" s="408">
        <v>216.97266925736545</v>
      </c>
      <c r="AQ382" s="408">
        <v>0</v>
      </c>
      <c r="AR382" s="408">
        <v>0</v>
      </c>
      <c r="AS382" s="408"/>
      <c r="AT382" s="408"/>
      <c r="AU382" s="408">
        <v>0</v>
      </c>
      <c r="AV382" s="408">
        <v>0</v>
      </c>
      <c r="AW382" s="408">
        <v>0</v>
      </c>
      <c r="AX382" s="408"/>
      <c r="AY382" s="408"/>
      <c r="AZ382" s="408">
        <v>0</v>
      </c>
      <c r="BA382" s="408"/>
      <c r="BB382" s="408">
        <v>0</v>
      </c>
      <c r="BC382" s="408">
        <v>0</v>
      </c>
      <c r="BD382" s="408">
        <v>0</v>
      </c>
      <c r="BE382" s="408">
        <v>0</v>
      </c>
      <c r="BF382" s="408"/>
      <c r="BG382" s="408">
        <v>0</v>
      </c>
      <c r="BH382" s="408">
        <v>0</v>
      </c>
      <c r="BI382" s="408">
        <v>26.66</v>
      </c>
      <c r="BJ382" s="408">
        <v>121.93</v>
      </c>
      <c r="BK382" s="408">
        <v>2439.41</v>
      </c>
      <c r="BL382" s="408">
        <v>2</v>
      </c>
      <c r="BM382" s="408"/>
      <c r="BN382" s="408"/>
      <c r="BO382" s="408"/>
      <c r="BP382" s="408"/>
      <c r="BQ382" s="408"/>
      <c r="BR382" s="408"/>
      <c r="BS382" s="408"/>
      <c r="BT382" s="408"/>
      <c r="BU382" s="408"/>
      <c r="BV382" s="408">
        <v>0</v>
      </c>
      <c r="BW382" s="408"/>
      <c r="BX382" s="408"/>
      <c r="BY382" s="408"/>
      <c r="BZ382" s="408"/>
      <c r="CA382" s="408"/>
      <c r="CB382" s="408"/>
      <c r="CC382" s="408"/>
      <c r="CD382" s="408"/>
      <c r="CE382" s="408"/>
      <c r="CF382" s="408"/>
      <c r="CG382" s="408"/>
      <c r="CH382" s="408"/>
      <c r="CI382" s="408">
        <v>4142.71</v>
      </c>
      <c r="CJ382" s="408">
        <v>-2199.3700000000008</v>
      </c>
      <c r="CK382" s="408"/>
      <c r="CL382" s="408"/>
      <c r="CM382" s="408"/>
      <c r="CN382" s="408"/>
      <c r="CO382" s="408">
        <v>-2199.34</v>
      </c>
      <c r="CP382" s="408">
        <v>0</v>
      </c>
      <c r="CQ382" s="408">
        <v>31</v>
      </c>
      <c r="CR382" s="408">
        <v>104.83206434614658</v>
      </c>
      <c r="CS382" s="408">
        <v>17.121740749543847</v>
      </c>
      <c r="CT382" s="408">
        <v>26.195550922648238</v>
      </c>
      <c r="CU382" s="408">
        <v>0</v>
      </c>
      <c r="CV382" s="408">
        <v>0</v>
      </c>
      <c r="CW382" s="408"/>
      <c r="CX382" s="408"/>
      <c r="CY382" s="408"/>
      <c r="CZ382" s="408">
        <v>61.514772673954667</v>
      </c>
      <c r="DA382" s="408">
        <v>0</v>
      </c>
      <c r="DB382" s="408">
        <v>0</v>
      </c>
      <c r="DC382" s="408"/>
      <c r="DD382" s="408"/>
      <c r="DE382" s="408">
        <v>0</v>
      </c>
      <c r="DF382" s="408">
        <v>0</v>
      </c>
      <c r="DG382" s="408">
        <v>0</v>
      </c>
      <c r="DH382" s="408">
        <v>0</v>
      </c>
      <c r="DI382" s="408">
        <v>0</v>
      </c>
      <c r="DJ382" s="408"/>
      <c r="DK382" s="408">
        <v>0</v>
      </c>
      <c r="DL382" s="408">
        <v>0</v>
      </c>
      <c r="DM382" s="408"/>
      <c r="DN382" s="408">
        <v>0</v>
      </c>
      <c r="DO382" s="408">
        <v>0</v>
      </c>
      <c r="DP382" s="408">
        <v>0</v>
      </c>
      <c r="DQ382" s="408">
        <v>0</v>
      </c>
      <c r="DR382" s="408">
        <v>0</v>
      </c>
      <c r="DS382" s="408"/>
      <c r="DT382" s="408"/>
      <c r="DU382" s="408">
        <v>4106.6520188616778</v>
      </c>
      <c r="DV382" s="408"/>
      <c r="DW382" s="408">
        <v>0</v>
      </c>
      <c r="DX382" s="408">
        <v>0</v>
      </c>
      <c r="DY382" s="408">
        <v>-2199.34</v>
      </c>
      <c r="DZ382" s="408"/>
      <c r="EA382" s="408">
        <v>0</v>
      </c>
      <c r="EB382" s="408"/>
      <c r="EC382" s="408">
        <v>-2303.7894807610255</v>
      </c>
      <c r="ED382" s="408"/>
      <c r="EE382" s="408">
        <v>0</v>
      </c>
      <c r="EF382" s="408">
        <v>0</v>
      </c>
      <c r="EG382" s="408"/>
      <c r="EH382" s="408">
        <v>0</v>
      </c>
      <c r="EI382" s="408">
        <v>0</v>
      </c>
      <c r="EJ382" s="408">
        <v>0</v>
      </c>
      <c r="EK382" s="408">
        <v>0</v>
      </c>
      <c r="EL382" s="408">
        <v>0</v>
      </c>
      <c r="EM382" s="408"/>
      <c r="EN382" s="408"/>
      <c r="EO382" s="408">
        <v>0</v>
      </c>
      <c r="EP382" s="408">
        <v>0</v>
      </c>
      <c r="EQ382" s="408"/>
      <c r="ER382" s="408">
        <v>0</v>
      </c>
      <c r="ES382" s="408"/>
      <c r="ET382" s="408">
        <v>0</v>
      </c>
      <c r="EU382" s="408"/>
      <c r="EV382" s="408">
        <v>238</v>
      </c>
      <c r="EW382" s="408"/>
      <c r="EX382" s="408"/>
      <c r="EY382" s="408"/>
      <c r="EZ382" s="408"/>
      <c r="FA382" s="408">
        <v>0</v>
      </c>
      <c r="FB382" s="408"/>
      <c r="FC382" s="408"/>
      <c r="FD382" s="408"/>
      <c r="FE382" s="408"/>
      <c r="FF382" s="408">
        <v>0</v>
      </c>
      <c r="FG382" s="408">
        <v>0</v>
      </c>
      <c r="FH382" s="408">
        <v>0</v>
      </c>
      <c r="FI382" s="408">
        <v>0</v>
      </c>
    </row>
    <row r="383" spans="1:165">
      <c r="A383" s="408">
        <v>387</v>
      </c>
      <c r="B383" s="408" t="s">
        <v>1036</v>
      </c>
      <c r="C383" s="408" t="s">
        <v>2235</v>
      </c>
      <c r="D383" s="408" t="s">
        <v>2247</v>
      </c>
      <c r="E383" s="408" t="s">
        <v>2248</v>
      </c>
      <c r="F383" s="408" t="s">
        <v>2249</v>
      </c>
      <c r="G383" s="408" t="s">
        <v>1322</v>
      </c>
      <c r="H383" s="408" t="s">
        <v>1322</v>
      </c>
      <c r="I383" s="408" t="s">
        <v>1322</v>
      </c>
      <c r="J383" s="408" t="s">
        <v>2236</v>
      </c>
      <c r="K383" s="824">
        <v>44562</v>
      </c>
      <c r="L383" s="408">
        <v>0</v>
      </c>
      <c r="M383" s="408">
        <v>0</v>
      </c>
      <c r="N383" s="408">
        <v>435.589</v>
      </c>
      <c r="O383" s="408">
        <v>435.589</v>
      </c>
      <c r="P383" s="408">
        <v>435.589</v>
      </c>
      <c r="Q383" s="408">
        <v>435.589</v>
      </c>
      <c r="R383" s="408"/>
      <c r="S383" s="408">
        <v>319.73</v>
      </c>
      <c r="T383" s="408">
        <v>115.17</v>
      </c>
      <c r="U383" s="408"/>
      <c r="V383" s="408">
        <v>189437.65610000002</v>
      </c>
      <c r="W383" s="408">
        <v>189437.65610000002</v>
      </c>
      <c r="X383" s="408">
        <v>144715.73347000001</v>
      </c>
      <c r="Y383" s="408">
        <v>0</v>
      </c>
      <c r="Z383" s="408">
        <v>14742.879568922108</v>
      </c>
      <c r="AA383" s="408">
        <v>0</v>
      </c>
      <c r="AB383" s="408">
        <v>0</v>
      </c>
      <c r="AC383" s="408">
        <v>0</v>
      </c>
      <c r="AD383" s="408">
        <v>17774.265613755237</v>
      </c>
      <c r="AE383" s="408">
        <v>92333.072920421779</v>
      </c>
      <c r="AF383" s="408">
        <v>49508.135439601843</v>
      </c>
      <c r="AG383" s="408">
        <v>659.53869068211031</v>
      </c>
      <c r="AH383" s="408">
        <v>0</v>
      </c>
      <c r="AI383" s="408">
        <v>0</v>
      </c>
      <c r="AJ383" s="408">
        <v>0</v>
      </c>
      <c r="AK383" s="408">
        <v>0</v>
      </c>
      <c r="AL383" s="408">
        <v>2278.2528290490027</v>
      </c>
      <c r="AM383" s="408"/>
      <c r="AN383" s="408">
        <v>436.73476185217055</v>
      </c>
      <c r="AO383" s="408">
        <v>1365.4471222302336</v>
      </c>
      <c r="AP383" s="408">
        <v>2056.7878727320058</v>
      </c>
      <c r="AQ383" s="408">
        <v>0</v>
      </c>
      <c r="AR383" s="408">
        <v>0</v>
      </c>
      <c r="AS383" s="408">
        <v>0</v>
      </c>
      <c r="AT383" s="408">
        <v>0</v>
      </c>
      <c r="AU383" s="408">
        <v>0</v>
      </c>
      <c r="AV383" s="408">
        <v>0</v>
      </c>
      <c r="AW383" s="408">
        <v>0</v>
      </c>
      <c r="AX383" s="408">
        <v>0</v>
      </c>
      <c r="AY383" s="408">
        <v>0</v>
      </c>
      <c r="AZ383" s="408">
        <v>0</v>
      </c>
      <c r="BA383" s="408"/>
      <c r="BB383" s="408">
        <v>0</v>
      </c>
      <c r="BC383" s="408">
        <v>0</v>
      </c>
      <c r="BD383" s="408">
        <v>0</v>
      </c>
      <c r="BE383" s="408">
        <v>0</v>
      </c>
      <c r="BF383" s="408">
        <v>0</v>
      </c>
      <c r="BG383" s="408">
        <v>8282.6185084182962</v>
      </c>
      <c r="BH383" s="408">
        <v>0</v>
      </c>
      <c r="BI383" s="408">
        <v>587.35</v>
      </c>
      <c r="BJ383" s="408">
        <v>2685.96</v>
      </c>
      <c r="BK383" s="408">
        <v>52460.37</v>
      </c>
      <c r="BL383" s="408">
        <v>42</v>
      </c>
      <c r="BM383" s="408"/>
      <c r="BN383" s="408"/>
      <c r="BO383" s="408"/>
      <c r="BP383" s="408"/>
      <c r="BQ383" s="408"/>
      <c r="BR383" s="408"/>
      <c r="BS383" s="408"/>
      <c r="BT383" s="408"/>
      <c r="BU383" s="408"/>
      <c r="BV383" s="408">
        <v>57790.753948020138</v>
      </c>
      <c r="BW383" s="408"/>
      <c r="BX383" s="408"/>
      <c r="BY383" s="408"/>
      <c r="BZ383" s="408"/>
      <c r="CA383" s="408"/>
      <c r="CB383" s="408"/>
      <c r="CC383" s="408"/>
      <c r="CD383" s="408"/>
      <c r="CE383" s="408"/>
      <c r="CF383" s="408"/>
      <c r="CG383" s="408"/>
      <c r="CH383" s="408"/>
      <c r="CI383" s="408">
        <v>144716.06569999998</v>
      </c>
      <c r="CJ383" s="408">
        <v>-44721.620400000073</v>
      </c>
      <c r="CK383" s="408"/>
      <c r="CL383" s="408"/>
      <c r="CM383" s="408"/>
      <c r="CN383" s="408"/>
      <c r="CO383" s="408">
        <v>-50188.564580000013</v>
      </c>
      <c r="CP383" s="408">
        <v>5466.6419499999984</v>
      </c>
      <c r="CQ383" s="408">
        <v>31</v>
      </c>
      <c r="CR383" s="408">
        <v>7077.941804068163</v>
      </c>
      <c r="CS383" s="408">
        <v>164.85320360850869</v>
      </c>
      <c r="CT383" s="408">
        <v>248.32017618461805</v>
      </c>
      <c r="CU383" s="408">
        <v>0</v>
      </c>
      <c r="CV383" s="408">
        <v>0</v>
      </c>
      <c r="CW383" s="408">
        <v>0</v>
      </c>
      <c r="CX383" s="408">
        <v>0</v>
      </c>
      <c r="CY383" s="408">
        <v>0</v>
      </c>
      <c r="CZ383" s="408">
        <v>582.68375532505161</v>
      </c>
      <c r="DA383" s="408">
        <v>0</v>
      </c>
      <c r="DB383" s="408">
        <v>0</v>
      </c>
      <c r="DC383" s="408">
        <v>5467.8164153343605</v>
      </c>
      <c r="DD383" s="408">
        <v>0</v>
      </c>
      <c r="DE383" s="408">
        <v>0</v>
      </c>
      <c r="DF383" s="408">
        <v>0</v>
      </c>
      <c r="DG383" s="408">
        <v>914.75546473627219</v>
      </c>
      <c r="DH383" s="408">
        <v>0</v>
      </c>
      <c r="DI383" s="408">
        <v>-256.99968758642171</v>
      </c>
      <c r="DJ383" s="408"/>
      <c r="DK383" s="408">
        <v>0</v>
      </c>
      <c r="DL383" s="408">
        <v>0</v>
      </c>
      <c r="DM383" s="408">
        <v>0</v>
      </c>
      <c r="DN383" s="408">
        <v>0</v>
      </c>
      <c r="DO383" s="408">
        <v>-33.390009811563232</v>
      </c>
      <c r="DP383" s="408">
        <v>-10.097513722656515</v>
      </c>
      <c r="DQ383" s="408">
        <v>0</v>
      </c>
      <c r="DR383" s="408">
        <v>0</v>
      </c>
      <c r="DS383" s="408"/>
      <c r="DT383" s="408"/>
      <c r="DU383" s="408"/>
      <c r="DV383" s="408">
        <v>92333.072920421779</v>
      </c>
      <c r="DW383" s="408">
        <v>0</v>
      </c>
      <c r="DX383" s="408">
        <v>0</v>
      </c>
      <c r="DY383" s="408">
        <v>-50188.56458000002</v>
      </c>
      <c r="DZ383" s="408">
        <v>5466.6419499999975</v>
      </c>
      <c r="EA383" s="408">
        <v>0</v>
      </c>
      <c r="EB383" s="408">
        <v>0</v>
      </c>
      <c r="EC383" s="408">
        <v>-51797.902803406119</v>
      </c>
      <c r="ED383" s="408">
        <v>0</v>
      </c>
      <c r="EE383" s="408">
        <v>0</v>
      </c>
      <c r="EF383" s="408">
        <v>0</v>
      </c>
      <c r="EG383" s="408">
        <v>0</v>
      </c>
      <c r="EH383" s="408">
        <v>0</v>
      </c>
      <c r="EI383" s="408">
        <v>0</v>
      </c>
      <c r="EJ383" s="408">
        <v>0</v>
      </c>
      <c r="EK383" s="408">
        <v>0</v>
      </c>
      <c r="EL383" s="408">
        <v>0</v>
      </c>
      <c r="EM383" s="408">
        <v>0</v>
      </c>
      <c r="EN383" s="408">
        <v>0</v>
      </c>
      <c r="EO383" s="408">
        <v>0</v>
      </c>
      <c r="EP383" s="408">
        <v>0</v>
      </c>
      <c r="EQ383" s="408">
        <v>0</v>
      </c>
      <c r="ER383" s="408">
        <v>0</v>
      </c>
      <c r="ES383" s="408">
        <v>0</v>
      </c>
      <c r="ET383" s="408">
        <v>0</v>
      </c>
      <c r="EU383" s="408">
        <v>0</v>
      </c>
      <c r="EV383" s="408">
        <v>238</v>
      </c>
      <c r="EW383" s="408">
        <v>0</v>
      </c>
      <c r="EX383" s="408">
        <v>0</v>
      </c>
      <c r="EY383" s="408">
        <v>0</v>
      </c>
      <c r="EZ383" s="408"/>
      <c r="FA383" s="408">
        <v>0</v>
      </c>
      <c r="FB383" s="408"/>
      <c r="FC383" s="408"/>
      <c r="FD383" s="408"/>
      <c r="FE383" s="408"/>
      <c r="FF383" s="408">
        <v>0</v>
      </c>
      <c r="FG383" s="408">
        <v>0</v>
      </c>
      <c r="FH383" s="408">
        <v>0</v>
      </c>
      <c r="FI383" s="408">
        <v>0</v>
      </c>
    </row>
    <row r="384" spans="1:165">
      <c r="A384" s="408">
        <v>388</v>
      </c>
      <c r="B384" s="408" t="s">
        <v>1036</v>
      </c>
      <c r="C384" s="408" t="s">
        <v>2235</v>
      </c>
      <c r="D384" s="408" t="s">
        <v>1958</v>
      </c>
      <c r="E384" s="408" t="s">
        <v>1001</v>
      </c>
      <c r="F384" s="408" t="s">
        <v>2250</v>
      </c>
      <c r="G384" s="408" t="s">
        <v>1322</v>
      </c>
      <c r="H384" s="408" t="s">
        <v>1322</v>
      </c>
      <c r="I384" s="408" t="s">
        <v>1322</v>
      </c>
      <c r="J384" s="408" t="s">
        <v>2236</v>
      </c>
      <c r="K384" s="824">
        <v>44562</v>
      </c>
      <c r="L384" s="408">
        <v>0</v>
      </c>
      <c r="M384" s="408">
        <v>0</v>
      </c>
      <c r="N384" s="408">
        <v>102.355</v>
      </c>
      <c r="O384" s="408">
        <v>96.213700000000003</v>
      </c>
      <c r="P384" s="408">
        <v>102.355</v>
      </c>
      <c r="Q384" s="408">
        <v>96.213700000000003</v>
      </c>
      <c r="R384" s="408"/>
      <c r="S384" s="408">
        <v>581.32000000000005</v>
      </c>
      <c r="T384" s="408">
        <v>209.4</v>
      </c>
      <c r="U384" s="408"/>
      <c r="V384" s="408">
        <v>80934.145600000018</v>
      </c>
      <c r="W384" s="408">
        <v>80934.145600000018</v>
      </c>
      <c r="X384" s="408">
        <v>61829.584849999999</v>
      </c>
      <c r="Y384" s="408">
        <v>0</v>
      </c>
      <c r="Z384" s="408">
        <v>6298.7125197752948</v>
      </c>
      <c r="AA384" s="408">
        <v>0</v>
      </c>
      <c r="AB384" s="408">
        <v>0</v>
      </c>
      <c r="AC384" s="408">
        <v>0</v>
      </c>
      <c r="AD384" s="408">
        <v>7593.8346255755932</v>
      </c>
      <c r="AE384" s="408">
        <v>39448.160698480584</v>
      </c>
      <c r="AF384" s="408">
        <v>21151.737085440363</v>
      </c>
      <c r="AG384" s="408">
        <v>281.77972890945659</v>
      </c>
      <c r="AH384" s="408">
        <v>0</v>
      </c>
      <c r="AI384" s="408">
        <v>0</v>
      </c>
      <c r="AJ384" s="408">
        <v>0</v>
      </c>
      <c r="AK384" s="408">
        <v>0</v>
      </c>
      <c r="AL384" s="408">
        <v>973.35527638673057</v>
      </c>
      <c r="AM384" s="408"/>
      <c r="AN384" s="408">
        <v>186.589512546664</v>
      </c>
      <c r="AO384" s="408">
        <v>583.37035473128685</v>
      </c>
      <c r="AP384" s="408">
        <v>878.73711943007299</v>
      </c>
      <c r="AQ384" s="408">
        <v>0</v>
      </c>
      <c r="AR384" s="408">
        <v>0</v>
      </c>
      <c r="AS384" s="408">
        <v>0</v>
      </c>
      <c r="AT384" s="408">
        <v>0</v>
      </c>
      <c r="AU384" s="408">
        <v>0</v>
      </c>
      <c r="AV384" s="408">
        <v>0</v>
      </c>
      <c r="AW384" s="408">
        <v>0</v>
      </c>
      <c r="AX384" s="408">
        <v>0</v>
      </c>
      <c r="AY384" s="408">
        <v>0</v>
      </c>
      <c r="AZ384" s="408">
        <v>0</v>
      </c>
      <c r="BA384" s="408"/>
      <c r="BB384" s="408">
        <v>0</v>
      </c>
      <c r="BC384" s="408">
        <v>0</v>
      </c>
      <c r="BD384" s="408">
        <v>0</v>
      </c>
      <c r="BE384" s="408">
        <v>0</v>
      </c>
      <c r="BF384" s="408">
        <v>0</v>
      </c>
      <c r="BG384" s="408">
        <v>3538.6460732861588</v>
      </c>
      <c r="BH384" s="408">
        <v>0</v>
      </c>
      <c r="BI384" s="408">
        <v>206.57</v>
      </c>
      <c r="BJ384" s="408">
        <v>944.67</v>
      </c>
      <c r="BK384" s="408">
        <v>25857.85</v>
      </c>
      <c r="BL384" s="408">
        <v>21</v>
      </c>
      <c r="BM384" s="408"/>
      <c r="BN384" s="408"/>
      <c r="BO384" s="408"/>
      <c r="BP384" s="408"/>
      <c r="BQ384" s="408">
        <v>3709.7750910000004</v>
      </c>
      <c r="BR384" s="408"/>
      <c r="BS384" s="408"/>
      <c r="BT384" s="408"/>
      <c r="BU384" s="408"/>
      <c r="BV384" s="408">
        <v>24690.383158726523</v>
      </c>
      <c r="BW384" s="408"/>
      <c r="BX384" s="408"/>
      <c r="BY384" s="408"/>
      <c r="BZ384" s="408"/>
      <c r="CA384" s="408"/>
      <c r="CB384" s="408"/>
      <c r="CC384" s="408"/>
      <c r="CD384" s="408"/>
      <c r="CE384" s="408"/>
      <c r="CF384" s="408"/>
      <c r="CG384" s="408"/>
      <c r="CH384" s="408"/>
      <c r="CI384" s="408">
        <v>58117.57469999999</v>
      </c>
      <c r="CJ384" s="408">
        <v>-17960.552164000015</v>
      </c>
      <c r="CK384" s="408"/>
      <c r="CL384" s="408"/>
      <c r="CM384" s="408"/>
      <c r="CN384" s="408"/>
      <c r="CO384" s="408">
        <v>-21441.325400000009</v>
      </c>
      <c r="CP384" s="408">
        <v>2336.7646499999983</v>
      </c>
      <c r="CQ384" s="408">
        <v>31</v>
      </c>
      <c r="CR384" s="408">
        <v>3023.9628864298647</v>
      </c>
      <c r="CS384" s="408">
        <v>70.431487460755875</v>
      </c>
      <c r="CT384" s="408">
        <v>106.09171670532908</v>
      </c>
      <c r="CU384" s="408">
        <v>0</v>
      </c>
      <c r="CV384" s="408">
        <v>0</v>
      </c>
      <c r="CW384" s="408">
        <v>0</v>
      </c>
      <c r="CX384" s="408">
        <v>0</v>
      </c>
      <c r="CY384" s="408">
        <v>0</v>
      </c>
      <c r="CZ384" s="408">
        <v>248.94441059346627</v>
      </c>
      <c r="DA384" s="408">
        <v>0</v>
      </c>
      <c r="DB384" s="408">
        <v>0</v>
      </c>
      <c r="DC384" s="408">
        <v>2336.0567757535791</v>
      </c>
      <c r="DD384" s="408">
        <v>0</v>
      </c>
      <c r="DE384" s="408">
        <v>0</v>
      </c>
      <c r="DF384" s="408">
        <v>0</v>
      </c>
      <c r="DG384" s="408">
        <v>390.8179315534212</v>
      </c>
      <c r="DH384" s="408">
        <v>0</v>
      </c>
      <c r="DI384" s="408">
        <v>-109.79993034678773</v>
      </c>
      <c r="DJ384" s="408"/>
      <c r="DK384" s="408">
        <v>0</v>
      </c>
      <c r="DL384" s="408">
        <v>0</v>
      </c>
      <c r="DM384" s="408">
        <v>0</v>
      </c>
      <c r="DN384" s="408">
        <v>0</v>
      </c>
      <c r="DO384" s="408">
        <v>-14.265467736632445</v>
      </c>
      <c r="DP384" s="408">
        <v>-4.3140375532587427</v>
      </c>
      <c r="DQ384" s="408">
        <v>0</v>
      </c>
      <c r="DR384" s="408">
        <v>0</v>
      </c>
      <c r="DS384" s="408"/>
      <c r="DT384" s="408"/>
      <c r="DU384" s="408"/>
      <c r="DV384" s="408">
        <v>39448.160698480584</v>
      </c>
      <c r="DW384" s="408">
        <v>0</v>
      </c>
      <c r="DX384" s="408">
        <v>0</v>
      </c>
      <c r="DY384" s="408">
        <v>-21441.325400000009</v>
      </c>
      <c r="DZ384" s="408">
        <v>2336.7646499999973</v>
      </c>
      <c r="EA384" s="408">
        <v>0</v>
      </c>
      <c r="EB384" s="408">
        <v>0</v>
      </c>
      <c r="EC384" s="408">
        <v>-22130.011804048863</v>
      </c>
      <c r="ED384" s="408">
        <v>0</v>
      </c>
      <c r="EE384" s="408">
        <v>0</v>
      </c>
      <c r="EF384" s="408">
        <v>0</v>
      </c>
      <c r="EG384" s="408">
        <v>0</v>
      </c>
      <c r="EH384" s="408">
        <v>0</v>
      </c>
      <c r="EI384" s="408">
        <v>0</v>
      </c>
      <c r="EJ384" s="408">
        <v>0</v>
      </c>
      <c r="EK384" s="408">
        <v>0</v>
      </c>
      <c r="EL384" s="408">
        <v>0</v>
      </c>
      <c r="EM384" s="408">
        <v>0</v>
      </c>
      <c r="EN384" s="408">
        <v>0</v>
      </c>
      <c r="EO384" s="408">
        <v>0</v>
      </c>
      <c r="EP384" s="408">
        <v>0</v>
      </c>
      <c r="EQ384" s="408">
        <v>0</v>
      </c>
      <c r="ER384" s="408">
        <v>0</v>
      </c>
      <c r="ES384" s="408">
        <v>0</v>
      </c>
      <c r="ET384" s="408">
        <v>0</v>
      </c>
      <c r="EU384" s="408">
        <v>0</v>
      </c>
      <c r="EV384" s="408">
        <v>238</v>
      </c>
      <c r="EW384" s="408">
        <v>0</v>
      </c>
      <c r="EX384" s="408">
        <v>0</v>
      </c>
      <c r="EY384" s="408">
        <v>0</v>
      </c>
      <c r="EZ384" s="408"/>
      <c r="FA384" s="408">
        <v>0</v>
      </c>
      <c r="FB384" s="408"/>
      <c r="FC384" s="408"/>
      <c r="FD384" s="408"/>
      <c r="FE384" s="408"/>
      <c r="FF384" s="408">
        <v>0</v>
      </c>
      <c r="FG384" s="408">
        <v>0</v>
      </c>
      <c r="FH384" s="408">
        <v>0</v>
      </c>
      <c r="FI384" s="408">
        <v>0</v>
      </c>
    </row>
    <row r="385" spans="1:165">
      <c r="A385" s="408">
        <v>389</v>
      </c>
      <c r="B385" s="408" t="s">
        <v>1036</v>
      </c>
      <c r="C385" s="408" t="s">
        <v>2235</v>
      </c>
      <c r="D385" s="408" t="s">
        <v>1958</v>
      </c>
      <c r="E385" s="408" t="s">
        <v>2251</v>
      </c>
      <c r="F385" s="408" t="s">
        <v>1322</v>
      </c>
      <c r="G385" s="408" t="s">
        <v>1322</v>
      </c>
      <c r="H385" s="408" t="s">
        <v>1322</v>
      </c>
      <c r="I385" s="408" t="s">
        <v>1322</v>
      </c>
      <c r="J385" s="408" t="s">
        <v>2236</v>
      </c>
      <c r="K385" s="824">
        <v>44562</v>
      </c>
      <c r="L385" s="408">
        <v>0</v>
      </c>
      <c r="M385" s="408">
        <v>0</v>
      </c>
      <c r="N385" s="408">
        <v>30.131</v>
      </c>
      <c r="O385" s="408">
        <v>30.131</v>
      </c>
      <c r="P385" s="408">
        <v>30.131</v>
      </c>
      <c r="Q385" s="408">
        <v>30.131</v>
      </c>
      <c r="R385" s="408"/>
      <c r="S385" s="408">
        <v>581.32000000000005</v>
      </c>
      <c r="T385" s="408">
        <v>209.4</v>
      </c>
      <c r="U385" s="408"/>
      <c r="V385" s="408">
        <v>23825.184320000004</v>
      </c>
      <c r="W385" s="408">
        <v>23825.184320000004</v>
      </c>
      <c r="X385" s="408">
        <v>18201.23317</v>
      </c>
      <c r="Y385" s="408">
        <v>0</v>
      </c>
      <c r="Z385" s="408">
        <v>1854.1986901797607</v>
      </c>
      <c r="AA385" s="408">
        <v>0</v>
      </c>
      <c r="AB385" s="408">
        <v>0</v>
      </c>
      <c r="AC385" s="408">
        <v>0</v>
      </c>
      <c r="AD385" s="408">
        <v>2235.4533838426864</v>
      </c>
      <c r="AE385" s="408">
        <v>11612.647452551593</v>
      </c>
      <c r="AF385" s="408">
        <v>6226.5936214293743</v>
      </c>
      <c r="AG385" s="408">
        <v>82.949587335946831</v>
      </c>
      <c r="AH385" s="408">
        <v>0</v>
      </c>
      <c r="AI385" s="408">
        <v>0</v>
      </c>
      <c r="AJ385" s="408">
        <v>0</v>
      </c>
      <c r="AK385" s="408">
        <v>0</v>
      </c>
      <c r="AL385" s="408">
        <v>286.53380716924994</v>
      </c>
      <c r="AM385" s="408"/>
      <c r="AN385" s="408">
        <v>54.927737800239683</v>
      </c>
      <c r="AO385" s="408">
        <v>171.73105523333891</v>
      </c>
      <c r="AP385" s="408">
        <v>258.6803590010017</v>
      </c>
      <c r="AQ385" s="408">
        <v>0</v>
      </c>
      <c r="AR385" s="408">
        <v>0</v>
      </c>
      <c r="AS385" s="408">
        <v>0</v>
      </c>
      <c r="AT385" s="408">
        <v>0</v>
      </c>
      <c r="AU385" s="408">
        <v>0</v>
      </c>
      <c r="AV385" s="408">
        <v>0</v>
      </c>
      <c r="AW385" s="408">
        <v>0</v>
      </c>
      <c r="AX385" s="408">
        <v>0</v>
      </c>
      <c r="AY385" s="408">
        <v>0</v>
      </c>
      <c r="AZ385" s="408">
        <v>0</v>
      </c>
      <c r="BA385" s="408"/>
      <c r="BB385" s="408">
        <v>0</v>
      </c>
      <c r="BC385" s="408">
        <v>0</v>
      </c>
      <c r="BD385" s="408">
        <v>0</v>
      </c>
      <c r="BE385" s="408">
        <v>0</v>
      </c>
      <c r="BF385" s="408">
        <v>0</v>
      </c>
      <c r="BG385" s="408">
        <v>1041.6974728560915</v>
      </c>
      <c r="BH385" s="408">
        <v>0</v>
      </c>
      <c r="BI385" s="408">
        <v>63.87</v>
      </c>
      <c r="BJ385" s="408">
        <v>292.27999999999997</v>
      </c>
      <c r="BK385" s="408">
        <v>7611.86</v>
      </c>
      <c r="BL385" s="408">
        <v>17</v>
      </c>
      <c r="BM385" s="408"/>
      <c r="BN385" s="408"/>
      <c r="BO385" s="408"/>
      <c r="BP385" s="408"/>
      <c r="BQ385" s="408"/>
      <c r="BR385" s="408"/>
      <c r="BS385" s="408"/>
      <c r="BT385" s="408"/>
      <c r="BU385" s="408"/>
      <c r="BV385" s="408">
        <v>7268.291094285466</v>
      </c>
      <c r="BW385" s="408"/>
      <c r="BX385" s="408"/>
      <c r="BY385" s="408"/>
      <c r="BZ385" s="408"/>
      <c r="CA385" s="408"/>
      <c r="CB385" s="408"/>
      <c r="CC385" s="408"/>
      <c r="CD385" s="408"/>
      <c r="CE385" s="408"/>
      <c r="CF385" s="408"/>
      <c r="CG385" s="408"/>
      <c r="CH385" s="408"/>
      <c r="CI385" s="408">
        <v>18200.629099999998</v>
      </c>
      <c r="CJ385" s="408">
        <v>-5624.5852200000008</v>
      </c>
      <c r="CK385" s="408"/>
      <c r="CL385" s="408"/>
      <c r="CM385" s="408"/>
      <c r="CN385" s="408"/>
      <c r="CO385" s="408">
        <v>-6311.8418800000027</v>
      </c>
      <c r="CP385" s="408">
        <v>687.89072999999951</v>
      </c>
      <c r="CQ385" s="408">
        <v>31</v>
      </c>
      <c r="CR385" s="408">
        <v>890.18636833587516</v>
      </c>
      <c r="CS385" s="408">
        <v>20.733438998388294</v>
      </c>
      <c r="CT385" s="408">
        <v>31.231004992899898</v>
      </c>
      <c r="CU385" s="408">
        <v>0</v>
      </c>
      <c r="CV385" s="408">
        <v>0</v>
      </c>
      <c r="CW385" s="408">
        <v>0</v>
      </c>
      <c r="CX385" s="408">
        <v>0</v>
      </c>
      <c r="CY385" s="408">
        <v>0</v>
      </c>
      <c r="CZ385" s="408">
        <v>73.283611309576827</v>
      </c>
      <c r="DA385" s="408">
        <v>0</v>
      </c>
      <c r="DB385" s="408">
        <v>0</v>
      </c>
      <c r="DC385" s="408">
        <v>687.68234781135288</v>
      </c>
      <c r="DD385" s="408">
        <v>0</v>
      </c>
      <c r="DE385" s="408">
        <v>0</v>
      </c>
      <c r="DF385" s="408">
        <v>0</v>
      </c>
      <c r="DG385" s="408">
        <v>115.04797123380536</v>
      </c>
      <c r="DH385" s="408">
        <v>0</v>
      </c>
      <c r="DI385" s="408">
        <v>-32.322619327625034</v>
      </c>
      <c r="DJ385" s="408"/>
      <c r="DK385" s="408">
        <v>0</v>
      </c>
      <c r="DL385" s="408">
        <v>0</v>
      </c>
      <c r="DM385" s="408">
        <v>0</v>
      </c>
      <c r="DN385" s="408">
        <v>0</v>
      </c>
      <c r="DO385" s="408">
        <v>-4.1994314725462232</v>
      </c>
      <c r="DP385" s="408">
        <v>-1.2699552099774181</v>
      </c>
      <c r="DQ385" s="408">
        <v>0</v>
      </c>
      <c r="DR385" s="408">
        <v>0</v>
      </c>
      <c r="DS385" s="408"/>
      <c r="DT385" s="408"/>
      <c r="DU385" s="408"/>
      <c r="DV385" s="408">
        <v>11612.647452551593</v>
      </c>
      <c r="DW385" s="408">
        <v>0</v>
      </c>
      <c r="DX385" s="408">
        <v>0</v>
      </c>
      <c r="DY385" s="408">
        <v>-6311.8418800000036</v>
      </c>
      <c r="DZ385" s="408">
        <v>687.89072999999917</v>
      </c>
      <c r="EA385" s="408">
        <v>0</v>
      </c>
      <c r="EB385" s="408">
        <v>0</v>
      </c>
      <c r="EC385" s="408">
        <v>-6514.5756012680977</v>
      </c>
      <c r="ED385" s="408">
        <v>0</v>
      </c>
      <c r="EE385" s="408">
        <v>0</v>
      </c>
      <c r="EF385" s="408">
        <v>0</v>
      </c>
      <c r="EG385" s="408">
        <v>0</v>
      </c>
      <c r="EH385" s="408">
        <v>0</v>
      </c>
      <c r="EI385" s="408">
        <v>0</v>
      </c>
      <c r="EJ385" s="408">
        <v>0</v>
      </c>
      <c r="EK385" s="408">
        <v>0</v>
      </c>
      <c r="EL385" s="408">
        <v>0</v>
      </c>
      <c r="EM385" s="408">
        <v>0</v>
      </c>
      <c r="EN385" s="408">
        <v>0</v>
      </c>
      <c r="EO385" s="408">
        <v>0</v>
      </c>
      <c r="EP385" s="408">
        <v>0</v>
      </c>
      <c r="EQ385" s="408">
        <v>0</v>
      </c>
      <c r="ER385" s="408">
        <v>0</v>
      </c>
      <c r="ES385" s="408">
        <v>0</v>
      </c>
      <c r="ET385" s="408">
        <v>0</v>
      </c>
      <c r="EU385" s="408">
        <v>0</v>
      </c>
      <c r="EV385" s="408">
        <v>238</v>
      </c>
      <c r="EW385" s="408">
        <v>0</v>
      </c>
      <c r="EX385" s="408">
        <v>0</v>
      </c>
      <c r="EY385" s="408">
        <v>0</v>
      </c>
      <c r="EZ385" s="408"/>
      <c r="FA385" s="408">
        <v>0</v>
      </c>
      <c r="FB385" s="408"/>
      <c r="FC385" s="408"/>
      <c r="FD385" s="408"/>
      <c r="FE385" s="408"/>
      <c r="FF385" s="408">
        <v>0</v>
      </c>
      <c r="FG385" s="408">
        <v>0</v>
      </c>
      <c r="FH385" s="408">
        <v>0</v>
      </c>
      <c r="FI385" s="408">
        <v>0</v>
      </c>
    </row>
    <row r="386" spans="1:165">
      <c r="A386" s="408">
        <v>390</v>
      </c>
      <c r="B386" s="408" t="s">
        <v>1036</v>
      </c>
      <c r="C386" s="408" t="s">
        <v>2235</v>
      </c>
      <c r="D386" s="408" t="s">
        <v>2245</v>
      </c>
      <c r="E386" s="408" t="s">
        <v>974</v>
      </c>
      <c r="F386" s="408" t="s">
        <v>2252</v>
      </c>
      <c r="G386" s="408" t="s">
        <v>2253</v>
      </c>
      <c r="H386" s="408" t="s">
        <v>1322</v>
      </c>
      <c r="I386" s="408" t="s">
        <v>1322</v>
      </c>
      <c r="J386" s="408" t="s">
        <v>2236</v>
      </c>
      <c r="K386" s="824">
        <v>44562</v>
      </c>
      <c r="L386" s="408">
        <v>0</v>
      </c>
      <c r="M386" s="408">
        <v>0</v>
      </c>
      <c r="N386" s="408">
        <v>0</v>
      </c>
      <c r="O386" s="408">
        <v>0</v>
      </c>
      <c r="P386" s="408">
        <v>0</v>
      </c>
      <c r="Q386" s="408">
        <v>0</v>
      </c>
      <c r="R386" s="408"/>
      <c r="S386" s="408"/>
      <c r="T386" s="408"/>
      <c r="U386" s="408"/>
      <c r="V386" s="408"/>
      <c r="W386" s="408"/>
      <c r="X386" s="408"/>
      <c r="Y386" s="408"/>
      <c r="Z386" s="408"/>
      <c r="AA386" s="408">
        <v>0</v>
      </c>
      <c r="AB386" s="408"/>
      <c r="AC386" s="408"/>
      <c r="AD386" s="408"/>
      <c r="AE386" s="408"/>
      <c r="AF386" s="408"/>
      <c r="AG386" s="408"/>
      <c r="AH386" s="408"/>
      <c r="AI386" s="408"/>
      <c r="AJ386" s="408"/>
      <c r="AK386" s="408"/>
      <c r="AL386" s="408"/>
      <c r="AM386" s="408"/>
      <c r="AN386" s="408"/>
      <c r="AO386" s="408"/>
      <c r="AP386" s="408"/>
      <c r="AQ386" s="408"/>
      <c r="AR386" s="408"/>
      <c r="AS386" s="408"/>
      <c r="AT386" s="408"/>
      <c r="AU386" s="408"/>
      <c r="AV386" s="408"/>
      <c r="AW386" s="408"/>
      <c r="AX386" s="408"/>
      <c r="AY386" s="408"/>
      <c r="AZ386" s="408">
        <v>0</v>
      </c>
      <c r="BA386" s="408"/>
      <c r="BB386" s="408"/>
      <c r="BC386" s="408"/>
      <c r="BD386" s="408"/>
      <c r="BE386" s="408"/>
      <c r="BF386" s="408"/>
      <c r="BG386" s="408"/>
      <c r="BH386" s="408"/>
      <c r="BI386" s="408">
        <v>727</v>
      </c>
      <c r="BJ386" s="408">
        <v>3326.27</v>
      </c>
      <c r="BK386" s="408">
        <v>1256.42</v>
      </c>
      <c r="BL386" s="408">
        <v>127</v>
      </c>
      <c r="BM386" s="408"/>
      <c r="BN386" s="408"/>
      <c r="BO386" s="408"/>
      <c r="BP386" s="408"/>
      <c r="BQ386" s="408"/>
      <c r="BR386" s="408"/>
      <c r="BS386" s="408"/>
      <c r="BT386" s="408"/>
      <c r="BU386" s="408"/>
      <c r="BV386" s="408"/>
      <c r="BW386" s="408"/>
      <c r="BX386" s="408"/>
      <c r="BY386" s="408"/>
      <c r="BZ386" s="408"/>
      <c r="CA386" s="408"/>
      <c r="CB386" s="408"/>
      <c r="CC386" s="408"/>
      <c r="CD386" s="408"/>
      <c r="CE386" s="408"/>
      <c r="CF386" s="408"/>
      <c r="CG386" s="408"/>
      <c r="CH386" s="408"/>
      <c r="CI386" s="408"/>
      <c r="CJ386" s="408">
        <v>-0.03</v>
      </c>
      <c r="CK386" s="408"/>
      <c r="CL386" s="408"/>
      <c r="CM386" s="408"/>
      <c r="CN386" s="408"/>
      <c r="CO386" s="408">
        <v>0</v>
      </c>
      <c r="CP386" s="408">
        <v>0</v>
      </c>
      <c r="CQ386" s="408">
        <v>31</v>
      </c>
      <c r="CR386" s="408"/>
      <c r="CS386" s="408"/>
      <c r="CT386" s="408"/>
      <c r="CU386" s="408"/>
      <c r="CV386" s="408"/>
      <c r="CW386" s="408"/>
      <c r="CX386" s="408"/>
      <c r="CY386" s="408"/>
      <c r="CZ386" s="408"/>
      <c r="DA386" s="408"/>
      <c r="DB386" s="408"/>
      <c r="DC386" s="408"/>
      <c r="DD386" s="408"/>
      <c r="DE386" s="408"/>
      <c r="DF386" s="408"/>
      <c r="DG386" s="408"/>
      <c r="DH386" s="408"/>
      <c r="DI386" s="408"/>
      <c r="DJ386" s="408"/>
      <c r="DK386" s="408">
        <v>0</v>
      </c>
      <c r="DL386" s="408"/>
      <c r="DM386" s="408"/>
      <c r="DN386" s="408"/>
      <c r="DO386" s="408"/>
      <c r="DP386" s="408"/>
      <c r="DQ386" s="408"/>
      <c r="DR386" s="408"/>
      <c r="DS386" s="408"/>
      <c r="DT386" s="408"/>
      <c r="DU386" s="408"/>
      <c r="DV386" s="408"/>
      <c r="DW386" s="408"/>
      <c r="DX386" s="408"/>
      <c r="DY386" s="408"/>
      <c r="DZ386" s="408"/>
      <c r="EA386" s="408"/>
      <c r="EB386" s="408"/>
      <c r="EC386" s="408"/>
      <c r="ED386" s="408"/>
      <c r="EE386" s="408"/>
      <c r="EF386" s="408"/>
      <c r="EG386" s="408"/>
      <c r="EH386" s="408"/>
      <c r="EI386" s="408"/>
      <c r="EJ386" s="408"/>
      <c r="EK386" s="408"/>
      <c r="EL386" s="408"/>
      <c r="EM386" s="408"/>
      <c r="EN386" s="408"/>
      <c r="EO386" s="408"/>
      <c r="EP386" s="408"/>
      <c r="EQ386" s="408"/>
      <c r="ER386" s="408"/>
      <c r="ES386" s="408"/>
      <c r="ET386" s="408"/>
      <c r="EU386" s="408"/>
      <c r="EV386" s="408">
        <v>238</v>
      </c>
      <c r="EW386" s="408"/>
      <c r="EX386" s="408"/>
      <c r="EY386" s="408"/>
      <c r="EZ386" s="408"/>
      <c r="FA386" s="408">
        <v>0</v>
      </c>
      <c r="FB386" s="408"/>
      <c r="FC386" s="408"/>
      <c r="FD386" s="408"/>
      <c r="FE386" s="408"/>
      <c r="FF386" s="408">
        <v>0</v>
      </c>
      <c r="FG386" s="408">
        <v>0</v>
      </c>
      <c r="FH386" s="408">
        <v>0</v>
      </c>
      <c r="FI386" s="408">
        <v>0</v>
      </c>
    </row>
    <row r="387" spans="1:165">
      <c r="A387" s="408">
        <v>391</v>
      </c>
      <c r="B387" s="408" t="s">
        <v>2238</v>
      </c>
      <c r="C387" s="408" t="s">
        <v>2235</v>
      </c>
      <c r="D387" s="408" t="s">
        <v>2245</v>
      </c>
      <c r="E387" s="408" t="s">
        <v>974</v>
      </c>
      <c r="F387" s="408" t="s">
        <v>2252</v>
      </c>
      <c r="G387" s="408" t="s">
        <v>2253</v>
      </c>
      <c r="H387" s="408" t="s">
        <v>1322</v>
      </c>
      <c r="I387" s="408" t="s">
        <v>1322</v>
      </c>
      <c r="J387" s="408" t="s">
        <v>2236</v>
      </c>
      <c r="K387" s="824">
        <v>44562</v>
      </c>
      <c r="L387" s="408">
        <v>0</v>
      </c>
      <c r="M387" s="408">
        <v>0</v>
      </c>
      <c r="N387" s="408">
        <v>0</v>
      </c>
      <c r="O387" s="408">
        <v>0</v>
      </c>
      <c r="P387" s="408">
        <v>0</v>
      </c>
      <c r="Q387" s="408">
        <v>0</v>
      </c>
      <c r="R387" s="408"/>
      <c r="S387" s="408"/>
      <c r="T387" s="408"/>
      <c r="U387" s="408"/>
      <c r="V387" s="408"/>
      <c r="W387" s="408"/>
      <c r="X387" s="408"/>
      <c r="Y387" s="408"/>
      <c r="Z387" s="408"/>
      <c r="AA387" s="408">
        <v>0</v>
      </c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408"/>
      <c r="AL387" s="408"/>
      <c r="AM387" s="408"/>
      <c r="AN387" s="408"/>
      <c r="AO387" s="408"/>
      <c r="AP387" s="408"/>
      <c r="AQ387" s="408"/>
      <c r="AR387" s="408"/>
      <c r="AS387" s="408"/>
      <c r="AT387" s="408"/>
      <c r="AU387" s="408"/>
      <c r="AV387" s="408"/>
      <c r="AW387" s="408"/>
      <c r="AX387" s="408"/>
      <c r="AY387" s="408"/>
      <c r="AZ387" s="408">
        <v>0</v>
      </c>
      <c r="BA387" s="408"/>
      <c r="BB387" s="408"/>
      <c r="BC387" s="408"/>
      <c r="BD387" s="408"/>
      <c r="BE387" s="408"/>
      <c r="BF387" s="408"/>
      <c r="BG387" s="408"/>
      <c r="BH387" s="408"/>
      <c r="BI387" s="408">
        <v>86.12</v>
      </c>
      <c r="BJ387" s="408">
        <v>394.13</v>
      </c>
      <c r="BK387" s="408">
        <v>268.01</v>
      </c>
      <c r="BL387" s="408">
        <v>28</v>
      </c>
      <c r="BM387" s="408"/>
      <c r="BN387" s="408"/>
      <c r="BO387" s="408"/>
      <c r="BP387" s="408"/>
      <c r="BQ387" s="408"/>
      <c r="BR387" s="408"/>
      <c r="BS387" s="408"/>
      <c r="BT387" s="408"/>
      <c r="BU387" s="408"/>
      <c r="BV387" s="408"/>
      <c r="BW387" s="408"/>
      <c r="BX387" s="408"/>
      <c r="BY387" s="408"/>
      <c r="BZ387" s="408"/>
      <c r="CA387" s="408"/>
      <c r="CB387" s="408"/>
      <c r="CC387" s="408"/>
      <c r="CD387" s="408"/>
      <c r="CE387" s="408"/>
      <c r="CF387" s="408"/>
      <c r="CG387" s="408"/>
      <c r="CH387" s="408"/>
      <c r="CI387" s="408"/>
      <c r="CJ387" s="408">
        <v>-0.03</v>
      </c>
      <c r="CK387" s="408"/>
      <c r="CL387" s="408"/>
      <c r="CM387" s="408"/>
      <c r="CN387" s="408"/>
      <c r="CO387" s="408">
        <v>0</v>
      </c>
      <c r="CP387" s="408">
        <v>0</v>
      </c>
      <c r="CQ387" s="408">
        <v>31</v>
      </c>
      <c r="CR387" s="408"/>
      <c r="CS387" s="408"/>
      <c r="CT387" s="408"/>
      <c r="CU387" s="408"/>
      <c r="CV387" s="408"/>
      <c r="CW387" s="408"/>
      <c r="CX387" s="408"/>
      <c r="CY387" s="408"/>
      <c r="CZ387" s="408"/>
      <c r="DA387" s="408"/>
      <c r="DB387" s="408"/>
      <c r="DC387" s="408"/>
      <c r="DD387" s="408"/>
      <c r="DE387" s="408"/>
      <c r="DF387" s="408"/>
      <c r="DG387" s="408"/>
      <c r="DH387" s="408"/>
      <c r="DI387" s="408"/>
      <c r="DJ387" s="408"/>
      <c r="DK387" s="408">
        <v>0</v>
      </c>
      <c r="DL387" s="408"/>
      <c r="DM387" s="408"/>
      <c r="DN387" s="408"/>
      <c r="DO387" s="408"/>
      <c r="DP387" s="408"/>
      <c r="DQ387" s="408"/>
      <c r="DR387" s="408"/>
      <c r="DS387" s="408"/>
      <c r="DT387" s="408"/>
      <c r="DU387" s="408"/>
      <c r="DV387" s="408"/>
      <c r="DW387" s="408"/>
      <c r="DX387" s="408"/>
      <c r="DY387" s="408"/>
      <c r="DZ387" s="408"/>
      <c r="EA387" s="408"/>
      <c r="EB387" s="408"/>
      <c r="EC387" s="408"/>
      <c r="ED387" s="408"/>
      <c r="EE387" s="408"/>
      <c r="EF387" s="408"/>
      <c r="EG387" s="408"/>
      <c r="EH387" s="408"/>
      <c r="EI387" s="408"/>
      <c r="EJ387" s="408"/>
      <c r="EK387" s="408"/>
      <c r="EL387" s="408"/>
      <c r="EM387" s="408"/>
      <c r="EN387" s="408"/>
      <c r="EO387" s="408"/>
      <c r="EP387" s="408"/>
      <c r="EQ387" s="408"/>
      <c r="ER387" s="408"/>
      <c r="ES387" s="408"/>
      <c r="ET387" s="408"/>
      <c r="EU387" s="408"/>
      <c r="EV387" s="408">
        <v>238</v>
      </c>
      <c r="EW387" s="408"/>
      <c r="EX387" s="408"/>
      <c r="EY387" s="408"/>
      <c r="EZ387" s="408"/>
      <c r="FA387" s="408">
        <v>0</v>
      </c>
      <c r="FB387" s="408"/>
      <c r="FC387" s="408"/>
      <c r="FD387" s="408"/>
      <c r="FE387" s="408"/>
      <c r="FF387" s="408">
        <v>0</v>
      </c>
      <c r="FG387" s="408">
        <v>0</v>
      </c>
      <c r="FH387" s="408">
        <v>0</v>
      </c>
      <c r="FI387" s="408">
        <v>0</v>
      </c>
    </row>
    <row r="388" spans="1:165">
      <c r="A388" s="408">
        <v>392</v>
      </c>
      <c r="B388" s="408" t="s">
        <v>1036</v>
      </c>
      <c r="C388" s="408" t="s">
        <v>2235</v>
      </c>
      <c r="D388" s="408" t="s">
        <v>2245</v>
      </c>
      <c r="E388" s="408" t="s">
        <v>974</v>
      </c>
      <c r="F388" s="408" t="s">
        <v>2252</v>
      </c>
      <c r="G388" s="408" t="s">
        <v>2253</v>
      </c>
      <c r="H388" s="408" t="s">
        <v>1322</v>
      </c>
      <c r="I388" s="408" t="s">
        <v>1322</v>
      </c>
      <c r="J388" s="408" t="s">
        <v>2236</v>
      </c>
      <c r="K388" s="824">
        <v>44562</v>
      </c>
      <c r="L388" s="408">
        <v>0</v>
      </c>
      <c r="M388" s="408">
        <v>0</v>
      </c>
      <c r="N388" s="408">
        <v>265.26299999999998</v>
      </c>
      <c r="O388" s="408">
        <v>265.26299999999998</v>
      </c>
      <c r="P388" s="408">
        <v>265.26299999999998</v>
      </c>
      <c r="Q388" s="408">
        <v>265.26299999999998</v>
      </c>
      <c r="R388" s="408"/>
      <c r="S388" s="408">
        <v>581.32000000000005</v>
      </c>
      <c r="T388" s="408">
        <v>209.4</v>
      </c>
      <c r="U388" s="408"/>
      <c r="V388" s="408">
        <v>209748.75936</v>
      </c>
      <c r="W388" s="408">
        <v>209748.75936</v>
      </c>
      <c r="X388" s="408">
        <v>160237.42040999996</v>
      </c>
      <c r="Y388" s="408">
        <v>0</v>
      </c>
      <c r="Z388" s="408">
        <v>16323.729950985822</v>
      </c>
      <c r="AA388" s="408">
        <v>0</v>
      </c>
      <c r="AB388" s="408">
        <v>0</v>
      </c>
      <c r="AC388" s="408">
        <v>0</v>
      </c>
      <c r="AD388" s="408">
        <v>19680.16564197214</v>
      </c>
      <c r="AE388" s="408">
        <v>102233.76924782427</v>
      </c>
      <c r="AF388" s="408">
        <v>54816.796780764664</v>
      </c>
      <c r="AG388" s="408">
        <v>730.25974529538553</v>
      </c>
      <c r="AH388" s="408">
        <v>0</v>
      </c>
      <c r="AI388" s="408">
        <v>0</v>
      </c>
      <c r="AJ388" s="408">
        <v>0</v>
      </c>
      <c r="AK388" s="408">
        <v>0</v>
      </c>
      <c r="AL388" s="408">
        <v>2522.5454611906921</v>
      </c>
      <c r="AM388" s="408"/>
      <c r="AN388" s="408">
        <v>483.56498330971351</v>
      </c>
      <c r="AO388" s="408">
        <v>1511.8613688347939</v>
      </c>
      <c r="AP388" s="408">
        <v>2277.3332471435633</v>
      </c>
      <c r="AQ388" s="408">
        <v>0</v>
      </c>
      <c r="AR388" s="408">
        <v>0</v>
      </c>
      <c r="AS388" s="408">
        <v>0</v>
      </c>
      <c r="AT388" s="408">
        <v>0</v>
      </c>
      <c r="AU388" s="408">
        <v>0</v>
      </c>
      <c r="AV388" s="408">
        <v>0</v>
      </c>
      <c r="AW388" s="408">
        <v>0</v>
      </c>
      <c r="AX388" s="408">
        <v>0</v>
      </c>
      <c r="AY388" s="408">
        <v>0</v>
      </c>
      <c r="AZ388" s="408">
        <v>0</v>
      </c>
      <c r="BA388" s="408"/>
      <c r="BB388" s="408">
        <v>0</v>
      </c>
      <c r="BC388" s="408">
        <v>0</v>
      </c>
      <c r="BD388" s="408">
        <v>0</v>
      </c>
      <c r="BE388" s="408">
        <v>0</v>
      </c>
      <c r="BF388" s="408">
        <v>0</v>
      </c>
      <c r="BG388" s="408">
        <v>9170.7476267706134</v>
      </c>
      <c r="BH388" s="408">
        <v>0</v>
      </c>
      <c r="BI388" s="408">
        <v>0</v>
      </c>
      <c r="BJ388" s="408">
        <v>0</v>
      </c>
      <c r="BK388" s="408">
        <v>0</v>
      </c>
      <c r="BL388" s="408">
        <v>0</v>
      </c>
      <c r="BM388" s="408"/>
      <c r="BN388" s="408"/>
      <c r="BO388" s="408"/>
      <c r="BP388" s="408"/>
      <c r="BQ388" s="408"/>
      <c r="BR388" s="408">
        <v>19228.914869999979</v>
      </c>
      <c r="BS388" s="408"/>
      <c r="BT388" s="408"/>
      <c r="BU388" s="408"/>
      <c r="BV388" s="408">
        <v>63987.544407535279</v>
      </c>
      <c r="BW388" s="408"/>
      <c r="BX388" s="408"/>
      <c r="BY388" s="408"/>
      <c r="BZ388" s="408"/>
      <c r="CA388" s="408"/>
      <c r="CB388" s="408"/>
      <c r="CC388" s="408"/>
      <c r="CD388" s="408"/>
      <c r="CE388" s="408"/>
      <c r="CF388" s="408"/>
      <c r="CG388" s="408"/>
      <c r="CH388" s="408"/>
      <c r="CI388" s="408">
        <v>141006.91080000001</v>
      </c>
      <c r="CJ388" s="408">
        <v>-43576.377749999985</v>
      </c>
      <c r="CK388" s="408"/>
      <c r="CL388" s="408"/>
      <c r="CM388" s="408"/>
      <c r="CN388" s="408"/>
      <c r="CO388" s="408">
        <v>-55567.293240000014</v>
      </c>
      <c r="CP388" s="408">
        <v>6055.9542899999951</v>
      </c>
      <c r="CQ388" s="408">
        <v>31</v>
      </c>
      <c r="CR388" s="408">
        <v>7836.895775907833</v>
      </c>
      <c r="CS388" s="408">
        <v>182.53009289533952</v>
      </c>
      <c r="CT388" s="408">
        <v>274.94706705491399</v>
      </c>
      <c r="CU388" s="408">
        <v>0</v>
      </c>
      <c r="CV388" s="408">
        <v>0</v>
      </c>
      <c r="CW388" s="408">
        <v>0</v>
      </c>
      <c r="CX388" s="408">
        <v>0</v>
      </c>
      <c r="CY388" s="408">
        <v>0</v>
      </c>
      <c r="CZ388" s="408">
        <v>645.16380428171033</v>
      </c>
      <c r="DA388" s="408">
        <v>0</v>
      </c>
      <c r="DB388" s="408">
        <v>0</v>
      </c>
      <c r="DC388" s="408">
        <v>6054.119764610623</v>
      </c>
      <c r="DD388" s="408">
        <v>0</v>
      </c>
      <c r="DE388" s="408">
        <v>0</v>
      </c>
      <c r="DF388" s="408">
        <v>0</v>
      </c>
      <c r="DG388" s="408">
        <v>1012.8429190333172</v>
      </c>
      <c r="DH388" s="408">
        <v>0</v>
      </c>
      <c r="DI388" s="408">
        <v>-284.55726563020835</v>
      </c>
      <c r="DJ388" s="408"/>
      <c r="DK388" s="408">
        <v>0</v>
      </c>
      <c r="DL388" s="408">
        <v>0</v>
      </c>
      <c r="DM388" s="408">
        <v>0</v>
      </c>
      <c r="DN388" s="408">
        <v>0</v>
      </c>
      <c r="DO388" s="408">
        <v>-36.970355803061466</v>
      </c>
      <c r="DP388" s="408">
        <v>-11.180250534806021</v>
      </c>
      <c r="DQ388" s="408">
        <v>0</v>
      </c>
      <c r="DR388" s="408">
        <v>0</v>
      </c>
      <c r="DS388" s="408"/>
      <c r="DT388" s="408"/>
      <c r="DU388" s="408"/>
      <c r="DV388" s="408">
        <v>102233.76924782427</v>
      </c>
      <c r="DW388" s="408">
        <v>0</v>
      </c>
      <c r="DX388" s="408">
        <v>0</v>
      </c>
      <c r="DY388" s="408">
        <v>-55567.293240000014</v>
      </c>
      <c r="DZ388" s="408">
        <v>6055.9542899999942</v>
      </c>
      <c r="EA388" s="408">
        <v>0</v>
      </c>
      <c r="EB388" s="408">
        <v>0</v>
      </c>
      <c r="EC388" s="408">
        <v>-57352.091457939641</v>
      </c>
      <c r="ED388" s="408">
        <v>0</v>
      </c>
      <c r="EE388" s="408">
        <v>0</v>
      </c>
      <c r="EF388" s="408">
        <v>0</v>
      </c>
      <c r="EG388" s="408">
        <v>0</v>
      </c>
      <c r="EH388" s="408">
        <v>0</v>
      </c>
      <c r="EI388" s="408">
        <v>0</v>
      </c>
      <c r="EJ388" s="408">
        <v>0</v>
      </c>
      <c r="EK388" s="408">
        <v>0</v>
      </c>
      <c r="EL388" s="408">
        <v>0</v>
      </c>
      <c r="EM388" s="408">
        <v>0</v>
      </c>
      <c r="EN388" s="408">
        <v>0</v>
      </c>
      <c r="EO388" s="408">
        <v>0</v>
      </c>
      <c r="EP388" s="408">
        <v>0</v>
      </c>
      <c r="EQ388" s="408">
        <v>0</v>
      </c>
      <c r="ER388" s="408">
        <v>0</v>
      </c>
      <c r="ES388" s="408">
        <v>0</v>
      </c>
      <c r="ET388" s="408">
        <v>0</v>
      </c>
      <c r="EU388" s="408">
        <v>0</v>
      </c>
      <c r="EV388" s="408">
        <v>238</v>
      </c>
      <c r="EW388" s="408">
        <v>0</v>
      </c>
      <c r="EX388" s="408">
        <v>0</v>
      </c>
      <c r="EY388" s="408">
        <v>0</v>
      </c>
      <c r="EZ388" s="408"/>
      <c r="FA388" s="408">
        <v>0</v>
      </c>
      <c r="FB388" s="408"/>
      <c r="FC388" s="408"/>
      <c r="FD388" s="408"/>
      <c r="FE388" s="408"/>
      <c r="FF388" s="408">
        <v>0</v>
      </c>
      <c r="FG388" s="408">
        <v>0</v>
      </c>
      <c r="FH388" s="408">
        <v>0</v>
      </c>
      <c r="FI388" s="408">
        <v>0</v>
      </c>
    </row>
    <row r="389" spans="1:165">
      <c r="A389" s="408">
        <v>393</v>
      </c>
      <c r="B389" s="408" t="s">
        <v>2238</v>
      </c>
      <c r="C389" s="408" t="s">
        <v>2235</v>
      </c>
      <c r="D389" s="408" t="s">
        <v>2245</v>
      </c>
      <c r="E389" s="408" t="s">
        <v>974</v>
      </c>
      <c r="F389" s="408" t="s">
        <v>2252</v>
      </c>
      <c r="G389" s="408" t="s">
        <v>2253</v>
      </c>
      <c r="H389" s="408" t="s">
        <v>1322</v>
      </c>
      <c r="I389" s="408" t="s">
        <v>1322</v>
      </c>
      <c r="J389" s="408" t="s">
        <v>2236</v>
      </c>
      <c r="K389" s="824">
        <v>44562</v>
      </c>
      <c r="L389" s="408">
        <v>0</v>
      </c>
      <c r="M389" s="408">
        <v>0</v>
      </c>
      <c r="N389" s="408">
        <v>21.518000000000001</v>
      </c>
      <c r="O389" s="408">
        <v>21.518000000000001</v>
      </c>
      <c r="P389" s="408">
        <v>21.518000000000001</v>
      </c>
      <c r="Q389" s="408">
        <v>21.518000000000001</v>
      </c>
      <c r="R389" s="408"/>
      <c r="S389" s="408">
        <v>581.32000000000005</v>
      </c>
      <c r="T389" s="408">
        <v>209.4</v>
      </c>
      <c r="U389" s="408"/>
      <c r="V389" s="408">
        <v>17014.712960000001</v>
      </c>
      <c r="W389" s="408">
        <v>17014.712960000001</v>
      </c>
      <c r="X389" s="408">
        <v>12998.378259999999</v>
      </c>
      <c r="Y389" s="408">
        <v>0</v>
      </c>
      <c r="Z389" s="408">
        <v>1324.1726930831401</v>
      </c>
      <c r="AA389" s="408">
        <v>0</v>
      </c>
      <c r="AB389" s="408">
        <v>0</v>
      </c>
      <c r="AC389" s="408">
        <v>0</v>
      </c>
      <c r="AD389" s="408">
        <v>1596.4450537163364</v>
      </c>
      <c r="AE389" s="408">
        <v>8293.151501244738</v>
      </c>
      <c r="AF389" s="408">
        <v>4446.7107479312763</v>
      </c>
      <c r="AG389" s="408">
        <v>59.238300099396099</v>
      </c>
      <c r="AH389" s="408">
        <v>0</v>
      </c>
      <c r="AI389" s="408">
        <v>0</v>
      </c>
      <c r="AJ389" s="408">
        <v>0</v>
      </c>
      <c r="AK389" s="408">
        <v>0</v>
      </c>
      <c r="AL389" s="408">
        <v>204.62760819979158</v>
      </c>
      <c r="AM389" s="408"/>
      <c r="AN389" s="408">
        <v>39.226546148005625</v>
      </c>
      <c r="AO389" s="408">
        <v>122.6414273177454</v>
      </c>
      <c r="AP389" s="408">
        <v>184.73611778512344</v>
      </c>
      <c r="AQ389" s="408">
        <v>0</v>
      </c>
      <c r="AR389" s="408">
        <v>0</v>
      </c>
      <c r="AS389" s="408">
        <v>0</v>
      </c>
      <c r="AT389" s="408">
        <v>0</v>
      </c>
      <c r="AU389" s="408">
        <v>0</v>
      </c>
      <c r="AV389" s="408">
        <v>0</v>
      </c>
      <c r="AW389" s="408">
        <v>0</v>
      </c>
      <c r="AX389" s="408">
        <v>0</v>
      </c>
      <c r="AY389" s="408">
        <v>0</v>
      </c>
      <c r="AZ389" s="408">
        <v>0</v>
      </c>
      <c r="BA389" s="408"/>
      <c r="BB389" s="408">
        <v>0</v>
      </c>
      <c r="BC389" s="408">
        <v>0</v>
      </c>
      <c r="BD389" s="408">
        <v>0</v>
      </c>
      <c r="BE389" s="408">
        <v>0</v>
      </c>
      <c r="BF389" s="408">
        <v>0</v>
      </c>
      <c r="BG389" s="408">
        <v>743.9263954371703</v>
      </c>
      <c r="BH389" s="408">
        <v>0</v>
      </c>
      <c r="BI389" s="408">
        <v>0</v>
      </c>
      <c r="BJ389" s="408">
        <v>0</v>
      </c>
      <c r="BK389" s="408">
        <v>0</v>
      </c>
      <c r="BL389" s="408">
        <v>0</v>
      </c>
      <c r="BM389" s="408"/>
      <c r="BN389" s="408"/>
      <c r="BO389" s="408"/>
      <c r="BP389" s="408"/>
      <c r="BQ389" s="408"/>
      <c r="BR389" s="408">
        <v>1559.8398199999983</v>
      </c>
      <c r="BS389" s="408"/>
      <c r="BT389" s="408"/>
      <c r="BU389" s="408"/>
      <c r="BV389" s="408">
        <v>5190.6371433684462</v>
      </c>
      <c r="BW389" s="408"/>
      <c r="BX389" s="408"/>
      <c r="BY389" s="408"/>
      <c r="BZ389" s="408"/>
      <c r="CA389" s="408"/>
      <c r="CB389" s="408"/>
      <c r="CC389" s="408"/>
      <c r="CD389" s="408"/>
      <c r="CE389" s="408"/>
      <c r="CF389" s="408"/>
      <c r="CG389" s="408"/>
      <c r="CH389" s="408"/>
      <c r="CI389" s="408">
        <v>11439.601600000002</v>
      </c>
      <c r="CJ389" s="408">
        <v>-3533.7286999999997</v>
      </c>
      <c r="CK389" s="408"/>
      <c r="CL389" s="408"/>
      <c r="CM389" s="408"/>
      <c r="CN389" s="408"/>
      <c r="CO389" s="408">
        <v>-4507.5906400000022</v>
      </c>
      <c r="CP389" s="408">
        <v>491.25593999999967</v>
      </c>
      <c r="CQ389" s="408">
        <v>31</v>
      </c>
      <c r="CR389" s="408">
        <v>635.72500991840207</v>
      </c>
      <c r="CS389" s="408">
        <v>14.806748543603575</v>
      </c>
      <c r="CT389" s="408">
        <v>22.303566607056553</v>
      </c>
      <c r="CU389" s="408">
        <v>0</v>
      </c>
      <c r="CV389" s="408">
        <v>0</v>
      </c>
      <c r="CW389" s="408">
        <v>0</v>
      </c>
      <c r="CX389" s="408">
        <v>0</v>
      </c>
      <c r="CY389" s="408">
        <v>0</v>
      </c>
      <c r="CZ389" s="408">
        <v>52.33536053099715</v>
      </c>
      <c r="DA389" s="408">
        <v>0</v>
      </c>
      <c r="DB389" s="408">
        <v>0</v>
      </c>
      <c r="DC389" s="408">
        <v>491.1071242310145</v>
      </c>
      <c r="DD389" s="408">
        <v>0</v>
      </c>
      <c r="DE389" s="408">
        <v>0</v>
      </c>
      <c r="DF389" s="408">
        <v>0</v>
      </c>
      <c r="DG389" s="408">
        <v>82.161303807010086</v>
      </c>
      <c r="DH389" s="408">
        <v>0</v>
      </c>
      <c r="DI389" s="408">
        <v>-23.08314104051783</v>
      </c>
      <c r="DJ389" s="408"/>
      <c r="DK389" s="408">
        <v>0</v>
      </c>
      <c r="DL389" s="408">
        <v>0</v>
      </c>
      <c r="DM389" s="408">
        <v>0</v>
      </c>
      <c r="DN389" s="408">
        <v>0</v>
      </c>
      <c r="DO389" s="408">
        <v>-2.9990165087866387</v>
      </c>
      <c r="DP389" s="408">
        <v>-0.90693625197617678</v>
      </c>
      <c r="DQ389" s="408">
        <v>0</v>
      </c>
      <c r="DR389" s="408">
        <v>0</v>
      </c>
      <c r="DS389" s="408"/>
      <c r="DT389" s="408"/>
      <c r="DU389" s="408"/>
      <c r="DV389" s="408">
        <v>8293.151501244738</v>
      </c>
      <c r="DW389" s="408">
        <v>0</v>
      </c>
      <c r="DX389" s="408">
        <v>0</v>
      </c>
      <c r="DY389" s="408">
        <v>-4507.5906400000022</v>
      </c>
      <c r="DZ389" s="408">
        <v>491.25594000000001</v>
      </c>
      <c r="EA389" s="408">
        <v>0</v>
      </c>
      <c r="EB389" s="408">
        <v>0</v>
      </c>
      <c r="EC389" s="408">
        <v>-4652.3725660644168</v>
      </c>
      <c r="ED389" s="408">
        <v>0</v>
      </c>
      <c r="EE389" s="408">
        <v>0</v>
      </c>
      <c r="EF389" s="408">
        <v>0</v>
      </c>
      <c r="EG389" s="408">
        <v>0</v>
      </c>
      <c r="EH389" s="408">
        <v>0</v>
      </c>
      <c r="EI389" s="408">
        <v>0</v>
      </c>
      <c r="EJ389" s="408">
        <v>0</v>
      </c>
      <c r="EK389" s="408">
        <v>0</v>
      </c>
      <c r="EL389" s="408">
        <v>0</v>
      </c>
      <c r="EM389" s="408">
        <v>0</v>
      </c>
      <c r="EN389" s="408">
        <v>0</v>
      </c>
      <c r="EO389" s="408">
        <v>0</v>
      </c>
      <c r="EP389" s="408">
        <v>0</v>
      </c>
      <c r="EQ389" s="408">
        <v>0</v>
      </c>
      <c r="ER389" s="408">
        <v>0</v>
      </c>
      <c r="ES389" s="408">
        <v>0</v>
      </c>
      <c r="ET389" s="408">
        <v>0</v>
      </c>
      <c r="EU389" s="408">
        <v>0</v>
      </c>
      <c r="EV389" s="408">
        <v>238</v>
      </c>
      <c r="EW389" s="408">
        <v>0</v>
      </c>
      <c r="EX389" s="408">
        <v>0</v>
      </c>
      <c r="EY389" s="408">
        <v>0</v>
      </c>
      <c r="EZ389" s="408"/>
      <c r="FA389" s="408">
        <v>0</v>
      </c>
      <c r="FB389" s="408"/>
      <c r="FC389" s="408"/>
      <c r="FD389" s="408"/>
      <c r="FE389" s="408"/>
      <c r="FF389" s="408">
        <v>0</v>
      </c>
      <c r="FG389" s="408">
        <v>0</v>
      </c>
      <c r="FH389" s="408">
        <v>0</v>
      </c>
      <c r="FI389" s="408">
        <v>0</v>
      </c>
    </row>
    <row r="390" spans="1:165">
      <c r="A390" s="408">
        <v>394</v>
      </c>
      <c r="B390" s="408" t="s">
        <v>1036</v>
      </c>
      <c r="C390" s="408" t="s">
        <v>2235</v>
      </c>
      <c r="D390" s="408" t="s">
        <v>2245</v>
      </c>
      <c r="E390" s="408" t="s">
        <v>974</v>
      </c>
      <c r="F390" s="408" t="s">
        <v>2252</v>
      </c>
      <c r="G390" s="408" t="s">
        <v>2254</v>
      </c>
      <c r="H390" s="408" t="s">
        <v>1322</v>
      </c>
      <c r="I390" s="408" t="s">
        <v>1322</v>
      </c>
      <c r="J390" s="408" t="s">
        <v>2236</v>
      </c>
      <c r="K390" s="824">
        <v>44562</v>
      </c>
      <c r="L390" s="408">
        <v>0</v>
      </c>
      <c r="M390" s="408">
        <v>0</v>
      </c>
      <c r="N390" s="408">
        <v>286.29399999999998</v>
      </c>
      <c r="O390" s="408">
        <v>114.5176</v>
      </c>
      <c r="P390" s="408">
        <v>286.29399999999998</v>
      </c>
      <c r="Q390" s="408">
        <v>114.5176</v>
      </c>
      <c r="R390" s="408"/>
      <c r="S390" s="408">
        <v>581.32000000000005</v>
      </c>
      <c r="T390" s="408">
        <v>209.4</v>
      </c>
      <c r="U390" s="408"/>
      <c r="V390" s="408">
        <v>226378.39168</v>
      </c>
      <c r="W390" s="408">
        <v>226378.39168</v>
      </c>
      <c r="X390" s="408">
        <v>172941.61657999997</v>
      </c>
      <c r="Y390" s="408">
        <v>0</v>
      </c>
      <c r="Z390" s="408">
        <v>17617.93368312782</v>
      </c>
      <c r="AA390" s="408">
        <v>0</v>
      </c>
      <c r="AB390" s="408">
        <v>0</v>
      </c>
      <c r="AC390" s="408">
        <v>0</v>
      </c>
      <c r="AD390" s="408">
        <v>21240.479608172915</v>
      </c>
      <c r="AE390" s="408">
        <v>110339.22836217868</v>
      </c>
      <c r="AF390" s="408">
        <v>59162.86861549571</v>
      </c>
      <c r="AG390" s="408">
        <v>788.15735145722203</v>
      </c>
      <c r="AH390" s="408">
        <v>0</v>
      </c>
      <c r="AI390" s="408">
        <v>0</v>
      </c>
      <c r="AJ390" s="408">
        <v>0</v>
      </c>
      <c r="AK390" s="408">
        <v>0</v>
      </c>
      <c r="AL390" s="408">
        <v>2722.5418933893079</v>
      </c>
      <c r="AM390" s="408"/>
      <c r="AN390" s="408">
        <v>521.90374583591051</v>
      </c>
      <c r="AO390" s="408">
        <v>1631.7271490150849</v>
      </c>
      <c r="AP390" s="408">
        <v>2457.8883774130554</v>
      </c>
      <c r="AQ390" s="408">
        <v>0</v>
      </c>
      <c r="AR390" s="408">
        <v>0</v>
      </c>
      <c r="AS390" s="408">
        <v>0</v>
      </c>
      <c r="AT390" s="408">
        <v>0</v>
      </c>
      <c r="AU390" s="408">
        <v>0</v>
      </c>
      <c r="AV390" s="408">
        <v>0</v>
      </c>
      <c r="AW390" s="408">
        <v>0</v>
      </c>
      <c r="AX390" s="408">
        <v>0</v>
      </c>
      <c r="AY390" s="408">
        <v>0</v>
      </c>
      <c r="AZ390" s="408">
        <v>0</v>
      </c>
      <c r="BA390" s="408"/>
      <c r="BB390" s="408">
        <v>0</v>
      </c>
      <c r="BC390" s="408">
        <v>0</v>
      </c>
      <c r="BD390" s="408">
        <v>0</v>
      </c>
      <c r="BE390" s="408">
        <v>0</v>
      </c>
      <c r="BF390" s="408">
        <v>0</v>
      </c>
      <c r="BG390" s="408">
        <v>9897.8373201640115</v>
      </c>
      <c r="BH390" s="408">
        <v>0</v>
      </c>
      <c r="BI390" s="408">
        <v>0</v>
      </c>
      <c r="BJ390" s="408">
        <v>0</v>
      </c>
      <c r="BK390" s="408">
        <v>0</v>
      </c>
      <c r="BL390" s="408">
        <v>0</v>
      </c>
      <c r="BM390" s="408"/>
      <c r="BN390" s="408"/>
      <c r="BO390" s="408"/>
      <c r="BP390" s="408"/>
      <c r="BQ390" s="408"/>
      <c r="BR390" s="408"/>
      <c r="BS390" s="408">
        <v>112066.35077199998</v>
      </c>
      <c r="BT390" s="408"/>
      <c r="BU390" s="408"/>
      <c r="BV390" s="408">
        <v>69060.705935659716</v>
      </c>
      <c r="BW390" s="408"/>
      <c r="BX390" s="408"/>
      <c r="BY390" s="408"/>
      <c r="BZ390" s="408"/>
      <c r="CA390" s="408"/>
      <c r="CB390" s="408"/>
      <c r="CC390" s="408"/>
      <c r="CD390" s="408"/>
      <c r="CE390" s="408"/>
      <c r="CF390" s="408"/>
      <c r="CG390" s="408"/>
      <c r="CH390" s="408"/>
      <c r="CI390" s="408">
        <v>60876.541599999997</v>
      </c>
      <c r="CJ390" s="408">
        <v>-18810.560360000003</v>
      </c>
      <c r="CK390" s="408"/>
      <c r="CL390" s="408"/>
      <c r="CM390" s="408"/>
      <c r="CN390" s="408"/>
      <c r="CO390" s="408">
        <v>-59972.867120000017</v>
      </c>
      <c r="CP390" s="408">
        <v>6536.0920199999955</v>
      </c>
      <c r="CQ390" s="408">
        <v>31</v>
      </c>
      <c r="CR390" s="408">
        <v>8458.2329207909061</v>
      </c>
      <c r="CS390" s="408">
        <v>197.0017319240842</v>
      </c>
      <c r="CT390" s="408">
        <v>296.74585454970929</v>
      </c>
      <c r="CU390" s="408">
        <v>0</v>
      </c>
      <c r="CV390" s="408">
        <v>0</v>
      </c>
      <c r="CW390" s="408">
        <v>0</v>
      </c>
      <c r="CX390" s="408">
        <v>0</v>
      </c>
      <c r="CY390" s="408">
        <v>0</v>
      </c>
      <c r="CZ390" s="408">
        <v>696.3146996868345</v>
      </c>
      <c r="DA390" s="408">
        <v>0</v>
      </c>
      <c r="DB390" s="408">
        <v>0</v>
      </c>
      <c r="DC390" s="408">
        <v>6534.1120468721056</v>
      </c>
      <c r="DD390" s="408">
        <v>0</v>
      </c>
      <c r="DE390" s="408">
        <v>0</v>
      </c>
      <c r="DF390" s="408">
        <v>0</v>
      </c>
      <c r="DG390" s="408">
        <v>1093.1447305569363</v>
      </c>
      <c r="DH390" s="408">
        <v>0</v>
      </c>
      <c r="DI390" s="408">
        <v>-307.11798406236267</v>
      </c>
      <c r="DJ390" s="408"/>
      <c r="DK390" s="408">
        <v>0</v>
      </c>
      <c r="DL390" s="408">
        <v>0</v>
      </c>
      <c r="DM390" s="408">
        <v>0</v>
      </c>
      <c r="DN390" s="408">
        <v>0</v>
      </c>
      <c r="DO390" s="408">
        <v>-39.901497925762669</v>
      </c>
      <c r="DP390" s="408">
        <v>-12.066660810636108</v>
      </c>
      <c r="DQ390" s="408">
        <v>0</v>
      </c>
      <c r="DR390" s="408">
        <v>0</v>
      </c>
      <c r="DS390" s="408"/>
      <c r="DT390" s="408"/>
      <c r="DU390" s="408"/>
      <c r="DV390" s="408">
        <v>110339.22836217868</v>
      </c>
      <c r="DW390" s="408">
        <v>0</v>
      </c>
      <c r="DX390" s="408">
        <v>0</v>
      </c>
      <c r="DY390" s="408">
        <v>-59972.867120000024</v>
      </c>
      <c r="DZ390" s="408">
        <v>6536.0920200000037</v>
      </c>
      <c r="EA390" s="408">
        <v>0</v>
      </c>
      <c r="EB390" s="408">
        <v>0</v>
      </c>
      <c r="EC390" s="408">
        <v>-61899.170528341201</v>
      </c>
      <c r="ED390" s="408">
        <v>0</v>
      </c>
      <c r="EE390" s="408">
        <v>0</v>
      </c>
      <c r="EF390" s="408">
        <v>0</v>
      </c>
      <c r="EG390" s="408">
        <v>0</v>
      </c>
      <c r="EH390" s="408">
        <v>0</v>
      </c>
      <c r="EI390" s="408">
        <v>0</v>
      </c>
      <c r="EJ390" s="408">
        <v>0</v>
      </c>
      <c r="EK390" s="408">
        <v>0</v>
      </c>
      <c r="EL390" s="408">
        <v>0</v>
      </c>
      <c r="EM390" s="408">
        <v>0</v>
      </c>
      <c r="EN390" s="408">
        <v>0</v>
      </c>
      <c r="EO390" s="408">
        <v>0</v>
      </c>
      <c r="EP390" s="408">
        <v>0</v>
      </c>
      <c r="EQ390" s="408">
        <v>0</v>
      </c>
      <c r="ER390" s="408">
        <v>0</v>
      </c>
      <c r="ES390" s="408">
        <v>0</v>
      </c>
      <c r="ET390" s="408">
        <v>0</v>
      </c>
      <c r="EU390" s="408">
        <v>0</v>
      </c>
      <c r="EV390" s="408">
        <v>238</v>
      </c>
      <c r="EW390" s="408">
        <v>0</v>
      </c>
      <c r="EX390" s="408">
        <v>0</v>
      </c>
      <c r="EY390" s="408">
        <v>0</v>
      </c>
      <c r="EZ390" s="408"/>
      <c r="FA390" s="408">
        <v>0</v>
      </c>
      <c r="FB390" s="408"/>
      <c r="FC390" s="408"/>
      <c r="FD390" s="408"/>
      <c r="FE390" s="408"/>
      <c r="FF390" s="408">
        <v>0</v>
      </c>
      <c r="FG390" s="408">
        <v>0</v>
      </c>
      <c r="FH390" s="408">
        <v>0</v>
      </c>
      <c r="FI390" s="408">
        <v>0</v>
      </c>
    </row>
    <row r="391" spans="1:165">
      <c r="A391" s="408">
        <v>395</v>
      </c>
      <c r="B391" s="408" t="s">
        <v>2238</v>
      </c>
      <c r="C391" s="408" t="s">
        <v>2235</v>
      </c>
      <c r="D391" s="408" t="s">
        <v>2245</v>
      </c>
      <c r="E391" s="408" t="s">
        <v>974</v>
      </c>
      <c r="F391" s="408" t="s">
        <v>2252</v>
      </c>
      <c r="G391" s="408" t="s">
        <v>2254</v>
      </c>
      <c r="H391" s="408" t="s">
        <v>1322</v>
      </c>
      <c r="I391" s="408" t="s">
        <v>1322</v>
      </c>
      <c r="J391" s="408" t="s">
        <v>2236</v>
      </c>
      <c r="K391" s="824">
        <v>44562</v>
      </c>
      <c r="L391" s="408">
        <v>0</v>
      </c>
      <c r="M391" s="408">
        <v>0</v>
      </c>
      <c r="N391" s="408">
        <v>52.267000000000003</v>
      </c>
      <c r="O391" s="408">
        <v>20.9068</v>
      </c>
      <c r="P391" s="408">
        <v>52.267000000000003</v>
      </c>
      <c r="Q391" s="408">
        <v>20.9068</v>
      </c>
      <c r="R391" s="408"/>
      <c r="S391" s="408">
        <v>581.32000000000005</v>
      </c>
      <c r="T391" s="408">
        <v>209.4</v>
      </c>
      <c r="U391" s="408"/>
      <c r="V391" s="408">
        <v>41328.562240000007</v>
      </c>
      <c r="W391" s="408">
        <v>41328.562240000007</v>
      </c>
      <c r="X391" s="408">
        <v>31572.92669</v>
      </c>
      <c r="Y391" s="408">
        <v>0</v>
      </c>
      <c r="Z391" s="408">
        <v>3216.4018100834874</v>
      </c>
      <c r="AA391" s="408">
        <v>0</v>
      </c>
      <c r="AB391" s="408">
        <v>0</v>
      </c>
      <c r="AC391" s="408">
        <v>0</v>
      </c>
      <c r="AD391" s="408">
        <v>3877.7485650428366</v>
      </c>
      <c r="AE391" s="408">
        <v>20143.979436544229</v>
      </c>
      <c r="AF391" s="408">
        <v>10801.014530259505</v>
      </c>
      <c r="AG391" s="408">
        <v>143.88921978321108</v>
      </c>
      <c r="AH391" s="408">
        <v>0</v>
      </c>
      <c r="AI391" s="408">
        <v>0</v>
      </c>
      <c r="AJ391" s="408">
        <v>0</v>
      </c>
      <c r="AK391" s="408">
        <v>0</v>
      </c>
      <c r="AL391" s="408">
        <v>497.03834918572858</v>
      </c>
      <c r="AM391" s="408"/>
      <c r="AN391" s="408">
        <v>95.280875895427556</v>
      </c>
      <c r="AO391" s="408">
        <v>297.89476167007149</v>
      </c>
      <c r="AP391" s="408">
        <v>448.72212418789144</v>
      </c>
      <c r="AQ391" s="408">
        <v>0</v>
      </c>
      <c r="AR391" s="408">
        <v>0</v>
      </c>
      <c r="AS391" s="408">
        <v>0</v>
      </c>
      <c r="AT391" s="408">
        <v>0</v>
      </c>
      <c r="AU391" s="408">
        <v>0</v>
      </c>
      <c r="AV391" s="408">
        <v>0</v>
      </c>
      <c r="AW391" s="408">
        <v>0</v>
      </c>
      <c r="AX391" s="408">
        <v>0</v>
      </c>
      <c r="AY391" s="408">
        <v>0</v>
      </c>
      <c r="AZ391" s="408">
        <v>0</v>
      </c>
      <c r="BA391" s="408"/>
      <c r="BB391" s="408">
        <v>0</v>
      </c>
      <c r="BC391" s="408">
        <v>0</v>
      </c>
      <c r="BD391" s="408">
        <v>0</v>
      </c>
      <c r="BE391" s="408">
        <v>0</v>
      </c>
      <c r="BF391" s="408">
        <v>0</v>
      </c>
      <c r="BG391" s="408">
        <v>1806.989539469959</v>
      </c>
      <c r="BH391" s="408">
        <v>0</v>
      </c>
      <c r="BI391" s="408">
        <v>0</v>
      </c>
      <c r="BJ391" s="408">
        <v>0</v>
      </c>
      <c r="BK391" s="408">
        <v>0</v>
      </c>
      <c r="BL391" s="408">
        <v>0</v>
      </c>
      <c r="BM391" s="408"/>
      <c r="BN391" s="408"/>
      <c r="BO391" s="408"/>
      <c r="BP391" s="408"/>
      <c r="BQ391" s="408"/>
      <c r="BR391" s="408"/>
      <c r="BS391" s="408">
        <v>20459.289945999997</v>
      </c>
      <c r="BT391" s="408"/>
      <c r="BU391" s="408"/>
      <c r="BV391" s="408">
        <v>12608.004069729464</v>
      </c>
      <c r="BW391" s="408"/>
      <c r="BX391" s="408"/>
      <c r="BY391" s="408"/>
      <c r="BZ391" s="408"/>
      <c r="CA391" s="408"/>
      <c r="CB391" s="408"/>
      <c r="CC391" s="408"/>
      <c r="CD391" s="408"/>
      <c r="CE391" s="408"/>
      <c r="CF391" s="408"/>
      <c r="CG391" s="408"/>
      <c r="CH391" s="408"/>
      <c r="CI391" s="408">
        <v>11115.337800000001</v>
      </c>
      <c r="CJ391" s="408">
        <v>-3432.6889800000008</v>
      </c>
      <c r="CK391" s="408"/>
      <c r="CL391" s="408"/>
      <c r="CM391" s="408"/>
      <c r="CN391" s="408"/>
      <c r="CO391" s="408">
        <v>-10948.891160000005</v>
      </c>
      <c r="CP391" s="408">
        <v>1193.2556099999993</v>
      </c>
      <c r="CQ391" s="408">
        <v>31</v>
      </c>
      <c r="CR391" s="408">
        <v>1544.1694903524985</v>
      </c>
      <c r="CS391" s="408">
        <v>35.965439452018245</v>
      </c>
      <c r="CT391" s="408">
        <v>54.175133183893649</v>
      </c>
      <c r="CU391" s="408">
        <v>0</v>
      </c>
      <c r="CV391" s="408">
        <v>0</v>
      </c>
      <c r="CW391" s="408">
        <v>0</v>
      </c>
      <c r="CX391" s="408">
        <v>0</v>
      </c>
      <c r="CY391" s="408">
        <v>0</v>
      </c>
      <c r="CZ391" s="408">
        <v>127.12205078881061</v>
      </c>
      <c r="DA391" s="408">
        <v>0</v>
      </c>
      <c r="DB391" s="408">
        <v>0</v>
      </c>
      <c r="DC391" s="408">
        <v>1192.8941380324577</v>
      </c>
      <c r="DD391" s="408">
        <v>0</v>
      </c>
      <c r="DE391" s="408">
        <v>0</v>
      </c>
      <c r="DF391" s="408">
        <v>0</v>
      </c>
      <c r="DG391" s="408">
        <v>199.56895929366101</v>
      </c>
      <c r="DH391" s="408">
        <v>0</v>
      </c>
      <c r="DI391" s="408">
        <v>-56.068711439945218</v>
      </c>
      <c r="DJ391" s="408"/>
      <c r="DK391" s="408">
        <v>0</v>
      </c>
      <c r="DL391" s="408">
        <v>0</v>
      </c>
      <c r="DM391" s="408">
        <v>0</v>
      </c>
      <c r="DN391" s="408">
        <v>0</v>
      </c>
      <c r="DO391" s="408">
        <v>-7.2845801591575423</v>
      </c>
      <c r="DP391" s="408">
        <v>-2.2029387992396465</v>
      </c>
      <c r="DQ391" s="408">
        <v>0</v>
      </c>
      <c r="DR391" s="408">
        <v>0</v>
      </c>
      <c r="DS391" s="408"/>
      <c r="DT391" s="408"/>
      <c r="DU391" s="408"/>
      <c r="DV391" s="408">
        <v>20143.979436544229</v>
      </c>
      <c r="DW391" s="408">
        <v>0</v>
      </c>
      <c r="DX391" s="408">
        <v>0</v>
      </c>
      <c r="DY391" s="408">
        <v>-10948.891160000006</v>
      </c>
      <c r="DZ391" s="408">
        <v>1193.2556100000002</v>
      </c>
      <c r="EA391" s="408">
        <v>0</v>
      </c>
      <c r="EB391" s="408">
        <v>0</v>
      </c>
      <c r="EC391" s="408">
        <v>-11300.564964703452</v>
      </c>
      <c r="ED391" s="408">
        <v>0</v>
      </c>
      <c r="EE391" s="408">
        <v>0</v>
      </c>
      <c r="EF391" s="408">
        <v>0</v>
      </c>
      <c r="EG391" s="408">
        <v>0</v>
      </c>
      <c r="EH391" s="408">
        <v>0</v>
      </c>
      <c r="EI391" s="408">
        <v>0</v>
      </c>
      <c r="EJ391" s="408">
        <v>0</v>
      </c>
      <c r="EK391" s="408">
        <v>0</v>
      </c>
      <c r="EL391" s="408">
        <v>0</v>
      </c>
      <c r="EM391" s="408">
        <v>0</v>
      </c>
      <c r="EN391" s="408">
        <v>0</v>
      </c>
      <c r="EO391" s="408">
        <v>0</v>
      </c>
      <c r="EP391" s="408">
        <v>0</v>
      </c>
      <c r="EQ391" s="408">
        <v>0</v>
      </c>
      <c r="ER391" s="408">
        <v>0</v>
      </c>
      <c r="ES391" s="408">
        <v>0</v>
      </c>
      <c r="ET391" s="408">
        <v>0</v>
      </c>
      <c r="EU391" s="408">
        <v>0</v>
      </c>
      <c r="EV391" s="408">
        <v>238</v>
      </c>
      <c r="EW391" s="408">
        <v>0</v>
      </c>
      <c r="EX391" s="408">
        <v>0</v>
      </c>
      <c r="EY391" s="408">
        <v>0</v>
      </c>
      <c r="EZ391" s="408"/>
      <c r="FA391" s="408">
        <v>0</v>
      </c>
      <c r="FB391" s="408"/>
      <c r="FC391" s="408"/>
      <c r="FD391" s="408"/>
      <c r="FE391" s="408"/>
      <c r="FF391" s="408">
        <v>0</v>
      </c>
      <c r="FG391" s="408">
        <v>0</v>
      </c>
      <c r="FH391" s="408">
        <v>0</v>
      </c>
      <c r="FI391" s="408">
        <v>0</v>
      </c>
    </row>
    <row r="392" spans="1:165">
      <c r="A392" s="408">
        <v>396</v>
      </c>
      <c r="B392" s="408" t="s">
        <v>1036</v>
      </c>
      <c r="C392" s="408" t="s">
        <v>2243</v>
      </c>
      <c r="D392" s="408" t="s">
        <v>597</v>
      </c>
      <c r="E392" s="408" t="s">
        <v>974</v>
      </c>
      <c r="F392" s="408" t="s">
        <v>2252</v>
      </c>
      <c r="G392" s="408" t="s">
        <v>1322</v>
      </c>
      <c r="H392" s="408" t="s">
        <v>1322</v>
      </c>
      <c r="I392" s="408" t="s">
        <v>973</v>
      </c>
      <c r="J392" s="408" t="s">
        <v>2236</v>
      </c>
      <c r="K392" s="824">
        <v>44562</v>
      </c>
      <c r="L392" s="408">
        <v>0</v>
      </c>
      <c r="M392" s="408">
        <v>0</v>
      </c>
      <c r="N392" s="408">
        <v>36.325000000000003</v>
      </c>
      <c r="O392" s="408">
        <v>34.872</v>
      </c>
      <c r="P392" s="408">
        <v>36.325000000000003</v>
      </c>
      <c r="Q392" s="408">
        <v>34.872</v>
      </c>
      <c r="R392" s="408"/>
      <c r="S392" s="408">
        <v>1614.19</v>
      </c>
      <c r="T392" s="408">
        <v>209.4</v>
      </c>
      <c r="U392" s="408"/>
      <c r="V392" s="408">
        <v>66241.906750000009</v>
      </c>
      <c r="W392" s="408">
        <v>66241.906750000009</v>
      </c>
      <c r="X392" s="408">
        <v>44031.348750000005</v>
      </c>
      <c r="Y392" s="408">
        <v>0</v>
      </c>
      <c r="Z392" s="408">
        <v>1944.7671055085618</v>
      </c>
      <c r="AA392" s="408">
        <v>0</v>
      </c>
      <c r="AB392" s="408">
        <v>0</v>
      </c>
      <c r="AC392" s="408">
        <v>0</v>
      </c>
      <c r="AD392" s="408">
        <v>11312.258499245692</v>
      </c>
      <c r="AE392" s="408">
        <v>42240.040081371233</v>
      </c>
      <c r="AF392" s="408">
        <v>7506.5883408589834</v>
      </c>
      <c r="AG392" s="408">
        <v>100.00145232412693</v>
      </c>
      <c r="AH392" s="408">
        <v>0</v>
      </c>
      <c r="AI392" s="408">
        <v>0</v>
      </c>
      <c r="AJ392" s="408">
        <v>0</v>
      </c>
      <c r="AK392" s="408">
        <v>0</v>
      </c>
      <c r="AL392" s="408">
        <v>345.43627975915189</v>
      </c>
      <c r="AM392" s="408"/>
      <c r="AN392" s="408">
        <v>48.233944506557464</v>
      </c>
      <c r="AO392" s="408">
        <v>878.88066416562697</v>
      </c>
      <c r="AP392" s="408">
        <v>1309.105916782248</v>
      </c>
      <c r="AQ392" s="408">
        <v>0</v>
      </c>
      <c r="AR392" s="408">
        <v>0</v>
      </c>
      <c r="AS392" s="408">
        <v>0</v>
      </c>
      <c r="AT392" s="408">
        <v>0</v>
      </c>
      <c r="AU392" s="408">
        <v>0</v>
      </c>
      <c r="AV392" s="408">
        <v>0</v>
      </c>
      <c r="AW392" s="408">
        <v>0</v>
      </c>
      <c r="AX392" s="408">
        <v>0</v>
      </c>
      <c r="AY392" s="408">
        <v>0</v>
      </c>
      <c r="AZ392" s="408">
        <v>0</v>
      </c>
      <c r="BA392" s="408"/>
      <c r="BB392" s="408">
        <v>0</v>
      </c>
      <c r="BC392" s="408">
        <v>0</v>
      </c>
      <c r="BD392" s="408">
        <v>0</v>
      </c>
      <c r="BE392" s="408">
        <v>0</v>
      </c>
      <c r="BF392" s="408">
        <v>0</v>
      </c>
      <c r="BG392" s="408">
        <v>556.66015082133833</v>
      </c>
      <c r="BH392" s="408">
        <v>0</v>
      </c>
      <c r="BI392" s="408">
        <v>0</v>
      </c>
      <c r="BJ392" s="408">
        <v>0</v>
      </c>
      <c r="BK392" s="408">
        <v>0</v>
      </c>
      <c r="BL392" s="408">
        <v>0</v>
      </c>
      <c r="BM392" s="408"/>
      <c r="BN392" s="408"/>
      <c r="BO392" s="408"/>
      <c r="BP392" s="408"/>
      <c r="BQ392" s="408"/>
      <c r="BR392" s="408">
        <v>1761.2539500000037</v>
      </c>
      <c r="BS392" s="408"/>
      <c r="BT392" s="408"/>
      <c r="BU392" s="408"/>
      <c r="BV392" s="408">
        <v>8063.2484916803214</v>
      </c>
      <c r="BW392" s="408"/>
      <c r="BX392" s="408"/>
      <c r="BY392" s="408"/>
      <c r="BZ392" s="408"/>
      <c r="CA392" s="408"/>
      <c r="CB392" s="408"/>
      <c r="CC392" s="408"/>
      <c r="CD392" s="408"/>
      <c r="CE392" s="408"/>
      <c r="CF392" s="408"/>
      <c r="CG392" s="408"/>
      <c r="CH392" s="408"/>
      <c r="CI392" s="408">
        <v>42267.670499999993</v>
      </c>
      <c r="CJ392" s="408">
        <v>-21324.589980000012</v>
      </c>
      <c r="CK392" s="408"/>
      <c r="CL392" s="408"/>
      <c r="CM392" s="408"/>
      <c r="CN392" s="408"/>
      <c r="CO392" s="408">
        <v>-23039.857750000006</v>
      </c>
      <c r="CP392" s="408">
        <v>829.29974999999945</v>
      </c>
      <c r="CQ392" s="408">
        <v>31</v>
      </c>
      <c r="CR392" s="408">
        <v>1485.4517860419874</v>
      </c>
      <c r="CS392" s="408">
        <v>106.10904715271897</v>
      </c>
      <c r="CT392" s="408">
        <v>158.051015473902</v>
      </c>
      <c r="CU392" s="408">
        <v>0</v>
      </c>
      <c r="CV392" s="408">
        <v>0</v>
      </c>
      <c r="CW392" s="408">
        <v>0</v>
      </c>
      <c r="CX392" s="408">
        <v>0</v>
      </c>
      <c r="CY392" s="408">
        <v>0</v>
      </c>
      <c r="CZ392" s="408">
        <v>370.84340961168527</v>
      </c>
      <c r="DA392" s="408">
        <v>0</v>
      </c>
      <c r="DB392" s="408">
        <v>0</v>
      </c>
      <c r="DC392" s="408">
        <v>829.04853089002609</v>
      </c>
      <c r="DD392" s="408">
        <v>0</v>
      </c>
      <c r="DE392" s="408">
        <v>0</v>
      </c>
      <c r="DF392" s="408">
        <v>0</v>
      </c>
      <c r="DG392" s="408">
        <v>61.479097998683528</v>
      </c>
      <c r="DH392" s="408">
        <v>0</v>
      </c>
      <c r="DI392" s="408">
        <v>-33.901419068605492</v>
      </c>
      <c r="DJ392" s="408"/>
      <c r="DK392" s="408">
        <v>0</v>
      </c>
      <c r="DL392" s="408">
        <v>0</v>
      </c>
      <c r="DM392" s="408">
        <v>0</v>
      </c>
      <c r="DN392" s="408">
        <v>0</v>
      </c>
      <c r="DO392" s="408">
        <v>-5.0627044651768074</v>
      </c>
      <c r="DP392" s="408">
        <v>-1.1151915512459496</v>
      </c>
      <c r="DQ392" s="408">
        <v>0</v>
      </c>
      <c r="DR392" s="408">
        <v>0</v>
      </c>
      <c r="DS392" s="408"/>
      <c r="DT392" s="408"/>
      <c r="DU392" s="408"/>
      <c r="DV392" s="408">
        <v>42240.040081371233</v>
      </c>
      <c r="DW392" s="408">
        <v>0</v>
      </c>
      <c r="DX392" s="408">
        <v>0</v>
      </c>
      <c r="DY392" s="408">
        <v>-23039.857750000003</v>
      </c>
      <c r="DZ392" s="408">
        <v>829.29974999999922</v>
      </c>
      <c r="EA392" s="408">
        <v>0</v>
      </c>
      <c r="EB392" s="408">
        <v>0</v>
      </c>
      <c r="EC392" s="408">
        <v>-23696.227379246371</v>
      </c>
      <c r="ED392" s="408">
        <v>0</v>
      </c>
      <c r="EE392" s="408">
        <v>0</v>
      </c>
      <c r="EF392" s="408">
        <v>0</v>
      </c>
      <c r="EG392" s="408">
        <v>0</v>
      </c>
      <c r="EH392" s="408">
        <v>0</v>
      </c>
      <c r="EI392" s="408">
        <v>0</v>
      </c>
      <c r="EJ392" s="408">
        <v>0</v>
      </c>
      <c r="EK392" s="408">
        <v>0</v>
      </c>
      <c r="EL392" s="408">
        <v>0</v>
      </c>
      <c r="EM392" s="408">
        <v>0</v>
      </c>
      <c r="EN392" s="408">
        <v>0</v>
      </c>
      <c r="EO392" s="408">
        <v>0</v>
      </c>
      <c r="EP392" s="408">
        <v>0</v>
      </c>
      <c r="EQ392" s="408">
        <v>0</v>
      </c>
      <c r="ER392" s="408">
        <v>0</v>
      </c>
      <c r="ES392" s="408">
        <v>0</v>
      </c>
      <c r="ET392" s="408">
        <v>0</v>
      </c>
      <c r="EU392" s="408">
        <v>0</v>
      </c>
      <c r="EV392" s="408">
        <v>238</v>
      </c>
      <c r="EW392" s="408">
        <v>0</v>
      </c>
      <c r="EX392" s="408">
        <v>0</v>
      </c>
      <c r="EY392" s="408">
        <v>0</v>
      </c>
      <c r="EZ392" s="408"/>
      <c r="FA392" s="408">
        <v>0</v>
      </c>
      <c r="FB392" s="408"/>
      <c r="FC392" s="408"/>
      <c r="FD392" s="408"/>
      <c r="FE392" s="408"/>
      <c r="FF392" s="408">
        <v>0</v>
      </c>
      <c r="FG392" s="408">
        <v>0</v>
      </c>
      <c r="FH392" s="408">
        <v>0</v>
      </c>
      <c r="FI392" s="408">
        <v>0</v>
      </c>
    </row>
    <row r="393" spans="1:165">
      <c r="A393" s="408">
        <v>397</v>
      </c>
      <c r="B393" s="408" t="s">
        <v>2238</v>
      </c>
      <c r="C393" s="408" t="s">
        <v>2243</v>
      </c>
      <c r="D393" s="408" t="s">
        <v>597</v>
      </c>
      <c r="E393" s="408" t="s">
        <v>974</v>
      </c>
      <c r="F393" s="408" t="s">
        <v>2252</v>
      </c>
      <c r="G393" s="408" t="s">
        <v>1322</v>
      </c>
      <c r="H393" s="408" t="s">
        <v>1322</v>
      </c>
      <c r="I393" s="408" t="s">
        <v>973</v>
      </c>
      <c r="J393" s="408" t="s">
        <v>2236</v>
      </c>
      <c r="K393" s="824">
        <v>44562</v>
      </c>
      <c r="L393" s="408">
        <v>0</v>
      </c>
      <c r="M393" s="408">
        <v>0</v>
      </c>
      <c r="N393" s="408">
        <v>2.2450000000000001</v>
      </c>
      <c r="O393" s="408">
        <v>2.1551999999999998</v>
      </c>
      <c r="P393" s="408">
        <v>2.2450000000000001</v>
      </c>
      <c r="Q393" s="408">
        <v>2.1551999999999998</v>
      </c>
      <c r="R393" s="408"/>
      <c r="S393" s="408">
        <v>1614.19</v>
      </c>
      <c r="T393" s="408">
        <v>209.4</v>
      </c>
      <c r="U393" s="408"/>
      <c r="V393" s="408">
        <v>4093.9595500000005</v>
      </c>
      <c r="W393" s="408">
        <v>4093.9595500000005</v>
      </c>
      <c r="X393" s="408">
        <v>2721.27675</v>
      </c>
      <c r="Y393" s="408">
        <v>0</v>
      </c>
      <c r="Z393" s="408">
        <v>120.19276398807216</v>
      </c>
      <c r="AA393" s="408">
        <v>0</v>
      </c>
      <c r="AB393" s="408">
        <v>0</v>
      </c>
      <c r="AC393" s="408">
        <v>0</v>
      </c>
      <c r="AD393" s="408">
        <v>699.13338832227339</v>
      </c>
      <c r="AE393" s="408">
        <v>2610.5682032395985</v>
      </c>
      <c r="AF393" s="408">
        <v>463.93092430085113</v>
      </c>
      <c r="AG393" s="408">
        <v>6.1804063446019262</v>
      </c>
      <c r="AH393" s="408">
        <v>0</v>
      </c>
      <c r="AI393" s="408">
        <v>0</v>
      </c>
      <c r="AJ393" s="408">
        <v>0</v>
      </c>
      <c r="AK393" s="408">
        <v>0</v>
      </c>
      <c r="AL393" s="408">
        <v>21.349055693304773</v>
      </c>
      <c r="AM393" s="408"/>
      <c r="AN393" s="408">
        <v>2.9810104726007296</v>
      </c>
      <c r="AO393" s="408">
        <v>54.317607461853612</v>
      </c>
      <c r="AP393" s="408">
        <v>80.906890108083871</v>
      </c>
      <c r="AQ393" s="408">
        <v>0</v>
      </c>
      <c r="AR393" s="408">
        <v>0</v>
      </c>
      <c r="AS393" s="408">
        <v>0</v>
      </c>
      <c r="AT393" s="408">
        <v>0</v>
      </c>
      <c r="AU393" s="408">
        <v>0</v>
      </c>
      <c r="AV393" s="408">
        <v>0</v>
      </c>
      <c r="AW393" s="408">
        <v>0</v>
      </c>
      <c r="AX393" s="408">
        <v>0</v>
      </c>
      <c r="AY393" s="408">
        <v>0</v>
      </c>
      <c r="AZ393" s="408">
        <v>0</v>
      </c>
      <c r="BA393" s="408"/>
      <c r="BB393" s="408">
        <v>0</v>
      </c>
      <c r="BC393" s="408">
        <v>0</v>
      </c>
      <c r="BD393" s="408">
        <v>0</v>
      </c>
      <c r="BE393" s="408">
        <v>0</v>
      </c>
      <c r="BF393" s="408">
        <v>0</v>
      </c>
      <c r="BG393" s="408">
        <v>34.403359630940251</v>
      </c>
      <c r="BH393" s="408">
        <v>0</v>
      </c>
      <c r="BI393" s="408">
        <v>0</v>
      </c>
      <c r="BJ393" s="408">
        <v>0</v>
      </c>
      <c r="BK393" s="408">
        <v>0</v>
      </c>
      <c r="BL393" s="408">
        <v>0</v>
      </c>
      <c r="BM393" s="408"/>
      <c r="BN393" s="408"/>
      <c r="BO393" s="408"/>
      <c r="BP393" s="408"/>
      <c r="BQ393" s="408"/>
      <c r="BR393" s="408">
        <v>108.85107000000039</v>
      </c>
      <c r="BS393" s="408"/>
      <c r="BT393" s="408"/>
      <c r="BU393" s="408"/>
      <c r="BV393" s="408">
        <v>498.33428393179139</v>
      </c>
      <c r="BW393" s="408"/>
      <c r="BX393" s="408"/>
      <c r="BY393" s="408"/>
      <c r="BZ393" s="408"/>
      <c r="CA393" s="408"/>
      <c r="CB393" s="408"/>
      <c r="CC393" s="408"/>
      <c r="CD393" s="408"/>
      <c r="CE393" s="408"/>
      <c r="CF393" s="408"/>
      <c r="CG393" s="408"/>
      <c r="CH393" s="408"/>
      <c r="CI393" s="408">
        <v>2618.2439999999997</v>
      </c>
      <c r="CJ393" s="408">
        <v>-1311.9871680000006</v>
      </c>
      <c r="CK393" s="408"/>
      <c r="CL393" s="408"/>
      <c r="CM393" s="408"/>
      <c r="CN393" s="408"/>
      <c r="CO393" s="408">
        <v>-1423.9361500000002</v>
      </c>
      <c r="CP393" s="408">
        <v>51.253349999999969</v>
      </c>
      <c r="CQ393" s="408">
        <v>31</v>
      </c>
      <c r="CR393" s="408">
        <v>91.80562311532708</v>
      </c>
      <c r="CS393" s="408">
        <v>6.5578750408218625</v>
      </c>
      <c r="CT393" s="408">
        <v>9.7680531242645543</v>
      </c>
      <c r="CU393" s="408">
        <v>0</v>
      </c>
      <c r="CV393" s="408">
        <v>0</v>
      </c>
      <c r="CW393" s="408">
        <v>0</v>
      </c>
      <c r="CX393" s="408">
        <v>0</v>
      </c>
      <c r="CY393" s="408">
        <v>0</v>
      </c>
      <c r="CZ393" s="408">
        <v>22.919296753702156</v>
      </c>
      <c r="DA393" s="408">
        <v>0</v>
      </c>
      <c r="DB393" s="408">
        <v>0</v>
      </c>
      <c r="DC393" s="408">
        <v>51.237823863678216</v>
      </c>
      <c r="DD393" s="408">
        <v>0</v>
      </c>
      <c r="DE393" s="408">
        <v>0</v>
      </c>
      <c r="DF393" s="408">
        <v>0</v>
      </c>
      <c r="DG393" s="408">
        <v>3.7996028907651578</v>
      </c>
      <c r="DH393" s="408">
        <v>0</v>
      </c>
      <c r="DI393" s="408">
        <v>-2.0952150257128466</v>
      </c>
      <c r="DJ393" s="408"/>
      <c r="DK393" s="408">
        <v>0</v>
      </c>
      <c r="DL393" s="408">
        <v>0</v>
      </c>
      <c r="DM393" s="408">
        <v>0</v>
      </c>
      <c r="DN393" s="408">
        <v>0</v>
      </c>
      <c r="DO393" s="408">
        <v>-0.31289116378037107</v>
      </c>
      <c r="DP393" s="408">
        <v>-6.8922368411483692E-2</v>
      </c>
      <c r="DQ393" s="408">
        <v>0</v>
      </c>
      <c r="DR393" s="408">
        <v>0</v>
      </c>
      <c r="DS393" s="408"/>
      <c r="DT393" s="408"/>
      <c r="DU393" s="408"/>
      <c r="DV393" s="408">
        <v>2610.5682032395985</v>
      </c>
      <c r="DW393" s="408">
        <v>0</v>
      </c>
      <c r="DX393" s="408">
        <v>0</v>
      </c>
      <c r="DY393" s="408">
        <v>-1423.9361500000005</v>
      </c>
      <c r="DZ393" s="408">
        <v>51.253350000000012</v>
      </c>
      <c r="EA393" s="408">
        <v>0</v>
      </c>
      <c r="EB393" s="408">
        <v>0</v>
      </c>
      <c r="EC393" s="408">
        <v>-1464.5018710642285</v>
      </c>
      <c r="ED393" s="408">
        <v>0</v>
      </c>
      <c r="EE393" s="408">
        <v>0</v>
      </c>
      <c r="EF393" s="408">
        <v>0</v>
      </c>
      <c r="EG393" s="408">
        <v>0</v>
      </c>
      <c r="EH393" s="408">
        <v>0</v>
      </c>
      <c r="EI393" s="408">
        <v>0</v>
      </c>
      <c r="EJ393" s="408">
        <v>0</v>
      </c>
      <c r="EK393" s="408">
        <v>0</v>
      </c>
      <c r="EL393" s="408">
        <v>0</v>
      </c>
      <c r="EM393" s="408">
        <v>0</v>
      </c>
      <c r="EN393" s="408">
        <v>0</v>
      </c>
      <c r="EO393" s="408">
        <v>0</v>
      </c>
      <c r="EP393" s="408">
        <v>0</v>
      </c>
      <c r="EQ393" s="408">
        <v>0</v>
      </c>
      <c r="ER393" s="408">
        <v>0</v>
      </c>
      <c r="ES393" s="408">
        <v>0</v>
      </c>
      <c r="ET393" s="408">
        <v>0</v>
      </c>
      <c r="EU393" s="408">
        <v>0</v>
      </c>
      <c r="EV393" s="408">
        <v>238</v>
      </c>
      <c r="EW393" s="408">
        <v>0</v>
      </c>
      <c r="EX393" s="408">
        <v>0</v>
      </c>
      <c r="EY393" s="408">
        <v>0</v>
      </c>
      <c r="EZ393" s="408"/>
      <c r="FA393" s="408">
        <v>0</v>
      </c>
      <c r="FB393" s="408"/>
      <c r="FC393" s="408"/>
      <c r="FD393" s="408"/>
      <c r="FE393" s="408"/>
      <c r="FF393" s="408">
        <v>0</v>
      </c>
      <c r="FG393" s="408">
        <v>0</v>
      </c>
      <c r="FH393" s="408">
        <v>0</v>
      </c>
      <c r="FI393" s="408">
        <v>0</v>
      </c>
    </row>
    <row r="394" spans="1:165">
      <c r="A394" s="408">
        <v>398</v>
      </c>
      <c r="B394" s="408" t="s">
        <v>1036</v>
      </c>
      <c r="C394" s="408" t="s">
        <v>2243</v>
      </c>
      <c r="D394" s="408" t="s">
        <v>597</v>
      </c>
      <c r="E394" s="408" t="s">
        <v>974</v>
      </c>
      <c r="F394" s="408" t="s">
        <v>2252</v>
      </c>
      <c r="G394" s="408" t="s">
        <v>1322</v>
      </c>
      <c r="H394" s="408" t="s">
        <v>1322</v>
      </c>
      <c r="I394" s="408" t="s">
        <v>2244</v>
      </c>
      <c r="J394" s="408" t="s">
        <v>2236</v>
      </c>
      <c r="K394" s="824">
        <v>44562</v>
      </c>
      <c r="L394" s="408">
        <v>0</v>
      </c>
      <c r="M394" s="408">
        <v>0</v>
      </c>
      <c r="N394" s="408">
        <v>2587.6770000000001</v>
      </c>
      <c r="O394" s="408">
        <v>2484.1699199999998</v>
      </c>
      <c r="P394" s="408">
        <v>2587.6770000000001</v>
      </c>
      <c r="Q394" s="408">
        <v>2484.1699199999998</v>
      </c>
      <c r="R394" s="408"/>
      <c r="S394" s="408">
        <v>79.7</v>
      </c>
      <c r="T394" s="408">
        <v>209.4</v>
      </c>
      <c r="U394" s="408"/>
      <c r="V394" s="408">
        <v>748097.42070000002</v>
      </c>
      <c r="W394" s="408">
        <v>748097.42070000002</v>
      </c>
      <c r="X394" s="408">
        <v>808700.81603999995</v>
      </c>
      <c r="Y394" s="408">
        <v>0</v>
      </c>
      <c r="Z394" s="408">
        <v>138538.99819080738</v>
      </c>
      <c r="AA394" s="408">
        <v>0</v>
      </c>
      <c r="AB394" s="408">
        <v>0</v>
      </c>
      <c r="AC394" s="408">
        <v>0</v>
      </c>
      <c r="AD394" s="408">
        <v>0</v>
      </c>
      <c r="AE394" s="408">
        <v>0</v>
      </c>
      <c r="AF394" s="408">
        <v>534745.38191628223</v>
      </c>
      <c r="AG394" s="408">
        <v>7123.7841196349564</v>
      </c>
      <c r="AH394" s="408">
        <v>0</v>
      </c>
      <c r="AI394" s="408">
        <v>0</v>
      </c>
      <c r="AJ394" s="408">
        <v>0</v>
      </c>
      <c r="AK394" s="408">
        <v>0</v>
      </c>
      <c r="AL394" s="408">
        <v>24607.777456251144</v>
      </c>
      <c r="AM394" s="408"/>
      <c r="AN394" s="408">
        <v>3436.0321767073665</v>
      </c>
      <c r="AO394" s="408">
        <v>0</v>
      </c>
      <c r="AP394" s="408">
        <v>0</v>
      </c>
      <c r="AQ394" s="408">
        <v>0</v>
      </c>
      <c r="AR394" s="408">
        <v>0</v>
      </c>
      <c r="AS394" s="408">
        <v>0</v>
      </c>
      <c r="AT394" s="408">
        <v>0</v>
      </c>
      <c r="AU394" s="408">
        <v>0</v>
      </c>
      <c r="AV394" s="408">
        <v>0</v>
      </c>
      <c r="AW394" s="408">
        <v>0</v>
      </c>
      <c r="AX394" s="408">
        <v>0</v>
      </c>
      <c r="AY394" s="408">
        <v>0</v>
      </c>
      <c r="AZ394" s="408">
        <v>0</v>
      </c>
      <c r="BA394" s="408"/>
      <c r="BB394" s="408">
        <v>0</v>
      </c>
      <c r="BC394" s="408">
        <v>0</v>
      </c>
      <c r="BD394" s="408">
        <v>0</v>
      </c>
      <c r="BE394" s="408">
        <v>0</v>
      </c>
      <c r="BF394" s="408">
        <v>0</v>
      </c>
      <c r="BG394" s="408">
        <v>39654.691509894241</v>
      </c>
      <c r="BH394" s="408">
        <v>0</v>
      </c>
      <c r="BI394" s="408">
        <v>0</v>
      </c>
      <c r="BJ394" s="408">
        <v>0</v>
      </c>
      <c r="BK394" s="408">
        <v>0</v>
      </c>
      <c r="BL394" s="408">
        <v>0</v>
      </c>
      <c r="BM394" s="408"/>
      <c r="BN394" s="408"/>
      <c r="BO394" s="408"/>
      <c r="BP394" s="408"/>
      <c r="BQ394" s="408"/>
      <c r="BR394" s="408">
        <v>32348.032641600097</v>
      </c>
      <c r="BS394" s="408"/>
      <c r="BT394" s="408"/>
      <c r="BU394" s="408"/>
      <c r="BV394" s="408">
        <v>574400.07342617644</v>
      </c>
      <c r="BW394" s="408"/>
      <c r="BX394" s="408"/>
      <c r="BY394" s="408"/>
      <c r="BZ394" s="408"/>
      <c r="CA394" s="408"/>
      <c r="CB394" s="408"/>
      <c r="CC394" s="408"/>
      <c r="CD394" s="408"/>
      <c r="CE394" s="408"/>
      <c r="CF394" s="408"/>
      <c r="CG394" s="408"/>
      <c r="CH394" s="408"/>
      <c r="CI394" s="408">
        <v>776352.80839999998</v>
      </c>
      <c r="CJ394" s="408">
        <v>58179.254528000019</v>
      </c>
      <c r="CK394" s="408"/>
      <c r="CL394" s="408"/>
      <c r="CM394" s="408"/>
      <c r="CN394" s="408"/>
      <c r="CO394" s="408">
        <v>1526.729430000009</v>
      </c>
      <c r="CP394" s="408">
        <v>59076.66590999996</v>
      </c>
      <c r="CQ394" s="408">
        <v>31</v>
      </c>
      <c r="CR394" s="408">
        <v>60583.222059699008</v>
      </c>
      <c r="CS394" s="408">
        <v>0</v>
      </c>
      <c r="CT394" s="408">
        <v>0</v>
      </c>
      <c r="CU394" s="408">
        <v>0</v>
      </c>
      <c r="CV394" s="408">
        <v>0</v>
      </c>
      <c r="CW394" s="408">
        <v>0</v>
      </c>
      <c r="CX394" s="408">
        <v>0</v>
      </c>
      <c r="CY394" s="408">
        <v>0</v>
      </c>
      <c r="CZ394" s="408">
        <v>0</v>
      </c>
      <c r="DA394" s="408">
        <v>0</v>
      </c>
      <c r="DB394" s="408">
        <v>0</v>
      </c>
      <c r="DC394" s="408">
        <v>59058.769862846821</v>
      </c>
      <c r="DD394" s="408">
        <v>0</v>
      </c>
      <c r="DE394" s="408">
        <v>0</v>
      </c>
      <c r="DF394" s="408">
        <v>0</v>
      </c>
      <c r="DG394" s="408">
        <v>4379.574614506244</v>
      </c>
      <c r="DH394" s="408">
        <v>0</v>
      </c>
      <c r="DI394" s="408">
        <v>-2415.028833893768</v>
      </c>
      <c r="DJ394" s="408"/>
      <c r="DK394" s="408">
        <v>0</v>
      </c>
      <c r="DL394" s="408">
        <v>0</v>
      </c>
      <c r="DM394" s="408">
        <v>0</v>
      </c>
      <c r="DN394" s="408">
        <v>0</v>
      </c>
      <c r="DO394" s="408">
        <v>-360.65089889429873</v>
      </c>
      <c r="DP394" s="408">
        <v>-79.442684865889987</v>
      </c>
      <c r="DQ394" s="408">
        <v>0</v>
      </c>
      <c r="DR394" s="408">
        <v>0</v>
      </c>
      <c r="DS394" s="408"/>
      <c r="DT394" s="408"/>
      <c r="DU394" s="408"/>
      <c r="DV394" s="408">
        <v>0</v>
      </c>
      <c r="DW394" s="408">
        <v>0</v>
      </c>
      <c r="DX394" s="408">
        <v>0</v>
      </c>
      <c r="DY394" s="408">
        <v>1526.7294300000067</v>
      </c>
      <c r="DZ394" s="408">
        <v>59076.665909999982</v>
      </c>
      <c r="EA394" s="408">
        <v>0</v>
      </c>
      <c r="EB394" s="408">
        <v>0</v>
      </c>
      <c r="EC394" s="408">
        <v>0</v>
      </c>
      <c r="ED394" s="408">
        <v>0</v>
      </c>
      <c r="EE394" s="408">
        <v>0</v>
      </c>
      <c r="EF394" s="408">
        <v>0</v>
      </c>
      <c r="EG394" s="408">
        <v>0</v>
      </c>
      <c r="EH394" s="408">
        <v>0</v>
      </c>
      <c r="EI394" s="408">
        <v>0</v>
      </c>
      <c r="EJ394" s="408">
        <v>0</v>
      </c>
      <c r="EK394" s="408">
        <v>0</v>
      </c>
      <c r="EL394" s="408">
        <v>0</v>
      </c>
      <c r="EM394" s="408">
        <v>0</v>
      </c>
      <c r="EN394" s="408">
        <v>0</v>
      </c>
      <c r="EO394" s="408">
        <v>0</v>
      </c>
      <c r="EP394" s="408">
        <v>0</v>
      </c>
      <c r="EQ394" s="408">
        <v>0</v>
      </c>
      <c r="ER394" s="408">
        <v>0</v>
      </c>
      <c r="ES394" s="408">
        <v>0</v>
      </c>
      <c r="ET394" s="408">
        <v>0</v>
      </c>
      <c r="EU394" s="408">
        <v>0</v>
      </c>
      <c r="EV394" s="408">
        <v>238</v>
      </c>
      <c r="EW394" s="408">
        <v>0</v>
      </c>
      <c r="EX394" s="408">
        <v>0</v>
      </c>
      <c r="EY394" s="408">
        <v>0</v>
      </c>
      <c r="EZ394" s="408"/>
      <c r="FA394" s="408">
        <v>0</v>
      </c>
      <c r="FB394" s="408"/>
      <c r="FC394" s="408"/>
      <c r="FD394" s="408"/>
      <c r="FE394" s="408"/>
      <c r="FF394" s="408">
        <v>0</v>
      </c>
      <c r="FG394" s="408">
        <v>0</v>
      </c>
      <c r="FH394" s="408">
        <v>0</v>
      </c>
      <c r="FI394" s="408">
        <v>0</v>
      </c>
    </row>
    <row r="395" spans="1:165">
      <c r="A395" s="408">
        <v>399</v>
      </c>
      <c r="B395" s="408" t="s">
        <v>2238</v>
      </c>
      <c r="C395" s="408" t="s">
        <v>2243</v>
      </c>
      <c r="D395" s="408" t="s">
        <v>597</v>
      </c>
      <c r="E395" s="408" t="s">
        <v>974</v>
      </c>
      <c r="F395" s="408" t="s">
        <v>2252</v>
      </c>
      <c r="G395" s="408" t="s">
        <v>1322</v>
      </c>
      <c r="H395" s="408" t="s">
        <v>1322</v>
      </c>
      <c r="I395" s="408" t="s">
        <v>2244</v>
      </c>
      <c r="J395" s="408" t="s">
        <v>2236</v>
      </c>
      <c r="K395" s="824">
        <v>44562</v>
      </c>
      <c r="L395" s="408">
        <v>0</v>
      </c>
      <c r="M395" s="408">
        <v>0</v>
      </c>
      <c r="N395" s="408">
        <v>590.45600000000002</v>
      </c>
      <c r="O395" s="408">
        <v>566.83776</v>
      </c>
      <c r="P395" s="408">
        <v>590.45600000000002</v>
      </c>
      <c r="Q395" s="408">
        <v>566.83776</v>
      </c>
      <c r="R395" s="408"/>
      <c r="S395" s="408">
        <v>79.7</v>
      </c>
      <c r="T395" s="408">
        <v>209.4</v>
      </c>
      <c r="U395" s="408"/>
      <c r="V395" s="408">
        <v>170700.8296</v>
      </c>
      <c r="W395" s="408">
        <v>170700.8296</v>
      </c>
      <c r="X395" s="408">
        <v>184529.30911999999</v>
      </c>
      <c r="Y395" s="408">
        <v>0</v>
      </c>
      <c r="Z395" s="408">
        <v>31611.821226432574</v>
      </c>
      <c r="AA395" s="408">
        <v>0</v>
      </c>
      <c r="AB395" s="408">
        <v>0</v>
      </c>
      <c r="AC395" s="408">
        <v>0</v>
      </c>
      <c r="AD395" s="408">
        <v>0</v>
      </c>
      <c r="AE395" s="408">
        <v>0</v>
      </c>
      <c r="AF395" s="408">
        <v>122018.17275678547</v>
      </c>
      <c r="AG395" s="408">
        <v>1625.5046808945544</v>
      </c>
      <c r="AH395" s="408">
        <v>0</v>
      </c>
      <c r="AI395" s="408">
        <v>0</v>
      </c>
      <c r="AJ395" s="408">
        <v>0</v>
      </c>
      <c r="AK395" s="408">
        <v>0</v>
      </c>
      <c r="AL395" s="408">
        <v>5615.001348973703</v>
      </c>
      <c r="AM395" s="408"/>
      <c r="AN395" s="408">
        <v>784.03363902447052</v>
      </c>
      <c r="AO395" s="408">
        <v>0</v>
      </c>
      <c r="AP395" s="408">
        <v>0</v>
      </c>
      <c r="AQ395" s="408">
        <v>0</v>
      </c>
      <c r="AR395" s="408">
        <v>0</v>
      </c>
      <c r="AS395" s="408">
        <v>0</v>
      </c>
      <c r="AT395" s="408">
        <v>0</v>
      </c>
      <c r="AU395" s="408">
        <v>0</v>
      </c>
      <c r="AV395" s="408">
        <v>0</v>
      </c>
      <c r="AW395" s="408">
        <v>0</v>
      </c>
      <c r="AX395" s="408">
        <v>0</v>
      </c>
      <c r="AY395" s="408">
        <v>0</v>
      </c>
      <c r="AZ395" s="408">
        <v>0</v>
      </c>
      <c r="BA395" s="408"/>
      <c r="BB395" s="408">
        <v>0</v>
      </c>
      <c r="BC395" s="408">
        <v>0</v>
      </c>
      <c r="BD395" s="408">
        <v>0</v>
      </c>
      <c r="BE395" s="408">
        <v>0</v>
      </c>
      <c r="BF395" s="408">
        <v>0</v>
      </c>
      <c r="BG395" s="408">
        <v>9048.4053961008703</v>
      </c>
      <c r="BH395" s="408">
        <v>0</v>
      </c>
      <c r="BI395" s="408">
        <v>0</v>
      </c>
      <c r="BJ395" s="408">
        <v>0</v>
      </c>
      <c r="BK395" s="408">
        <v>0</v>
      </c>
      <c r="BL395" s="408">
        <v>0</v>
      </c>
      <c r="BM395" s="408"/>
      <c r="BN395" s="408"/>
      <c r="BO395" s="408"/>
      <c r="BP395" s="408"/>
      <c r="BQ395" s="408"/>
      <c r="BR395" s="408">
        <v>7381.1723648000043</v>
      </c>
      <c r="BS395" s="408"/>
      <c r="BT395" s="408"/>
      <c r="BU395" s="408"/>
      <c r="BV395" s="408">
        <v>131066.57815288634</v>
      </c>
      <c r="BW395" s="408"/>
      <c r="BX395" s="408"/>
      <c r="BY395" s="408"/>
      <c r="BZ395" s="408"/>
      <c r="CA395" s="408"/>
      <c r="CB395" s="408"/>
      <c r="CC395" s="408"/>
      <c r="CD395" s="408"/>
      <c r="CE395" s="408"/>
      <c r="CF395" s="408"/>
      <c r="CG395" s="408"/>
      <c r="CH395" s="408"/>
      <c r="CI395" s="408">
        <v>177148.83680000002</v>
      </c>
      <c r="CJ395" s="408">
        <v>13276.010383999994</v>
      </c>
      <c r="CK395" s="408"/>
      <c r="CL395" s="408"/>
      <c r="CM395" s="408"/>
      <c r="CN395" s="408"/>
      <c r="CO395" s="408">
        <v>348.36904000000203</v>
      </c>
      <c r="CP395" s="408">
        <v>13480.11047999999</v>
      </c>
      <c r="CQ395" s="408">
        <v>31</v>
      </c>
      <c r="CR395" s="408">
        <v>13823.876381975686</v>
      </c>
      <c r="CS395" s="408">
        <v>0</v>
      </c>
      <c r="CT395" s="408">
        <v>0</v>
      </c>
      <c r="CU395" s="408">
        <v>0</v>
      </c>
      <c r="CV395" s="408">
        <v>0</v>
      </c>
      <c r="CW395" s="408">
        <v>0</v>
      </c>
      <c r="CX395" s="408">
        <v>0</v>
      </c>
      <c r="CY395" s="408">
        <v>0</v>
      </c>
      <c r="CZ395" s="408">
        <v>0</v>
      </c>
      <c r="DA395" s="408">
        <v>0</v>
      </c>
      <c r="DB395" s="408">
        <v>0</v>
      </c>
      <c r="DC395" s="408">
        <v>13476.026960913994</v>
      </c>
      <c r="DD395" s="408">
        <v>0</v>
      </c>
      <c r="DE395" s="408">
        <v>0</v>
      </c>
      <c r="DF395" s="408">
        <v>0</v>
      </c>
      <c r="DG395" s="408">
        <v>999.33110221364586</v>
      </c>
      <c r="DH395" s="408">
        <v>0</v>
      </c>
      <c r="DI395" s="408">
        <v>-551.06115065581253</v>
      </c>
      <c r="DJ395" s="408"/>
      <c r="DK395" s="408">
        <v>0</v>
      </c>
      <c r="DL395" s="408">
        <v>0</v>
      </c>
      <c r="DM395" s="408">
        <v>0</v>
      </c>
      <c r="DN395" s="408">
        <v>0</v>
      </c>
      <c r="DO395" s="408">
        <v>-82.293302895814122</v>
      </c>
      <c r="DP395" s="408">
        <v>-18.127227600343417</v>
      </c>
      <c r="DQ395" s="408">
        <v>0</v>
      </c>
      <c r="DR395" s="408">
        <v>0</v>
      </c>
      <c r="DS395" s="408"/>
      <c r="DT395" s="408"/>
      <c r="DU395" s="408"/>
      <c r="DV395" s="408">
        <v>0</v>
      </c>
      <c r="DW395" s="408">
        <v>0</v>
      </c>
      <c r="DX395" s="408">
        <v>0</v>
      </c>
      <c r="DY395" s="408">
        <v>348.36904000000504</v>
      </c>
      <c r="DZ395" s="408">
        <v>13480.110479999988</v>
      </c>
      <c r="EA395" s="408">
        <v>0</v>
      </c>
      <c r="EB395" s="408">
        <v>0</v>
      </c>
      <c r="EC395" s="408">
        <v>0</v>
      </c>
      <c r="ED395" s="408">
        <v>0</v>
      </c>
      <c r="EE395" s="408">
        <v>0</v>
      </c>
      <c r="EF395" s="408">
        <v>0</v>
      </c>
      <c r="EG395" s="408">
        <v>0</v>
      </c>
      <c r="EH395" s="408">
        <v>0</v>
      </c>
      <c r="EI395" s="408">
        <v>0</v>
      </c>
      <c r="EJ395" s="408">
        <v>0</v>
      </c>
      <c r="EK395" s="408">
        <v>0</v>
      </c>
      <c r="EL395" s="408">
        <v>0</v>
      </c>
      <c r="EM395" s="408">
        <v>0</v>
      </c>
      <c r="EN395" s="408">
        <v>0</v>
      </c>
      <c r="EO395" s="408">
        <v>0</v>
      </c>
      <c r="EP395" s="408">
        <v>0</v>
      </c>
      <c r="EQ395" s="408">
        <v>0</v>
      </c>
      <c r="ER395" s="408">
        <v>0</v>
      </c>
      <c r="ES395" s="408">
        <v>0</v>
      </c>
      <c r="ET395" s="408">
        <v>0</v>
      </c>
      <c r="EU395" s="408">
        <v>0</v>
      </c>
      <c r="EV395" s="408">
        <v>238</v>
      </c>
      <c r="EW395" s="408">
        <v>0</v>
      </c>
      <c r="EX395" s="408">
        <v>0</v>
      </c>
      <c r="EY395" s="408">
        <v>0</v>
      </c>
      <c r="EZ395" s="408"/>
      <c r="FA395" s="408">
        <v>0</v>
      </c>
      <c r="FB395" s="408"/>
      <c r="FC395" s="408"/>
      <c r="FD395" s="408"/>
      <c r="FE395" s="408"/>
      <c r="FF395" s="408">
        <v>0</v>
      </c>
      <c r="FG395" s="408">
        <v>0</v>
      </c>
      <c r="FH395" s="408">
        <v>0</v>
      </c>
      <c r="FI395" s="408">
        <v>0</v>
      </c>
    </row>
    <row r="396" spans="1:165">
      <c r="A396" s="408">
        <v>400</v>
      </c>
      <c r="B396" s="408" t="s">
        <v>2238</v>
      </c>
      <c r="C396" s="408" t="s">
        <v>2243</v>
      </c>
      <c r="D396" s="408" t="s">
        <v>597</v>
      </c>
      <c r="E396" s="408" t="s">
        <v>974</v>
      </c>
      <c r="F396" s="408" t="s">
        <v>2252</v>
      </c>
      <c r="G396" s="408" t="s">
        <v>1322</v>
      </c>
      <c r="H396" s="408" t="s">
        <v>1322</v>
      </c>
      <c r="I396" s="408" t="s">
        <v>2244</v>
      </c>
      <c r="J396" s="408" t="s">
        <v>2236</v>
      </c>
      <c r="K396" s="824">
        <v>44562</v>
      </c>
      <c r="L396" s="408">
        <v>0</v>
      </c>
      <c r="M396" s="408">
        <v>0</v>
      </c>
      <c r="N396" s="408">
        <v>9.1</v>
      </c>
      <c r="O396" s="408">
        <v>8.7359999999999989</v>
      </c>
      <c r="P396" s="408">
        <v>9.1</v>
      </c>
      <c r="Q396" s="408">
        <v>8.7359999999999989</v>
      </c>
      <c r="R396" s="408"/>
      <c r="S396" s="408">
        <v>79.7</v>
      </c>
      <c r="T396" s="408">
        <v>209.4</v>
      </c>
      <c r="U396" s="408"/>
      <c r="V396" s="408">
        <v>2630.81</v>
      </c>
      <c r="W396" s="408">
        <v>2630.81</v>
      </c>
      <c r="X396" s="408">
        <v>2843.9319999999998</v>
      </c>
      <c r="Y396" s="408">
        <v>0</v>
      </c>
      <c r="Z396" s="408">
        <v>487.19561349285368</v>
      </c>
      <c r="AA396" s="408">
        <v>0</v>
      </c>
      <c r="AB396" s="408">
        <v>0</v>
      </c>
      <c r="AC396" s="408">
        <v>0</v>
      </c>
      <c r="AD396" s="408">
        <v>0</v>
      </c>
      <c r="AE396" s="408">
        <v>0</v>
      </c>
      <c r="AF396" s="408">
        <v>1880.5217866983276</v>
      </c>
      <c r="AG396" s="408">
        <v>25.051981174110253</v>
      </c>
      <c r="AH396" s="408">
        <v>0</v>
      </c>
      <c r="AI396" s="408">
        <v>0</v>
      </c>
      <c r="AJ396" s="408">
        <v>0</v>
      </c>
      <c r="AK396" s="408">
        <v>0</v>
      </c>
      <c r="AL396" s="408">
        <v>86.537374970634048</v>
      </c>
      <c r="AM396" s="408"/>
      <c r="AN396" s="408">
        <v>12.083383207423891</v>
      </c>
      <c r="AO396" s="408">
        <v>0</v>
      </c>
      <c r="AP396" s="408">
        <v>0</v>
      </c>
      <c r="AQ396" s="408">
        <v>0</v>
      </c>
      <c r="AR396" s="408">
        <v>0</v>
      </c>
      <c r="AS396" s="408">
        <v>0</v>
      </c>
      <c r="AT396" s="408">
        <v>0</v>
      </c>
      <c r="AU396" s="408">
        <v>0</v>
      </c>
      <c r="AV396" s="408">
        <v>0</v>
      </c>
      <c r="AW396" s="408">
        <v>0</v>
      </c>
      <c r="AX396" s="408">
        <v>0</v>
      </c>
      <c r="AY396" s="408">
        <v>0</v>
      </c>
      <c r="AZ396" s="408">
        <v>0</v>
      </c>
      <c r="BA396" s="408"/>
      <c r="BB396" s="408">
        <v>0</v>
      </c>
      <c r="BC396" s="408">
        <v>0</v>
      </c>
      <c r="BD396" s="408">
        <v>0</v>
      </c>
      <c r="BE396" s="408">
        <v>0</v>
      </c>
      <c r="BF396" s="408">
        <v>0</v>
      </c>
      <c r="BG396" s="408">
        <v>139.45237088710746</v>
      </c>
      <c r="BH396" s="408">
        <v>0</v>
      </c>
      <c r="BI396" s="408">
        <v>0</v>
      </c>
      <c r="BJ396" s="408">
        <v>0</v>
      </c>
      <c r="BK396" s="408">
        <v>0</v>
      </c>
      <c r="BL396" s="408">
        <v>0</v>
      </c>
      <c r="BM396" s="408"/>
      <c r="BN396" s="408"/>
      <c r="BO396" s="408"/>
      <c r="BP396" s="408"/>
      <c r="BQ396" s="408"/>
      <c r="BR396" s="408">
        <v>113.75728000000024</v>
      </c>
      <c r="BS396" s="408"/>
      <c r="BT396" s="408"/>
      <c r="BU396" s="408"/>
      <c r="BV396" s="408">
        <v>2019.974157585435</v>
      </c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>
        <v>2731.4248000000002</v>
      </c>
      <c r="CJ396" s="408">
        <v>205.81719999999996</v>
      </c>
      <c r="CK396" s="408"/>
      <c r="CL396" s="408"/>
      <c r="CM396" s="408"/>
      <c r="CN396" s="408"/>
      <c r="CO396" s="408">
        <v>5.3690000000000309</v>
      </c>
      <c r="CP396" s="408">
        <v>207.75299999999984</v>
      </c>
      <c r="CQ396" s="408">
        <v>31</v>
      </c>
      <c r="CR396" s="408">
        <v>213.05105727772843</v>
      </c>
      <c r="CS396" s="408">
        <v>0</v>
      </c>
      <c r="CT396" s="408">
        <v>0</v>
      </c>
      <c r="CU396" s="408">
        <v>0</v>
      </c>
      <c r="CV396" s="408">
        <v>0</v>
      </c>
      <c r="CW396" s="408">
        <v>0</v>
      </c>
      <c r="CX396" s="408">
        <v>0</v>
      </c>
      <c r="CY396" s="408">
        <v>0</v>
      </c>
      <c r="CZ396" s="408">
        <v>0</v>
      </c>
      <c r="DA396" s="408">
        <v>0</v>
      </c>
      <c r="DB396" s="408">
        <v>0</v>
      </c>
      <c r="DC396" s="408">
        <v>207.69006554987573</v>
      </c>
      <c r="DD396" s="408">
        <v>0</v>
      </c>
      <c r="DE396" s="408">
        <v>0</v>
      </c>
      <c r="DF396" s="408">
        <v>0</v>
      </c>
      <c r="DG396" s="408">
        <v>15.401508376820914</v>
      </c>
      <c r="DH396" s="408">
        <v>0</v>
      </c>
      <c r="DI396" s="408">
        <v>-8.4928537790587484</v>
      </c>
      <c r="DJ396" s="408"/>
      <c r="DK396" s="408">
        <v>0</v>
      </c>
      <c r="DL396" s="408">
        <v>0</v>
      </c>
      <c r="DM396" s="408">
        <v>0</v>
      </c>
      <c r="DN396" s="408">
        <v>0</v>
      </c>
      <c r="DO396" s="408">
        <v>-1.2682893498447072</v>
      </c>
      <c r="DP396" s="408">
        <v>-0.27937352006436633</v>
      </c>
      <c r="DQ396" s="408">
        <v>0</v>
      </c>
      <c r="DR396" s="408">
        <v>0</v>
      </c>
      <c r="DS396" s="408"/>
      <c r="DT396" s="408"/>
      <c r="DU396" s="408"/>
      <c r="DV396" s="408">
        <v>0</v>
      </c>
      <c r="DW396" s="408">
        <v>0</v>
      </c>
      <c r="DX396" s="408">
        <v>0</v>
      </c>
      <c r="DY396" s="408">
        <v>5.3690000000000282</v>
      </c>
      <c r="DZ396" s="408">
        <v>207.7529999999997</v>
      </c>
      <c r="EA396" s="408">
        <v>0</v>
      </c>
      <c r="EB396" s="408">
        <v>0</v>
      </c>
      <c r="EC396" s="408">
        <v>0</v>
      </c>
      <c r="ED396" s="408">
        <v>0</v>
      </c>
      <c r="EE396" s="408">
        <v>0</v>
      </c>
      <c r="EF396" s="408">
        <v>0</v>
      </c>
      <c r="EG396" s="408">
        <v>0</v>
      </c>
      <c r="EH396" s="408">
        <v>0</v>
      </c>
      <c r="EI396" s="408">
        <v>0</v>
      </c>
      <c r="EJ396" s="408">
        <v>0</v>
      </c>
      <c r="EK396" s="408">
        <v>0</v>
      </c>
      <c r="EL396" s="408">
        <v>0</v>
      </c>
      <c r="EM396" s="408">
        <v>0</v>
      </c>
      <c r="EN396" s="408">
        <v>0</v>
      </c>
      <c r="EO396" s="408">
        <v>0</v>
      </c>
      <c r="EP396" s="408">
        <v>0</v>
      </c>
      <c r="EQ396" s="408">
        <v>0</v>
      </c>
      <c r="ER396" s="408">
        <v>0</v>
      </c>
      <c r="ES396" s="408">
        <v>0</v>
      </c>
      <c r="ET396" s="408">
        <v>0</v>
      </c>
      <c r="EU396" s="408">
        <v>0</v>
      </c>
      <c r="EV396" s="408">
        <v>238</v>
      </c>
      <c r="EW396" s="408">
        <v>0</v>
      </c>
      <c r="EX396" s="408">
        <v>0</v>
      </c>
      <c r="EY396" s="408">
        <v>0</v>
      </c>
      <c r="EZ396" s="408"/>
      <c r="FA396" s="408">
        <v>0</v>
      </c>
      <c r="FB396" s="408"/>
      <c r="FC396" s="408"/>
      <c r="FD396" s="408"/>
      <c r="FE396" s="408"/>
      <c r="FF396" s="408">
        <v>0</v>
      </c>
      <c r="FG396" s="408">
        <v>0</v>
      </c>
      <c r="FH396" s="408">
        <v>0</v>
      </c>
      <c r="FI396" s="408">
        <v>0</v>
      </c>
    </row>
    <row r="397" spans="1:165">
      <c r="A397" s="408">
        <v>401</v>
      </c>
      <c r="B397" s="408" t="s">
        <v>1036</v>
      </c>
      <c r="C397" s="408" t="s">
        <v>2243</v>
      </c>
      <c r="D397" s="408" t="s">
        <v>597</v>
      </c>
      <c r="E397" s="408" t="s">
        <v>974</v>
      </c>
      <c r="F397" s="408" t="s">
        <v>2252</v>
      </c>
      <c r="G397" s="408" t="s">
        <v>1322</v>
      </c>
      <c r="H397" s="408" t="s">
        <v>1322</v>
      </c>
      <c r="I397" s="408" t="s">
        <v>1322</v>
      </c>
      <c r="J397" s="408" t="s">
        <v>2236</v>
      </c>
      <c r="K397" s="824">
        <v>44562</v>
      </c>
      <c r="L397" s="408">
        <v>30994</v>
      </c>
      <c r="M397" s="408">
        <v>29754.240000000002</v>
      </c>
      <c r="N397" s="408">
        <v>0</v>
      </c>
      <c r="O397" s="408">
        <v>0</v>
      </c>
      <c r="P397" s="408">
        <v>0</v>
      </c>
      <c r="Q397" s="408">
        <v>0</v>
      </c>
      <c r="R397" s="408">
        <v>44.35</v>
      </c>
      <c r="S397" s="408"/>
      <c r="T397" s="408"/>
      <c r="U397" s="408">
        <v>1374583.9000000001</v>
      </c>
      <c r="V397" s="408"/>
      <c r="W397" s="408">
        <v>1374583.9000000001</v>
      </c>
      <c r="X397" s="408">
        <v>897896.17999999993</v>
      </c>
      <c r="Y397" s="408">
        <v>0</v>
      </c>
      <c r="Z397" s="408">
        <v>0</v>
      </c>
      <c r="AA397" s="408">
        <v>0</v>
      </c>
      <c r="AB397" s="408">
        <v>0</v>
      </c>
      <c r="AC397" s="408">
        <v>0</v>
      </c>
      <c r="AD397" s="408">
        <v>406705.24194851576</v>
      </c>
      <c r="AE397" s="408">
        <v>890080.92778041144</v>
      </c>
      <c r="AF397" s="408"/>
      <c r="AG397" s="408"/>
      <c r="AH397" s="408"/>
      <c r="AI397" s="408">
        <v>0</v>
      </c>
      <c r="AJ397" s="408">
        <v>0</v>
      </c>
      <c r="AK397" s="408">
        <v>0</v>
      </c>
      <c r="AL397" s="408">
        <v>0</v>
      </c>
      <c r="AM397" s="408"/>
      <c r="AN397" s="408">
        <v>0</v>
      </c>
      <c r="AO397" s="408">
        <v>30737.391117340012</v>
      </c>
      <c r="AP397" s="408">
        <v>47026.929447292205</v>
      </c>
      <c r="AQ397" s="408">
        <v>0</v>
      </c>
      <c r="AR397" s="408">
        <v>0</v>
      </c>
      <c r="AS397" s="408"/>
      <c r="AT397" s="408"/>
      <c r="AU397" s="408">
        <v>0</v>
      </c>
      <c r="AV397" s="408">
        <v>0</v>
      </c>
      <c r="AW397" s="408">
        <v>0</v>
      </c>
      <c r="AX397" s="408"/>
      <c r="AY397" s="408"/>
      <c r="AZ397" s="408">
        <v>0</v>
      </c>
      <c r="BA397" s="408"/>
      <c r="BB397" s="408">
        <v>0</v>
      </c>
      <c r="BC397" s="408">
        <v>0</v>
      </c>
      <c r="BD397" s="408">
        <v>0</v>
      </c>
      <c r="BE397" s="408">
        <v>0</v>
      </c>
      <c r="BF397" s="408"/>
      <c r="BG397" s="408">
        <v>0</v>
      </c>
      <c r="BH397" s="408">
        <v>0</v>
      </c>
      <c r="BI397" s="408">
        <v>7206.82</v>
      </c>
      <c r="BJ397" s="408">
        <v>32948.089999999997</v>
      </c>
      <c r="BK397" s="408">
        <v>1736.21</v>
      </c>
      <c r="BL397" s="408">
        <v>125</v>
      </c>
      <c r="BM397" s="408"/>
      <c r="BN397" s="408"/>
      <c r="BO397" s="408"/>
      <c r="BP397" s="408"/>
      <c r="BQ397" s="408"/>
      <c r="BR397" s="408">
        <v>35915.847199999953</v>
      </c>
      <c r="BS397" s="408"/>
      <c r="BT397" s="408"/>
      <c r="BU397" s="408"/>
      <c r="BV397" s="408">
        <v>0</v>
      </c>
      <c r="BW397" s="408"/>
      <c r="BX397" s="408"/>
      <c r="BY397" s="408"/>
      <c r="BZ397" s="408"/>
      <c r="CA397" s="408"/>
      <c r="CB397" s="408"/>
      <c r="CC397" s="408"/>
      <c r="CD397" s="408"/>
      <c r="CE397" s="408"/>
      <c r="CF397" s="408"/>
      <c r="CG397" s="408"/>
      <c r="CH397" s="408"/>
      <c r="CI397" s="408">
        <v>861980.33279999997</v>
      </c>
      <c r="CJ397" s="408">
        <v>-457620.24120000028</v>
      </c>
      <c r="CK397" s="408"/>
      <c r="CL397" s="408"/>
      <c r="CM397" s="408"/>
      <c r="CN397" s="408"/>
      <c r="CO397" s="408">
        <v>-476687.72000000009</v>
      </c>
      <c r="CP397" s="408">
        <v>0</v>
      </c>
      <c r="CQ397" s="408">
        <v>31</v>
      </c>
      <c r="CR397" s="408">
        <v>22721.433582828497</v>
      </c>
      <c r="CS397" s="408">
        <v>3710.9876418976346</v>
      </c>
      <c r="CT397" s="408">
        <v>5677.6566803955211</v>
      </c>
      <c r="CU397" s="408">
        <v>0</v>
      </c>
      <c r="CV397" s="408">
        <v>0</v>
      </c>
      <c r="CW397" s="408"/>
      <c r="CX397" s="408"/>
      <c r="CY397" s="408"/>
      <c r="CZ397" s="408">
        <v>13332.789260535326</v>
      </c>
      <c r="DA397" s="408">
        <v>0</v>
      </c>
      <c r="DB397" s="408">
        <v>0</v>
      </c>
      <c r="DC397" s="408"/>
      <c r="DD397" s="408"/>
      <c r="DE397" s="408">
        <v>0</v>
      </c>
      <c r="DF397" s="408">
        <v>0</v>
      </c>
      <c r="DG397" s="408">
        <v>0</v>
      </c>
      <c r="DH397" s="408">
        <v>0</v>
      </c>
      <c r="DI397" s="408">
        <v>0</v>
      </c>
      <c r="DJ397" s="408"/>
      <c r="DK397" s="408">
        <v>0</v>
      </c>
      <c r="DL397" s="408">
        <v>0</v>
      </c>
      <c r="DM397" s="408"/>
      <c r="DN397" s="408">
        <v>0</v>
      </c>
      <c r="DO397" s="408">
        <v>0</v>
      </c>
      <c r="DP397" s="408">
        <v>0</v>
      </c>
      <c r="DQ397" s="408">
        <v>0</v>
      </c>
      <c r="DR397" s="408">
        <v>0</v>
      </c>
      <c r="DS397" s="408"/>
      <c r="DT397" s="408"/>
      <c r="DU397" s="408">
        <v>890080.92778041144</v>
      </c>
      <c r="DV397" s="408"/>
      <c r="DW397" s="408">
        <v>0</v>
      </c>
      <c r="DX397" s="408">
        <v>0</v>
      </c>
      <c r="DY397" s="408">
        <v>-476687.7200000002</v>
      </c>
      <c r="DZ397" s="408"/>
      <c r="EA397" s="408">
        <v>0</v>
      </c>
      <c r="EB397" s="408"/>
      <c r="EC397" s="408">
        <v>-499326.23193501547</v>
      </c>
      <c r="ED397" s="408"/>
      <c r="EE397" s="408">
        <v>0</v>
      </c>
      <c r="EF397" s="408">
        <v>0</v>
      </c>
      <c r="EG397" s="408"/>
      <c r="EH397" s="408">
        <v>0</v>
      </c>
      <c r="EI397" s="408">
        <v>0</v>
      </c>
      <c r="EJ397" s="408">
        <v>0</v>
      </c>
      <c r="EK397" s="408">
        <v>0</v>
      </c>
      <c r="EL397" s="408">
        <v>0</v>
      </c>
      <c r="EM397" s="408"/>
      <c r="EN397" s="408"/>
      <c r="EO397" s="408">
        <v>0</v>
      </c>
      <c r="EP397" s="408">
        <v>0</v>
      </c>
      <c r="EQ397" s="408"/>
      <c r="ER397" s="408">
        <v>0</v>
      </c>
      <c r="ES397" s="408"/>
      <c r="ET397" s="408">
        <v>0</v>
      </c>
      <c r="EU397" s="408"/>
      <c r="EV397" s="408">
        <v>238</v>
      </c>
      <c r="EW397" s="408"/>
      <c r="EX397" s="408"/>
      <c r="EY397" s="408"/>
      <c r="EZ397" s="408"/>
      <c r="FA397" s="408">
        <v>0</v>
      </c>
      <c r="FB397" s="408"/>
      <c r="FC397" s="408"/>
      <c r="FD397" s="408"/>
      <c r="FE397" s="408"/>
      <c r="FF397" s="408">
        <v>0</v>
      </c>
      <c r="FG397" s="408">
        <v>0</v>
      </c>
      <c r="FH397" s="408">
        <v>0</v>
      </c>
      <c r="FI397" s="408">
        <v>0</v>
      </c>
    </row>
    <row r="398" spans="1:165">
      <c r="A398" s="408">
        <v>402</v>
      </c>
      <c r="B398" s="408" t="s">
        <v>2238</v>
      </c>
      <c r="C398" s="408" t="s">
        <v>2243</v>
      </c>
      <c r="D398" s="408" t="s">
        <v>597</v>
      </c>
      <c r="E398" s="408" t="s">
        <v>974</v>
      </c>
      <c r="F398" s="408" t="s">
        <v>2252</v>
      </c>
      <c r="G398" s="408" t="s">
        <v>1322</v>
      </c>
      <c r="H398" s="408" t="s">
        <v>1322</v>
      </c>
      <c r="I398" s="408" t="s">
        <v>1322</v>
      </c>
      <c r="J398" s="408" t="s">
        <v>2236</v>
      </c>
      <c r="K398" s="824">
        <v>44562</v>
      </c>
      <c r="L398" s="408">
        <v>3927</v>
      </c>
      <c r="M398" s="408">
        <v>3769.92</v>
      </c>
      <c r="N398" s="408">
        <v>0</v>
      </c>
      <c r="O398" s="408">
        <v>0</v>
      </c>
      <c r="P398" s="408">
        <v>0</v>
      </c>
      <c r="Q398" s="408">
        <v>0</v>
      </c>
      <c r="R398" s="408">
        <v>44.35</v>
      </c>
      <c r="S398" s="408"/>
      <c r="T398" s="408"/>
      <c r="U398" s="408">
        <v>174162.45</v>
      </c>
      <c r="V398" s="408"/>
      <c r="W398" s="408">
        <v>174162.45</v>
      </c>
      <c r="X398" s="408">
        <v>113765.19</v>
      </c>
      <c r="Y398" s="408">
        <v>0</v>
      </c>
      <c r="Z398" s="408">
        <v>0</v>
      </c>
      <c r="AA398" s="408">
        <v>0</v>
      </c>
      <c r="AB398" s="408">
        <v>0</v>
      </c>
      <c r="AC398" s="408">
        <v>0</v>
      </c>
      <c r="AD398" s="408">
        <v>51530.344103110969</v>
      </c>
      <c r="AE398" s="408">
        <v>112774.98236412453</v>
      </c>
      <c r="AF398" s="408"/>
      <c r="AG398" s="408"/>
      <c r="AH398" s="408"/>
      <c r="AI398" s="408">
        <v>0</v>
      </c>
      <c r="AJ398" s="408">
        <v>0</v>
      </c>
      <c r="AK398" s="408">
        <v>0</v>
      </c>
      <c r="AL398" s="408">
        <v>0</v>
      </c>
      <c r="AM398" s="408"/>
      <c r="AN398" s="408">
        <v>0</v>
      </c>
      <c r="AO398" s="408">
        <v>3894.4871561526174</v>
      </c>
      <c r="AP398" s="408">
        <v>5958.4033019138051</v>
      </c>
      <c r="AQ398" s="408">
        <v>0</v>
      </c>
      <c r="AR398" s="408">
        <v>0</v>
      </c>
      <c r="AS398" s="408"/>
      <c r="AT398" s="408"/>
      <c r="AU398" s="408">
        <v>0</v>
      </c>
      <c r="AV398" s="408">
        <v>0</v>
      </c>
      <c r="AW398" s="408">
        <v>0</v>
      </c>
      <c r="AX398" s="408"/>
      <c r="AY398" s="408"/>
      <c r="AZ398" s="408">
        <v>0</v>
      </c>
      <c r="BA398" s="408"/>
      <c r="BB398" s="408">
        <v>0</v>
      </c>
      <c r="BC398" s="408">
        <v>0</v>
      </c>
      <c r="BD398" s="408">
        <v>0</v>
      </c>
      <c r="BE398" s="408">
        <v>0</v>
      </c>
      <c r="BF398" s="408"/>
      <c r="BG398" s="408">
        <v>0</v>
      </c>
      <c r="BH398" s="408">
        <v>0</v>
      </c>
      <c r="BI398" s="408">
        <v>728.21</v>
      </c>
      <c r="BJ398" s="408">
        <v>3329.43</v>
      </c>
      <c r="BK398" s="408">
        <v>5450.15</v>
      </c>
      <c r="BL398" s="408">
        <v>16</v>
      </c>
      <c r="BM398" s="408"/>
      <c r="BN398" s="408"/>
      <c r="BO398" s="408"/>
      <c r="BP398" s="408"/>
      <c r="BQ398" s="408"/>
      <c r="BR398" s="408">
        <v>4550.6075999999975</v>
      </c>
      <c r="BS398" s="408"/>
      <c r="BT398" s="408"/>
      <c r="BU398" s="408"/>
      <c r="BV398" s="408">
        <v>0</v>
      </c>
      <c r="BW398" s="408"/>
      <c r="BX398" s="408"/>
      <c r="BY398" s="408"/>
      <c r="BZ398" s="408"/>
      <c r="CA398" s="408"/>
      <c r="CB398" s="408"/>
      <c r="CC398" s="408"/>
      <c r="CD398" s="408"/>
      <c r="CE398" s="408"/>
      <c r="CF398" s="408"/>
      <c r="CG398" s="408"/>
      <c r="CH398" s="408"/>
      <c r="CI398" s="408">
        <v>109214.5824</v>
      </c>
      <c r="CJ398" s="408">
        <v>-57981.399600000048</v>
      </c>
      <c r="CK398" s="408"/>
      <c r="CL398" s="408"/>
      <c r="CM398" s="408"/>
      <c r="CN398" s="408"/>
      <c r="CO398" s="408">
        <v>-60397.260000000009</v>
      </c>
      <c r="CP398" s="408">
        <v>0</v>
      </c>
      <c r="CQ398" s="408">
        <v>31</v>
      </c>
      <c r="CR398" s="408">
        <v>2878.8497670441866</v>
      </c>
      <c r="CS398" s="408">
        <v>470.18934212208887</v>
      </c>
      <c r="CT398" s="408">
        <v>719.3701291834941</v>
      </c>
      <c r="CU398" s="408">
        <v>0</v>
      </c>
      <c r="CV398" s="408">
        <v>0</v>
      </c>
      <c r="CW398" s="408"/>
      <c r="CX398" s="408"/>
      <c r="CY398" s="408"/>
      <c r="CZ398" s="408">
        <v>1689.2902957386032</v>
      </c>
      <c r="DA398" s="408">
        <v>0</v>
      </c>
      <c r="DB398" s="408">
        <v>0</v>
      </c>
      <c r="DC398" s="408"/>
      <c r="DD398" s="408"/>
      <c r="DE398" s="408">
        <v>0</v>
      </c>
      <c r="DF398" s="408">
        <v>0</v>
      </c>
      <c r="DG398" s="408">
        <v>0</v>
      </c>
      <c r="DH398" s="408">
        <v>0</v>
      </c>
      <c r="DI398" s="408">
        <v>0</v>
      </c>
      <c r="DJ398" s="408"/>
      <c r="DK398" s="408">
        <v>0</v>
      </c>
      <c r="DL398" s="408">
        <v>0</v>
      </c>
      <c r="DM398" s="408"/>
      <c r="DN398" s="408">
        <v>0</v>
      </c>
      <c r="DO398" s="408">
        <v>0</v>
      </c>
      <c r="DP398" s="408">
        <v>0</v>
      </c>
      <c r="DQ398" s="408">
        <v>0</v>
      </c>
      <c r="DR398" s="408">
        <v>0</v>
      </c>
      <c r="DS398" s="408"/>
      <c r="DT398" s="408"/>
      <c r="DU398" s="408">
        <v>112774.98236412453</v>
      </c>
      <c r="DV398" s="408"/>
      <c r="DW398" s="408">
        <v>0</v>
      </c>
      <c r="DX398" s="408">
        <v>0</v>
      </c>
      <c r="DY398" s="408">
        <v>-60397.260000000009</v>
      </c>
      <c r="DZ398" s="408"/>
      <c r="EA398" s="408">
        <v>0</v>
      </c>
      <c r="EB398" s="408"/>
      <c r="EC398" s="408">
        <v>-63265.603433206612</v>
      </c>
      <c r="ED398" s="408"/>
      <c r="EE398" s="408">
        <v>0</v>
      </c>
      <c r="EF398" s="408">
        <v>0</v>
      </c>
      <c r="EG398" s="408"/>
      <c r="EH398" s="408">
        <v>0</v>
      </c>
      <c r="EI398" s="408">
        <v>0</v>
      </c>
      <c r="EJ398" s="408">
        <v>0</v>
      </c>
      <c r="EK398" s="408">
        <v>0</v>
      </c>
      <c r="EL398" s="408">
        <v>0</v>
      </c>
      <c r="EM398" s="408"/>
      <c r="EN398" s="408"/>
      <c r="EO398" s="408">
        <v>0</v>
      </c>
      <c r="EP398" s="408">
        <v>0</v>
      </c>
      <c r="EQ398" s="408"/>
      <c r="ER398" s="408">
        <v>0</v>
      </c>
      <c r="ES398" s="408"/>
      <c r="ET398" s="408">
        <v>0</v>
      </c>
      <c r="EU398" s="408"/>
      <c r="EV398" s="408">
        <v>238</v>
      </c>
      <c r="EW398" s="408"/>
      <c r="EX398" s="408"/>
      <c r="EY398" s="408"/>
      <c r="EZ398" s="408"/>
      <c r="FA398" s="408">
        <v>0</v>
      </c>
      <c r="FB398" s="408"/>
      <c r="FC398" s="408"/>
      <c r="FD398" s="408"/>
      <c r="FE398" s="408"/>
      <c r="FF398" s="408">
        <v>0</v>
      </c>
      <c r="FG398" s="408">
        <v>0</v>
      </c>
      <c r="FH398" s="408">
        <v>0</v>
      </c>
      <c r="FI398" s="408">
        <v>0</v>
      </c>
    </row>
    <row r="399" spans="1:165">
      <c r="A399" s="408">
        <v>403</v>
      </c>
      <c r="B399" s="408" t="s">
        <v>2238</v>
      </c>
      <c r="C399" s="408" t="s">
        <v>2243</v>
      </c>
      <c r="D399" s="408" t="s">
        <v>597</v>
      </c>
      <c r="E399" s="408" t="s">
        <v>974</v>
      </c>
      <c r="F399" s="408" t="s">
        <v>2252</v>
      </c>
      <c r="G399" s="408" t="s">
        <v>2253</v>
      </c>
      <c r="H399" s="408" t="s">
        <v>1322</v>
      </c>
      <c r="I399" s="408" t="s">
        <v>1322</v>
      </c>
      <c r="J399" s="408" t="s">
        <v>2236</v>
      </c>
      <c r="K399" s="824">
        <v>44562</v>
      </c>
      <c r="L399" s="408">
        <v>0</v>
      </c>
      <c r="M399" s="408">
        <v>0</v>
      </c>
      <c r="N399" s="408">
        <v>0</v>
      </c>
      <c r="O399" s="408">
        <v>0</v>
      </c>
      <c r="P399" s="408">
        <v>0</v>
      </c>
      <c r="Q399" s="408">
        <v>0</v>
      </c>
      <c r="R399" s="408"/>
      <c r="S399" s="408"/>
      <c r="T399" s="408"/>
      <c r="U399" s="408"/>
      <c r="V399" s="408"/>
      <c r="W399" s="408"/>
      <c r="X399" s="408"/>
      <c r="Y399" s="408"/>
      <c r="Z399" s="408"/>
      <c r="AA399" s="408">
        <v>0</v>
      </c>
      <c r="AB399" s="408"/>
      <c r="AC399" s="408"/>
      <c r="AD399" s="408"/>
      <c r="AE399" s="408"/>
      <c r="AF399" s="408"/>
      <c r="AG399" s="408"/>
      <c r="AH399" s="408"/>
      <c r="AI399" s="408"/>
      <c r="AJ399" s="408"/>
      <c r="AK399" s="408"/>
      <c r="AL399" s="408"/>
      <c r="AM399" s="408"/>
      <c r="AN399" s="408"/>
      <c r="AO399" s="408"/>
      <c r="AP399" s="408"/>
      <c r="AQ399" s="408"/>
      <c r="AR399" s="408"/>
      <c r="AS399" s="408"/>
      <c r="AT399" s="408"/>
      <c r="AU399" s="408"/>
      <c r="AV399" s="408"/>
      <c r="AW399" s="408"/>
      <c r="AX399" s="408"/>
      <c r="AY399" s="408"/>
      <c r="AZ399" s="408">
        <v>0</v>
      </c>
      <c r="BA399" s="408"/>
      <c r="BB399" s="408"/>
      <c r="BC399" s="408"/>
      <c r="BD399" s="408"/>
      <c r="BE399" s="408"/>
      <c r="BF399" s="408"/>
      <c r="BG399" s="408"/>
      <c r="BH399" s="408"/>
      <c r="BI399" s="408">
        <v>-25.83</v>
      </c>
      <c r="BJ399" s="408">
        <v>-118.78</v>
      </c>
      <c r="BK399" s="408">
        <v>118</v>
      </c>
      <c r="BL399" s="408">
        <v>2</v>
      </c>
      <c r="BM399" s="408"/>
      <c r="BN399" s="408"/>
      <c r="BO399" s="408"/>
      <c r="BP399" s="408"/>
      <c r="BQ399" s="408"/>
      <c r="BR399" s="408"/>
      <c r="BS399" s="408"/>
      <c r="BT399" s="408"/>
      <c r="BU399" s="408"/>
      <c r="BV399" s="408"/>
      <c r="BW399" s="408"/>
      <c r="BX399" s="408"/>
      <c r="BY399" s="408"/>
      <c r="BZ399" s="408"/>
      <c r="CA399" s="408"/>
      <c r="CB399" s="408"/>
      <c r="CC399" s="408"/>
      <c r="CD399" s="408"/>
      <c r="CE399" s="408"/>
      <c r="CF399" s="408"/>
      <c r="CG399" s="408"/>
      <c r="CH399" s="408"/>
      <c r="CI399" s="408"/>
      <c r="CJ399" s="408">
        <v>-0.03</v>
      </c>
      <c r="CK399" s="408"/>
      <c r="CL399" s="408"/>
      <c r="CM399" s="408"/>
      <c r="CN399" s="408"/>
      <c r="CO399" s="408">
        <v>0</v>
      </c>
      <c r="CP399" s="408">
        <v>0</v>
      </c>
      <c r="CQ399" s="408">
        <v>31</v>
      </c>
      <c r="CR399" s="408"/>
      <c r="CS399" s="408"/>
      <c r="CT399" s="408"/>
      <c r="CU399" s="408"/>
      <c r="CV399" s="408"/>
      <c r="CW399" s="408"/>
      <c r="CX399" s="408"/>
      <c r="CY399" s="408"/>
      <c r="CZ399" s="408"/>
      <c r="DA399" s="408"/>
      <c r="DB399" s="408"/>
      <c r="DC399" s="408"/>
      <c r="DD399" s="408"/>
      <c r="DE399" s="408"/>
      <c r="DF399" s="408"/>
      <c r="DG399" s="408"/>
      <c r="DH399" s="408"/>
      <c r="DI399" s="408"/>
      <c r="DJ399" s="408"/>
      <c r="DK399" s="408">
        <v>0</v>
      </c>
      <c r="DL399" s="408"/>
      <c r="DM399" s="408"/>
      <c r="DN399" s="408"/>
      <c r="DO399" s="408"/>
      <c r="DP399" s="408"/>
      <c r="DQ399" s="408"/>
      <c r="DR399" s="408"/>
      <c r="DS399" s="408"/>
      <c r="DT399" s="408"/>
      <c r="DU399" s="408"/>
      <c r="DV399" s="408"/>
      <c r="DW399" s="408"/>
      <c r="DX399" s="408"/>
      <c r="DY399" s="408"/>
      <c r="DZ399" s="408"/>
      <c r="EA399" s="408"/>
      <c r="EB399" s="408"/>
      <c r="EC399" s="408"/>
      <c r="ED399" s="408"/>
      <c r="EE399" s="408"/>
      <c r="EF399" s="408"/>
      <c r="EG399" s="408"/>
      <c r="EH399" s="408"/>
      <c r="EI399" s="408"/>
      <c r="EJ399" s="408"/>
      <c r="EK399" s="408"/>
      <c r="EL399" s="408"/>
      <c r="EM399" s="408"/>
      <c r="EN399" s="408"/>
      <c r="EO399" s="408"/>
      <c r="EP399" s="408"/>
      <c r="EQ399" s="408"/>
      <c r="ER399" s="408"/>
      <c r="ES399" s="408"/>
      <c r="ET399" s="408"/>
      <c r="EU399" s="408"/>
      <c r="EV399" s="408">
        <v>238</v>
      </c>
      <c r="EW399" s="408"/>
      <c r="EX399" s="408"/>
      <c r="EY399" s="408"/>
      <c r="EZ399" s="408"/>
      <c r="FA399" s="408">
        <v>0</v>
      </c>
      <c r="FB399" s="408"/>
      <c r="FC399" s="408"/>
      <c r="FD399" s="408"/>
      <c r="FE399" s="408"/>
      <c r="FF399" s="408">
        <v>0</v>
      </c>
      <c r="FG399" s="408">
        <v>0</v>
      </c>
      <c r="FH399" s="408">
        <v>0</v>
      </c>
      <c r="FI399" s="408">
        <v>0</v>
      </c>
    </row>
    <row r="400" spans="1:165">
      <c r="A400" s="408">
        <v>404</v>
      </c>
      <c r="B400" s="408" t="s">
        <v>1036</v>
      </c>
      <c r="C400" s="408" t="s">
        <v>2243</v>
      </c>
      <c r="D400" s="408" t="s">
        <v>597</v>
      </c>
      <c r="E400" s="408" t="s">
        <v>974</v>
      </c>
      <c r="F400" s="408" t="s">
        <v>2252</v>
      </c>
      <c r="G400" s="408" t="s">
        <v>2254</v>
      </c>
      <c r="H400" s="408" t="s">
        <v>1322</v>
      </c>
      <c r="I400" s="408" t="s">
        <v>2244</v>
      </c>
      <c r="J400" s="408" t="s">
        <v>2236</v>
      </c>
      <c r="K400" s="824">
        <v>44562</v>
      </c>
      <c r="L400" s="408">
        <v>0</v>
      </c>
      <c r="M400" s="408">
        <v>0</v>
      </c>
      <c r="N400" s="408">
        <v>3047.645</v>
      </c>
      <c r="O400" s="408">
        <v>914.29349999999999</v>
      </c>
      <c r="P400" s="408">
        <v>3047.645</v>
      </c>
      <c r="Q400" s="408">
        <v>914.29349999999999</v>
      </c>
      <c r="R400" s="408"/>
      <c r="S400" s="408">
        <v>79.7</v>
      </c>
      <c r="T400" s="408">
        <v>209.4</v>
      </c>
      <c r="U400" s="408"/>
      <c r="V400" s="408">
        <v>881074.16950000008</v>
      </c>
      <c r="W400" s="408">
        <v>881074.16950000008</v>
      </c>
      <c r="X400" s="408">
        <v>952450.01540000003</v>
      </c>
      <c r="Y400" s="408">
        <v>0</v>
      </c>
      <c r="Z400" s="408">
        <v>163164.75554762947</v>
      </c>
      <c r="AA400" s="408">
        <v>0</v>
      </c>
      <c r="AB400" s="408">
        <v>0</v>
      </c>
      <c r="AC400" s="408">
        <v>0</v>
      </c>
      <c r="AD400" s="408">
        <v>0</v>
      </c>
      <c r="AE400" s="408">
        <v>0</v>
      </c>
      <c r="AF400" s="408">
        <v>629798.11215628835</v>
      </c>
      <c r="AG400" s="408">
        <v>8390.0599082825556</v>
      </c>
      <c r="AH400" s="408">
        <v>0</v>
      </c>
      <c r="AI400" s="408">
        <v>0</v>
      </c>
      <c r="AJ400" s="408">
        <v>0</v>
      </c>
      <c r="AK400" s="408">
        <v>0</v>
      </c>
      <c r="AL400" s="408">
        <v>28981.889905755823</v>
      </c>
      <c r="AM400" s="408"/>
      <c r="AN400" s="408">
        <v>4046.7980676032294</v>
      </c>
      <c r="AO400" s="408">
        <v>0</v>
      </c>
      <c r="AP400" s="408">
        <v>0</v>
      </c>
      <c r="AQ400" s="408">
        <v>0</v>
      </c>
      <c r="AR400" s="408">
        <v>0</v>
      </c>
      <c r="AS400" s="408">
        <v>0</v>
      </c>
      <c r="AT400" s="408">
        <v>0</v>
      </c>
      <c r="AU400" s="408">
        <v>0</v>
      </c>
      <c r="AV400" s="408">
        <v>0</v>
      </c>
      <c r="AW400" s="408">
        <v>0</v>
      </c>
      <c r="AX400" s="408">
        <v>0</v>
      </c>
      <c r="AY400" s="408">
        <v>0</v>
      </c>
      <c r="AZ400" s="408">
        <v>0</v>
      </c>
      <c r="BA400" s="408"/>
      <c r="BB400" s="408">
        <v>0</v>
      </c>
      <c r="BC400" s="408">
        <v>0</v>
      </c>
      <c r="BD400" s="408">
        <v>0</v>
      </c>
      <c r="BE400" s="408">
        <v>0</v>
      </c>
      <c r="BF400" s="408">
        <v>0</v>
      </c>
      <c r="BG400" s="408">
        <v>46703.441854092154</v>
      </c>
      <c r="BH400" s="408">
        <v>0</v>
      </c>
      <c r="BI400" s="408">
        <v>0</v>
      </c>
      <c r="BJ400" s="408">
        <v>0</v>
      </c>
      <c r="BK400" s="408">
        <v>0</v>
      </c>
      <c r="BL400" s="408">
        <v>0</v>
      </c>
      <c r="BM400" s="408"/>
      <c r="BN400" s="408"/>
      <c r="BO400" s="408"/>
      <c r="BP400" s="408"/>
      <c r="BQ400" s="408"/>
      <c r="BR400" s="408"/>
      <c r="BS400" s="408">
        <v>666715.0107799999</v>
      </c>
      <c r="BT400" s="408"/>
      <c r="BU400" s="408"/>
      <c r="BV400" s="408">
        <v>676501.55401038053</v>
      </c>
      <c r="BW400" s="408"/>
      <c r="BX400" s="408"/>
      <c r="BY400" s="408"/>
      <c r="BZ400" s="408"/>
      <c r="CA400" s="408"/>
      <c r="CB400" s="408"/>
      <c r="CC400" s="408"/>
      <c r="CD400" s="408"/>
      <c r="CE400" s="408"/>
      <c r="CF400" s="408"/>
      <c r="CG400" s="408"/>
      <c r="CH400" s="408"/>
      <c r="CI400" s="408">
        <v>285733.91080000001</v>
      </c>
      <c r="CJ400" s="408">
        <v>21411.629950000031</v>
      </c>
      <c r="CK400" s="408"/>
      <c r="CL400" s="408"/>
      <c r="CM400" s="408"/>
      <c r="CN400" s="408"/>
      <c r="CO400" s="408">
        <v>1798.1105500000103</v>
      </c>
      <c r="CP400" s="408">
        <v>69577.735349999944</v>
      </c>
      <c r="CQ400" s="408">
        <v>31</v>
      </c>
      <c r="CR400" s="408">
        <v>71352.086753536831</v>
      </c>
      <c r="CS400" s="408">
        <v>0</v>
      </c>
      <c r="CT400" s="408">
        <v>0</v>
      </c>
      <c r="CU400" s="408">
        <v>0</v>
      </c>
      <c r="CV400" s="408">
        <v>0</v>
      </c>
      <c r="CW400" s="408">
        <v>0</v>
      </c>
      <c r="CX400" s="408">
        <v>0</v>
      </c>
      <c r="CY400" s="408">
        <v>0</v>
      </c>
      <c r="CZ400" s="408">
        <v>0</v>
      </c>
      <c r="DA400" s="408">
        <v>0</v>
      </c>
      <c r="DB400" s="408">
        <v>0</v>
      </c>
      <c r="DC400" s="408">
        <v>69556.658222280443</v>
      </c>
      <c r="DD400" s="408">
        <v>0</v>
      </c>
      <c r="DE400" s="408">
        <v>0</v>
      </c>
      <c r="DF400" s="408">
        <v>0</v>
      </c>
      <c r="DG400" s="408">
        <v>5158.0582414369637</v>
      </c>
      <c r="DH400" s="408">
        <v>0</v>
      </c>
      <c r="DI400" s="408">
        <v>-2844.3080610416946</v>
      </c>
      <c r="DJ400" s="408"/>
      <c r="DK400" s="408">
        <v>0</v>
      </c>
      <c r="DL400" s="408">
        <v>0</v>
      </c>
      <c r="DM400" s="408">
        <v>0</v>
      </c>
      <c r="DN400" s="408">
        <v>0</v>
      </c>
      <c r="DO400" s="408">
        <v>-424.75776874807343</v>
      </c>
      <c r="DP400" s="408">
        <v>-93.5638803908314</v>
      </c>
      <c r="DQ400" s="408">
        <v>0</v>
      </c>
      <c r="DR400" s="408">
        <v>0</v>
      </c>
      <c r="DS400" s="408"/>
      <c r="DT400" s="408"/>
      <c r="DU400" s="408"/>
      <c r="DV400" s="408">
        <v>0</v>
      </c>
      <c r="DW400" s="408">
        <v>0</v>
      </c>
      <c r="DX400" s="408">
        <v>0</v>
      </c>
      <c r="DY400" s="408">
        <v>1798.1105500000122</v>
      </c>
      <c r="DZ400" s="408">
        <v>69577.735349999974</v>
      </c>
      <c r="EA400" s="408">
        <v>0</v>
      </c>
      <c r="EB400" s="408">
        <v>0</v>
      </c>
      <c r="EC400" s="408">
        <v>0</v>
      </c>
      <c r="ED400" s="408">
        <v>0</v>
      </c>
      <c r="EE400" s="408">
        <v>0</v>
      </c>
      <c r="EF400" s="408">
        <v>0</v>
      </c>
      <c r="EG400" s="408">
        <v>0</v>
      </c>
      <c r="EH400" s="408">
        <v>0</v>
      </c>
      <c r="EI400" s="408">
        <v>0</v>
      </c>
      <c r="EJ400" s="408">
        <v>0</v>
      </c>
      <c r="EK400" s="408">
        <v>0</v>
      </c>
      <c r="EL400" s="408">
        <v>0</v>
      </c>
      <c r="EM400" s="408">
        <v>0</v>
      </c>
      <c r="EN400" s="408">
        <v>0</v>
      </c>
      <c r="EO400" s="408">
        <v>0</v>
      </c>
      <c r="EP400" s="408">
        <v>0</v>
      </c>
      <c r="EQ400" s="408">
        <v>0</v>
      </c>
      <c r="ER400" s="408">
        <v>0</v>
      </c>
      <c r="ES400" s="408">
        <v>0</v>
      </c>
      <c r="ET400" s="408">
        <v>0</v>
      </c>
      <c r="EU400" s="408">
        <v>0</v>
      </c>
      <c r="EV400" s="408">
        <v>238</v>
      </c>
      <c r="EW400" s="408">
        <v>0</v>
      </c>
      <c r="EX400" s="408">
        <v>0</v>
      </c>
      <c r="EY400" s="408">
        <v>0</v>
      </c>
      <c r="EZ400" s="408"/>
      <c r="FA400" s="408">
        <v>0</v>
      </c>
      <c r="FB400" s="408"/>
      <c r="FC400" s="408"/>
      <c r="FD400" s="408"/>
      <c r="FE400" s="408"/>
      <c r="FF400" s="408">
        <v>0</v>
      </c>
      <c r="FG400" s="408">
        <v>0</v>
      </c>
      <c r="FH400" s="408">
        <v>0</v>
      </c>
      <c r="FI400" s="408">
        <v>0</v>
      </c>
    </row>
    <row r="401" spans="1:165">
      <c r="A401" s="408">
        <v>405</v>
      </c>
      <c r="B401" s="408" t="s">
        <v>1036</v>
      </c>
      <c r="C401" s="408" t="s">
        <v>2235</v>
      </c>
      <c r="D401" s="408" t="s">
        <v>1955</v>
      </c>
      <c r="E401" s="408" t="s">
        <v>969</v>
      </c>
      <c r="F401" s="408" t="s">
        <v>969</v>
      </c>
      <c r="G401" s="408" t="s">
        <v>1322</v>
      </c>
      <c r="H401" s="408" t="s">
        <v>1322</v>
      </c>
      <c r="I401" s="408" t="s">
        <v>1322</v>
      </c>
      <c r="J401" s="408" t="s">
        <v>2236</v>
      </c>
      <c r="K401" s="824">
        <v>44593</v>
      </c>
      <c r="L401" s="408">
        <v>0</v>
      </c>
      <c r="M401" s="408">
        <v>0</v>
      </c>
      <c r="N401" s="408">
        <v>2236.2600000000002</v>
      </c>
      <c r="O401" s="408">
        <v>2236.2600000000002</v>
      </c>
      <c r="P401" s="408">
        <v>2236.2600000000002</v>
      </c>
      <c r="Q401" s="408">
        <v>2236.2600000000002</v>
      </c>
      <c r="R401" s="408"/>
      <c r="S401" s="408">
        <v>581.32000000000005</v>
      </c>
      <c r="T401" s="408">
        <v>209.4</v>
      </c>
      <c r="U401" s="408"/>
      <c r="V401" s="408">
        <v>1768255.5072000003</v>
      </c>
      <c r="W401" s="408">
        <v>1768255.5072000003</v>
      </c>
      <c r="X401" s="408">
        <v>1350857.5782000001</v>
      </c>
      <c r="Y401" s="408">
        <v>0</v>
      </c>
      <c r="Z401" s="408">
        <v>137614.76097379415</v>
      </c>
      <c r="AA401" s="408">
        <v>0</v>
      </c>
      <c r="AB401" s="408">
        <v>0</v>
      </c>
      <c r="AC401" s="408">
        <v>0</v>
      </c>
      <c r="AD401" s="408">
        <v>165910.68946108813</v>
      </c>
      <c r="AE401" s="408">
        <v>861866.48276668647</v>
      </c>
      <c r="AF401" s="408">
        <v>462124.7967826376</v>
      </c>
      <c r="AG401" s="408">
        <v>6156.3454308149239</v>
      </c>
      <c r="AH401" s="408">
        <v>0</v>
      </c>
      <c r="AI401" s="408">
        <v>0</v>
      </c>
      <c r="AJ401" s="408">
        <v>0</v>
      </c>
      <c r="AK401" s="408">
        <v>0</v>
      </c>
      <c r="AL401" s="408">
        <v>21265.941774926385</v>
      </c>
      <c r="AM401" s="408"/>
      <c r="AN401" s="408">
        <v>4076.622180915469</v>
      </c>
      <c r="AO401" s="408">
        <v>12745.520878036124</v>
      </c>
      <c r="AP401" s="408">
        <v>19198.716923420401</v>
      </c>
      <c r="AQ401" s="408">
        <v>0</v>
      </c>
      <c r="AR401" s="408">
        <v>0</v>
      </c>
      <c r="AS401" s="408">
        <v>0</v>
      </c>
      <c r="AT401" s="408">
        <v>0</v>
      </c>
      <c r="AU401" s="408">
        <v>0</v>
      </c>
      <c r="AV401" s="408">
        <v>0</v>
      </c>
      <c r="AW401" s="408">
        <v>0</v>
      </c>
      <c r="AX401" s="408">
        <v>0</v>
      </c>
      <c r="AY401" s="408">
        <v>0</v>
      </c>
      <c r="AZ401" s="408">
        <v>0</v>
      </c>
      <c r="BA401" s="408"/>
      <c r="BB401" s="408">
        <v>0</v>
      </c>
      <c r="BC401" s="408">
        <v>0</v>
      </c>
      <c r="BD401" s="408">
        <v>0</v>
      </c>
      <c r="BE401" s="408">
        <v>0</v>
      </c>
      <c r="BF401" s="408">
        <v>0</v>
      </c>
      <c r="BG401" s="408">
        <v>77312.614604532326</v>
      </c>
      <c r="BH401" s="408">
        <v>0</v>
      </c>
      <c r="BI401" s="408">
        <v>4181.66</v>
      </c>
      <c r="BJ401" s="408">
        <v>19456.34</v>
      </c>
      <c r="BK401" s="408">
        <v>557518.79</v>
      </c>
      <c r="BL401" s="408">
        <v>9185</v>
      </c>
      <c r="BM401" s="408"/>
      <c r="BN401" s="408"/>
      <c r="BO401" s="408"/>
      <c r="BP401" s="408"/>
      <c r="BQ401" s="408"/>
      <c r="BR401" s="408"/>
      <c r="BS401" s="408"/>
      <c r="BT401" s="408"/>
      <c r="BU401" s="408"/>
      <c r="BV401" s="408">
        <v>539437.41138716997</v>
      </c>
      <c r="BW401" s="408"/>
      <c r="BX401" s="408"/>
      <c r="BY401" s="408"/>
      <c r="BZ401" s="408"/>
      <c r="CA401" s="408"/>
      <c r="CB401" s="408"/>
      <c r="CC401" s="408"/>
      <c r="CD401" s="408"/>
      <c r="CE401" s="408"/>
      <c r="CF401" s="408"/>
      <c r="CG401" s="408"/>
      <c r="CH401" s="408"/>
      <c r="CI401" s="408">
        <v>1350857.5782000001</v>
      </c>
      <c r="CJ401" s="408">
        <v>-417397.95900000026</v>
      </c>
      <c r="CK401" s="408"/>
      <c r="CL401" s="408"/>
      <c r="CM401" s="408"/>
      <c r="CN401" s="408"/>
      <c r="CO401" s="408">
        <v>-468451.74480000022</v>
      </c>
      <c r="CP401" s="408">
        <v>51053.815799999968</v>
      </c>
      <c r="CQ401" s="408">
        <v>29</v>
      </c>
      <c r="CR401" s="408">
        <v>66067.776311930851</v>
      </c>
      <c r="CS401" s="408">
        <v>1538.792615397293</v>
      </c>
      <c r="CT401" s="408">
        <v>2317.9000771770734</v>
      </c>
      <c r="CU401" s="408">
        <v>0</v>
      </c>
      <c r="CV401" s="408">
        <v>0</v>
      </c>
      <c r="CW401" s="408">
        <v>0</v>
      </c>
      <c r="CX401" s="408">
        <v>0</v>
      </c>
      <c r="CY401" s="408">
        <v>0</v>
      </c>
      <c r="CZ401" s="408">
        <v>5438.9568426920741</v>
      </c>
      <c r="DA401" s="408">
        <v>0</v>
      </c>
      <c r="DB401" s="408">
        <v>0</v>
      </c>
      <c r="DC401" s="408">
        <v>51038.350108413782</v>
      </c>
      <c r="DD401" s="408">
        <v>0</v>
      </c>
      <c r="DE401" s="408">
        <v>0</v>
      </c>
      <c r="DF401" s="408">
        <v>0</v>
      </c>
      <c r="DG401" s="408">
        <v>8538.6205619232496</v>
      </c>
      <c r="DH401" s="408">
        <v>0</v>
      </c>
      <c r="DI401" s="408">
        <v>-2398.9174171980412</v>
      </c>
      <c r="DJ401" s="408"/>
      <c r="DK401" s="408">
        <v>0</v>
      </c>
      <c r="DL401" s="408">
        <v>0</v>
      </c>
      <c r="DM401" s="408">
        <v>0</v>
      </c>
      <c r="DN401" s="408">
        <v>0</v>
      </c>
      <c r="DO401" s="408">
        <v>-311.67304851469453</v>
      </c>
      <c r="DP401" s="408">
        <v>-94.253427960044519</v>
      </c>
      <c r="DQ401" s="408">
        <v>0</v>
      </c>
      <c r="DR401" s="408">
        <v>0</v>
      </c>
      <c r="DS401" s="408"/>
      <c r="DT401" s="408"/>
      <c r="DU401" s="408"/>
      <c r="DV401" s="408">
        <v>861866.48276668647</v>
      </c>
      <c r="DW401" s="408">
        <v>0</v>
      </c>
      <c r="DX401" s="408">
        <v>0</v>
      </c>
      <c r="DY401" s="408">
        <v>-468451.74480000022</v>
      </c>
      <c r="DZ401" s="408">
        <v>51053.815799999982</v>
      </c>
      <c r="EA401" s="408">
        <v>0</v>
      </c>
      <c r="EB401" s="408">
        <v>0</v>
      </c>
      <c r="EC401" s="408">
        <v>-483498.21891380305</v>
      </c>
      <c r="ED401" s="408">
        <v>0</v>
      </c>
      <c r="EE401" s="408">
        <v>0</v>
      </c>
      <c r="EF401" s="408">
        <v>0</v>
      </c>
      <c r="EG401" s="408">
        <v>0</v>
      </c>
      <c r="EH401" s="408">
        <v>0</v>
      </c>
      <c r="EI401" s="408">
        <v>0</v>
      </c>
      <c r="EJ401" s="408">
        <v>0</v>
      </c>
      <c r="EK401" s="408">
        <v>0</v>
      </c>
      <c r="EL401" s="408">
        <v>0</v>
      </c>
      <c r="EM401" s="408">
        <v>0</v>
      </c>
      <c r="EN401" s="408">
        <v>0</v>
      </c>
      <c r="EO401" s="408">
        <v>0</v>
      </c>
      <c r="EP401" s="408">
        <v>0</v>
      </c>
      <c r="EQ401" s="408">
        <v>0</v>
      </c>
      <c r="ER401" s="408">
        <v>0</v>
      </c>
      <c r="ES401" s="408">
        <v>0</v>
      </c>
      <c r="ET401" s="408">
        <v>0</v>
      </c>
      <c r="EU401" s="408">
        <v>0</v>
      </c>
      <c r="EV401" s="408">
        <v>238</v>
      </c>
      <c r="EW401" s="408">
        <v>0</v>
      </c>
      <c r="EX401" s="408">
        <v>0</v>
      </c>
      <c r="EY401" s="408">
        <v>0</v>
      </c>
      <c r="EZ401" s="408"/>
      <c r="FA401" s="408">
        <v>0</v>
      </c>
      <c r="FB401" s="408"/>
      <c r="FC401" s="408"/>
      <c r="FD401" s="408"/>
      <c r="FE401" s="408"/>
      <c r="FF401" s="408">
        <v>0</v>
      </c>
      <c r="FG401" s="408">
        <v>0</v>
      </c>
      <c r="FH401" s="408">
        <v>0</v>
      </c>
      <c r="FI401" s="408">
        <v>0</v>
      </c>
    </row>
    <row r="402" spans="1:165">
      <c r="A402" s="408">
        <v>406</v>
      </c>
      <c r="B402" s="408" t="s">
        <v>2237</v>
      </c>
      <c r="C402" s="408" t="s">
        <v>2235</v>
      </c>
      <c r="D402" s="408" t="s">
        <v>1955</v>
      </c>
      <c r="E402" s="408" t="s">
        <v>969</v>
      </c>
      <c r="F402" s="408" t="s">
        <v>969</v>
      </c>
      <c r="G402" s="408" t="s">
        <v>1322</v>
      </c>
      <c r="H402" s="408" t="s">
        <v>1322</v>
      </c>
      <c r="I402" s="408" t="s">
        <v>1322</v>
      </c>
      <c r="J402" s="408" t="s">
        <v>2236</v>
      </c>
      <c r="K402" s="824">
        <v>44593</v>
      </c>
      <c r="L402" s="408">
        <v>0</v>
      </c>
      <c r="M402" s="408">
        <v>0</v>
      </c>
      <c r="N402" s="408">
        <v>-0.32</v>
      </c>
      <c r="O402" s="408">
        <v>-0.32</v>
      </c>
      <c r="P402" s="408">
        <v>-0.32</v>
      </c>
      <c r="Q402" s="408">
        <v>-0.32</v>
      </c>
      <c r="R402" s="408"/>
      <c r="S402" s="408">
        <v>581.32000000000005</v>
      </c>
      <c r="T402" s="408">
        <v>209.4</v>
      </c>
      <c r="U402" s="408"/>
      <c r="V402" s="408">
        <v>-253.03040000000004</v>
      </c>
      <c r="W402" s="408">
        <v>-253.03040000000004</v>
      </c>
      <c r="X402" s="408">
        <v>-193.30239999999998</v>
      </c>
      <c r="Y402" s="408">
        <v>0</v>
      </c>
      <c r="Z402" s="408">
        <v>-19.692130392536704</v>
      </c>
      <c r="AA402" s="408">
        <v>0</v>
      </c>
      <c r="AB402" s="408">
        <v>0</v>
      </c>
      <c r="AC402" s="408">
        <v>0</v>
      </c>
      <c r="AD402" s="408">
        <v>-23.74116633466064</v>
      </c>
      <c r="AE402" s="408">
        <v>-123.32969980473632</v>
      </c>
      <c r="AF402" s="408">
        <v>-66.128238653128008</v>
      </c>
      <c r="AG402" s="408">
        <v>-0.8809487885401408</v>
      </c>
      <c r="AH402" s="408">
        <v>0</v>
      </c>
      <c r="AI402" s="408">
        <v>0</v>
      </c>
      <c r="AJ402" s="408">
        <v>0</v>
      </c>
      <c r="AK402" s="408">
        <v>0</v>
      </c>
      <c r="AL402" s="408">
        <v>-3.0430725264398788</v>
      </c>
      <c r="AM402" s="408"/>
      <c r="AN402" s="408">
        <v>-0.58334858106523846</v>
      </c>
      <c r="AO402" s="408">
        <v>-1.8238338480192642</v>
      </c>
      <c r="AP402" s="408">
        <v>-2.7472607905585789</v>
      </c>
      <c r="AQ402" s="408">
        <v>0</v>
      </c>
      <c r="AR402" s="408">
        <v>0</v>
      </c>
      <c r="AS402" s="408">
        <v>0</v>
      </c>
      <c r="AT402" s="408">
        <v>0</v>
      </c>
      <c r="AU402" s="408">
        <v>0</v>
      </c>
      <c r="AV402" s="408">
        <v>0</v>
      </c>
      <c r="AW402" s="408">
        <v>0</v>
      </c>
      <c r="AX402" s="408">
        <v>0</v>
      </c>
      <c r="AY402" s="408">
        <v>0</v>
      </c>
      <c r="AZ402" s="408">
        <v>0</v>
      </c>
      <c r="BA402" s="408"/>
      <c r="BB402" s="408">
        <v>0</v>
      </c>
      <c r="BC402" s="408">
        <v>0</v>
      </c>
      <c r="BD402" s="408">
        <v>0</v>
      </c>
      <c r="BE402" s="408">
        <v>0</v>
      </c>
      <c r="BF402" s="408">
        <v>0</v>
      </c>
      <c r="BG402" s="408">
        <v>-11.063130706380448</v>
      </c>
      <c r="BH402" s="408">
        <v>0</v>
      </c>
      <c r="BI402" s="408">
        <v>-0.67</v>
      </c>
      <c r="BJ402" s="408">
        <v>-3.14</v>
      </c>
      <c r="BK402" s="408">
        <v>-102.02</v>
      </c>
      <c r="BL402" s="408">
        <v>0</v>
      </c>
      <c r="BM402" s="408"/>
      <c r="BN402" s="408"/>
      <c r="BO402" s="408"/>
      <c r="BP402" s="408"/>
      <c r="BQ402" s="408"/>
      <c r="BR402" s="408"/>
      <c r="BS402" s="408"/>
      <c r="BT402" s="408"/>
      <c r="BU402" s="408"/>
      <c r="BV402" s="408">
        <v>-77.191369359508457</v>
      </c>
      <c r="BW402" s="408"/>
      <c r="BX402" s="408"/>
      <c r="BY402" s="408"/>
      <c r="BZ402" s="408"/>
      <c r="CA402" s="408"/>
      <c r="CB402" s="408"/>
      <c r="CC402" s="408"/>
      <c r="CD402" s="408"/>
      <c r="CE402" s="408"/>
      <c r="CF402" s="408"/>
      <c r="CG402" s="408"/>
      <c r="CH402" s="408"/>
      <c r="CI402" s="408">
        <v>-193.30239999999998</v>
      </c>
      <c r="CJ402" s="408">
        <v>59.698000000000093</v>
      </c>
      <c r="CK402" s="408"/>
      <c r="CL402" s="408"/>
      <c r="CM402" s="408"/>
      <c r="CN402" s="408"/>
      <c r="CO402" s="408">
        <v>67.033600000000021</v>
      </c>
      <c r="CP402" s="408">
        <v>-7.3055999999999948</v>
      </c>
      <c r="CQ402" s="408">
        <v>29</v>
      </c>
      <c r="CR402" s="408">
        <v>-9.4540386269118244</v>
      </c>
      <c r="CS402" s="408">
        <v>-0.22019516376768955</v>
      </c>
      <c r="CT402" s="408">
        <v>-0.33168237355972163</v>
      </c>
      <c r="CU402" s="408">
        <v>0</v>
      </c>
      <c r="CV402" s="408">
        <v>0</v>
      </c>
      <c r="CW402" s="408">
        <v>0</v>
      </c>
      <c r="CX402" s="408">
        <v>0</v>
      </c>
      <c r="CY402" s="408">
        <v>0</v>
      </c>
      <c r="CZ402" s="408">
        <v>-0.77829330653030127</v>
      </c>
      <c r="DA402" s="408">
        <v>0</v>
      </c>
      <c r="DB402" s="408">
        <v>0</v>
      </c>
      <c r="DC402" s="408">
        <v>-7.3033869204351873</v>
      </c>
      <c r="DD402" s="408">
        <v>0</v>
      </c>
      <c r="DE402" s="408">
        <v>0</v>
      </c>
      <c r="DF402" s="408">
        <v>0</v>
      </c>
      <c r="DG402" s="408">
        <v>-1.2218429788197422</v>
      </c>
      <c r="DH402" s="408">
        <v>0</v>
      </c>
      <c r="DI402" s="408">
        <v>0.34327563588463761</v>
      </c>
      <c r="DJ402" s="408"/>
      <c r="DK402" s="408">
        <v>0</v>
      </c>
      <c r="DL402" s="408">
        <v>0</v>
      </c>
      <c r="DM402" s="408">
        <v>0</v>
      </c>
      <c r="DN402" s="408">
        <v>0</v>
      </c>
      <c r="DO402" s="408">
        <v>4.4599185928605234E-2</v>
      </c>
      <c r="DP402" s="408">
        <v>1.3487294387599991E-2</v>
      </c>
      <c r="DQ402" s="408">
        <v>0</v>
      </c>
      <c r="DR402" s="408">
        <v>0</v>
      </c>
      <c r="DS402" s="408"/>
      <c r="DT402" s="408"/>
      <c r="DU402" s="408"/>
      <c r="DV402" s="408">
        <v>-123.32969980473632</v>
      </c>
      <c r="DW402" s="408">
        <v>0</v>
      </c>
      <c r="DX402" s="408">
        <v>0</v>
      </c>
      <c r="DY402" s="408">
        <v>67.033600000000035</v>
      </c>
      <c r="DZ402" s="408">
        <v>-7.3055999999999841</v>
      </c>
      <c r="EA402" s="408">
        <v>0</v>
      </c>
      <c r="EB402" s="408">
        <v>0</v>
      </c>
      <c r="EC402" s="408">
        <v>69.186691195306878</v>
      </c>
      <c r="ED402" s="408">
        <v>0</v>
      </c>
      <c r="EE402" s="408">
        <v>0</v>
      </c>
      <c r="EF402" s="408">
        <v>0</v>
      </c>
      <c r="EG402" s="408">
        <v>0</v>
      </c>
      <c r="EH402" s="408">
        <v>0</v>
      </c>
      <c r="EI402" s="408">
        <v>0</v>
      </c>
      <c r="EJ402" s="408">
        <v>0</v>
      </c>
      <c r="EK402" s="408">
        <v>0</v>
      </c>
      <c r="EL402" s="408">
        <v>0</v>
      </c>
      <c r="EM402" s="408">
        <v>0</v>
      </c>
      <c r="EN402" s="408">
        <v>0</v>
      </c>
      <c r="EO402" s="408">
        <v>0</v>
      </c>
      <c r="EP402" s="408">
        <v>0</v>
      </c>
      <c r="EQ402" s="408">
        <v>0</v>
      </c>
      <c r="ER402" s="408">
        <v>0</v>
      </c>
      <c r="ES402" s="408">
        <v>0</v>
      </c>
      <c r="ET402" s="408">
        <v>0</v>
      </c>
      <c r="EU402" s="408">
        <v>0</v>
      </c>
      <c r="EV402" s="408">
        <v>238</v>
      </c>
      <c r="EW402" s="408">
        <v>0</v>
      </c>
      <c r="EX402" s="408">
        <v>0</v>
      </c>
      <c r="EY402" s="408">
        <v>0</v>
      </c>
      <c r="EZ402" s="408"/>
      <c r="FA402" s="408">
        <v>0</v>
      </c>
      <c r="FB402" s="408"/>
      <c r="FC402" s="408"/>
      <c r="FD402" s="408"/>
      <c r="FE402" s="408"/>
      <c r="FF402" s="408">
        <v>0</v>
      </c>
      <c r="FG402" s="408">
        <v>0</v>
      </c>
      <c r="FH402" s="408">
        <v>0</v>
      </c>
      <c r="FI402" s="408">
        <v>0</v>
      </c>
    </row>
    <row r="403" spans="1:165">
      <c r="A403" s="408">
        <v>407</v>
      </c>
      <c r="B403" s="408" t="s">
        <v>2238</v>
      </c>
      <c r="C403" s="408" t="s">
        <v>2235</v>
      </c>
      <c r="D403" s="408" t="s">
        <v>1955</v>
      </c>
      <c r="E403" s="408" t="s">
        <v>969</v>
      </c>
      <c r="F403" s="408" t="s">
        <v>969</v>
      </c>
      <c r="G403" s="408" t="s">
        <v>1322</v>
      </c>
      <c r="H403" s="408" t="s">
        <v>1322</v>
      </c>
      <c r="I403" s="408" t="s">
        <v>1322</v>
      </c>
      <c r="J403" s="408" t="s">
        <v>2236</v>
      </c>
      <c r="K403" s="824">
        <v>44593</v>
      </c>
      <c r="L403" s="408">
        <v>0</v>
      </c>
      <c r="M403" s="408">
        <v>0</v>
      </c>
      <c r="N403" s="408">
        <v>104.922</v>
      </c>
      <c r="O403" s="408">
        <v>104.922</v>
      </c>
      <c r="P403" s="408">
        <v>104.922</v>
      </c>
      <c r="Q403" s="408">
        <v>104.922</v>
      </c>
      <c r="R403" s="408"/>
      <c r="S403" s="408">
        <v>581.32000000000005</v>
      </c>
      <c r="T403" s="408">
        <v>209.4</v>
      </c>
      <c r="U403" s="408"/>
      <c r="V403" s="408">
        <v>82963.923840000003</v>
      </c>
      <c r="W403" s="408">
        <v>82963.923840000003</v>
      </c>
      <c r="X403" s="408">
        <v>63380.232539999997</v>
      </c>
      <c r="Y403" s="408">
        <v>0</v>
      </c>
      <c r="Z403" s="408">
        <v>6456.6803282679248</v>
      </c>
      <c r="AA403" s="408">
        <v>0</v>
      </c>
      <c r="AB403" s="408">
        <v>0</v>
      </c>
      <c r="AC403" s="408">
        <v>0</v>
      </c>
      <c r="AD403" s="408">
        <v>7784.2832942664481</v>
      </c>
      <c r="AE403" s="408">
        <v>40437.496134101697</v>
      </c>
      <c r="AF403" s="408">
        <v>21682.209549885923</v>
      </c>
      <c r="AG403" s="408">
        <v>288.84658997252706</v>
      </c>
      <c r="AH403" s="408">
        <v>0</v>
      </c>
      <c r="AI403" s="408">
        <v>0</v>
      </c>
      <c r="AJ403" s="408">
        <v>0</v>
      </c>
      <c r="AK403" s="408">
        <v>0</v>
      </c>
      <c r="AL403" s="408">
        <v>997.76642380976534</v>
      </c>
      <c r="AM403" s="408"/>
      <c r="AN403" s="408">
        <v>191.26906194539669</v>
      </c>
      <c r="AO403" s="408">
        <v>598.00092188086637</v>
      </c>
      <c r="AP403" s="408">
        <v>900.77530208433507</v>
      </c>
      <c r="AQ403" s="408">
        <v>0</v>
      </c>
      <c r="AR403" s="408">
        <v>0</v>
      </c>
      <c r="AS403" s="408">
        <v>0</v>
      </c>
      <c r="AT403" s="408">
        <v>0</v>
      </c>
      <c r="AU403" s="408">
        <v>0</v>
      </c>
      <c r="AV403" s="408">
        <v>0</v>
      </c>
      <c r="AW403" s="408">
        <v>0</v>
      </c>
      <c r="AX403" s="408">
        <v>0</v>
      </c>
      <c r="AY403" s="408">
        <v>0</v>
      </c>
      <c r="AZ403" s="408">
        <v>0</v>
      </c>
      <c r="BA403" s="408"/>
      <c r="BB403" s="408">
        <v>0</v>
      </c>
      <c r="BC403" s="408">
        <v>0</v>
      </c>
      <c r="BD403" s="408">
        <v>0</v>
      </c>
      <c r="BE403" s="408">
        <v>0</v>
      </c>
      <c r="BF403" s="408">
        <v>0</v>
      </c>
      <c r="BG403" s="408">
        <v>3627.3931249214043</v>
      </c>
      <c r="BH403" s="408">
        <v>0</v>
      </c>
      <c r="BI403" s="408">
        <v>198.06</v>
      </c>
      <c r="BJ403" s="408">
        <v>933.88</v>
      </c>
      <c r="BK403" s="408">
        <v>69592.78</v>
      </c>
      <c r="BL403" s="408">
        <v>818</v>
      </c>
      <c r="BM403" s="408"/>
      <c r="BN403" s="408"/>
      <c r="BO403" s="408"/>
      <c r="BP403" s="408"/>
      <c r="BQ403" s="408"/>
      <c r="BR403" s="408"/>
      <c r="BS403" s="408"/>
      <c r="BT403" s="408"/>
      <c r="BU403" s="408"/>
      <c r="BV403" s="408">
        <v>25309.602674807327</v>
      </c>
      <c r="BW403" s="408"/>
      <c r="BX403" s="408"/>
      <c r="BY403" s="408"/>
      <c r="BZ403" s="408"/>
      <c r="CA403" s="408"/>
      <c r="CB403" s="408"/>
      <c r="CC403" s="408"/>
      <c r="CD403" s="408"/>
      <c r="CE403" s="408"/>
      <c r="CF403" s="408"/>
      <c r="CG403" s="408"/>
      <c r="CH403" s="408"/>
      <c r="CI403" s="408">
        <v>63379.024399999995</v>
      </c>
      <c r="CJ403" s="408">
        <v>-19584.929440000007</v>
      </c>
      <c r="CK403" s="408"/>
      <c r="CL403" s="408"/>
      <c r="CM403" s="408"/>
      <c r="CN403" s="408"/>
      <c r="CO403" s="408">
        <v>-21979.060560000009</v>
      </c>
      <c r="CP403" s="408">
        <v>2395.3692599999981</v>
      </c>
      <c r="CQ403" s="408">
        <v>29</v>
      </c>
      <c r="CR403" s="408">
        <v>3099.802002540142</v>
      </c>
      <c r="CS403" s="408">
        <v>72.197865540104772</v>
      </c>
      <c r="CT403" s="408">
        <v>108.75243124572842</v>
      </c>
      <c r="CU403" s="408">
        <v>0</v>
      </c>
      <c r="CV403" s="408">
        <v>0</v>
      </c>
      <c r="CW403" s="408">
        <v>0</v>
      </c>
      <c r="CX403" s="408">
        <v>0</v>
      </c>
      <c r="CY403" s="408">
        <v>0</v>
      </c>
      <c r="CZ403" s="408">
        <v>255.18778221178945</v>
      </c>
      <c r="DA403" s="408">
        <v>0</v>
      </c>
      <c r="DB403" s="408">
        <v>0</v>
      </c>
      <c r="DC403" s="408">
        <v>2394.6436327059455</v>
      </c>
      <c r="DD403" s="408">
        <v>0</v>
      </c>
      <c r="DE403" s="408">
        <v>0</v>
      </c>
      <c r="DF403" s="408">
        <v>0</v>
      </c>
      <c r="DG403" s="408">
        <v>400.61940319914083</v>
      </c>
      <c r="DH403" s="408">
        <v>0</v>
      </c>
      <c r="DI403" s="408">
        <v>-112.55364458839995</v>
      </c>
      <c r="DJ403" s="408"/>
      <c r="DK403" s="408">
        <v>0</v>
      </c>
      <c r="DL403" s="408">
        <v>0</v>
      </c>
      <c r="DM403" s="408">
        <v>0</v>
      </c>
      <c r="DN403" s="408">
        <v>0</v>
      </c>
      <c r="DO403" s="408">
        <v>-14.623236831253394</v>
      </c>
      <c r="DP403" s="408">
        <v>-4.4222309429242443</v>
      </c>
      <c r="DQ403" s="408">
        <v>0</v>
      </c>
      <c r="DR403" s="408">
        <v>0</v>
      </c>
      <c r="DS403" s="408"/>
      <c r="DT403" s="408"/>
      <c r="DU403" s="408"/>
      <c r="DV403" s="408">
        <v>40437.496134101697</v>
      </c>
      <c r="DW403" s="408">
        <v>0</v>
      </c>
      <c r="DX403" s="408">
        <v>0</v>
      </c>
      <c r="DY403" s="408">
        <v>-21979.060560000005</v>
      </c>
      <c r="DZ403" s="408">
        <v>2395.3692599999995</v>
      </c>
      <c r="EA403" s="408">
        <v>0</v>
      </c>
      <c r="EB403" s="408">
        <v>0</v>
      </c>
      <c r="EC403" s="408">
        <v>-22685.018792481209</v>
      </c>
      <c r="ED403" s="408">
        <v>0</v>
      </c>
      <c r="EE403" s="408">
        <v>0</v>
      </c>
      <c r="EF403" s="408">
        <v>0</v>
      </c>
      <c r="EG403" s="408">
        <v>0</v>
      </c>
      <c r="EH403" s="408">
        <v>0</v>
      </c>
      <c r="EI403" s="408">
        <v>0</v>
      </c>
      <c r="EJ403" s="408">
        <v>0</v>
      </c>
      <c r="EK403" s="408">
        <v>0</v>
      </c>
      <c r="EL403" s="408">
        <v>0</v>
      </c>
      <c r="EM403" s="408">
        <v>0</v>
      </c>
      <c r="EN403" s="408">
        <v>0</v>
      </c>
      <c r="EO403" s="408">
        <v>0</v>
      </c>
      <c r="EP403" s="408">
        <v>0</v>
      </c>
      <c r="EQ403" s="408">
        <v>0</v>
      </c>
      <c r="ER403" s="408">
        <v>0</v>
      </c>
      <c r="ES403" s="408">
        <v>0</v>
      </c>
      <c r="ET403" s="408">
        <v>0</v>
      </c>
      <c r="EU403" s="408">
        <v>0</v>
      </c>
      <c r="EV403" s="408">
        <v>238</v>
      </c>
      <c r="EW403" s="408">
        <v>0</v>
      </c>
      <c r="EX403" s="408">
        <v>0</v>
      </c>
      <c r="EY403" s="408">
        <v>0</v>
      </c>
      <c r="EZ403" s="408"/>
      <c r="FA403" s="408">
        <v>0</v>
      </c>
      <c r="FB403" s="408"/>
      <c r="FC403" s="408"/>
      <c r="FD403" s="408"/>
      <c r="FE403" s="408"/>
      <c r="FF403" s="408">
        <v>0</v>
      </c>
      <c r="FG403" s="408">
        <v>0</v>
      </c>
      <c r="FH403" s="408">
        <v>0</v>
      </c>
      <c r="FI403" s="408">
        <v>0</v>
      </c>
    </row>
    <row r="404" spans="1:165">
      <c r="A404" s="408">
        <v>408</v>
      </c>
      <c r="B404" s="408" t="s">
        <v>1036</v>
      </c>
      <c r="C404" s="408" t="s">
        <v>2235</v>
      </c>
      <c r="D404" s="408" t="s">
        <v>1955</v>
      </c>
      <c r="E404" s="408" t="s">
        <v>969</v>
      </c>
      <c r="F404" s="408" t="s">
        <v>2239</v>
      </c>
      <c r="G404" s="408" t="s">
        <v>1322</v>
      </c>
      <c r="H404" s="408" t="s">
        <v>1322</v>
      </c>
      <c r="I404" s="408" t="s">
        <v>1322</v>
      </c>
      <c r="J404" s="408" t="s">
        <v>2236</v>
      </c>
      <c r="K404" s="824">
        <v>44593</v>
      </c>
      <c r="L404" s="408">
        <v>0</v>
      </c>
      <c r="M404" s="408">
        <v>0</v>
      </c>
      <c r="N404" s="408">
        <v>39.42</v>
      </c>
      <c r="O404" s="408">
        <v>39.42</v>
      </c>
      <c r="P404" s="408">
        <v>39.42</v>
      </c>
      <c r="Q404" s="408">
        <v>39.42</v>
      </c>
      <c r="R404" s="408"/>
      <c r="S404" s="408">
        <v>510.28</v>
      </c>
      <c r="T404" s="408">
        <v>209.4</v>
      </c>
      <c r="U404" s="408"/>
      <c r="V404" s="408">
        <v>28369.785600000003</v>
      </c>
      <c r="W404" s="408">
        <v>28369.785600000003</v>
      </c>
      <c r="X404" s="408">
        <v>21059.346600000001</v>
      </c>
      <c r="Y404" s="408">
        <v>0</v>
      </c>
      <c r="Z404" s="408">
        <v>0</v>
      </c>
      <c r="AA404" s="408">
        <v>0</v>
      </c>
      <c r="AB404" s="408">
        <v>0</v>
      </c>
      <c r="AC404" s="408">
        <v>0</v>
      </c>
      <c r="AD404" s="408">
        <v>2924.6149278510075</v>
      </c>
      <c r="AE404" s="408">
        <v>15192.677394695957</v>
      </c>
      <c r="AF404" s="408">
        <v>8146.1723990822056</v>
      </c>
      <c r="AG404" s="408">
        <v>108.5218788882886</v>
      </c>
      <c r="AH404" s="408">
        <v>0</v>
      </c>
      <c r="AI404" s="408">
        <v>0</v>
      </c>
      <c r="AJ404" s="408">
        <v>0</v>
      </c>
      <c r="AK404" s="408">
        <v>0</v>
      </c>
      <c r="AL404" s="408">
        <v>0</v>
      </c>
      <c r="AM404" s="408"/>
      <c r="AN404" s="408">
        <v>71.861253329974062</v>
      </c>
      <c r="AO404" s="408">
        <v>224.67353215287309</v>
      </c>
      <c r="AP404" s="408">
        <v>338.42818863693498</v>
      </c>
      <c r="AQ404" s="408">
        <v>0</v>
      </c>
      <c r="AR404" s="408">
        <v>0</v>
      </c>
      <c r="AS404" s="408">
        <v>0</v>
      </c>
      <c r="AT404" s="408">
        <v>0</v>
      </c>
      <c r="AU404" s="408">
        <v>0</v>
      </c>
      <c r="AV404" s="408">
        <v>0</v>
      </c>
      <c r="AW404" s="408">
        <v>0</v>
      </c>
      <c r="AX404" s="408">
        <v>0</v>
      </c>
      <c r="AY404" s="408">
        <v>0</v>
      </c>
      <c r="AZ404" s="408">
        <v>0</v>
      </c>
      <c r="BA404" s="408"/>
      <c r="BB404" s="408">
        <v>0</v>
      </c>
      <c r="BC404" s="408">
        <v>0</v>
      </c>
      <c r="BD404" s="408">
        <v>0</v>
      </c>
      <c r="BE404" s="408">
        <v>0</v>
      </c>
      <c r="BF404" s="408">
        <v>0</v>
      </c>
      <c r="BG404" s="408">
        <v>1362.8394138922415</v>
      </c>
      <c r="BH404" s="408">
        <v>0</v>
      </c>
      <c r="BI404" s="408">
        <v>13.14</v>
      </c>
      <c r="BJ404" s="408">
        <v>78.91</v>
      </c>
      <c r="BK404" s="408">
        <v>2383.04</v>
      </c>
      <c r="BL404" s="408">
        <v>61</v>
      </c>
      <c r="BM404" s="408"/>
      <c r="BN404" s="408"/>
      <c r="BO404" s="408"/>
      <c r="BP404" s="408"/>
      <c r="BQ404" s="408"/>
      <c r="BR404" s="408"/>
      <c r="BS404" s="408"/>
      <c r="BT404" s="408">
        <v>13688.595000000001</v>
      </c>
      <c r="BU404" s="408"/>
      <c r="BV404" s="408">
        <v>9509.0118129744478</v>
      </c>
      <c r="BW404" s="408"/>
      <c r="BX404" s="408"/>
      <c r="BY404" s="408"/>
      <c r="BZ404" s="408"/>
      <c r="CA404" s="408"/>
      <c r="CB404" s="408"/>
      <c r="CC404" s="408"/>
      <c r="CD404" s="408"/>
      <c r="CE404" s="408"/>
      <c r="CF404" s="408"/>
      <c r="CG404" s="408"/>
      <c r="CH404" s="408"/>
      <c r="CI404" s="408">
        <v>7370.7516000000005</v>
      </c>
      <c r="CJ404" s="408">
        <v>-2558.7822000000006</v>
      </c>
      <c r="CK404" s="408"/>
      <c r="CL404" s="408"/>
      <c r="CM404" s="408"/>
      <c r="CN404" s="408"/>
      <c r="CO404" s="408">
        <v>-8210.3975999999984</v>
      </c>
      <c r="CP404" s="408">
        <v>899.95859999999936</v>
      </c>
      <c r="CQ404" s="408">
        <v>29</v>
      </c>
      <c r="CR404" s="408">
        <v>1212.4007129648144</v>
      </c>
      <c r="CS404" s="408">
        <v>27.125291736632278</v>
      </c>
      <c r="CT404" s="408">
        <v>40.859122392888196</v>
      </c>
      <c r="CU404" s="408">
        <v>0</v>
      </c>
      <c r="CV404" s="408">
        <v>0</v>
      </c>
      <c r="CW404" s="408">
        <v>0</v>
      </c>
      <c r="CX404" s="408">
        <v>0</v>
      </c>
      <c r="CY404" s="408">
        <v>0</v>
      </c>
      <c r="CZ404" s="408">
        <v>95.876006698201763</v>
      </c>
      <c r="DA404" s="408">
        <v>0</v>
      </c>
      <c r="DB404" s="408">
        <v>0</v>
      </c>
      <c r="DC404" s="408">
        <v>899.68597626111023</v>
      </c>
      <c r="DD404" s="408">
        <v>0</v>
      </c>
      <c r="DE404" s="408">
        <v>0</v>
      </c>
      <c r="DF404" s="408">
        <v>0</v>
      </c>
      <c r="DG404" s="408">
        <v>150.51578195335719</v>
      </c>
      <c r="DH404" s="408">
        <v>0</v>
      </c>
      <c r="DI404" s="408">
        <v>0</v>
      </c>
      <c r="DJ404" s="408"/>
      <c r="DK404" s="408">
        <v>0</v>
      </c>
      <c r="DL404" s="408">
        <v>0</v>
      </c>
      <c r="DM404" s="408">
        <v>0</v>
      </c>
      <c r="DN404" s="408">
        <v>0</v>
      </c>
      <c r="DO404" s="408">
        <v>0</v>
      </c>
      <c r="DP404" s="408">
        <v>-1.6614660773724808</v>
      </c>
      <c r="DQ404" s="408">
        <v>0</v>
      </c>
      <c r="DR404" s="408">
        <v>0</v>
      </c>
      <c r="DS404" s="408"/>
      <c r="DT404" s="408"/>
      <c r="DU404" s="408"/>
      <c r="DV404" s="408">
        <v>15192.677394695957</v>
      </c>
      <c r="DW404" s="408">
        <v>0</v>
      </c>
      <c r="DX404" s="408">
        <v>0</v>
      </c>
      <c r="DY404" s="408">
        <v>-8210.3976000000002</v>
      </c>
      <c r="DZ404" s="408">
        <v>899.95859999999993</v>
      </c>
      <c r="EA404" s="408">
        <v>0</v>
      </c>
      <c r="EB404" s="408">
        <v>0</v>
      </c>
      <c r="EC404" s="408">
        <v>-8522.9355216218664</v>
      </c>
      <c r="ED404" s="408">
        <v>0</v>
      </c>
      <c r="EE404" s="408">
        <v>0</v>
      </c>
      <c r="EF404" s="408">
        <v>0</v>
      </c>
      <c r="EG404" s="408">
        <v>0</v>
      </c>
      <c r="EH404" s="408">
        <v>0</v>
      </c>
      <c r="EI404" s="408">
        <v>0</v>
      </c>
      <c r="EJ404" s="408">
        <v>0</v>
      </c>
      <c r="EK404" s="408">
        <v>0</v>
      </c>
      <c r="EL404" s="408">
        <v>0</v>
      </c>
      <c r="EM404" s="408">
        <v>0</v>
      </c>
      <c r="EN404" s="408">
        <v>0</v>
      </c>
      <c r="EO404" s="408">
        <v>0</v>
      </c>
      <c r="EP404" s="408">
        <v>0</v>
      </c>
      <c r="EQ404" s="408">
        <v>0</v>
      </c>
      <c r="ER404" s="408">
        <v>0</v>
      </c>
      <c r="ES404" s="408">
        <v>0</v>
      </c>
      <c r="ET404" s="408">
        <v>0</v>
      </c>
      <c r="EU404" s="408">
        <v>0</v>
      </c>
      <c r="EV404" s="408">
        <v>238</v>
      </c>
      <c r="EW404" s="408">
        <v>0</v>
      </c>
      <c r="EX404" s="408">
        <v>0</v>
      </c>
      <c r="EY404" s="408">
        <v>0</v>
      </c>
      <c r="EZ404" s="408"/>
      <c r="FA404" s="408">
        <v>0</v>
      </c>
      <c r="FB404" s="408"/>
      <c r="FC404" s="408"/>
      <c r="FD404" s="408"/>
      <c r="FE404" s="408"/>
      <c r="FF404" s="408">
        <v>0</v>
      </c>
      <c r="FG404" s="408">
        <v>0</v>
      </c>
      <c r="FH404" s="408">
        <v>0</v>
      </c>
      <c r="FI404" s="408">
        <v>0</v>
      </c>
    </row>
    <row r="405" spans="1:165">
      <c r="A405" s="408">
        <v>409</v>
      </c>
      <c r="B405" s="408" t="s">
        <v>2238</v>
      </c>
      <c r="C405" s="408" t="s">
        <v>2235</v>
      </c>
      <c r="D405" s="408" t="s">
        <v>1955</v>
      </c>
      <c r="E405" s="408" t="s">
        <v>969</v>
      </c>
      <c r="F405" s="408" t="s">
        <v>2239</v>
      </c>
      <c r="G405" s="408" t="s">
        <v>1322</v>
      </c>
      <c r="H405" s="408" t="s">
        <v>1322</v>
      </c>
      <c r="I405" s="408" t="s">
        <v>1322</v>
      </c>
      <c r="J405" s="408" t="s">
        <v>2236</v>
      </c>
      <c r="K405" s="824">
        <v>44593</v>
      </c>
      <c r="L405" s="408">
        <v>0</v>
      </c>
      <c r="M405" s="408">
        <v>0</v>
      </c>
      <c r="N405" s="408">
        <v>0.03</v>
      </c>
      <c r="O405" s="408">
        <v>1.0500000000000001E-2</v>
      </c>
      <c r="P405" s="408">
        <v>0.03</v>
      </c>
      <c r="Q405" s="408">
        <v>1.0500000000000001E-2</v>
      </c>
      <c r="R405" s="408"/>
      <c r="S405" s="408">
        <v>510.28</v>
      </c>
      <c r="T405" s="408">
        <v>209.4</v>
      </c>
      <c r="U405" s="408"/>
      <c r="V405" s="408">
        <v>21.590399999999999</v>
      </c>
      <c r="W405" s="408">
        <v>21.590399999999999</v>
      </c>
      <c r="X405" s="408">
        <v>16.026900000000001</v>
      </c>
      <c r="Y405" s="408">
        <v>0</v>
      </c>
      <c r="Z405" s="408">
        <v>0</v>
      </c>
      <c r="AA405" s="408">
        <v>0</v>
      </c>
      <c r="AB405" s="408">
        <v>0</v>
      </c>
      <c r="AC405" s="408">
        <v>0</v>
      </c>
      <c r="AD405" s="408">
        <v>2.2257343438744348</v>
      </c>
      <c r="AE405" s="408">
        <v>11.56215935669403</v>
      </c>
      <c r="AF405" s="408">
        <v>6.1995223737307494</v>
      </c>
      <c r="AG405" s="408">
        <v>8.25889489256382E-2</v>
      </c>
      <c r="AH405" s="408">
        <v>0</v>
      </c>
      <c r="AI405" s="408">
        <v>0</v>
      </c>
      <c r="AJ405" s="408">
        <v>0</v>
      </c>
      <c r="AK405" s="408">
        <v>0</v>
      </c>
      <c r="AL405" s="408">
        <v>0</v>
      </c>
      <c r="AM405" s="408"/>
      <c r="AN405" s="408">
        <v>5.4688929474866095E-2</v>
      </c>
      <c r="AO405" s="408">
        <v>0.17098442325180602</v>
      </c>
      <c r="AP405" s="408">
        <v>0.25755569911486675</v>
      </c>
      <c r="AQ405" s="408">
        <v>0</v>
      </c>
      <c r="AR405" s="408">
        <v>0</v>
      </c>
      <c r="AS405" s="408">
        <v>0</v>
      </c>
      <c r="AT405" s="408">
        <v>0</v>
      </c>
      <c r="AU405" s="408">
        <v>0</v>
      </c>
      <c r="AV405" s="408">
        <v>0</v>
      </c>
      <c r="AW405" s="408">
        <v>0</v>
      </c>
      <c r="AX405" s="408">
        <v>0</v>
      </c>
      <c r="AY405" s="408">
        <v>0</v>
      </c>
      <c r="AZ405" s="408">
        <v>0</v>
      </c>
      <c r="BA405" s="408"/>
      <c r="BB405" s="408">
        <v>0</v>
      </c>
      <c r="BC405" s="408">
        <v>0</v>
      </c>
      <c r="BD405" s="408">
        <v>0</v>
      </c>
      <c r="BE405" s="408">
        <v>0</v>
      </c>
      <c r="BF405" s="408">
        <v>0</v>
      </c>
      <c r="BG405" s="408">
        <v>1.037168503723167</v>
      </c>
      <c r="BH405" s="408">
        <v>0</v>
      </c>
      <c r="BI405" s="408">
        <v>0.01</v>
      </c>
      <c r="BJ405" s="408">
        <v>0.06</v>
      </c>
      <c r="BK405" s="408">
        <v>1.89</v>
      </c>
      <c r="BL405" s="408">
        <v>0</v>
      </c>
      <c r="BM405" s="408"/>
      <c r="BN405" s="408"/>
      <c r="BO405" s="408"/>
      <c r="BP405" s="408"/>
      <c r="BQ405" s="408"/>
      <c r="BR405" s="408"/>
      <c r="BS405" s="408"/>
      <c r="BT405" s="408">
        <v>14.063609999999999</v>
      </c>
      <c r="BU405" s="408"/>
      <c r="BV405" s="408">
        <v>7.2366908774539169</v>
      </c>
      <c r="BW405" s="408"/>
      <c r="BX405" s="408"/>
      <c r="BY405" s="408"/>
      <c r="BZ405" s="408"/>
      <c r="CA405" s="408"/>
      <c r="CB405" s="408"/>
      <c r="CC405" s="408"/>
      <c r="CD405" s="408"/>
      <c r="CE405" s="408"/>
      <c r="CF405" s="408"/>
      <c r="CG405" s="408"/>
      <c r="CH405" s="408"/>
      <c r="CI405" s="408">
        <v>1.8698000000000001</v>
      </c>
      <c r="CJ405" s="408">
        <v>-0.80504499999999979</v>
      </c>
      <c r="CK405" s="408"/>
      <c r="CL405" s="408"/>
      <c r="CM405" s="408"/>
      <c r="CN405" s="408"/>
      <c r="CO405" s="408">
        <v>-6.2483999999999993</v>
      </c>
      <c r="CP405" s="408">
        <v>0.68489999999999951</v>
      </c>
      <c r="CQ405" s="408">
        <v>29</v>
      </c>
      <c r="CR405" s="408">
        <v>0.9226793858179736</v>
      </c>
      <c r="CS405" s="408">
        <v>2.0643296603220895E-2</v>
      </c>
      <c r="CT405" s="408">
        <v>3.1095222521223931E-2</v>
      </c>
      <c r="CU405" s="408">
        <v>0</v>
      </c>
      <c r="CV405" s="408">
        <v>0</v>
      </c>
      <c r="CW405" s="408">
        <v>0</v>
      </c>
      <c r="CX405" s="408">
        <v>0</v>
      </c>
      <c r="CY405" s="408">
        <v>0</v>
      </c>
      <c r="CZ405" s="408">
        <v>7.2964997487215744E-2</v>
      </c>
      <c r="DA405" s="408">
        <v>0</v>
      </c>
      <c r="DB405" s="408">
        <v>0</v>
      </c>
      <c r="DC405" s="408">
        <v>0.68469252379080014</v>
      </c>
      <c r="DD405" s="408">
        <v>0</v>
      </c>
      <c r="DE405" s="408">
        <v>0</v>
      </c>
      <c r="DF405" s="408">
        <v>0</v>
      </c>
      <c r="DG405" s="408">
        <v>0.11454777926435078</v>
      </c>
      <c r="DH405" s="408">
        <v>0</v>
      </c>
      <c r="DI405" s="408">
        <v>0</v>
      </c>
      <c r="DJ405" s="408"/>
      <c r="DK405" s="408">
        <v>0</v>
      </c>
      <c r="DL405" s="408">
        <v>0</v>
      </c>
      <c r="DM405" s="408">
        <v>0</v>
      </c>
      <c r="DN405" s="408">
        <v>0</v>
      </c>
      <c r="DO405" s="408">
        <v>0</v>
      </c>
      <c r="DP405" s="408">
        <v>-1.2644338488374957E-3</v>
      </c>
      <c r="DQ405" s="408">
        <v>0</v>
      </c>
      <c r="DR405" s="408">
        <v>0</v>
      </c>
      <c r="DS405" s="408"/>
      <c r="DT405" s="408"/>
      <c r="DU405" s="408"/>
      <c r="DV405" s="408">
        <v>11.56215935669403</v>
      </c>
      <c r="DW405" s="408">
        <v>0</v>
      </c>
      <c r="DX405" s="408">
        <v>0</v>
      </c>
      <c r="DY405" s="408">
        <v>-6.2483999999999984</v>
      </c>
      <c r="DZ405" s="408">
        <v>0.68489999999999984</v>
      </c>
      <c r="EA405" s="408">
        <v>0</v>
      </c>
      <c r="EB405" s="408">
        <v>0</v>
      </c>
      <c r="EC405" s="408">
        <v>-6.4862522995600198</v>
      </c>
      <c r="ED405" s="408">
        <v>0</v>
      </c>
      <c r="EE405" s="408">
        <v>0</v>
      </c>
      <c r="EF405" s="408">
        <v>0</v>
      </c>
      <c r="EG405" s="408">
        <v>0</v>
      </c>
      <c r="EH405" s="408">
        <v>0</v>
      </c>
      <c r="EI405" s="408">
        <v>0</v>
      </c>
      <c r="EJ405" s="408">
        <v>0</v>
      </c>
      <c r="EK405" s="408">
        <v>0</v>
      </c>
      <c r="EL405" s="408">
        <v>0</v>
      </c>
      <c r="EM405" s="408">
        <v>0</v>
      </c>
      <c r="EN405" s="408">
        <v>0</v>
      </c>
      <c r="EO405" s="408">
        <v>0</v>
      </c>
      <c r="EP405" s="408">
        <v>0</v>
      </c>
      <c r="EQ405" s="408">
        <v>0</v>
      </c>
      <c r="ER405" s="408">
        <v>0</v>
      </c>
      <c r="ES405" s="408">
        <v>0</v>
      </c>
      <c r="ET405" s="408">
        <v>0</v>
      </c>
      <c r="EU405" s="408">
        <v>0</v>
      </c>
      <c r="EV405" s="408">
        <v>238</v>
      </c>
      <c r="EW405" s="408">
        <v>0</v>
      </c>
      <c r="EX405" s="408">
        <v>0</v>
      </c>
      <c r="EY405" s="408">
        <v>0</v>
      </c>
      <c r="EZ405" s="408"/>
      <c r="FA405" s="408">
        <v>0</v>
      </c>
      <c r="FB405" s="408"/>
      <c r="FC405" s="408"/>
      <c r="FD405" s="408"/>
      <c r="FE405" s="408"/>
      <c r="FF405" s="408">
        <v>0</v>
      </c>
      <c r="FG405" s="408">
        <v>0</v>
      </c>
      <c r="FH405" s="408">
        <v>0</v>
      </c>
      <c r="FI405" s="408">
        <v>0</v>
      </c>
    </row>
    <row r="406" spans="1:165">
      <c r="A406" s="408">
        <v>410</v>
      </c>
      <c r="B406" s="408" t="s">
        <v>1036</v>
      </c>
      <c r="C406" s="408" t="s">
        <v>2235</v>
      </c>
      <c r="D406" s="408" t="s">
        <v>1955</v>
      </c>
      <c r="E406" s="408" t="s">
        <v>969</v>
      </c>
      <c r="F406" s="408" t="s">
        <v>2240</v>
      </c>
      <c r="G406" s="408" t="s">
        <v>1322</v>
      </c>
      <c r="H406" s="408" t="s">
        <v>1322</v>
      </c>
      <c r="I406" s="408" t="s">
        <v>1322</v>
      </c>
      <c r="J406" s="408" t="s">
        <v>2236</v>
      </c>
      <c r="K406" s="824">
        <v>44593</v>
      </c>
      <c r="L406" s="408">
        <v>0</v>
      </c>
      <c r="M406" s="408">
        <v>0</v>
      </c>
      <c r="N406" s="408">
        <v>83.677000000000007</v>
      </c>
      <c r="O406" s="408">
        <v>83.677000000000007</v>
      </c>
      <c r="P406" s="408">
        <v>83.677000000000007</v>
      </c>
      <c r="Q406" s="408">
        <v>83.677000000000007</v>
      </c>
      <c r="R406" s="408"/>
      <c r="S406" s="408">
        <v>510.28</v>
      </c>
      <c r="T406" s="408">
        <v>209.4</v>
      </c>
      <c r="U406" s="408"/>
      <c r="V406" s="408">
        <v>60220.663360000006</v>
      </c>
      <c r="W406" s="408">
        <v>60220.663360000006</v>
      </c>
      <c r="X406" s="408">
        <v>44702.763709999999</v>
      </c>
      <c r="Y406" s="408">
        <v>0</v>
      </c>
      <c r="Z406" s="408">
        <v>0</v>
      </c>
      <c r="AA406" s="408">
        <v>0</v>
      </c>
      <c r="AB406" s="408">
        <v>0</v>
      </c>
      <c r="AC406" s="408">
        <v>0</v>
      </c>
      <c r="AD406" s="408">
        <v>6208.0924230793698</v>
      </c>
      <c r="AE406" s="408">
        <v>32249.56028300288</v>
      </c>
      <c r="AF406" s="408">
        <v>17291.914455555601</v>
      </c>
      <c r="AG406" s="408">
        <v>230.35984930835428</v>
      </c>
      <c r="AH406" s="408">
        <v>0</v>
      </c>
      <c r="AI406" s="408">
        <v>0</v>
      </c>
      <c r="AJ406" s="408">
        <v>0</v>
      </c>
      <c r="AK406" s="408">
        <v>0</v>
      </c>
      <c r="AL406" s="408">
        <v>0</v>
      </c>
      <c r="AM406" s="408"/>
      <c r="AN406" s="408">
        <v>152.54018505561237</v>
      </c>
      <c r="AO406" s="408">
        <v>476.91545281471241</v>
      </c>
      <c r="AP406" s="408">
        <v>718.38294116115696</v>
      </c>
      <c r="AQ406" s="408">
        <v>0</v>
      </c>
      <c r="AR406" s="408">
        <v>0</v>
      </c>
      <c r="AS406" s="408">
        <v>0</v>
      </c>
      <c r="AT406" s="408">
        <v>0</v>
      </c>
      <c r="AU406" s="408">
        <v>0</v>
      </c>
      <c r="AV406" s="408">
        <v>0</v>
      </c>
      <c r="AW406" s="408">
        <v>0</v>
      </c>
      <c r="AX406" s="408">
        <v>0</v>
      </c>
      <c r="AY406" s="408">
        <v>0</v>
      </c>
      <c r="AZ406" s="408">
        <v>0</v>
      </c>
      <c r="BA406" s="408"/>
      <c r="BB406" s="408">
        <v>0</v>
      </c>
      <c r="BC406" s="408">
        <v>0</v>
      </c>
      <c r="BD406" s="408">
        <v>0</v>
      </c>
      <c r="BE406" s="408">
        <v>0</v>
      </c>
      <c r="BF406" s="408">
        <v>0</v>
      </c>
      <c r="BG406" s="408">
        <v>2892.904962868115</v>
      </c>
      <c r="BH406" s="408">
        <v>0</v>
      </c>
      <c r="BI406" s="408">
        <v>69.09</v>
      </c>
      <c r="BJ406" s="408">
        <v>313.91000000000003</v>
      </c>
      <c r="BK406" s="408">
        <v>9031.94</v>
      </c>
      <c r="BL406" s="408">
        <v>156</v>
      </c>
      <c r="BM406" s="408"/>
      <c r="BN406" s="408"/>
      <c r="BO406" s="408"/>
      <c r="BP406" s="408"/>
      <c r="BQ406" s="408"/>
      <c r="BR406" s="408"/>
      <c r="BS406" s="408"/>
      <c r="BT406" s="408">
        <v>17880.938130000002</v>
      </c>
      <c r="BU406" s="408"/>
      <c r="BV406" s="408">
        <v>20184.819418423715</v>
      </c>
      <c r="BW406" s="408"/>
      <c r="BX406" s="408"/>
      <c r="BY406" s="408"/>
      <c r="BZ406" s="408"/>
      <c r="CA406" s="408"/>
      <c r="CB406" s="408"/>
      <c r="CC406" s="408"/>
      <c r="CD406" s="408"/>
      <c r="CE406" s="408"/>
      <c r="CF406" s="408"/>
      <c r="CG406" s="408"/>
      <c r="CH406" s="408"/>
      <c r="CI406" s="408">
        <v>26822.787200000002</v>
      </c>
      <c r="CJ406" s="408">
        <v>-9309.8081700000002</v>
      </c>
      <c r="CK406" s="408"/>
      <c r="CL406" s="408"/>
      <c r="CM406" s="408"/>
      <c r="CN406" s="408"/>
      <c r="CO406" s="408">
        <v>-17428.245559999999</v>
      </c>
      <c r="CP406" s="408">
        <v>1910.3459099999989</v>
      </c>
      <c r="CQ406" s="408">
        <v>29</v>
      </c>
      <c r="CR406" s="408">
        <v>2573.5680989030152</v>
      </c>
      <c r="CS406" s="408">
        <v>57.57897099559051</v>
      </c>
      <c r="CT406" s="408">
        <v>86.731831163615084</v>
      </c>
      <c r="CU406" s="408">
        <v>0</v>
      </c>
      <c r="CV406" s="408">
        <v>0</v>
      </c>
      <c r="CW406" s="408">
        <v>0</v>
      </c>
      <c r="CX406" s="408">
        <v>0</v>
      </c>
      <c r="CY406" s="408">
        <v>0</v>
      </c>
      <c r="CZ406" s="408">
        <v>203.51640315792611</v>
      </c>
      <c r="DA406" s="408">
        <v>0</v>
      </c>
      <c r="DB406" s="408">
        <v>0</v>
      </c>
      <c r="DC406" s="408">
        <v>1909.7672104414232</v>
      </c>
      <c r="DD406" s="408">
        <v>0</v>
      </c>
      <c r="DE406" s="408">
        <v>0</v>
      </c>
      <c r="DF406" s="408">
        <v>0</v>
      </c>
      <c r="DG406" s="408">
        <v>319.50048418343658</v>
      </c>
      <c r="DH406" s="408">
        <v>0</v>
      </c>
      <c r="DI406" s="408">
        <v>0</v>
      </c>
      <c r="DJ406" s="408"/>
      <c r="DK406" s="408">
        <v>0</v>
      </c>
      <c r="DL406" s="408">
        <v>0</v>
      </c>
      <c r="DM406" s="408">
        <v>0</v>
      </c>
      <c r="DN406" s="408">
        <v>0</v>
      </c>
      <c r="DO406" s="408">
        <v>0</v>
      </c>
      <c r="DP406" s="408">
        <v>-3.5268010389725077</v>
      </c>
      <c r="DQ406" s="408">
        <v>0</v>
      </c>
      <c r="DR406" s="408">
        <v>0</v>
      </c>
      <c r="DS406" s="408"/>
      <c r="DT406" s="408"/>
      <c r="DU406" s="408"/>
      <c r="DV406" s="408">
        <v>32249.56028300288</v>
      </c>
      <c r="DW406" s="408">
        <v>0</v>
      </c>
      <c r="DX406" s="408">
        <v>0</v>
      </c>
      <c r="DY406" s="408">
        <v>-17428.245559999999</v>
      </c>
      <c r="DZ406" s="408">
        <v>1910.34591</v>
      </c>
      <c r="EA406" s="408">
        <v>0</v>
      </c>
      <c r="EB406" s="408">
        <v>0</v>
      </c>
      <c r="EC406" s="408">
        <v>-18091.671122342792</v>
      </c>
      <c r="ED406" s="408">
        <v>0</v>
      </c>
      <c r="EE406" s="408">
        <v>0</v>
      </c>
      <c r="EF406" s="408">
        <v>0</v>
      </c>
      <c r="EG406" s="408">
        <v>0</v>
      </c>
      <c r="EH406" s="408">
        <v>0</v>
      </c>
      <c r="EI406" s="408">
        <v>0</v>
      </c>
      <c r="EJ406" s="408">
        <v>0</v>
      </c>
      <c r="EK406" s="408">
        <v>0</v>
      </c>
      <c r="EL406" s="408">
        <v>0</v>
      </c>
      <c r="EM406" s="408">
        <v>0</v>
      </c>
      <c r="EN406" s="408">
        <v>0</v>
      </c>
      <c r="EO406" s="408">
        <v>0</v>
      </c>
      <c r="EP406" s="408">
        <v>0</v>
      </c>
      <c r="EQ406" s="408">
        <v>0</v>
      </c>
      <c r="ER406" s="408">
        <v>0</v>
      </c>
      <c r="ES406" s="408">
        <v>0</v>
      </c>
      <c r="ET406" s="408">
        <v>0</v>
      </c>
      <c r="EU406" s="408">
        <v>0</v>
      </c>
      <c r="EV406" s="408">
        <v>238</v>
      </c>
      <c r="EW406" s="408">
        <v>0</v>
      </c>
      <c r="EX406" s="408">
        <v>0</v>
      </c>
      <c r="EY406" s="408">
        <v>0</v>
      </c>
      <c r="EZ406" s="408"/>
      <c r="FA406" s="408">
        <v>0</v>
      </c>
      <c r="FB406" s="408"/>
      <c r="FC406" s="408"/>
      <c r="FD406" s="408"/>
      <c r="FE406" s="408"/>
      <c r="FF406" s="408">
        <v>0</v>
      </c>
      <c r="FG406" s="408">
        <v>0</v>
      </c>
      <c r="FH406" s="408">
        <v>0</v>
      </c>
      <c r="FI406" s="408">
        <v>0</v>
      </c>
    </row>
    <row r="407" spans="1:165">
      <c r="A407" s="408">
        <v>411</v>
      </c>
      <c r="B407" s="408" t="s">
        <v>2237</v>
      </c>
      <c r="C407" s="408" t="s">
        <v>2235</v>
      </c>
      <c r="D407" s="408" t="s">
        <v>1955</v>
      </c>
      <c r="E407" s="408" t="s">
        <v>969</v>
      </c>
      <c r="F407" s="408" t="s">
        <v>2240</v>
      </c>
      <c r="G407" s="408" t="s">
        <v>1322</v>
      </c>
      <c r="H407" s="408" t="s">
        <v>1322</v>
      </c>
      <c r="I407" s="408" t="s">
        <v>1322</v>
      </c>
      <c r="J407" s="408" t="s">
        <v>2236</v>
      </c>
      <c r="K407" s="824">
        <v>44593</v>
      </c>
      <c r="L407" s="408">
        <v>0</v>
      </c>
      <c r="M407" s="408">
        <v>0</v>
      </c>
      <c r="N407" s="408">
        <v>-0.04</v>
      </c>
      <c r="O407" s="408">
        <v>-0.04</v>
      </c>
      <c r="P407" s="408">
        <v>-0.04</v>
      </c>
      <c r="Q407" s="408">
        <v>-0.04</v>
      </c>
      <c r="R407" s="408"/>
      <c r="S407" s="408">
        <v>510.28</v>
      </c>
      <c r="T407" s="408">
        <v>209.4</v>
      </c>
      <c r="U407" s="408"/>
      <c r="V407" s="408">
        <v>-28.787200000000002</v>
      </c>
      <c r="W407" s="408">
        <v>-28.787200000000002</v>
      </c>
      <c r="X407" s="408">
        <v>-21.369199999999999</v>
      </c>
      <c r="Y407" s="408">
        <v>0</v>
      </c>
      <c r="Z407" s="408">
        <v>0</v>
      </c>
      <c r="AA407" s="408">
        <v>0</v>
      </c>
      <c r="AB407" s="408">
        <v>0</v>
      </c>
      <c r="AC407" s="408">
        <v>0</v>
      </c>
      <c r="AD407" s="408">
        <v>-2.96764579183258</v>
      </c>
      <c r="AE407" s="408">
        <v>-15.41621247559204</v>
      </c>
      <c r="AF407" s="408">
        <v>-8.266029831641001</v>
      </c>
      <c r="AG407" s="408">
        <v>-0.1101185985675176</v>
      </c>
      <c r="AH407" s="408">
        <v>0</v>
      </c>
      <c r="AI407" s="408">
        <v>0</v>
      </c>
      <c r="AJ407" s="408">
        <v>0</v>
      </c>
      <c r="AK407" s="408">
        <v>0</v>
      </c>
      <c r="AL407" s="408">
        <v>0</v>
      </c>
      <c r="AM407" s="408"/>
      <c r="AN407" s="408">
        <v>-7.2918572633154807E-2</v>
      </c>
      <c r="AO407" s="408">
        <v>-0.22797923100240802</v>
      </c>
      <c r="AP407" s="408">
        <v>-0.34340759881982236</v>
      </c>
      <c r="AQ407" s="408">
        <v>0</v>
      </c>
      <c r="AR407" s="408">
        <v>0</v>
      </c>
      <c r="AS407" s="408">
        <v>0</v>
      </c>
      <c r="AT407" s="408">
        <v>0</v>
      </c>
      <c r="AU407" s="408">
        <v>0</v>
      </c>
      <c r="AV407" s="408">
        <v>0</v>
      </c>
      <c r="AW407" s="408">
        <v>0</v>
      </c>
      <c r="AX407" s="408">
        <v>0</v>
      </c>
      <c r="AY407" s="408">
        <v>0</v>
      </c>
      <c r="AZ407" s="408">
        <v>0</v>
      </c>
      <c r="BA407" s="408"/>
      <c r="BB407" s="408">
        <v>0</v>
      </c>
      <c r="BC407" s="408">
        <v>0</v>
      </c>
      <c r="BD407" s="408">
        <v>0</v>
      </c>
      <c r="BE407" s="408">
        <v>0</v>
      </c>
      <c r="BF407" s="408">
        <v>0</v>
      </c>
      <c r="BG407" s="408">
        <v>-1.3828913382975561</v>
      </c>
      <c r="BH407" s="408">
        <v>0</v>
      </c>
      <c r="BI407" s="408">
        <v>-0.03</v>
      </c>
      <c r="BJ407" s="408">
        <v>-0.17</v>
      </c>
      <c r="BK407" s="408">
        <v>-4.34</v>
      </c>
      <c r="BL407" s="408">
        <v>0</v>
      </c>
      <c r="BM407" s="408"/>
      <c r="BN407" s="408"/>
      <c r="BO407" s="408"/>
      <c r="BP407" s="408"/>
      <c r="BQ407" s="408"/>
      <c r="BR407" s="408"/>
      <c r="BS407" s="408"/>
      <c r="BT407" s="408">
        <v>-8.5475999999999992</v>
      </c>
      <c r="BU407" s="408"/>
      <c r="BV407" s="408">
        <v>-9.6489211699385571</v>
      </c>
      <c r="BW407" s="408"/>
      <c r="BX407" s="408"/>
      <c r="BY407" s="408"/>
      <c r="BZ407" s="408"/>
      <c r="CA407" s="408"/>
      <c r="CB407" s="408"/>
      <c r="CC407" s="408"/>
      <c r="CD407" s="408"/>
      <c r="CE407" s="408"/>
      <c r="CF407" s="408"/>
      <c r="CG407" s="408"/>
      <c r="CH407" s="408"/>
      <c r="CI407" s="408">
        <v>-12.8216</v>
      </c>
      <c r="CJ407" s="408">
        <v>4.4207999999999998</v>
      </c>
      <c r="CK407" s="408"/>
      <c r="CL407" s="408"/>
      <c r="CM407" s="408"/>
      <c r="CN407" s="408"/>
      <c r="CO407" s="408">
        <v>8.3311999999999991</v>
      </c>
      <c r="CP407" s="408">
        <v>-0.91319999999999935</v>
      </c>
      <c r="CQ407" s="408">
        <v>29</v>
      </c>
      <c r="CR407" s="408">
        <v>-1.2302391810906261</v>
      </c>
      <c r="CS407" s="408">
        <v>-2.7524395470961194E-2</v>
      </c>
      <c r="CT407" s="408">
        <v>-4.1460296694965204E-2</v>
      </c>
      <c r="CU407" s="408">
        <v>0</v>
      </c>
      <c r="CV407" s="408">
        <v>0</v>
      </c>
      <c r="CW407" s="408">
        <v>0</v>
      </c>
      <c r="CX407" s="408">
        <v>0</v>
      </c>
      <c r="CY407" s="408">
        <v>0</v>
      </c>
      <c r="CZ407" s="408">
        <v>-9.7286663316287658E-2</v>
      </c>
      <c r="DA407" s="408">
        <v>0</v>
      </c>
      <c r="DB407" s="408">
        <v>0</v>
      </c>
      <c r="DC407" s="408">
        <v>-0.91292336505439842</v>
      </c>
      <c r="DD407" s="408">
        <v>0</v>
      </c>
      <c r="DE407" s="408">
        <v>0</v>
      </c>
      <c r="DF407" s="408">
        <v>0</v>
      </c>
      <c r="DG407" s="408">
        <v>-0.15273037235246778</v>
      </c>
      <c r="DH407" s="408">
        <v>0</v>
      </c>
      <c r="DI407" s="408">
        <v>0</v>
      </c>
      <c r="DJ407" s="408"/>
      <c r="DK407" s="408">
        <v>0</v>
      </c>
      <c r="DL407" s="408">
        <v>0</v>
      </c>
      <c r="DM407" s="408">
        <v>0</v>
      </c>
      <c r="DN407" s="408">
        <v>0</v>
      </c>
      <c r="DO407" s="408">
        <v>0</v>
      </c>
      <c r="DP407" s="408">
        <v>1.6859117984499988E-3</v>
      </c>
      <c r="DQ407" s="408">
        <v>0</v>
      </c>
      <c r="DR407" s="408">
        <v>0</v>
      </c>
      <c r="DS407" s="408"/>
      <c r="DT407" s="408"/>
      <c r="DU407" s="408"/>
      <c r="DV407" s="408">
        <v>-15.41621247559204</v>
      </c>
      <c r="DW407" s="408">
        <v>0</v>
      </c>
      <c r="DX407" s="408">
        <v>0</v>
      </c>
      <c r="DY407" s="408">
        <v>8.3312000000000008</v>
      </c>
      <c r="DZ407" s="408">
        <v>-0.91319999999999801</v>
      </c>
      <c r="EA407" s="408">
        <v>0</v>
      </c>
      <c r="EB407" s="408">
        <v>0</v>
      </c>
      <c r="EC407" s="408">
        <v>8.6483363994133597</v>
      </c>
      <c r="ED407" s="408">
        <v>0</v>
      </c>
      <c r="EE407" s="408">
        <v>0</v>
      </c>
      <c r="EF407" s="408">
        <v>0</v>
      </c>
      <c r="EG407" s="408">
        <v>0</v>
      </c>
      <c r="EH407" s="408">
        <v>0</v>
      </c>
      <c r="EI407" s="408">
        <v>0</v>
      </c>
      <c r="EJ407" s="408">
        <v>0</v>
      </c>
      <c r="EK407" s="408">
        <v>0</v>
      </c>
      <c r="EL407" s="408">
        <v>0</v>
      </c>
      <c r="EM407" s="408">
        <v>0</v>
      </c>
      <c r="EN407" s="408">
        <v>0</v>
      </c>
      <c r="EO407" s="408">
        <v>0</v>
      </c>
      <c r="EP407" s="408">
        <v>0</v>
      </c>
      <c r="EQ407" s="408">
        <v>0</v>
      </c>
      <c r="ER407" s="408">
        <v>0</v>
      </c>
      <c r="ES407" s="408">
        <v>0</v>
      </c>
      <c r="ET407" s="408">
        <v>0</v>
      </c>
      <c r="EU407" s="408">
        <v>0</v>
      </c>
      <c r="EV407" s="408">
        <v>238</v>
      </c>
      <c r="EW407" s="408">
        <v>0</v>
      </c>
      <c r="EX407" s="408">
        <v>0</v>
      </c>
      <c r="EY407" s="408">
        <v>0</v>
      </c>
      <c r="EZ407" s="408"/>
      <c r="FA407" s="408">
        <v>0</v>
      </c>
      <c r="FB407" s="408"/>
      <c r="FC407" s="408"/>
      <c r="FD407" s="408"/>
      <c r="FE407" s="408"/>
      <c r="FF407" s="408">
        <v>0</v>
      </c>
      <c r="FG407" s="408">
        <v>0</v>
      </c>
      <c r="FH407" s="408">
        <v>0</v>
      </c>
      <c r="FI407" s="408">
        <v>0</v>
      </c>
    </row>
    <row r="408" spans="1:165">
      <c r="A408" s="408">
        <v>412</v>
      </c>
      <c r="B408" s="408" t="s">
        <v>2238</v>
      </c>
      <c r="C408" s="408" t="s">
        <v>2235</v>
      </c>
      <c r="D408" s="408" t="s">
        <v>1955</v>
      </c>
      <c r="E408" s="408" t="s">
        <v>969</v>
      </c>
      <c r="F408" s="408" t="s">
        <v>2240</v>
      </c>
      <c r="G408" s="408" t="s">
        <v>1322</v>
      </c>
      <c r="H408" s="408" t="s">
        <v>1322</v>
      </c>
      <c r="I408" s="408" t="s">
        <v>1322</v>
      </c>
      <c r="J408" s="408" t="s">
        <v>2236</v>
      </c>
      <c r="K408" s="824">
        <v>44593</v>
      </c>
      <c r="L408" s="408">
        <v>0</v>
      </c>
      <c r="M408" s="408">
        <v>0</v>
      </c>
      <c r="N408" s="408">
        <v>7.0000000000000007E-2</v>
      </c>
      <c r="O408" s="408">
        <v>4.2000000000000003E-2</v>
      </c>
      <c r="P408" s="408">
        <v>7.0000000000000007E-2</v>
      </c>
      <c r="Q408" s="408">
        <v>4.2000000000000003E-2</v>
      </c>
      <c r="R408" s="408"/>
      <c r="S408" s="408">
        <v>510.28</v>
      </c>
      <c r="T408" s="408">
        <v>209.4</v>
      </c>
      <c r="U408" s="408"/>
      <c r="V408" s="408">
        <v>50.377600000000001</v>
      </c>
      <c r="W408" s="408">
        <v>50.377600000000001</v>
      </c>
      <c r="X408" s="408">
        <v>37.396100000000004</v>
      </c>
      <c r="Y408" s="408">
        <v>0</v>
      </c>
      <c r="Z408" s="408">
        <v>0</v>
      </c>
      <c r="AA408" s="408">
        <v>0</v>
      </c>
      <c r="AB408" s="408">
        <v>0</v>
      </c>
      <c r="AC408" s="408">
        <v>0</v>
      </c>
      <c r="AD408" s="408">
        <v>5.1933801357070148</v>
      </c>
      <c r="AE408" s="408">
        <v>26.978371832286072</v>
      </c>
      <c r="AF408" s="408">
        <v>14.465552205371752</v>
      </c>
      <c r="AG408" s="408">
        <v>0.19270754749315583</v>
      </c>
      <c r="AH408" s="408">
        <v>0</v>
      </c>
      <c r="AI408" s="408">
        <v>0</v>
      </c>
      <c r="AJ408" s="408">
        <v>0</v>
      </c>
      <c r="AK408" s="408">
        <v>0</v>
      </c>
      <c r="AL408" s="408">
        <v>0</v>
      </c>
      <c r="AM408" s="408"/>
      <c r="AN408" s="408">
        <v>0.12760750210802091</v>
      </c>
      <c r="AO408" s="408">
        <v>0.39896365425421404</v>
      </c>
      <c r="AP408" s="408">
        <v>0.60096329793468917</v>
      </c>
      <c r="AQ408" s="408">
        <v>0</v>
      </c>
      <c r="AR408" s="408">
        <v>0</v>
      </c>
      <c r="AS408" s="408">
        <v>0</v>
      </c>
      <c r="AT408" s="408">
        <v>0</v>
      </c>
      <c r="AU408" s="408">
        <v>0</v>
      </c>
      <c r="AV408" s="408">
        <v>0</v>
      </c>
      <c r="AW408" s="408">
        <v>0</v>
      </c>
      <c r="AX408" s="408">
        <v>0</v>
      </c>
      <c r="AY408" s="408">
        <v>0</v>
      </c>
      <c r="AZ408" s="408">
        <v>0</v>
      </c>
      <c r="BA408" s="408"/>
      <c r="BB408" s="408">
        <v>0</v>
      </c>
      <c r="BC408" s="408">
        <v>0</v>
      </c>
      <c r="BD408" s="408">
        <v>0</v>
      </c>
      <c r="BE408" s="408">
        <v>0</v>
      </c>
      <c r="BF408" s="408">
        <v>0</v>
      </c>
      <c r="BG408" s="408">
        <v>2.4200598420207231</v>
      </c>
      <c r="BH408" s="408">
        <v>0</v>
      </c>
      <c r="BI408" s="408">
        <v>0.06</v>
      </c>
      <c r="BJ408" s="408">
        <v>0.26</v>
      </c>
      <c r="BK408" s="408">
        <v>7.58</v>
      </c>
      <c r="BL408" s="408">
        <v>0</v>
      </c>
      <c r="BM408" s="408"/>
      <c r="BN408" s="408"/>
      <c r="BO408" s="408"/>
      <c r="BP408" s="408"/>
      <c r="BQ408" s="408"/>
      <c r="BR408" s="408"/>
      <c r="BS408" s="408"/>
      <c r="BT408" s="408">
        <v>23.933419999999998</v>
      </c>
      <c r="BU408" s="408"/>
      <c r="BV408" s="408">
        <v>16.885612047392474</v>
      </c>
      <c r="BW408" s="408"/>
      <c r="BX408" s="408"/>
      <c r="BY408" s="408"/>
      <c r="BZ408" s="408"/>
      <c r="CA408" s="408"/>
      <c r="CB408" s="408"/>
      <c r="CC408" s="408"/>
      <c r="CD408" s="408"/>
      <c r="CE408" s="408"/>
      <c r="CF408" s="408"/>
      <c r="CG408" s="408"/>
      <c r="CH408" s="408"/>
      <c r="CI408" s="408">
        <v>12.8216</v>
      </c>
      <c r="CJ408" s="408">
        <v>-5.3444200000000031</v>
      </c>
      <c r="CK408" s="408"/>
      <c r="CL408" s="408"/>
      <c r="CM408" s="408"/>
      <c r="CN408" s="408"/>
      <c r="CO408" s="408">
        <v>-14.579599999999999</v>
      </c>
      <c r="CP408" s="408">
        <v>1.598099999999999</v>
      </c>
      <c r="CQ408" s="408">
        <v>29</v>
      </c>
      <c r="CR408" s="408">
        <v>2.1529185669086139</v>
      </c>
      <c r="CS408" s="408">
        <v>4.8167692074182145E-2</v>
      </c>
      <c r="CT408" s="408">
        <v>7.255551921618919E-2</v>
      </c>
      <c r="CU408" s="408">
        <v>0</v>
      </c>
      <c r="CV408" s="408">
        <v>0</v>
      </c>
      <c r="CW408" s="408">
        <v>0</v>
      </c>
      <c r="CX408" s="408">
        <v>0</v>
      </c>
      <c r="CY408" s="408">
        <v>0</v>
      </c>
      <c r="CZ408" s="408">
        <v>0.17025166080350473</v>
      </c>
      <c r="DA408" s="408">
        <v>0</v>
      </c>
      <c r="DB408" s="408">
        <v>0</v>
      </c>
      <c r="DC408" s="408">
        <v>1.5976158888451994</v>
      </c>
      <c r="DD408" s="408">
        <v>0</v>
      </c>
      <c r="DE408" s="408">
        <v>0</v>
      </c>
      <c r="DF408" s="408">
        <v>0</v>
      </c>
      <c r="DG408" s="408">
        <v>0.26727815161681878</v>
      </c>
      <c r="DH408" s="408">
        <v>0</v>
      </c>
      <c r="DI408" s="408">
        <v>0</v>
      </c>
      <c r="DJ408" s="408"/>
      <c r="DK408" s="408">
        <v>0</v>
      </c>
      <c r="DL408" s="408">
        <v>0</v>
      </c>
      <c r="DM408" s="408">
        <v>0</v>
      </c>
      <c r="DN408" s="408">
        <v>0</v>
      </c>
      <c r="DO408" s="408">
        <v>0</v>
      </c>
      <c r="DP408" s="408">
        <v>-2.9503456472874945E-3</v>
      </c>
      <c r="DQ408" s="408">
        <v>0</v>
      </c>
      <c r="DR408" s="408">
        <v>0</v>
      </c>
      <c r="DS408" s="408"/>
      <c r="DT408" s="408"/>
      <c r="DU408" s="408"/>
      <c r="DV408" s="408">
        <v>26.978371832286072</v>
      </c>
      <c r="DW408" s="408">
        <v>0</v>
      </c>
      <c r="DX408" s="408">
        <v>0</v>
      </c>
      <c r="DY408" s="408">
        <v>-14.579599999999999</v>
      </c>
      <c r="DZ408" s="408">
        <v>1.5980999999999987</v>
      </c>
      <c r="EA408" s="408">
        <v>0</v>
      </c>
      <c r="EB408" s="408">
        <v>0</v>
      </c>
      <c r="EC408" s="408">
        <v>-15.13458869897338</v>
      </c>
      <c r="ED408" s="408">
        <v>0</v>
      </c>
      <c r="EE408" s="408">
        <v>0</v>
      </c>
      <c r="EF408" s="408">
        <v>0</v>
      </c>
      <c r="EG408" s="408">
        <v>0</v>
      </c>
      <c r="EH408" s="408">
        <v>0</v>
      </c>
      <c r="EI408" s="408">
        <v>0</v>
      </c>
      <c r="EJ408" s="408">
        <v>0</v>
      </c>
      <c r="EK408" s="408">
        <v>0</v>
      </c>
      <c r="EL408" s="408">
        <v>0</v>
      </c>
      <c r="EM408" s="408">
        <v>0</v>
      </c>
      <c r="EN408" s="408">
        <v>0</v>
      </c>
      <c r="EO408" s="408">
        <v>0</v>
      </c>
      <c r="EP408" s="408">
        <v>0</v>
      </c>
      <c r="EQ408" s="408">
        <v>0</v>
      </c>
      <c r="ER408" s="408">
        <v>0</v>
      </c>
      <c r="ES408" s="408">
        <v>0</v>
      </c>
      <c r="ET408" s="408">
        <v>0</v>
      </c>
      <c r="EU408" s="408">
        <v>0</v>
      </c>
      <c r="EV408" s="408">
        <v>238</v>
      </c>
      <c r="EW408" s="408">
        <v>0</v>
      </c>
      <c r="EX408" s="408">
        <v>0</v>
      </c>
      <c r="EY408" s="408">
        <v>0</v>
      </c>
      <c r="EZ408" s="408"/>
      <c r="FA408" s="408">
        <v>0</v>
      </c>
      <c r="FB408" s="408"/>
      <c r="FC408" s="408"/>
      <c r="FD408" s="408"/>
      <c r="FE408" s="408"/>
      <c r="FF408" s="408">
        <v>0</v>
      </c>
      <c r="FG408" s="408">
        <v>0</v>
      </c>
      <c r="FH408" s="408">
        <v>0</v>
      </c>
      <c r="FI408" s="408">
        <v>0</v>
      </c>
    </row>
    <row r="409" spans="1:165">
      <c r="A409" s="408">
        <v>413</v>
      </c>
      <c r="B409" s="408" t="s">
        <v>1036</v>
      </c>
      <c r="C409" s="408" t="s">
        <v>2235</v>
      </c>
      <c r="D409" s="408" t="s">
        <v>1955</v>
      </c>
      <c r="E409" s="408" t="s">
        <v>969</v>
      </c>
      <c r="F409" s="408" t="s">
        <v>2241</v>
      </c>
      <c r="G409" s="408" t="s">
        <v>1322</v>
      </c>
      <c r="H409" s="408" t="s">
        <v>1322</v>
      </c>
      <c r="I409" s="408" t="s">
        <v>1322</v>
      </c>
      <c r="J409" s="408" t="s">
        <v>2236</v>
      </c>
      <c r="K409" s="824">
        <v>44593</v>
      </c>
      <c r="L409" s="408">
        <v>0</v>
      </c>
      <c r="M409" s="408">
        <v>0</v>
      </c>
      <c r="N409" s="408">
        <v>93.858000000000004</v>
      </c>
      <c r="O409" s="408">
        <v>93.858000000000004</v>
      </c>
      <c r="P409" s="408">
        <v>93.858000000000004</v>
      </c>
      <c r="Q409" s="408">
        <v>93.858000000000004</v>
      </c>
      <c r="R409" s="408"/>
      <c r="S409" s="408">
        <v>510.28</v>
      </c>
      <c r="T409" s="408">
        <v>209.4</v>
      </c>
      <c r="U409" s="408"/>
      <c r="V409" s="408">
        <v>67547.725440000009</v>
      </c>
      <c r="W409" s="408">
        <v>67547.725440000009</v>
      </c>
      <c r="X409" s="408">
        <v>50141.759340000004</v>
      </c>
      <c r="Y409" s="408">
        <v>0</v>
      </c>
      <c r="Z409" s="408">
        <v>0</v>
      </c>
      <c r="AA409" s="408">
        <v>0</v>
      </c>
      <c r="AB409" s="408">
        <v>0</v>
      </c>
      <c r="AC409" s="408">
        <v>0</v>
      </c>
      <c r="AD409" s="408">
        <v>6963.4324682455572</v>
      </c>
      <c r="AE409" s="408">
        <v>36173.371763352945</v>
      </c>
      <c r="AF409" s="408">
        <v>19395.825698454024</v>
      </c>
      <c r="AG409" s="408">
        <v>258.3877856087517</v>
      </c>
      <c r="AH409" s="408">
        <v>0</v>
      </c>
      <c r="AI409" s="408">
        <v>0</v>
      </c>
      <c r="AJ409" s="408">
        <v>0</v>
      </c>
      <c r="AK409" s="408">
        <v>0</v>
      </c>
      <c r="AL409" s="408">
        <v>0</v>
      </c>
      <c r="AM409" s="408"/>
      <c r="AN409" s="408">
        <v>171.09978475506608</v>
      </c>
      <c r="AO409" s="408">
        <v>534.94186658560034</v>
      </c>
      <c r="AP409" s="408">
        <v>805.78876025077227</v>
      </c>
      <c r="AQ409" s="408">
        <v>0</v>
      </c>
      <c r="AR409" s="408">
        <v>0</v>
      </c>
      <c r="AS409" s="408">
        <v>0</v>
      </c>
      <c r="AT409" s="408">
        <v>0</v>
      </c>
      <c r="AU409" s="408">
        <v>0</v>
      </c>
      <c r="AV409" s="408">
        <v>0</v>
      </c>
      <c r="AW409" s="408">
        <v>0</v>
      </c>
      <c r="AX409" s="408">
        <v>0</v>
      </c>
      <c r="AY409" s="408">
        <v>0</v>
      </c>
      <c r="AZ409" s="408">
        <v>0</v>
      </c>
      <c r="BA409" s="408"/>
      <c r="BB409" s="408">
        <v>0</v>
      </c>
      <c r="BC409" s="408">
        <v>0</v>
      </c>
      <c r="BD409" s="408">
        <v>0</v>
      </c>
      <c r="BE409" s="408">
        <v>0</v>
      </c>
      <c r="BF409" s="408">
        <v>0</v>
      </c>
      <c r="BG409" s="408">
        <v>3244.8853807483006</v>
      </c>
      <c r="BH409" s="408">
        <v>0</v>
      </c>
      <c r="BI409" s="408">
        <v>113.68</v>
      </c>
      <c r="BJ409" s="408">
        <v>529.27</v>
      </c>
      <c r="BK409" s="408">
        <v>15233.51</v>
      </c>
      <c r="BL409" s="408">
        <v>621</v>
      </c>
      <c r="BM409" s="408"/>
      <c r="BN409" s="408"/>
      <c r="BO409" s="408"/>
      <c r="BP409" s="408"/>
      <c r="BQ409" s="408"/>
      <c r="BR409" s="408"/>
      <c r="BS409" s="408"/>
      <c r="BT409" s="408">
        <v>5014.8329399999984</v>
      </c>
      <c r="BU409" s="408"/>
      <c r="BV409" s="408">
        <v>22640.711079202323</v>
      </c>
      <c r="BW409" s="408"/>
      <c r="BX409" s="408"/>
      <c r="BY409" s="408"/>
      <c r="BZ409" s="408"/>
      <c r="CA409" s="408"/>
      <c r="CB409" s="408"/>
      <c r="CC409" s="408"/>
      <c r="CD409" s="408"/>
      <c r="CE409" s="408"/>
      <c r="CF409" s="408"/>
      <c r="CG409" s="408"/>
      <c r="CH409" s="408"/>
      <c r="CI409" s="408">
        <v>45127.888000000006</v>
      </c>
      <c r="CJ409" s="408">
        <v>-15664.907180000002</v>
      </c>
      <c r="CK409" s="408"/>
      <c r="CL409" s="408"/>
      <c r="CM409" s="408"/>
      <c r="CN409" s="408"/>
      <c r="CO409" s="408">
        <v>-19548.74424</v>
      </c>
      <c r="CP409" s="408">
        <v>2142.7781399999985</v>
      </c>
      <c r="CQ409" s="408">
        <v>29</v>
      </c>
      <c r="CR409" s="408">
        <v>2886.6947264701266</v>
      </c>
      <c r="CS409" s="408">
        <v>64.584617752836834</v>
      </c>
      <c r="CT409" s="408">
        <v>97.284513179901069</v>
      </c>
      <c r="CU409" s="408">
        <v>0</v>
      </c>
      <c r="CV409" s="408">
        <v>0</v>
      </c>
      <c r="CW409" s="408">
        <v>0</v>
      </c>
      <c r="CX409" s="408">
        <v>0</v>
      </c>
      <c r="CY409" s="408">
        <v>0</v>
      </c>
      <c r="CZ409" s="408">
        <v>228.27829113850385</v>
      </c>
      <c r="DA409" s="408">
        <v>0</v>
      </c>
      <c r="DB409" s="408">
        <v>0</v>
      </c>
      <c r="DC409" s="408">
        <v>2142.1290299318971</v>
      </c>
      <c r="DD409" s="408">
        <v>0</v>
      </c>
      <c r="DE409" s="408">
        <v>0</v>
      </c>
      <c r="DF409" s="408">
        <v>0</v>
      </c>
      <c r="DG409" s="408">
        <v>358.37418220644804</v>
      </c>
      <c r="DH409" s="408">
        <v>0</v>
      </c>
      <c r="DI409" s="408">
        <v>0</v>
      </c>
      <c r="DJ409" s="408"/>
      <c r="DK409" s="408">
        <v>0</v>
      </c>
      <c r="DL409" s="408">
        <v>0</v>
      </c>
      <c r="DM409" s="408">
        <v>0</v>
      </c>
      <c r="DN409" s="408">
        <v>0</v>
      </c>
      <c r="DO409" s="408">
        <v>0</v>
      </c>
      <c r="DP409" s="408">
        <v>-3.9559077394729911</v>
      </c>
      <c r="DQ409" s="408">
        <v>0</v>
      </c>
      <c r="DR409" s="408">
        <v>0</v>
      </c>
      <c r="DS409" s="408"/>
      <c r="DT409" s="408"/>
      <c r="DU409" s="408"/>
      <c r="DV409" s="408">
        <v>36173.371763352945</v>
      </c>
      <c r="DW409" s="408">
        <v>0</v>
      </c>
      <c r="DX409" s="408">
        <v>0</v>
      </c>
      <c r="DY409" s="408">
        <v>-19548.74424</v>
      </c>
      <c r="DZ409" s="408">
        <v>2142.7781399999985</v>
      </c>
      <c r="EA409" s="408">
        <v>0</v>
      </c>
      <c r="EB409" s="408">
        <v>0</v>
      </c>
      <c r="EC409" s="408">
        <v>-20292.888944403479</v>
      </c>
      <c r="ED409" s="408">
        <v>0</v>
      </c>
      <c r="EE409" s="408">
        <v>0</v>
      </c>
      <c r="EF409" s="408">
        <v>0</v>
      </c>
      <c r="EG409" s="408">
        <v>0</v>
      </c>
      <c r="EH409" s="408">
        <v>0</v>
      </c>
      <c r="EI409" s="408">
        <v>0</v>
      </c>
      <c r="EJ409" s="408">
        <v>0</v>
      </c>
      <c r="EK409" s="408">
        <v>0</v>
      </c>
      <c r="EL409" s="408">
        <v>0</v>
      </c>
      <c r="EM409" s="408">
        <v>0</v>
      </c>
      <c r="EN409" s="408">
        <v>0</v>
      </c>
      <c r="EO409" s="408">
        <v>0</v>
      </c>
      <c r="EP409" s="408">
        <v>0</v>
      </c>
      <c r="EQ409" s="408">
        <v>0</v>
      </c>
      <c r="ER409" s="408">
        <v>0</v>
      </c>
      <c r="ES409" s="408">
        <v>0</v>
      </c>
      <c r="ET409" s="408">
        <v>0</v>
      </c>
      <c r="EU409" s="408">
        <v>0</v>
      </c>
      <c r="EV409" s="408">
        <v>238</v>
      </c>
      <c r="EW409" s="408">
        <v>0</v>
      </c>
      <c r="EX409" s="408">
        <v>0</v>
      </c>
      <c r="EY409" s="408">
        <v>0</v>
      </c>
      <c r="EZ409" s="408"/>
      <c r="FA409" s="408">
        <v>0</v>
      </c>
      <c r="FB409" s="408"/>
      <c r="FC409" s="408"/>
      <c r="FD409" s="408"/>
      <c r="FE409" s="408"/>
      <c r="FF409" s="408">
        <v>0</v>
      </c>
      <c r="FG409" s="408">
        <v>0</v>
      </c>
      <c r="FH409" s="408">
        <v>0</v>
      </c>
      <c r="FI409" s="408">
        <v>0</v>
      </c>
    </row>
    <row r="410" spans="1:165">
      <c r="A410" s="408">
        <v>414</v>
      </c>
      <c r="B410" s="408" t="s">
        <v>2237</v>
      </c>
      <c r="C410" s="408" t="s">
        <v>2235</v>
      </c>
      <c r="D410" s="408" t="s">
        <v>1955</v>
      </c>
      <c r="E410" s="408" t="s">
        <v>969</v>
      </c>
      <c r="F410" s="408" t="s">
        <v>2241</v>
      </c>
      <c r="G410" s="408" t="s">
        <v>1322</v>
      </c>
      <c r="H410" s="408" t="s">
        <v>1322</v>
      </c>
      <c r="I410" s="408" t="s">
        <v>1322</v>
      </c>
      <c r="J410" s="408" t="s">
        <v>2236</v>
      </c>
      <c r="K410" s="824">
        <v>44593</v>
      </c>
      <c r="L410" s="408">
        <v>0</v>
      </c>
      <c r="M410" s="408">
        <v>0</v>
      </c>
      <c r="N410" s="408">
        <v>-0.10100000000000001</v>
      </c>
      <c r="O410" s="408">
        <v>-0.10100000000000001</v>
      </c>
      <c r="P410" s="408">
        <v>-0.10100000000000001</v>
      </c>
      <c r="Q410" s="408">
        <v>-0.10100000000000001</v>
      </c>
      <c r="R410" s="408"/>
      <c r="S410" s="408">
        <v>510.28</v>
      </c>
      <c r="T410" s="408">
        <v>209.4</v>
      </c>
      <c r="U410" s="408"/>
      <c r="V410" s="408">
        <v>-72.68768</v>
      </c>
      <c r="W410" s="408">
        <v>-72.68768</v>
      </c>
      <c r="X410" s="408">
        <v>-53.957230000000003</v>
      </c>
      <c r="Y410" s="408">
        <v>0</v>
      </c>
      <c r="Z410" s="408">
        <v>0</v>
      </c>
      <c r="AA410" s="408">
        <v>0</v>
      </c>
      <c r="AB410" s="408">
        <v>0</v>
      </c>
      <c r="AC410" s="408">
        <v>0</v>
      </c>
      <c r="AD410" s="408">
        <v>-7.4933056243772649</v>
      </c>
      <c r="AE410" s="408">
        <v>-38.925936500869902</v>
      </c>
      <c r="AF410" s="408">
        <v>-20.871725324893525</v>
      </c>
      <c r="AG410" s="408">
        <v>-0.27804946138298198</v>
      </c>
      <c r="AH410" s="408">
        <v>0</v>
      </c>
      <c r="AI410" s="408">
        <v>0</v>
      </c>
      <c r="AJ410" s="408">
        <v>0</v>
      </c>
      <c r="AK410" s="408">
        <v>0</v>
      </c>
      <c r="AL410" s="408">
        <v>0</v>
      </c>
      <c r="AM410" s="408"/>
      <c r="AN410" s="408">
        <v>-0.18411939589871587</v>
      </c>
      <c r="AO410" s="408">
        <v>-0.57564755828108027</v>
      </c>
      <c r="AP410" s="408">
        <v>-0.86710418702005154</v>
      </c>
      <c r="AQ410" s="408">
        <v>0</v>
      </c>
      <c r="AR410" s="408">
        <v>0</v>
      </c>
      <c r="AS410" s="408">
        <v>0</v>
      </c>
      <c r="AT410" s="408">
        <v>0</v>
      </c>
      <c r="AU410" s="408">
        <v>0</v>
      </c>
      <c r="AV410" s="408">
        <v>0</v>
      </c>
      <c r="AW410" s="408">
        <v>0</v>
      </c>
      <c r="AX410" s="408">
        <v>0</v>
      </c>
      <c r="AY410" s="408">
        <v>0</v>
      </c>
      <c r="AZ410" s="408">
        <v>0</v>
      </c>
      <c r="BA410" s="408"/>
      <c r="BB410" s="408">
        <v>0</v>
      </c>
      <c r="BC410" s="408">
        <v>0</v>
      </c>
      <c r="BD410" s="408">
        <v>0</v>
      </c>
      <c r="BE410" s="408">
        <v>0</v>
      </c>
      <c r="BF410" s="408">
        <v>0</v>
      </c>
      <c r="BG410" s="408">
        <v>-3.4918006292013293</v>
      </c>
      <c r="BH410" s="408">
        <v>0</v>
      </c>
      <c r="BI410" s="408">
        <v>-0.14000000000000001</v>
      </c>
      <c r="BJ410" s="408">
        <v>-0.63</v>
      </c>
      <c r="BK410" s="408">
        <v>-16.45</v>
      </c>
      <c r="BL410" s="408">
        <v>0</v>
      </c>
      <c r="BM410" s="408"/>
      <c r="BN410" s="408"/>
      <c r="BO410" s="408"/>
      <c r="BP410" s="408"/>
      <c r="BQ410" s="408"/>
      <c r="BR410" s="408"/>
      <c r="BS410" s="408"/>
      <c r="BT410" s="408">
        <v>-5.3964299999999978</v>
      </c>
      <c r="BU410" s="408"/>
      <c r="BV410" s="408">
        <v>-24.363525954094854</v>
      </c>
      <c r="BW410" s="408"/>
      <c r="BX410" s="408"/>
      <c r="BY410" s="408"/>
      <c r="BZ410" s="408"/>
      <c r="CA410" s="408"/>
      <c r="CB410" s="408"/>
      <c r="CC410" s="408"/>
      <c r="CD410" s="408"/>
      <c r="CE410" s="408"/>
      <c r="CF410" s="408"/>
      <c r="CG410" s="408"/>
      <c r="CH410" s="408"/>
      <c r="CI410" s="408">
        <v>-48.080000000000005</v>
      </c>
      <c r="CJ410" s="408">
        <v>17.308709999999998</v>
      </c>
      <c r="CK410" s="408"/>
      <c r="CL410" s="408"/>
      <c r="CM410" s="408"/>
      <c r="CN410" s="408"/>
      <c r="CO410" s="408">
        <v>21.036279999999998</v>
      </c>
      <c r="CP410" s="408">
        <v>-2.3058299999999985</v>
      </c>
      <c r="CQ410" s="408">
        <v>29</v>
      </c>
      <c r="CR410" s="408">
        <v>-3.1063539322538389</v>
      </c>
      <c r="CS410" s="408">
        <v>-6.949909856417702E-2</v>
      </c>
      <c r="CT410" s="408">
        <v>-0.10468724915478711</v>
      </c>
      <c r="CU410" s="408">
        <v>0</v>
      </c>
      <c r="CV410" s="408">
        <v>0</v>
      </c>
      <c r="CW410" s="408">
        <v>0</v>
      </c>
      <c r="CX410" s="408">
        <v>0</v>
      </c>
      <c r="CY410" s="408">
        <v>0</v>
      </c>
      <c r="CZ410" s="408">
        <v>-0.24564882487362638</v>
      </c>
      <c r="DA410" s="408">
        <v>0</v>
      </c>
      <c r="DB410" s="408">
        <v>0</v>
      </c>
      <c r="DC410" s="408">
        <v>-2.3051314967623604</v>
      </c>
      <c r="DD410" s="408">
        <v>0</v>
      </c>
      <c r="DE410" s="408">
        <v>0</v>
      </c>
      <c r="DF410" s="408">
        <v>0</v>
      </c>
      <c r="DG410" s="408">
        <v>-0.3856441901899812</v>
      </c>
      <c r="DH410" s="408">
        <v>0</v>
      </c>
      <c r="DI410" s="408">
        <v>0</v>
      </c>
      <c r="DJ410" s="408"/>
      <c r="DK410" s="408">
        <v>0</v>
      </c>
      <c r="DL410" s="408">
        <v>0</v>
      </c>
      <c r="DM410" s="408">
        <v>0</v>
      </c>
      <c r="DN410" s="408">
        <v>0</v>
      </c>
      <c r="DO410" s="408">
        <v>0</v>
      </c>
      <c r="DP410" s="408">
        <v>4.2569272910862321E-3</v>
      </c>
      <c r="DQ410" s="408">
        <v>0</v>
      </c>
      <c r="DR410" s="408">
        <v>0</v>
      </c>
      <c r="DS410" s="408"/>
      <c r="DT410" s="408"/>
      <c r="DU410" s="408"/>
      <c r="DV410" s="408">
        <v>-38.925936500869902</v>
      </c>
      <c r="DW410" s="408">
        <v>0</v>
      </c>
      <c r="DX410" s="408">
        <v>0</v>
      </c>
      <c r="DY410" s="408">
        <v>21.036279999999998</v>
      </c>
      <c r="DZ410" s="408">
        <v>-2.3058299999999967</v>
      </c>
      <c r="EA410" s="408">
        <v>0</v>
      </c>
      <c r="EB410" s="408">
        <v>0</v>
      </c>
      <c r="EC410" s="408">
        <v>21.837049408518734</v>
      </c>
      <c r="ED410" s="408">
        <v>0</v>
      </c>
      <c r="EE410" s="408">
        <v>0</v>
      </c>
      <c r="EF410" s="408">
        <v>0</v>
      </c>
      <c r="EG410" s="408">
        <v>0</v>
      </c>
      <c r="EH410" s="408">
        <v>0</v>
      </c>
      <c r="EI410" s="408">
        <v>0</v>
      </c>
      <c r="EJ410" s="408">
        <v>0</v>
      </c>
      <c r="EK410" s="408">
        <v>0</v>
      </c>
      <c r="EL410" s="408">
        <v>0</v>
      </c>
      <c r="EM410" s="408">
        <v>0</v>
      </c>
      <c r="EN410" s="408">
        <v>0</v>
      </c>
      <c r="EO410" s="408">
        <v>0</v>
      </c>
      <c r="EP410" s="408">
        <v>0</v>
      </c>
      <c r="EQ410" s="408">
        <v>0</v>
      </c>
      <c r="ER410" s="408">
        <v>0</v>
      </c>
      <c r="ES410" s="408">
        <v>0</v>
      </c>
      <c r="ET410" s="408">
        <v>0</v>
      </c>
      <c r="EU410" s="408">
        <v>0</v>
      </c>
      <c r="EV410" s="408">
        <v>238</v>
      </c>
      <c r="EW410" s="408">
        <v>0</v>
      </c>
      <c r="EX410" s="408">
        <v>0</v>
      </c>
      <c r="EY410" s="408">
        <v>0</v>
      </c>
      <c r="EZ410" s="408"/>
      <c r="FA410" s="408">
        <v>0</v>
      </c>
      <c r="FB410" s="408"/>
      <c r="FC410" s="408"/>
      <c r="FD410" s="408"/>
      <c r="FE410" s="408"/>
      <c r="FF410" s="408">
        <v>0</v>
      </c>
      <c r="FG410" s="408">
        <v>0</v>
      </c>
      <c r="FH410" s="408">
        <v>0</v>
      </c>
      <c r="FI410" s="408">
        <v>0</v>
      </c>
    </row>
    <row r="411" spans="1:165">
      <c r="A411" s="408">
        <v>415</v>
      </c>
      <c r="B411" s="408" t="s">
        <v>2238</v>
      </c>
      <c r="C411" s="408" t="s">
        <v>2235</v>
      </c>
      <c r="D411" s="408" t="s">
        <v>1955</v>
      </c>
      <c r="E411" s="408" t="s">
        <v>969</v>
      </c>
      <c r="F411" s="408" t="s">
        <v>2241</v>
      </c>
      <c r="G411" s="408" t="s">
        <v>1322</v>
      </c>
      <c r="H411" s="408" t="s">
        <v>1322</v>
      </c>
      <c r="I411" s="408" t="s">
        <v>1322</v>
      </c>
      <c r="J411" s="408" t="s">
        <v>2236</v>
      </c>
      <c r="K411" s="824">
        <v>44593</v>
      </c>
      <c r="L411" s="408">
        <v>0</v>
      </c>
      <c r="M411" s="408">
        <v>0</v>
      </c>
      <c r="N411" s="408">
        <v>0.12</v>
      </c>
      <c r="O411" s="408">
        <v>0.108</v>
      </c>
      <c r="P411" s="408">
        <v>0.12</v>
      </c>
      <c r="Q411" s="408">
        <v>0.108</v>
      </c>
      <c r="R411" s="408"/>
      <c r="S411" s="408">
        <v>510.28</v>
      </c>
      <c r="T411" s="408">
        <v>209.4</v>
      </c>
      <c r="U411" s="408"/>
      <c r="V411" s="408">
        <v>86.361599999999996</v>
      </c>
      <c r="W411" s="408">
        <v>86.361599999999996</v>
      </c>
      <c r="X411" s="408">
        <v>64.107600000000005</v>
      </c>
      <c r="Y411" s="408">
        <v>0</v>
      </c>
      <c r="Z411" s="408">
        <v>0</v>
      </c>
      <c r="AA411" s="408">
        <v>0</v>
      </c>
      <c r="AB411" s="408">
        <v>0</v>
      </c>
      <c r="AC411" s="408">
        <v>0</v>
      </c>
      <c r="AD411" s="408">
        <v>8.9029373754977392</v>
      </c>
      <c r="AE411" s="408">
        <v>46.248637426776121</v>
      </c>
      <c r="AF411" s="408">
        <v>24.798089494922998</v>
      </c>
      <c r="AG411" s="408">
        <v>0.3303557957025528</v>
      </c>
      <c r="AH411" s="408">
        <v>0</v>
      </c>
      <c r="AI411" s="408">
        <v>0</v>
      </c>
      <c r="AJ411" s="408">
        <v>0</v>
      </c>
      <c r="AK411" s="408">
        <v>0</v>
      </c>
      <c r="AL411" s="408">
        <v>0</v>
      </c>
      <c r="AM411" s="408"/>
      <c r="AN411" s="408">
        <v>0.21875571789946438</v>
      </c>
      <c r="AO411" s="408">
        <v>0.68393769300722407</v>
      </c>
      <c r="AP411" s="408">
        <v>1.030222796459467</v>
      </c>
      <c r="AQ411" s="408">
        <v>0</v>
      </c>
      <c r="AR411" s="408">
        <v>0</v>
      </c>
      <c r="AS411" s="408">
        <v>0</v>
      </c>
      <c r="AT411" s="408">
        <v>0</v>
      </c>
      <c r="AU411" s="408">
        <v>0</v>
      </c>
      <c r="AV411" s="408">
        <v>0</v>
      </c>
      <c r="AW411" s="408">
        <v>0</v>
      </c>
      <c r="AX411" s="408">
        <v>0</v>
      </c>
      <c r="AY411" s="408">
        <v>0</v>
      </c>
      <c r="AZ411" s="408">
        <v>0</v>
      </c>
      <c r="BA411" s="408"/>
      <c r="BB411" s="408">
        <v>0</v>
      </c>
      <c r="BC411" s="408">
        <v>0</v>
      </c>
      <c r="BD411" s="408">
        <v>0</v>
      </c>
      <c r="BE411" s="408">
        <v>0</v>
      </c>
      <c r="BF411" s="408">
        <v>0</v>
      </c>
      <c r="BG411" s="408">
        <v>4.1486740148926682</v>
      </c>
      <c r="BH411" s="408">
        <v>0</v>
      </c>
      <c r="BI411" s="408">
        <v>0.15</v>
      </c>
      <c r="BJ411" s="408">
        <v>0.67</v>
      </c>
      <c r="BK411" s="408">
        <v>19.5</v>
      </c>
      <c r="BL411" s="408">
        <v>0</v>
      </c>
      <c r="BM411" s="408"/>
      <c r="BN411" s="408"/>
      <c r="BO411" s="408"/>
      <c r="BP411" s="408"/>
      <c r="BQ411" s="408"/>
      <c r="BR411" s="408"/>
      <c r="BS411" s="408"/>
      <c r="BT411" s="408">
        <v>12.181199999999997</v>
      </c>
      <c r="BU411" s="408"/>
      <c r="BV411" s="408">
        <v>28.946763509815668</v>
      </c>
      <c r="BW411" s="408"/>
      <c r="BX411" s="408"/>
      <c r="BY411" s="408"/>
      <c r="BZ411" s="408"/>
      <c r="CA411" s="408"/>
      <c r="CB411" s="408"/>
      <c r="CC411" s="408"/>
      <c r="CD411" s="408"/>
      <c r="CE411" s="408"/>
      <c r="CF411" s="408"/>
      <c r="CG411" s="408"/>
      <c r="CH411" s="408"/>
      <c r="CI411" s="408">
        <v>52.887999999999998</v>
      </c>
      <c r="CJ411" s="408">
        <v>-17.094680000000004</v>
      </c>
      <c r="CK411" s="408"/>
      <c r="CL411" s="408"/>
      <c r="CM411" s="408"/>
      <c r="CN411" s="408"/>
      <c r="CO411" s="408">
        <v>-24.993599999999997</v>
      </c>
      <c r="CP411" s="408">
        <v>2.739599999999998</v>
      </c>
      <c r="CQ411" s="408">
        <v>29</v>
      </c>
      <c r="CR411" s="408">
        <v>3.6907175432718944</v>
      </c>
      <c r="CS411" s="408">
        <v>8.2573186412883581E-2</v>
      </c>
      <c r="CT411" s="408">
        <v>0.12438089008489572</v>
      </c>
      <c r="CU411" s="408">
        <v>0</v>
      </c>
      <c r="CV411" s="408">
        <v>0</v>
      </c>
      <c r="CW411" s="408">
        <v>0</v>
      </c>
      <c r="CX411" s="408">
        <v>0</v>
      </c>
      <c r="CY411" s="408">
        <v>0</v>
      </c>
      <c r="CZ411" s="408">
        <v>0.29185998994886297</v>
      </c>
      <c r="DA411" s="408">
        <v>0</v>
      </c>
      <c r="DB411" s="408">
        <v>0</v>
      </c>
      <c r="DC411" s="408">
        <v>2.7387700951632006</v>
      </c>
      <c r="DD411" s="408">
        <v>0</v>
      </c>
      <c r="DE411" s="408">
        <v>0</v>
      </c>
      <c r="DF411" s="408">
        <v>0</v>
      </c>
      <c r="DG411" s="408">
        <v>0.45819111705740312</v>
      </c>
      <c r="DH411" s="408">
        <v>0</v>
      </c>
      <c r="DI411" s="408">
        <v>0</v>
      </c>
      <c r="DJ411" s="408"/>
      <c r="DK411" s="408">
        <v>0</v>
      </c>
      <c r="DL411" s="408">
        <v>0</v>
      </c>
      <c r="DM411" s="408">
        <v>0</v>
      </c>
      <c r="DN411" s="408">
        <v>0</v>
      </c>
      <c r="DO411" s="408">
        <v>0</v>
      </c>
      <c r="DP411" s="408">
        <v>-5.0577353953499826E-3</v>
      </c>
      <c r="DQ411" s="408">
        <v>0</v>
      </c>
      <c r="DR411" s="408">
        <v>0</v>
      </c>
      <c r="DS411" s="408"/>
      <c r="DT411" s="408"/>
      <c r="DU411" s="408"/>
      <c r="DV411" s="408">
        <v>46.248637426776121</v>
      </c>
      <c r="DW411" s="408">
        <v>0</v>
      </c>
      <c r="DX411" s="408">
        <v>0</v>
      </c>
      <c r="DY411" s="408">
        <v>-24.993599999999994</v>
      </c>
      <c r="DZ411" s="408">
        <v>2.7395999999999994</v>
      </c>
      <c r="EA411" s="408">
        <v>0</v>
      </c>
      <c r="EB411" s="408">
        <v>0</v>
      </c>
      <c r="EC411" s="408">
        <v>-25.945009198240079</v>
      </c>
      <c r="ED411" s="408">
        <v>0</v>
      </c>
      <c r="EE411" s="408">
        <v>0</v>
      </c>
      <c r="EF411" s="408">
        <v>0</v>
      </c>
      <c r="EG411" s="408">
        <v>0</v>
      </c>
      <c r="EH411" s="408">
        <v>0</v>
      </c>
      <c r="EI411" s="408">
        <v>0</v>
      </c>
      <c r="EJ411" s="408">
        <v>0</v>
      </c>
      <c r="EK411" s="408">
        <v>0</v>
      </c>
      <c r="EL411" s="408">
        <v>0</v>
      </c>
      <c r="EM411" s="408">
        <v>0</v>
      </c>
      <c r="EN411" s="408">
        <v>0</v>
      </c>
      <c r="EO411" s="408">
        <v>0</v>
      </c>
      <c r="EP411" s="408">
        <v>0</v>
      </c>
      <c r="EQ411" s="408">
        <v>0</v>
      </c>
      <c r="ER411" s="408">
        <v>0</v>
      </c>
      <c r="ES411" s="408">
        <v>0</v>
      </c>
      <c r="ET411" s="408">
        <v>0</v>
      </c>
      <c r="EU411" s="408">
        <v>0</v>
      </c>
      <c r="EV411" s="408">
        <v>238</v>
      </c>
      <c r="EW411" s="408">
        <v>0</v>
      </c>
      <c r="EX411" s="408">
        <v>0</v>
      </c>
      <c r="EY411" s="408">
        <v>0</v>
      </c>
      <c r="EZ411" s="408"/>
      <c r="FA411" s="408">
        <v>0</v>
      </c>
      <c r="FB411" s="408"/>
      <c r="FC411" s="408"/>
      <c r="FD411" s="408"/>
      <c r="FE411" s="408"/>
      <c r="FF411" s="408">
        <v>0</v>
      </c>
      <c r="FG411" s="408">
        <v>0</v>
      </c>
      <c r="FH411" s="408">
        <v>0</v>
      </c>
      <c r="FI411" s="408">
        <v>0</v>
      </c>
    </row>
    <row r="412" spans="1:165">
      <c r="A412" s="408">
        <v>416</v>
      </c>
      <c r="B412" s="408" t="s">
        <v>1036</v>
      </c>
      <c r="C412" s="408" t="s">
        <v>2235</v>
      </c>
      <c r="D412" s="408" t="s">
        <v>1955</v>
      </c>
      <c r="E412" s="408" t="s">
        <v>969</v>
      </c>
      <c r="F412" s="408" t="s">
        <v>2242</v>
      </c>
      <c r="G412" s="408" t="s">
        <v>1322</v>
      </c>
      <c r="H412" s="408" t="s">
        <v>1322</v>
      </c>
      <c r="I412" s="408" t="s">
        <v>1322</v>
      </c>
      <c r="J412" s="408" t="s">
        <v>2236</v>
      </c>
      <c r="K412" s="824">
        <v>44593</v>
      </c>
      <c r="L412" s="408">
        <v>0</v>
      </c>
      <c r="M412" s="408">
        <v>0</v>
      </c>
      <c r="N412" s="408">
        <v>55.606999999999999</v>
      </c>
      <c r="O412" s="408">
        <v>55.606999999999999</v>
      </c>
      <c r="P412" s="408">
        <v>55.606999999999999</v>
      </c>
      <c r="Q412" s="408">
        <v>55.606999999999999</v>
      </c>
      <c r="R412" s="408"/>
      <c r="S412" s="408">
        <v>510.28</v>
      </c>
      <c r="T412" s="408">
        <v>209.4</v>
      </c>
      <c r="U412" s="408"/>
      <c r="V412" s="408">
        <v>40019.245759999998</v>
      </c>
      <c r="W412" s="408">
        <v>40019.245759999998</v>
      </c>
      <c r="X412" s="408">
        <v>29706.927609999999</v>
      </c>
      <c r="Y412" s="408">
        <v>0</v>
      </c>
      <c r="Z412" s="408">
        <v>0</v>
      </c>
      <c r="AA412" s="408">
        <v>0</v>
      </c>
      <c r="AB412" s="408">
        <v>0</v>
      </c>
      <c r="AC412" s="408">
        <v>0</v>
      </c>
      <c r="AD412" s="408">
        <v>4125.5469886608562</v>
      </c>
      <c r="AE412" s="408">
        <v>21431.233178256163</v>
      </c>
      <c r="AF412" s="408">
        <v>11491.228021201527</v>
      </c>
      <c r="AG412" s="408">
        <v>153.08412276359877</v>
      </c>
      <c r="AH412" s="408">
        <v>0</v>
      </c>
      <c r="AI412" s="408">
        <v>0</v>
      </c>
      <c r="AJ412" s="408">
        <v>0</v>
      </c>
      <c r="AK412" s="408">
        <v>0</v>
      </c>
      <c r="AL412" s="408">
        <v>0</v>
      </c>
      <c r="AM412" s="408"/>
      <c r="AN412" s="408">
        <v>101.36957671029597</v>
      </c>
      <c r="AO412" s="408">
        <v>316.93102745877258</v>
      </c>
      <c r="AP412" s="408">
        <v>477.39665868934657</v>
      </c>
      <c r="AQ412" s="408">
        <v>0</v>
      </c>
      <c r="AR412" s="408">
        <v>0</v>
      </c>
      <c r="AS412" s="408">
        <v>0</v>
      </c>
      <c r="AT412" s="408">
        <v>0</v>
      </c>
      <c r="AU412" s="408">
        <v>0</v>
      </c>
      <c r="AV412" s="408">
        <v>0</v>
      </c>
      <c r="AW412" s="408">
        <v>0</v>
      </c>
      <c r="AX412" s="408">
        <v>0</v>
      </c>
      <c r="AY412" s="408">
        <v>0</v>
      </c>
      <c r="AZ412" s="408">
        <v>0</v>
      </c>
      <c r="BA412" s="408"/>
      <c r="BB412" s="408">
        <v>0</v>
      </c>
      <c r="BC412" s="408">
        <v>0</v>
      </c>
      <c r="BD412" s="408">
        <v>0</v>
      </c>
      <c r="BE412" s="408">
        <v>0</v>
      </c>
      <c r="BF412" s="408">
        <v>0</v>
      </c>
      <c r="BG412" s="408">
        <v>1922.460966217805</v>
      </c>
      <c r="BH412" s="408">
        <v>0</v>
      </c>
      <c r="BI412" s="408">
        <v>74.11</v>
      </c>
      <c r="BJ412" s="408">
        <v>348.49</v>
      </c>
      <c r="BK412" s="408">
        <v>10042.299999999999</v>
      </c>
      <c r="BL412" s="408">
        <v>476</v>
      </c>
      <c r="BM412" s="408"/>
      <c r="BN412" s="408"/>
      <c r="BO412" s="408"/>
      <c r="BP412" s="408"/>
      <c r="BQ412" s="408"/>
      <c r="BR412" s="408"/>
      <c r="BS412" s="408"/>
      <c r="BT412" s="408"/>
      <c r="BU412" s="408"/>
      <c r="BV412" s="408">
        <v>13413.688987419331</v>
      </c>
      <c r="BW412" s="408"/>
      <c r="BX412" s="408"/>
      <c r="BY412" s="408"/>
      <c r="BZ412" s="408"/>
      <c r="CA412" s="408"/>
      <c r="CB412" s="408"/>
      <c r="CC412" s="408"/>
      <c r="CD412" s="408"/>
      <c r="CE412" s="408"/>
      <c r="CF412" s="408"/>
      <c r="CG412" s="408"/>
      <c r="CH412" s="408"/>
      <c r="CI412" s="408">
        <v>29708.530299999999</v>
      </c>
      <c r="CJ412" s="408">
        <v>-10310.745459999998</v>
      </c>
      <c r="CK412" s="408"/>
      <c r="CL412" s="408"/>
      <c r="CM412" s="408"/>
      <c r="CN412" s="408"/>
      <c r="CO412" s="408">
        <v>-11581.825959999998</v>
      </c>
      <c r="CP412" s="408">
        <v>1269.5078099999992</v>
      </c>
      <c r="CQ412" s="408">
        <v>29</v>
      </c>
      <c r="CR412" s="408">
        <v>1710.2477535726684</v>
      </c>
      <c r="CS412" s="408">
        <v>38.263726473843462</v>
      </c>
      <c r="CT412" s="408">
        <v>57.637067957923193</v>
      </c>
      <c r="CU412" s="408">
        <v>0</v>
      </c>
      <c r="CV412" s="408">
        <v>0</v>
      </c>
      <c r="CW412" s="408">
        <v>0</v>
      </c>
      <c r="CX412" s="408">
        <v>0</v>
      </c>
      <c r="CY412" s="408">
        <v>0</v>
      </c>
      <c r="CZ412" s="408">
        <v>135.24548717572088</v>
      </c>
      <c r="DA412" s="408">
        <v>0</v>
      </c>
      <c r="DB412" s="408">
        <v>0</v>
      </c>
      <c r="DC412" s="408">
        <v>1269.1232390144996</v>
      </c>
      <c r="DD412" s="408">
        <v>0</v>
      </c>
      <c r="DE412" s="408">
        <v>0</v>
      </c>
      <c r="DF412" s="408">
        <v>0</v>
      </c>
      <c r="DG412" s="408">
        <v>212.32194538509202</v>
      </c>
      <c r="DH412" s="408">
        <v>0</v>
      </c>
      <c r="DI412" s="408">
        <v>0</v>
      </c>
      <c r="DJ412" s="408"/>
      <c r="DK412" s="408">
        <v>0</v>
      </c>
      <c r="DL412" s="408">
        <v>0</v>
      </c>
      <c r="DM412" s="408">
        <v>0</v>
      </c>
      <c r="DN412" s="408">
        <v>0</v>
      </c>
      <c r="DO412" s="408">
        <v>0</v>
      </c>
      <c r="DP412" s="408">
        <v>-2.3437124344102216</v>
      </c>
      <c r="DQ412" s="408">
        <v>0</v>
      </c>
      <c r="DR412" s="408">
        <v>0</v>
      </c>
      <c r="DS412" s="408"/>
      <c r="DT412" s="408"/>
      <c r="DU412" s="408"/>
      <c r="DV412" s="408">
        <v>21431.233178256163</v>
      </c>
      <c r="DW412" s="408">
        <v>0</v>
      </c>
      <c r="DX412" s="408">
        <v>0</v>
      </c>
      <c r="DY412" s="408">
        <v>-11581.825959999998</v>
      </c>
      <c r="DZ412" s="408">
        <v>1269.5078099999992</v>
      </c>
      <c r="EA412" s="408">
        <v>0</v>
      </c>
      <c r="EB412" s="408">
        <v>0</v>
      </c>
      <c r="EC412" s="408">
        <v>-12022.701054054467</v>
      </c>
      <c r="ED412" s="408">
        <v>0</v>
      </c>
      <c r="EE412" s="408">
        <v>0</v>
      </c>
      <c r="EF412" s="408">
        <v>0</v>
      </c>
      <c r="EG412" s="408">
        <v>0</v>
      </c>
      <c r="EH412" s="408">
        <v>0</v>
      </c>
      <c r="EI412" s="408">
        <v>0</v>
      </c>
      <c r="EJ412" s="408">
        <v>0</v>
      </c>
      <c r="EK412" s="408">
        <v>0</v>
      </c>
      <c r="EL412" s="408">
        <v>0</v>
      </c>
      <c r="EM412" s="408">
        <v>0</v>
      </c>
      <c r="EN412" s="408">
        <v>0</v>
      </c>
      <c r="EO412" s="408">
        <v>0</v>
      </c>
      <c r="EP412" s="408">
        <v>0</v>
      </c>
      <c r="EQ412" s="408">
        <v>0</v>
      </c>
      <c r="ER412" s="408">
        <v>0</v>
      </c>
      <c r="ES412" s="408">
        <v>0</v>
      </c>
      <c r="ET412" s="408">
        <v>0</v>
      </c>
      <c r="EU412" s="408">
        <v>0</v>
      </c>
      <c r="EV412" s="408">
        <v>238</v>
      </c>
      <c r="EW412" s="408">
        <v>0</v>
      </c>
      <c r="EX412" s="408">
        <v>0</v>
      </c>
      <c r="EY412" s="408">
        <v>0</v>
      </c>
      <c r="EZ412" s="408"/>
      <c r="FA412" s="408">
        <v>0</v>
      </c>
      <c r="FB412" s="408"/>
      <c r="FC412" s="408"/>
      <c r="FD412" s="408"/>
      <c r="FE412" s="408"/>
      <c r="FF412" s="408">
        <v>0</v>
      </c>
      <c r="FG412" s="408">
        <v>0</v>
      </c>
      <c r="FH412" s="408">
        <v>0</v>
      </c>
      <c r="FI412" s="408">
        <v>0</v>
      </c>
    </row>
    <row r="413" spans="1:165">
      <c r="A413" s="408">
        <v>417</v>
      </c>
      <c r="B413" s="408" t="s">
        <v>2238</v>
      </c>
      <c r="C413" s="408" t="s">
        <v>2235</v>
      </c>
      <c r="D413" s="408" t="s">
        <v>1955</v>
      </c>
      <c r="E413" s="408" t="s">
        <v>969</v>
      </c>
      <c r="F413" s="408" t="s">
        <v>2242</v>
      </c>
      <c r="G413" s="408" t="s">
        <v>1322</v>
      </c>
      <c r="H413" s="408" t="s">
        <v>1322</v>
      </c>
      <c r="I413" s="408" t="s">
        <v>1322</v>
      </c>
      <c r="J413" s="408" t="s">
        <v>2236</v>
      </c>
      <c r="K413" s="824">
        <v>44593</v>
      </c>
      <c r="L413" s="408">
        <v>0</v>
      </c>
      <c r="M413" s="408">
        <v>0</v>
      </c>
      <c r="N413" s="408">
        <v>0.16</v>
      </c>
      <c r="O413" s="408">
        <v>0.16</v>
      </c>
      <c r="P413" s="408">
        <v>0.16</v>
      </c>
      <c r="Q413" s="408">
        <v>0.16</v>
      </c>
      <c r="R413" s="408"/>
      <c r="S413" s="408">
        <v>510.28</v>
      </c>
      <c r="T413" s="408">
        <v>209.4</v>
      </c>
      <c r="U413" s="408"/>
      <c r="V413" s="408">
        <v>115.14880000000001</v>
      </c>
      <c r="W413" s="408">
        <v>115.14880000000001</v>
      </c>
      <c r="X413" s="408">
        <v>85.476799999999997</v>
      </c>
      <c r="Y413" s="408">
        <v>0</v>
      </c>
      <c r="Z413" s="408">
        <v>0</v>
      </c>
      <c r="AA413" s="408">
        <v>0</v>
      </c>
      <c r="AB413" s="408">
        <v>0</v>
      </c>
      <c r="AC413" s="408">
        <v>0</v>
      </c>
      <c r="AD413" s="408">
        <v>11.87058316733032</v>
      </c>
      <c r="AE413" s="408">
        <v>61.664849902368161</v>
      </c>
      <c r="AF413" s="408">
        <v>33.064119326564004</v>
      </c>
      <c r="AG413" s="408">
        <v>0.4404743942700704</v>
      </c>
      <c r="AH413" s="408">
        <v>0</v>
      </c>
      <c r="AI413" s="408">
        <v>0</v>
      </c>
      <c r="AJ413" s="408">
        <v>0</v>
      </c>
      <c r="AK413" s="408">
        <v>0</v>
      </c>
      <c r="AL413" s="408">
        <v>0</v>
      </c>
      <c r="AM413" s="408"/>
      <c r="AN413" s="408">
        <v>0.29167429053261923</v>
      </c>
      <c r="AO413" s="408">
        <v>0.91191692400963209</v>
      </c>
      <c r="AP413" s="408">
        <v>1.3736303952792894</v>
      </c>
      <c r="AQ413" s="408">
        <v>0</v>
      </c>
      <c r="AR413" s="408">
        <v>0</v>
      </c>
      <c r="AS413" s="408">
        <v>0</v>
      </c>
      <c r="AT413" s="408">
        <v>0</v>
      </c>
      <c r="AU413" s="408">
        <v>0</v>
      </c>
      <c r="AV413" s="408">
        <v>0</v>
      </c>
      <c r="AW413" s="408">
        <v>0</v>
      </c>
      <c r="AX413" s="408">
        <v>0</v>
      </c>
      <c r="AY413" s="408">
        <v>0</v>
      </c>
      <c r="AZ413" s="408">
        <v>0</v>
      </c>
      <c r="BA413" s="408"/>
      <c r="BB413" s="408">
        <v>0</v>
      </c>
      <c r="BC413" s="408">
        <v>0</v>
      </c>
      <c r="BD413" s="408">
        <v>0</v>
      </c>
      <c r="BE413" s="408">
        <v>0</v>
      </c>
      <c r="BF413" s="408">
        <v>0</v>
      </c>
      <c r="BG413" s="408">
        <v>5.5315653531902242</v>
      </c>
      <c r="BH413" s="408">
        <v>0</v>
      </c>
      <c r="BI413" s="408">
        <v>0.22</v>
      </c>
      <c r="BJ413" s="408">
        <v>1</v>
      </c>
      <c r="BK413" s="408">
        <v>40.67</v>
      </c>
      <c r="BL413" s="408">
        <v>1</v>
      </c>
      <c r="BM413" s="408"/>
      <c r="BN413" s="408"/>
      <c r="BO413" s="408"/>
      <c r="BP413" s="408"/>
      <c r="BQ413" s="408"/>
      <c r="BR413" s="408"/>
      <c r="BS413" s="408"/>
      <c r="BT413" s="408"/>
      <c r="BU413" s="408"/>
      <c r="BV413" s="408">
        <v>38.595684679754228</v>
      </c>
      <c r="BW413" s="408"/>
      <c r="BX413" s="408"/>
      <c r="BY413" s="408"/>
      <c r="BZ413" s="408"/>
      <c r="CA413" s="408"/>
      <c r="CB413" s="408"/>
      <c r="CC413" s="408"/>
      <c r="CD413" s="408"/>
      <c r="CE413" s="408"/>
      <c r="CF413" s="408"/>
      <c r="CG413" s="408"/>
      <c r="CH413" s="408"/>
      <c r="CI413" s="408">
        <v>85.476799999999997</v>
      </c>
      <c r="CJ413" s="408">
        <v>-29.702000000000027</v>
      </c>
      <c r="CK413" s="408"/>
      <c r="CL413" s="408"/>
      <c r="CM413" s="408"/>
      <c r="CN413" s="408"/>
      <c r="CO413" s="408">
        <v>-33.324799999999996</v>
      </c>
      <c r="CP413" s="408">
        <v>3.6527999999999974</v>
      </c>
      <c r="CQ413" s="408">
        <v>29</v>
      </c>
      <c r="CR413" s="408">
        <v>4.9209567243625045</v>
      </c>
      <c r="CS413" s="408">
        <v>0.11009758188384478</v>
      </c>
      <c r="CT413" s="408">
        <v>0.16584118677986082</v>
      </c>
      <c r="CU413" s="408">
        <v>0</v>
      </c>
      <c r="CV413" s="408">
        <v>0</v>
      </c>
      <c r="CW413" s="408">
        <v>0</v>
      </c>
      <c r="CX413" s="408">
        <v>0</v>
      </c>
      <c r="CY413" s="408">
        <v>0</v>
      </c>
      <c r="CZ413" s="408">
        <v>0.38914665326515063</v>
      </c>
      <c r="DA413" s="408">
        <v>0</v>
      </c>
      <c r="DB413" s="408">
        <v>0</v>
      </c>
      <c r="DC413" s="408">
        <v>3.6516934602175937</v>
      </c>
      <c r="DD413" s="408">
        <v>0</v>
      </c>
      <c r="DE413" s="408">
        <v>0</v>
      </c>
      <c r="DF413" s="408">
        <v>0</v>
      </c>
      <c r="DG413" s="408">
        <v>0.61092148940987112</v>
      </c>
      <c r="DH413" s="408">
        <v>0</v>
      </c>
      <c r="DI413" s="408">
        <v>0</v>
      </c>
      <c r="DJ413" s="408"/>
      <c r="DK413" s="408">
        <v>0</v>
      </c>
      <c r="DL413" s="408">
        <v>0</v>
      </c>
      <c r="DM413" s="408">
        <v>0</v>
      </c>
      <c r="DN413" s="408">
        <v>0</v>
      </c>
      <c r="DO413" s="408">
        <v>0</v>
      </c>
      <c r="DP413" s="408">
        <v>-6.7436471937999953E-3</v>
      </c>
      <c r="DQ413" s="408">
        <v>0</v>
      </c>
      <c r="DR413" s="408">
        <v>0</v>
      </c>
      <c r="DS413" s="408"/>
      <c r="DT413" s="408"/>
      <c r="DU413" s="408"/>
      <c r="DV413" s="408">
        <v>61.664849902368161</v>
      </c>
      <c r="DW413" s="408">
        <v>0</v>
      </c>
      <c r="DX413" s="408">
        <v>0</v>
      </c>
      <c r="DY413" s="408">
        <v>-33.324800000000003</v>
      </c>
      <c r="DZ413" s="408">
        <v>3.6527999999999921</v>
      </c>
      <c r="EA413" s="408">
        <v>0</v>
      </c>
      <c r="EB413" s="408">
        <v>0</v>
      </c>
      <c r="EC413" s="408">
        <v>-34.593345597653439</v>
      </c>
      <c r="ED413" s="408">
        <v>0</v>
      </c>
      <c r="EE413" s="408">
        <v>0</v>
      </c>
      <c r="EF413" s="408">
        <v>0</v>
      </c>
      <c r="EG413" s="408">
        <v>0</v>
      </c>
      <c r="EH413" s="408">
        <v>0</v>
      </c>
      <c r="EI413" s="408">
        <v>0</v>
      </c>
      <c r="EJ413" s="408">
        <v>0</v>
      </c>
      <c r="EK413" s="408">
        <v>0</v>
      </c>
      <c r="EL413" s="408">
        <v>0</v>
      </c>
      <c r="EM413" s="408">
        <v>0</v>
      </c>
      <c r="EN413" s="408">
        <v>0</v>
      </c>
      <c r="EO413" s="408">
        <v>0</v>
      </c>
      <c r="EP413" s="408">
        <v>0</v>
      </c>
      <c r="EQ413" s="408">
        <v>0</v>
      </c>
      <c r="ER413" s="408">
        <v>0</v>
      </c>
      <c r="ES413" s="408">
        <v>0</v>
      </c>
      <c r="ET413" s="408">
        <v>0</v>
      </c>
      <c r="EU413" s="408">
        <v>0</v>
      </c>
      <c r="EV413" s="408">
        <v>238</v>
      </c>
      <c r="EW413" s="408">
        <v>0</v>
      </c>
      <c r="EX413" s="408">
        <v>0</v>
      </c>
      <c r="EY413" s="408">
        <v>0</v>
      </c>
      <c r="EZ413" s="408"/>
      <c r="FA413" s="408">
        <v>0</v>
      </c>
      <c r="FB413" s="408"/>
      <c r="FC413" s="408"/>
      <c r="FD413" s="408"/>
      <c r="FE413" s="408"/>
      <c r="FF413" s="408">
        <v>0</v>
      </c>
      <c r="FG413" s="408">
        <v>0</v>
      </c>
      <c r="FH413" s="408">
        <v>0</v>
      </c>
      <c r="FI413" s="408">
        <v>0</v>
      </c>
    </row>
    <row r="414" spans="1:165">
      <c r="A414" s="408">
        <v>418</v>
      </c>
      <c r="B414" s="408" t="s">
        <v>1036</v>
      </c>
      <c r="C414" s="408" t="s">
        <v>2321</v>
      </c>
      <c r="D414" s="408" t="s">
        <v>1955</v>
      </c>
      <c r="E414" s="408" t="s">
        <v>969</v>
      </c>
      <c r="F414" s="408" t="s">
        <v>969</v>
      </c>
      <c r="G414" s="408" t="s">
        <v>1322</v>
      </c>
      <c r="H414" s="408" t="s">
        <v>1322</v>
      </c>
      <c r="I414" s="408" t="s">
        <v>973</v>
      </c>
      <c r="J414" s="408" t="s">
        <v>2236</v>
      </c>
      <c r="K414" s="824">
        <v>44593</v>
      </c>
      <c r="L414" s="408">
        <v>0</v>
      </c>
      <c r="M414" s="408">
        <v>0</v>
      </c>
      <c r="N414" s="408">
        <v>6.6000000000000003E-2</v>
      </c>
      <c r="O414" s="408">
        <v>6.6000000000000003E-2</v>
      </c>
      <c r="P414" s="408">
        <v>6.6000000000000003E-2</v>
      </c>
      <c r="Q414" s="408">
        <v>6.6000000000000003E-2</v>
      </c>
      <c r="R414" s="408"/>
      <c r="S414" s="408">
        <v>1292.1099999999999</v>
      </c>
      <c r="T414" s="408">
        <v>209.4</v>
      </c>
      <c r="U414" s="408"/>
      <c r="V414" s="408">
        <v>99.09966</v>
      </c>
      <c r="W414" s="408">
        <v>99.09966</v>
      </c>
      <c r="X414" s="408">
        <v>65.787480000000002</v>
      </c>
      <c r="Y414" s="408">
        <v>0</v>
      </c>
      <c r="Z414" s="408">
        <v>4.0615018934606955</v>
      </c>
      <c r="AA414" s="408">
        <v>0</v>
      </c>
      <c r="AB414" s="408">
        <v>0</v>
      </c>
      <c r="AC414" s="408">
        <v>0</v>
      </c>
      <c r="AD414" s="408">
        <v>12.239360681542237</v>
      </c>
      <c r="AE414" s="408">
        <v>63.591898946607181</v>
      </c>
      <c r="AF414" s="408">
        <v>13.638949222207652</v>
      </c>
      <c r="AG414" s="408">
        <v>0.18169568763640406</v>
      </c>
      <c r="AH414" s="408">
        <v>0</v>
      </c>
      <c r="AI414" s="408">
        <v>0</v>
      </c>
      <c r="AJ414" s="408">
        <v>0</v>
      </c>
      <c r="AK414" s="408">
        <v>0</v>
      </c>
      <c r="AL414" s="408">
        <v>0.62763370857822498</v>
      </c>
      <c r="AM414" s="408"/>
      <c r="AN414" s="408">
        <v>0.12031564484470543</v>
      </c>
      <c r="AO414" s="408">
        <v>0.9404227979876334</v>
      </c>
      <c r="AP414" s="408">
        <v>1.4165563451317675</v>
      </c>
      <c r="AQ414" s="408">
        <v>0</v>
      </c>
      <c r="AR414" s="408">
        <v>0</v>
      </c>
      <c r="AS414" s="408">
        <v>0</v>
      </c>
      <c r="AT414" s="408">
        <v>0</v>
      </c>
      <c r="AU414" s="408">
        <v>0</v>
      </c>
      <c r="AV414" s="408">
        <v>0</v>
      </c>
      <c r="AW414" s="408">
        <v>0</v>
      </c>
      <c r="AX414" s="408">
        <v>0</v>
      </c>
      <c r="AY414" s="408">
        <v>0</v>
      </c>
      <c r="AZ414" s="408">
        <v>0</v>
      </c>
      <c r="BA414" s="408"/>
      <c r="BB414" s="408">
        <v>0</v>
      </c>
      <c r="BC414" s="408">
        <v>0</v>
      </c>
      <c r="BD414" s="408">
        <v>0</v>
      </c>
      <c r="BE414" s="408">
        <v>0</v>
      </c>
      <c r="BF414" s="408">
        <v>0</v>
      </c>
      <c r="BG414" s="408">
        <v>2.2817707081909675</v>
      </c>
      <c r="BH414" s="408">
        <v>0</v>
      </c>
      <c r="BI414" s="408">
        <v>0</v>
      </c>
      <c r="BJ414" s="408">
        <v>0</v>
      </c>
      <c r="BK414" s="408">
        <v>0</v>
      </c>
      <c r="BL414" s="408">
        <v>0</v>
      </c>
      <c r="BM414" s="408"/>
      <c r="BN414" s="408"/>
      <c r="BO414" s="408"/>
      <c r="BP414" s="408"/>
      <c r="BQ414" s="408"/>
      <c r="BR414" s="408"/>
      <c r="BS414" s="408"/>
      <c r="BT414" s="408"/>
      <c r="BU414" s="408"/>
      <c r="BV414" s="408">
        <v>15.920719930398619</v>
      </c>
      <c r="BW414" s="408"/>
      <c r="BX414" s="408"/>
      <c r="BY414" s="408"/>
      <c r="BZ414" s="408"/>
      <c r="CA414" s="408"/>
      <c r="CB414" s="408"/>
      <c r="CC414" s="408"/>
      <c r="CD414" s="408"/>
      <c r="CE414" s="408"/>
      <c r="CF414" s="408"/>
      <c r="CG414" s="408"/>
      <c r="CH414" s="408"/>
      <c r="CI414" s="408">
        <v>69.774600000000007</v>
      </c>
      <c r="CJ414" s="408">
        <v>-29.355060000000009</v>
      </c>
      <c r="CK414" s="408"/>
      <c r="CL414" s="408"/>
      <c r="CM414" s="408"/>
      <c r="CN414" s="408"/>
      <c r="CO414" s="408">
        <v>-34.818959999999997</v>
      </c>
      <c r="CP414" s="408">
        <v>1.5067799999999991</v>
      </c>
      <c r="CQ414" s="408">
        <v>29</v>
      </c>
      <c r="CR414" s="408">
        <v>2.3613466872057458</v>
      </c>
      <c r="CS414" s="408">
        <v>0.11353915393041536</v>
      </c>
      <c r="CT414" s="408">
        <v>0.17102372386672982</v>
      </c>
      <c r="CU414" s="408">
        <v>0</v>
      </c>
      <c r="CV414" s="408">
        <v>0</v>
      </c>
      <c r="CW414" s="408">
        <v>0</v>
      </c>
      <c r="CX414" s="408">
        <v>0</v>
      </c>
      <c r="CY414" s="408">
        <v>0</v>
      </c>
      <c r="CZ414" s="408">
        <v>0.40123607915371196</v>
      </c>
      <c r="DA414" s="408">
        <v>0</v>
      </c>
      <c r="DB414" s="408">
        <v>0</v>
      </c>
      <c r="DC414" s="408">
        <v>1.506323552339758</v>
      </c>
      <c r="DD414" s="408">
        <v>0</v>
      </c>
      <c r="DE414" s="408">
        <v>0</v>
      </c>
      <c r="DF414" s="408">
        <v>0</v>
      </c>
      <c r="DG414" s="408">
        <v>0.25200511438157225</v>
      </c>
      <c r="DH414" s="408">
        <v>0</v>
      </c>
      <c r="DI414" s="408">
        <v>-7.0800599901206684E-2</v>
      </c>
      <c r="DJ414" s="408"/>
      <c r="DK414" s="408">
        <v>0</v>
      </c>
      <c r="DL414" s="408">
        <v>0</v>
      </c>
      <c r="DM414" s="408">
        <v>0</v>
      </c>
      <c r="DN414" s="408">
        <v>0</v>
      </c>
      <c r="DO414" s="408">
        <v>-9.198582097774799E-3</v>
      </c>
      <c r="DP414" s="408">
        <v>-2.7817544674424988E-3</v>
      </c>
      <c r="DQ414" s="408">
        <v>0</v>
      </c>
      <c r="DR414" s="408">
        <v>0</v>
      </c>
      <c r="DS414" s="408"/>
      <c r="DT414" s="408"/>
      <c r="DU414" s="408"/>
      <c r="DV414" s="408">
        <v>63.591898946607181</v>
      </c>
      <c r="DW414" s="408">
        <v>0</v>
      </c>
      <c r="DX414" s="408">
        <v>0</v>
      </c>
      <c r="DY414" s="408">
        <v>-34.818959999999997</v>
      </c>
      <c r="DZ414" s="408">
        <v>1.5067799999999991</v>
      </c>
      <c r="EA414" s="408">
        <v>0</v>
      </c>
      <c r="EB414" s="408">
        <v>0</v>
      </c>
      <c r="EC414" s="408">
        <v>-35.674400261315711</v>
      </c>
      <c r="ED414" s="408">
        <v>0</v>
      </c>
      <c r="EE414" s="408">
        <v>0</v>
      </c>
      <c r="EF414" s="408">
        <v>0</v>
      </c>
      <c r="EG414" s="408">
        <v>0</v>
      </c>
      <c r="EH414" s="408">
        <v>0</v>
      </c>
      <c r="EI414" s="408">
        <v>0</v>
      </c>
      <c r="EJ414" s="408">
        <v>0</v>
      </c>
      <c r="EK414" s="408">
        <v>0</v>
      </c>
      <c r="EL414" s="408">
        <v>0</v>
      </c>
      <c r="EM414" s="408">
        <v>0</v>
      </c>
      <c r="EN414" s="408">
        <v>0</v>
      </c>
      <c r="EO414" s="408">
        <v>0</v>
      </c>
      <c r="EP414" s="408">
        <v>0</v>
      </c>
      <c r="EQ414" s="408">
        <v>0</v>
      </c>
      <c r="ER414" s="408">
        <v>0</v>
      </c>
      <c r="ES414" s="408">
        <v>0</v>
      </c>
      <c r="ET414" s="408">
        <v>0</v>
      </c>
      <c r="EU414" s="408">
        <v>0</v>
      </c>
      <c r="EV414" s="408">
        <v>238</v>
      </c>
      <c r="EW414" s="408">
        <v>0</v>
      </c>
      <c r="EX414" s="408">
        <v>0</v>
      </c>
      <c r="EY414" s="408">
        <v>0</v>
      </c>
      <c r="EZ414" s="408"/>
      <c r="FA414" s="408">
        <v>0</v>
      </c>
      <c r="FB414" s="408"/>
      <c r="FC414" s="408"/>
      <c r="FD414" s="408"/>
      <c r="FE414" s="408"/>
      <c r="FF414" s="408">
        <v>0</v>
      </c>
      <c r="FG414" s="408">
        <v>0</v>
      </c>
      <c r="FH414" s="408">
        <v>0</v>
      </c>
      <c r="FI414" s="408">
        <v>0</v>
      </c>
    </row>
    <row r="415" spans="1:165">
      <c r="A415" s="408">
        <v>419</v>
      </c>
      <c r="B415" s="408" t="s">
        <v>1036</v>
      </c>
      <c r="C415" s="408" t="s">
        <v>2321</v>
      </c>
      <c r="D415" s="408" t="s">
        <v>1955</v>
      </c>
      <c r="E415" s="408" t="s">
        <v>969</v>
      </c>
      <c r="F415" s="408" t="s">
        <v>969</v>
      </c>
      <c r="G415" s="408" t="s">
        <v>1322</v>
      </c>
      <c r="H415" s="408" t="s">
        <v>1322</v>
      </c>
      <c r="I415" s="408" t="s">
        <v>2244</v>
      </c>
      <c r="J415" s="408" t="s">
        <v>2236</v>
      </c>
      <c r="K415" s="824">
        <v>44593</v>
      </c>
      <c r="L415" s="408">
        <v>0</v>
      </c>
      <c r="M415" s="408">
        <v>0</v>
      </c>
      <c r="N415" s="408">
        <v>0.88</v>
      </c>
      <c r="O415" s="408">
        <v>0.88</v>
      </c>
      <c r="P415" s="408">
        <v>0.88</v>
      </c>
      <c r="Q415" s="408">
        <v>0.88</v>
      </c>
      <c r="R415" s="408"/>
      <c r="S415" s="408">
        <v>344.38</v>
      </c>
      <c r="T415" s="408">
        <v>209.4</v>
      </c>
      <c r="U415" s="408"/>
      <c r="V415" s="408">
        <v>487.32640000000004</v>
      </c>
      <c r="W415" s="408">
        <v>487.32640000000004</v>
      </c>
      <c r="X415" s="408">
        <v>416.37199999999996</v>
      </c>
      <c r="Y415" s="408">
        <v>0</v>
      </c>
      <c r="Z415" s="408">
        <v>54.153358579475935</v>
      </c>
      <c r="AA415" s="408">
        <v>0</v>
      </c>
      <c r="AB415" s="408">
        <v>0</v>
      </c>
      <c r="AC415" s="408">
        <v>0</v>
      </c>
      <c r="AD415" s="408">
        <v>32.644103710158419</v>
      </c>
      <c r="AE415" s="408">
        <v>169.5783372315129</v>
      </c>
      <c r="AF415" s="408">
        <v>181.852656296102</v>
      </c>
      <c r="AG415" s="408">
        <v>2.4226091684853874</v>
      </c>
      <c r="AH415" s="408">
        <v>0</v>
      </c>
      <c r="AI415" s="408">
        <v>0</v>
      </c>
      <c r="AJ415" s="408">
        <v>0</v>
      </c>
      <c r="AK415" s="408">
        <v>0</v>
      </c>
      <c r="AL415" s="408">
        <v>8.3684494477096667</v>
      </c>
      <c r="AM415" s="408"/>
      <c r="AN415" s="408">
        <v>1.6042085979294056</v>
      </c>
      <c r="AO415" s="408">
        <v>2.507771541026488</v>
      </c>
      <c r="AP415" s="408">
        <v>3.7774835870180459</v>
      </c>
      <c r="AQ415" s="408">
        <v>0</v>
      </c>
      <c r="AR415" s="408">
        <v>0</v>
      </c>
      <c r="AS415" s="408">
        <v>0</v>
      </c>
      <c r="AT415" s="408">
        <v>0</v>
      </c>
      <c r="AU415" s="408">
        <v>0</v>
      </c>
      <c r="AV415" s="408">
        <v>0</v>
      </c>
      <c r="AW415" s="408">
        <v>0</v>
      </c>
      <c r="AX415" s="408">
        <v>0</v>
      </c>
      <c r="AY415" s="408">
        <v>0</v>
      </c>
      <c r="AZ415" s="408">
        <v>0</v>
      </c>
      <c r="BA415" s="408"/>
      <c r="BB415" s="408">
        <v>0</v>
      </c>
      <c r="BC415" s="408">
        <v>0</v>
      </c>
      <c r="BD415" s="408">
        <v>0</v>
      </c>
      <c r="BE415" s="408">
        <v>0</v>
      </c>
      <c r="BF415" s="408">
        <v>0</v>
      </c>
      <c r="BG415" s="408">
        <v>30.423609442546233</v>
      </c>
      <c r="BH415" s="408">
        <v>0</v>
      </c>
      <c r="BI415" s="408">
        <v>0</v>
      </c>
      <c r="BJ415" s="408">
        <v>0</v>
      </c>
      <c r="BK415" s="408">
        <v>0</v>
      </c>
      <c r="BL415" s="408">
        <v>0</v>
      </c>
      <c r="BM415" s="408"/>
      <c r="BN415" s="408"/>
      <c r="BO415" s="408"/>
      <c r="BP415" s="408"/>
      <c r="BQ415" s="408"/>
      <c r="BR415" s="408"/>
      <c r="BS415" s="408"/>
      <c r="BT415" s="408"/>
      <c r="BU415" s="408"/>
      <c r="BV415" s="408">
        <v>212.27626573864822</v>
      </c>
      <c r="BW415" s="408"/>
      <c r="BX415" s="408"/>
      <c r="BY415" s="408"/>
      <c r="BZ415" s="408"/>
      <c r="CA415" s="408"/>
      <c r="CB415" s="408"/>
      <c r="CC415" s="408"/>
      <c r="CD415" s="408"/>
      <c r="CE415" s="408"/>
      <c r="CF415" s="408"/>
      <c r="CG415" s="408"/>
      <c r="CH415" s="408"/>
      <c r="CI415" s="408">
        <v>416.37199999999996</v>
      </c>
      <c r="CJ415" s="408">
        <v>-70.984400000000051</v>
      </c>
      <c r="CK415" s="408"/>
      <c r="CL415" s="408"/>
      <c r="CM415" s="408"/>
      <c r="CN415" s="408"/>
      <c r="CO415" s="408">
        <v>-91.044800000000009</v>
      </c>
      <c r="CP415" s="408">
        <v>20.090399999999985</v>
      </c>
      <c r="CQ415" s="408">
        <v>29</v>
      </c>
      <c r="CR415" s="408">
        <v>24.169621313703033</v>
      </c>
      <c r="CS415" s="408">
        <v>0.30276835018056847</v>
      </c>
      <c r="CT415" s="408">
        <v>0.45606326364462202</v>
      </c>
      <c r="CU415" s="408">
        <v>0</v>
      </c>
      <c r="CV415" s="408">
        <v>0</v>
      </c>
      <c r="CW415" s="408">
        <v>0</v>
      </c>
      <c r="CX415" s="408">
        <v>0</v>
      </c>
      <c r="CY415" s="408">
        <v>0</v>
      </c>
      <c r="CZ415" s="408">
        <v>1.0701532964791696</v>
      </c>
      <c r="DA415" s="408">
        <v>0</v>
      </c>
      <c r="DB415" s="408">
        <v>0</v>
      </c>
      <c r="DC415" s="408">
        <v>20.084314031196783</v>
      </c>
      <c r="DD415" s="408">
        <v>0</v>
      </c>
      <c r="DE415" s="408">
        <v>0</v>
      </c>
      <c r="DF415" s="408">
        <v>0</v>
      </c>
      <c r="DG415" s="408">
        <v>3.3600681917542907</v>
      </c>
      <c r="DH415" s="408">
        <v>0</v>
      </c>
      <c r="DI415" s="408">
        <v>-0.94400799868275698</v>
      </c>
      <c r="DJ415" s="408"/>
      <c r="DK415" s="408">
        <v>0</v>
      </c>
      <c r="DL415" s="408">
        <v>0</v>
      </c>
      <c r="DM415" s="408">
        <v>0</v>
      </c>
      <c r="DN415" s="408">
        <v>0</v>
      </c>
      <c r="DO415" s="408">
        <v>-0.12264776130366428</v>
      </c>
      <c r="DP415" s="408">
        <v>-3.7090059565899836E-2</v>
      </c>
      <c r="DQ415" s="408">
        <v>0</v>
      </c>
      <c r="DR415" s="408">
        <v>0</v>
      </c>
      <c r="DS415" s="408"/>
      <c r="DT415" s="408"/>
      <c r="DU415" s="408"/>
      <c r="DV415" s="408">
        <v>169.5783372315129</v>
      </c>
      <c r="DW415" s="408">
        <v>0</v>
      </c>
      <c r="DX415" s="408">
        <v>0</v>
      </c>
      <c r="DY415" s="408">
        <v>-91.044800000000009</v>
      </c>
      <c r="DZ415" s="408">
        <v>20.09039999999996</v>
      </c>
      <c r="EA415" s="408">
        <v>0</v>
      </c>
      <c r="EB415" s="408">
        <v>0</v>
      </c>
      <c r="EC415" s="408">
        <v>-95.131700393547419</v>
      </c>
      <c r="ED415" s="408">
        <v>0</v>
      </c>
      <c r="EE415" s="408">
        <v>0</v>
      </c>
      <c r="EF415" s="408">
        <v>0</v>
      </c>
      <c r="EG415" s="408">
        <v>0</v>
      </c>
      <c r="EH415" s="408">
        <v>0</v>
      </c>
      <c r="EI415" s="408">
        <v>0</v>
      </c>
      <c r="EJ415" s="408">
        <v>0</v>
      </c>
      <c r="EK415" s="408">
        <v>0</v>
      </c>
      <c r="EL415" s="408">
        <v>0</v>
      </c>
      <c r="EM415" s="408">
        <v>0</v>
      </c>
      <c r="EN415" s="408">
        <v>0</v>
      </c>
      <c r="EO415" s="408">
        <v>0</v>
      </c>
      <c r="EP415" s="408">
        <v>0</v>
      </c>
      <c r="EQ415" s="408">
        <v>0</v>
      </c>
      <c r="ER415" s="408">
        <v>0</v>
      </c>
      <c r="ES415" s="408">
        <v>0</v>
      </c>
      <c r="ET415" s="408">
        <v>0</v>
      </c>
      <c r="EU415" s="408">
        <v>0</v>
      </c>
      <c r="EV415" s="408">
        <v>238</v>
      </c>
      <c r="EW415" s="408">
        <v>0</v>
      </c>
      <c r="EX415" s="408">
        <v>0</v>
      </c>
      <c r="EY415" s="408">
        <v>0</v>
      </c>
      <c r="EZ415" s="408"/>
      <c r="FA415" s="408">
        <v>0</v>
      </c>
      <c r="FB415" s="408"/>
      <c r="FC415" s="408"/>
      <c r="FD415" s="408"/>
      <c r="FE415" s="408"/>
      <c r="FF415" s="408">
        <v>0</v>
      </c>
      <c r="FG415" s="408">
        <v>0</v>
      </c>
      <c r="FH415" s="408">
        <v>0</v>
      </c>
      <c r="FI415" s="408">
        <v>0</v>
      </c>
    </row>
    <row r="416" spans="1:165">
      <c r="A416" s="408">
        <v>420</v>
      </c>
      <c r="B416" s="408" t="s">
        <v>1036</v>
      </c>
      <c r="C416" s="408" t="s">
        <v>2321</v>
      </c>
      <c r="D416" s="408" t="s">
        <v>1955</v>
      </c>
      <c r="E416" s="408" t="s">
        <v>969</v>
      </c>
      <c r="F416" s="408" t="s">
        <v>969</v>
      </c>
      <c r="G416" s="408" t="s">
        <v>1322</v>
      </c>
      <c r="H416" s="408" t="s">
        <v>1322</v>
      </c>
      <c r="I416" s="408" t="s">
        <v>1322</v>
      </c>
      <c r="J416" s="408" t="s">
        <v>2236</v>
      </c>
      <c r="K416" s="824">
        <v>44593</v>
      </c>
      <c r="L416" s="408">
        <v>0</v>
      </c>
      <c r="M416" s="408">
        <v>0</v>
      </c>
      <c r="N416" s="408">
        <v>0</v>
      </c>
      <c r="O416" s="408">
        <v>0</v>
      </c>
      <c r="P416" s="408">
        <v>0</v>
      </c>
      <c r="Q416" s="408">
        <v>0</v>
      </c>
      <c r="R416" s="408"/>
      <c r="S416" s="408"/>
      <c r="T416" s="408"/>
      <c r="U416" s="408"/>
      <c r="V416" s="408"/>
      <c r="W416" s="408"/>
      <c r="X416" s="408"/>
      <c r="Y416" s="408"/>
      <c r="Z416" s="408"/>
      <c r="AA416" s="408">
        <v>0</v>
      </c>
      <c r="AB416" s="408"/>
      <c r="AC416" s="408"/>
      <c r="AD416" s="408"/>
      <c r="AE416" s="408"/>
      <c r="AF416" s="408"/>
      <c r="AG416" s="408"/>
      <c r="AH416" s="408"/>
      <c r="AI416" s="408"/>
      <c r="AJ416" s="408"/>
      <c r="AK416" s="408"/>
      <c r="AL416" s="408"/>
      <c r="AM416" s="408"/>
      <c r="AN416" s="408"/>
      <c r="AO416" s="408"/>
      <c r="AP416" s="408"/>
      <c r="AQ416" s="408"/>
      <c r="AR416" s="408"/>
      <c r="AS416" s="408"/>
      <c r="AT416" s="408"/>
      <c r="AU416" s="408"/>
      <c r="AV416" s="408"/>
      <c r="AW416" s="408"/>
      <c r="AX416" s="408"/>
      <c r="AY416" s="408"/>
      <c r="AZ416" s="408">
        <v>0</v>
      </c>
      <c r="BA416" s="408"/>
      <c r="BB416" s="408"/>
      <c r="BC416" s="408"/>
      <c r="BD416" s="408"/>
      <c r="BE416" s="408"/>
      <c r="BF416" s="408"/>
      <c r="BG416" s="408"/>
      <c r="BH416" s="408"/>
      <c r="BI416" s="408">
        <v>1.72</v>
      </c>
      <c r="BJ416" s="408">
        <v>7.93</v>
      </c>
      <c r="BK416" s="408">
        <v>230.02</v>
      </c>
      <c r="BL416" s="408">
        <v>2</v>
      </c>
      <c r="BM416" s="408"/>
      <c r="BN416" s="408"/>
      <c r="BO416" s="408"/>
      <c r="BP416" s="408"/>
      <c r="BQ416" s="408"/>
      <c r="BR416" s="408"/>
      <c r="BS416" s="408"/>
      <c r="BT416" s="408"/>
      <c r="BU416" s="408"/>
      <c r="BV416" s="408"/>
      <c r="BW416" s="408"/>
      <c r="BX416" s="408"/>
      <c r="BY416" s="408"/>
      <c r="BZ416" s="408"/>
      <c r="CA416" s="408"/>
      <c r="CB416" s="408"/>
      <c r="CC416" s="408"/>
      <c r="CD416" s="408"/>
      <c r="CE416" s="408"/>
      <c r="CF416" s="408"/>
      <c r="CG416" s="408"/>
      <c r="CH416" s="408"/>
      <c r="CI416" s="408"/>
      <c r="CJ416" s="408">
        <v>-0.03</v>
      </c>
      <c r="CK416" s="408"/>
      <c r="CL416" s="408"/>
      <c r="CM416" s="408"/>
      <c r="CN416" s="408"/>
      <c r="CO416" s="408">
        <v>0</v>
      </c>
      <c r="CP416" s="408">
        <v>0</v>
      </c>
      <c r="CQ416" s="408">
        <v>29</v>
      </c>
      <c r="CR416" s="408"/>
      <c r="CS416" s="408"/>
      <c r="CT416" s="408"/>
      <c r="CU416" s="408"/>
      <c r="CV416" s="408"/>
      <c r="CW416" s="408"/>
      <c r="CX416" s="408"/>
      <c r="CY416" s="408"/>
      <c r="CZ416" s="408"/>
      <c r="DA416" s="408"/>
      <c r="DB416" s="408"/>
      <c r="DC416" s="408"/>
      <c r="DD416" s="408"/>
      <c r="DE416" s="408"/>
      <c r="DF416" s="408"/>
      <c r="DG416" s="408"/>
      <c r="DH416" s="408"/>
      <c r="DI416" s="408"/>
      <c r="DJ416" s="408"/>
      <c r="DK416" s="408">
        <v>0</v>
      </c>
      <c r="DL416" s="408"/>
      <c r="DM416" s="408"/>
      <c r="DN416" s="408"/>
      <c r="DO416" s="408"/>
      <c r="DP416" s="408"/>
      <c r="DQ416" s="408"/>
      <c r="DR416" s="408"/>
      <c r="DS416" s="408"/>
      <c r="DT416" s="408"/>
      <c r="DU416" s="408"/>
      <c r="DV416" s="408"/>
      <c r="DW416" s="408"/>
      <c r="DX416" s="408"/>
      <c r="DY416" s="408"/>
      <c r="DZ416" s="408"/>
      <c r="EA416" s="408"/>
      <c r="EB416" s="408"/>
      <c r="EC416" s="408"/>
      <c r="ED416" s="408"/>
      <c r="EE416" s="408"/>
      <c r="EF416" s="408"/>
      <c r="EG416" s="408"/>
      <c r="EH416" s="408"/>
      <c r="EI416" s="408"/>
      <c r="EJ416" s="408"/>
      <c r="EK416" s="408"/>
      <c r="EL416" s="408"/>
      <c r="EM416" s="408"/>
      <c r="EN416" s="408"/>
      <c r="EO416" s="408"/>
      <c r="EP416" s="408"/>
      <c r="EQ416" s="408"/>
      <c r="ER416" s="408"/>
      <c r="ES416" s="408"/>
      <c r="ET416" s="408"/>
      <c r="EU416" s="408"/>
      <c r="EV416" s="408">
        <v>238</v>
      </c>
      <c r="EW416" s="408"/>
      <c r="EX416" s="408"/>
      <c r="EY416" s="408"/>
      <c r="EZ416" s="408"/>
      <c r="FA416" s="408">
        <v>0</v>
      </c>
      <c r="FB416" s="408"/>
      <c r="FC416" s="408"/>
      <c r="FD416" s="408"/>
      <c r="FE416" s="408"/>
      <c r="FF416" s="408">
        <v>0</v>
      </c>
      <c r="FG416" s="408">
        <v>0</v>
      </c>
      <c r="FH416" s="408">
        <v>0</v>
      </c>
      <c r="FI416" s="408">
        <v>0</v>
      </c>
    </row>
    <row r="417" spans="1:165">
      <c r="A417" s="408">
        <v>421</v>
      </c>
      <c r="B417" s="408" t="s">
        <v>1036</v>
      </c>
      <c r="C417" s="408" t="s">
        <v>2321</v>
      </c>
      <c r="D417" s="408" t="s">
        <v>1955</v>
      </c>
      <c r="E417" s="408" t="s">
        <v>969</v>
      </c>
      <c r="F417" s="408" t="s">
        <v>969</v>
      </c>
      <c r="G417" s="408" t="s">
        <v>1322</v>
      </c>
      <c r="H417" s="408" t="s">
        <v>1322</v>
      </c>
      <c r="I417" s="408" t="s">
        <v>2322</v>
      </c>
      <c r="J417" s="408" t="s">
        <v>2236</v>
      </c>
      <c r="K417" s="824">
        <v>44593</v>
      </c>
      <c r="L417" s="408">
        <v>0</v>
      </c>
      <c r="M417" s="408">
        <v>0</v>
      </c>
      <c r="N417" s="408">
        <v>7.2999999999999995E-2</v>
      </c>
      <c r="O417" s="408">
        <v>7.2999999999999995E-2</v>
      </c>
      <c r="P417" s="408">
        <v>7.2999999999999995E-2</v>
      </c>
      <c r="Q417" s="408">
        <v>7.2999999999999995E-2</v>
      </c>
      <c r="R417" s="408"/>
      <c r="S417" s="408">
        <v>818.26</v>
      </c>
      <c r="T417" s="408">
        <v>209.4</v>
      </c>
      <c r="U417" s="408"/>
      <c r="V417" s="408">
        <v>75.019179999999992</v>
      </c>
      <c r="W417" s="408">
        <v>75.019179999999992</v>
      </c>
      <c r="X417" s="408">
        <v>53.653539999999992</v>
      </c>
      <c r="Y417" s="408">
        <v>0</v>
      </c>
      <c r="Z417" s="408">
        <v>4.4922672457974349</v>
      </c>
      <c r="AA417" s="408">
        <v>0</v>
      </c>
      <c r="AB417" s="408">
        <v>0</v>
      </c>
      <c r="AC417" s="408">
        <v>0</v>
      </c>
      <c r="AD417" s="408">
        <v>8.1239303551417059</v>
      </c>
      <c r="AE417" s="408">
        <v>42.201906521473667</v>
      </c>
      <c r="AF417" s="408">
        <v>15.085504442744824</v>
      </c>
      <c r="AG417" s="408">
        <v>0.20096644238571962</v>
      </c>
      <c r="AH417" s="408">
        <v>0</v>
      </c>
      <c r="AI417" s="408">
        <v>0</v>
      </c>
      <c r="AJ417" s="408">
        <v>0</v>
      </c>
      <c r="AK417" s="408">
        <v>0</v>
      </c>
      <c r="AL417" s="408">
        <v>0.69420092009409728</v>
      </c>
      <c r="AM417" s="408"/>
      <c r="AN417" s="408">
        <v>0.1330763950555075</v>
      </c>
      <c r="AO417" s="408">
        <v>0.62410251331602162</v>
      </c>
      <c r="AP417" s="408">
        <v>0.94007830176926077</v>
      </c>
      <c r="AQ417" s="408">
        <v>0</v>
      </c>
      <c r="AR417" s="408">
        <v>0</v>
      </c>
      <c r="AS417" s="408">
        <v>0</v>
      </c>
      <c r="AT417" s="408">
        <v>0</v>
      </c>
      <c r="AU417" s="408">
        <v>0</v>
      </c>
      <c r="AV417" s="408">
        <v>0</v>
      </c>
      <c r="AW417" s="408">
        <v>0</v>
      </c>
      <c r="AX417" s="408">
        <v>0</v>
      </c>
      <c r="AY417" s="408">
        <v>0</v>
      </c>
      <c r="AZ417" s="408">
        <v>0</v>
      </c>
      <c r="BA417" s="408"/>
      <c r="BB417" s="408">
        <v>0</v>
      </c>
      <c r="BC417" s="408">
        <v>0</v>
      </c>
      <c r="BD417" s="408">
        <v>0</v>
      </c>
      <c r="BE417" s="408">
        <v>0</v>
      </c>
      <c r="BF417" s="408">
        <v>0</v>
      </c>
      <c r="BG417" s="408">
        <v>2.5237766923930396</v>
      </c>
      <c r="BH417" s="408">
        <v>0</v>
      </c>
      <c r="BI417" s="408">
        <v>0</v>
      </c>
      <c r="BJ417" s="408">
        <v>0</v>
      </c>
      <c r="BK417" s="408">
        <v>0</v>
      </c>
      <c r="BL417" s="408">
        <v>0</v>
      </c>
      <c r="BM417" s="408"/>
      <c r="BN417" s="408"/>
      <c r="BO417" s="408"/>
      <c r="BP417" s="408"/>
      <c r="BQ417" s="408"/>
      <c r="BR417" s="408"/>
      <c r="BS417" s="408"/>
      <c r="BT417" s="408"/>
      <c r="BU417" s="408"/>
      <c r="BV417" s="408">
        <v>17.609281135137863</v>
      </c>
      <c r="BW417" s="408"/>
      <c r="BX417" s="408"/>
      <c r="BY417" s="408"/>
      <c r="BZ417" s="408"/>
      <c r="CA417" s="408"/>
      <c r="CB417" s="408"/>
      <c r="CC417" s="408"/>
      <c r="CD417" s="408"/>
      <c r="CE417" s="408"/>
      <c r="CF417" s="408"/>
      <c r="CG417" s="408"/>
      <c r="CH417" s="408"/>
      <c r="CI417" s="408">
        <v>51.448599999999999</v>
      </c>
      <c r="CJ417" s="408">
        <v>-23.600579999999994</v>
      </c>
      <c r="CK417" s="408"/>
      <c r="CL417" s="408"/>
      <c r="CM417" s="408"/>
      <c r="CN417" s="408"/>
      <c r="CO417" s="408">
        <v>-23.032229999999998</v>
      </c>
      <c r="CP417" s="408">
        <v>1.6665899999999987</v>
      </c>
      <c r="CQ417" s="408">
        <v>29</v>
      </c>
      <c r="CR417" s="408">
        <v>2.3084263047134144</v>
      </c>
      <c r="CS417" s="408">
        <v>7.5349163673375963E-2</v>
      </c>
      <c r="CT417" s="408">
        <v>0.11349756220246754</v>
      </c>
      <c r="CU417" s="408">
        <v>0</v>
      </c>
      <c r="CV417" s="408">
        <v>0</v>
      </c>
      <c r="CW417" s="408">
        <v>0</v>
      </c>
      <c r="CX417" s="408">
        <v>0</v>
      </c>
      <c r="CY417" s="408">
        <v>0</v>
      </c>
      <c r="CZ417" s="408">
        <v>0.26632224082835165</v>
      </c>
      <c r="DA417" s="408">
        <v>0</v>
      </c>
      <c r="DB417" s="408">
        <v>0</v>
      </c>
      <c r="DC417" s="408">
        <v>1.6660851412242792</v>
      </c>
      <c r="DD417" s="408">
        <v>0</v>
      </c>
      <c r="DE417" s="408">
        <v>0</v>
      </c>
      <c r="DF417" s="408">
        <v>0</v>
      </c>
      <c r="DG417" s="408">
        <v>0.27873292954325368</v>
      </c>
      <c r="DH417" s="408">
        <v>0</v>
      </c>
      <c r="DI417" s="408">
        <v>-7.8309754436182821E-2</v>
      </c>
      <c r="DJ417" s="408"/>
      <c r="DK417" s="408">
        <v>0</v>
      </c>
      <c r="DL417" s="408">
        <v>0</v>
      </c>
      <c r="DM417" s="408">
        <v>0</v>
      </c>
      <c r="DN417" s="408">
        <v>0</v>
      </c>
      <c r="DO417" s="408">
        <v>-1.0174189289963054E-2</v>
      </c>
      <c r="DP417" s="408">
        <v>-3.0767890321712343E-3</v>
      </c>
      <c r="DQ417" s="408">
        <v>0</v>
      </c>
      <c r="DR417" s="408">
        <v>0</v>
      </c>
      <c r="DS417" s="408"/>
      <c r="DT417" s="408"/>
      <c r="DU417" s="408"/>
      <c r="DV417" s="408">
        <v>42.201906521473667</v>
      </c>
      <c r="DW417" s="408">
        <v>0</v>
      </c>
      <c r="DX417" s="408">
        <v>0</v>
      </c>
      <c r="DY417" s="408">
        <v>-23.032229999999998</v>
      </c>
      <c r="DZ417" s="408">
        <v>1.6665899999999976</v>
      </c>
      <c r="EA417" s="408">
        <v>0</v>
      </c>
      <c r="EB417" s="408">
        <v>0</v>
      </c>
      <c r="EC417" s="408">
        <v>-23.674834844950105</v>
      </c>
      <c r="ED417" s="408">
        <v>0</v>
      </c>
      <c r="EE417" s="408">
        <v>0</v>
      </c>
      <c r="EF417" s="408">
        <v>0</v>
      </c>
      <c r="EG417" s="408">
        <v>0</v>
      </c>
      <c r="EH417" s="408">
        <v>0</v>
      </c>
      <c r="EI417" s="408">
        <v>0</v>
      </c>
      <c r="EJ417" s="408">
        <v>0</v>
      </c>
      <c r="EK417" s="408">
        <v>0</v>
      </c>
      <c r="EL417" s="408">
        <v>0</v>
      </c>
      <c r="EM417" s="408">
        <v>0</v>
      </c>
      <c r="EN417" s="408">
        <v>0</v>
      </c>
      <c r="EO417" s="408">
        <v>0</v>
      </c>
      <c r="EP417" s="408">
        <v>0</v>
      </c>
      <c r="EQ417" s="408">
        <v>0</v>
      </c>
      <c r="ER417" s="408">
        <v>0</v>
      </c>
      <c r="ES417" s="408">
        <v>0</v>
      </c>
      <c r="ET417" s="408">
        <v>0</v>
      </c>
      <c r="EU417" s="408">
        <v>0</v>
      </c>
      <c r="EV417" s="408">
        <v>238</v>
      </c>
      <c r="EW417" s="408">
        <v>0</v>
      </c>
      <c r="EX417" s="408">
        <v>0</v>
      </c>
      <c r="EY417" s="408">
        <v>0</v>
      </c>
      <c r="EZ417" s="408"/>
      <c r="FA417" s="408">
        <v>0</v>
      </c>
      <c r="FB417" s="408"/>
      <c r="FC417" s="408"/>
      <c r="FD417" s="408"/>
      <c r="FE417" s="408"/>
      <c r="FF417" s="408">
        <v>0</v>
      </c>
      <c r="FG417" s="408">
        <v>0</v>
      </c>
      <c r="FH417" s="408">
        <v>0</v>
      </c>
      <c r="FI417" s="408">
        <v>0</v>
      </c>
    </row>
    <row r="418" spans="1:165">
      <c r="A418" s="408">
        <v>422</v>
      </c>
      <c r="B418" s="408" t="s">
        <v>1036</v>
      </c>
      <c r="C418" s="408" t="s">
        <v>2235</v>
      </c>
      <c r="D418" s="408" t="s">
        <v>1958</v>
      </c>
      <c r="E418" s="408" t="s">
        <v>970</v>
      </c>
      <c r="F418" s="408" t="s">
        <v>1322</v>
      </c>
      <c r="G418" s="408" t="s">
        <v>1322</v>
      </c>
      <c r="H418" s="408" t="s">
        <v>1322</v>
      </c>
      <c r="I418" s="408" t="s">
        <v>1322</v>
      </c>
      <c r="J418" s="408" t="s">
        <v>2236</v>
      </c>
      <c r="K418" s="824">
        <v>44593</v>
      </c>
      <c r="L418" s="408">
        <v>0</v>
      </c>
      <c r="M418" s="408">
        <v>0</v>
      </c>
      <c r="N418" s="408">
        <v>11.3</v>
      </c>
      <c r="O418" s="408">
        <v>11.3</v>
      </c>
      <c r="P418" s="408">
        <v>11.3</v>
      </c>
      <c r="Q418" s="408">
        <v>11.3</v>
      </c>
      <c r="R418" s="408"/>
      <c r="S418" s="408">
        <v>581.32000000000005</v>
      </c>
      <c r="T418" s="408">
        <v>209.4</v>
      </c>
      <c r="U418" s="408"/>
      <c r="V418" s="408">
        <v>8935.1360000000022</v>
      </c>
      <c r="W418" s="408">
        <v>8935.1360000000022</v>
      </c>
      <c r="X418" s="408">
        <v>6825.991</v>
      </c>
      <c r="Y418" s="408">
        <v>0</v>
      </c>
      <c r="Z418" s="408">
        <v>695.37835448645239</v>
      </c>
      <c r="AA418" s="408">
        <v>0</v>
      </c>
      <c r="AB418" s="408">
        <v>0</v>
      </c>
      <c r="AC418" s="408">
        <v>0</v>
      </c>
      <c r="AD418" s="408">
        <v>838.3599361927038</v>
      </c>
      <c r="AE418" s="408">
        <v>4355.0800243547519</v>
      </c>
      <c r="AF418" s="408">
        <v>2335.1534274385826</v>
      </c>
      <c r="AG418" s="408">
        <v>31.108504095323724</v>
      </c>
      <c r="AH418" s="408">
        <v>0</v>
      </c>
      <c r="AI418" s="408">
        <v>0</v>
      </c>
      <c r="AJ418" s="408">
        <v>0</v>
      </c>
      <c r="AK418" s="408">
        <v>0</v>
      </c>
      <c r="AL418" s="408">
        <v>107.45849858990822</v>
      </c>
      <c r="AM418" s="408"/>
      <c r="AN418" s="408">
        <v>20.599496768866231</v>
      </c>
      <c r="AO418" s="408">
        <v>64.404132758180268</v>
      </c>
      <c r="AP418" s="408">
        <v>97.012646666599821</v>
      </c>
      <c r="AQ418" s="408">
        <v>0</v>
      </c>
      <c r="AR418" s="408">
        <v>0</v>
      </c>
      <c r="AS418" s="408">
        <v>0</v>
      </c>
      <c r="AT418" s="408">
        <v>0</v>
      </c>
      <c r="AU418" s="408">
        <v>0</v>
      </c>
      <c r="AV418" s="408">
        <v>0</v>
      </c>
      <c r="AW418" s="408">
        <v>0</v>
      </c>
      <c r="AX418" s="408">
        <v>0</v>
      </c>
      <c r="AY418" s="408">
        <v>0</v>
      </c>
      <c r="AZ418" s="408">
        <v>0</v>
      </c>
      <c r="BA418" s="408"/>
      <c r="BB418" s="408">
        <v>0</v>
      </c>
      <c r="BC418" s="408">
        <v>0</v>
      </c>
      <c r="BD418" s="408">
        <v>0</v>
      </c>
      <c r="BE418" s="408">
        <v>0</v>
      </c>
      <c r="BF418" s="408">
        <v>0</v>
      </c>
      <c r="BG418" s="408">
        <v>390.6668030690596</v>
      </c>
      <c r="BH418" s="408">
        <v>0</v>
      </c>
      <c r="BI418" s="408">
        <v>21.33</v>
      </c>
      <c r="BJ418" s="408">
        <v>98.33</v>
      </c>
      <c r="BK418" s="408">
        <v>1751.2</v>
      </c>
      <c r="BL418" s="408">
        <v>7</v>
      </c>
      <c r="BM418" s="408"/>
      <c r="BN418" s="408"/>
      <c r="BO418" s="408"/>
      <c r="BP418" s="408"/>
      <c r="BQ418" s="408"/>
      <c r="BR418" s="408"/>
      <c r="BS418" s="408"/>
      <c r="BT418" s="408"/>
      <c r="BU418" s="408"/>
      <c r="BV418" s="408">
        <v>2725.820230507642</v>
      </c>
      <c r="BW418" s="408"/>
      <c r="BX418" s="408"/>
      <c r="BY418" s="408"/>
      <c r="BZ418" s="408"/>
      <c r="CA418" s="408"/>
      <c r="CB418" s="408"/>
      <c r="CC418" s="408"/>
      <c r="CD418" s="408"/>
      <c r="CE418" s="408"/>
      <c r="CF418" s="408"/>
      <c r="CG418" s="408"/>
      <c r="CH418" s="408"/>
      <c r="CI418" s="408">
        <v>6825.991</v>
      </c>
      <c r="CJ418" s="408">
        <v>-2109.1750000000029</v>
      </c>
      <c r="CK418" s="408"/>
      <c r="CL418" s="408"/>
      <c r="CM418" s="408"/>
      <c r="CN418" s="408"/>
      <c r="CO418" s="408">
        <v>-2367.1240000000012</v>
      </c>
      <c r="CP418" s="408">
        <v>257.97899999999981</v>
      </c>
      <c r="CQ418" s="408">
        <v>29</v>
      </c>
      <c r="CR418" s="408">
        <v>333.8457390128242</v>
      </c>
      <c r="CS418" s="408">
        <v>7.7756417205465453</v>
      </c>
      <c r="CT418" s="408">
        <v>11.712533816327678</v>
      </c>
      <c r="CU418" s="408">
        <v>0</v>
      </c>
      <c r="CV418" s="408">
        <v>0</v>
      </c>
      <c r="CW418" s="408">
        <v>0</v>
      </c>
      <c r="CX418" s="408">
        <v>0</v>
      </c>
      <c r="CY418" s="408">
        <v>0</v>
      </c>
      <c r="CZ418" s="408">
        <v>27.483482386851392</v>
      </c>
      <c r="DA418" s="408">
        <v>0</v>
      </c>
      <c r="DB418" s="408">
        <v>0</v>
      </c>
      <c r="DC418" s="408">
        <v>257.90085062786784</v>
      </c>
      <c r="DD418" s="408">
        <v>0</v>
      </c>
      <c r="DE418" s="408">
        <v>0</v>
      </c>
      <c r="DF418" s="408">
        <v>0</v>
      </c>
      <c r="DG418" s="408">
        <v>43.146330189572154</v>
      </c>
      <c r="DH418" s="408">
        <v>0</v>
      </c>
      <c r="DI418" s="408">
        <v>-12.121920892176263</v>
      </c>
      <c r="DJ418" s="408"/>
      <c r="DK418" s="408">
        <v>0</v>
      </c>
      <c r="DL418" s="408">
        <v>0</v>
      </c>
      <c r="DM418" s="408">
        <v>0</v>
      </c>
      <c r="DN418" s="408">
        <v>0</v>
      </c>
      <c r="DO418" s="408">
        <v>-1.5749087531038697</v>
      </c>
      <c r="DP418" s="408">
        <v>-0.47627008306212204</v>
      </c>
      <c r="DQ418" s="408">
        <v>0</v>
      </c>
      <c r="DR418" s="408">
        <v>0</v>
      </c>
      <c r="DS418" s="408"/>
      <c r="DT418" s="408"/>
      <c r="DU418" s="408"/>
      <c r="DV418" s="408">
        <v>4355.0800243547519</v>
      </c>
      <c r="DW418" s="408">
        <v>0</v>
      </c>
      <c r="DX418" s="408">
        <v>0</v>
      </c>
      <c r="DY418" s="408">
        <v>-2367.1240000000007</v>
      </c>
      <c r="DZ418" s="408">
        <v>257.97899999999981</v>
      </c>
      <c r="EA418" s="408">
        <v>0</v>
      </c>
      <c r="EB418" s="408">
        <v>0</v>
      </c>
      <c r="EC418" s="408">
        <v>-2443.1550328342746</v>
      </c>
      <c r="ED418" s="408">
        <v>0</v>
      </c>
      <c r="EE418" s="408">
        <v>0</v>
      </c>
      <c r="EF418" s="408">
        <v>0</v>
      </c>
      <c r="EG418" s="408">
        <v>0</v>
      </c>
      <c r="EH418" s="408">
        <v>0</v>
      </c>
      <c r="EI418" s="408">
        <v>0</v>
      </c>
      <c r="EJ418" s="408">
        <v>0</v>
      </c>
      <c r="EK418" s="408">
        <v>0</v>
      </c>
      <c r="EL418" s="408">
        <v>0</v>
      </c>
      <c r="EM418" s="408">
        <v>0</v>
      </c>
      <c r="EN418" s="408">
        <v>0</v>
      </c>
      <c r="EO418" s="408">
        <v>0</v>
      </c>
      <c r="EP418" s="408">
        <v>0</v>
      </c>
      <c r="EQ418" s="408">
        <v>0</v>
      </c>
      <c r="ER418" s="408">
        <v>0</v>
      </c>
      <c r="ES418" s="408">
        <v>0</v>
      </c>
      <c r="ET418" s="408">
        <v>0</v>
      </c>
      <c r="EU418" s="408">
        <v>0</v>
      </c>
      <c r="EV418" s="408">
        <v>238</v>
      </c>
      <c r="EW418" s="408">
        <v>0</v>
      </c>
      <c r="EX418" s="408">
        <v>0</v>
      </c>
      <c r="EY418" s="408">
        <v>0</v>
      </c>
      <c r="EZ418" s="408"/>
      <c r="FA418" s="408">
        <v>0</v>
      </c>
      <c r="FB418" s="408"/>
      <c r="FC418" s="408"/>
      <c r="FD418" s="408"/>
      <c r="FE418" s="408"/>
      <c r="FF418" s="408">
        <v>0</v>
      </c>
      <c r="FG418" s="408">
        <v>0</v>
      </c>
      <c r="FH418" s="408">
        <v>0</v>
      </c>
      <c r="FI418" s="408">
        <v>0</v>
      </c>
    </row>
    <row r="419" spans="1:165">
      <c r="A419" s="408">
        <v>423</v>
      </c>
      <c r="B419" s="408" t="s">
        <v>2238</v>
      </c>
      <c r="C419" s="408" t="s">
        <v>2235</v>
      </c>
      <c r="D419" s="408" t="s">
        <v>1958</v>
      </c>
      <c r="E419" s="408" t="s">
        <v>970</v>
      </c>
      <c r="F419" s="408" t="s">
        <v>1322</v>
      </c>
      <c r="G419" s="408" t="s">
        <v>1322</v>
      </c>
      <c r="H419" s="408" t="s">
        <v>1322</v>
      </c>
      <c r="I419" s="408" t="s">
        <v>1322</v>
      </c>
      <c r="J419" s="408" t="s">
        <v>2236</v>
      </c>
      <c r="K419" s="824">
        <v>44593</v>
      </c>
      <c r="L419" s="408">
        <v>0</v>
      </c>
      <c r="M419" s="408">
        <v>0</v>
      </c>
      <c r="N419" s="408">
        <v>2.6339999999999999</v>
      </c>
      <c r="O419" s="408">
        <v>2.6339999999999999</v>
      </c>
      <c r="P419" s="408">
        <v>2.6339999999999999</v>
      </c>
      <c r="Q419" s="408">
        <v>2.6339999999999999</v>
      </c>
      <c r="R419" s="408"/>
      <c r="S419" s="408">
        <v>581.32000000000005</v>
      </c>
      <c r="T419" s="408">
        <v>209.4</v>
      </c>
      <c r="U419" s="408"/>
      <c r="V419" s="408">
        <v>2082.75648</v>
      </c>
      <c r="W419" s="408">
        <v>2082.75648</v>
      </c>
      <c r="X419" s="408">
        <v>1591.1203799999998</v>
      </c>
      <c r="Y419" s="408">
        <v>0</v>
      </c>
      <c r="Z419" s="408">
        <v>162.09084829356775</v>
      </c>
      <c r="AA419" s="408">
        <v>0</v>
      </c>
      <c r="AB419" s="408">
        <v>0</v>
      </c>
      <c r="AC419" s="408">
        <v>0</v>
      </c>
      <c r="AD419" s="408">
        <v>195.41947539217537</v>
      </c>
      <c r="AE419" s="408">
        <v>1015.1575915177358</v>
      </c>
      <c r="AF419" s="408">
        <v>544.3180644135598</v>
      </c>
      <c r="AG419" s="408">
        <v>7.2513097156710344</v>
      </c>
      <c r="AH419" s="408">
        <v>0</v>
      </c>
      <c r="AI419" s="408">
        <v>0</v>
      </c>
      <c r="AJ419" s="408">
        <v>0</v>
      </c>
      <c r="AK419" s="408">
        <v>0</v>
      </c>
      <c r="AL419" s="408">
        <v>25.048290733258249</v>
      </c>
      <c r="AM419" s="408"/>
      <c r="AN419" s="408">
        <v>4.8016880078932429</v>
      </c>
      <c r="AO419" s="408">
        <v>15.012432361508568</v>
      </c>
      <c r="AP419" s="408">
        <v>22.613390382285303</v>
      </c>
      <c r="AQ419" s="408">
        <v>0</v>
      </c>
      <c r="AR419" s="408">
        <v>0</v>
      </c>
      <c r="AS419" s="408">
        <v>0</v>
      </c>
      <c r="AT419" s="408">
        <v>0</v>
      </c>
      <c r="AU419" s="408">
        <v>0</v>
      </c>
      <c r="AV419" s="408">
        <v>0</v>
      </c>
      <c r="AW419" s="408">
        <v>0</v>
      </c>
      <c r="AX419" s="408">
        <v>0</v>
      </c>
      <c r="AY419" s="408">
        <v>0</v>
      </c>
      <c r="AZ419" s="408">
        <v>0</v>
      </c>
      <c r="BA419" s="408"/>
      <c r="BB419" s="408">
        <v>0</v>
      </c>
      <c r="BC419" s="408">
        <v>0</v>
      </c>
      <c r="BD419" s="408">
        <v>0</v>
      </c>
      <c r="BE419" s="408">
        <v>0</v>
      </c>
      <c r="BF419" s="408">
        <v>0</v>
      </c>
      <c r="BG419" s="408">
        <v>91.063394626894052</v>
      </c>
      <c r="BH419" s="408">
        <v>0</v>
      </c>
      <c r="BI419" s="408">
        <v>4.96</v>
      </c>
      <c r="BJ419" s="408">
        <v>22.92</v>
      </c>
      <c r="BK419" s="408">
        <v>518.29999999999995</v>
      </c>
      <c r="BL419" s="408">
        <v>3</v>
      </c>
      <c r="BM419" s="408"/>
      <c r="BN419" s="408"/>
      <c r="BO419" s="408"/>
      <c r="BP419" s="408"/>
      <c r="BQ419" s="408"/>
      <c r="BR419" s="408"/>
      <c r="BS419" s="408"/>
      <c r="BT419" s="408"/>
      <c r="BU419" s="408"/>
      <c r="BV419" s="408">
        <v>635.38145904045382</v>
      </c>
      <c r="BW419" s="408"/>
      <c r="BX419" s="408"/>
      <c r="BY419" s="408"/>
      <c r="BZ419" s="408"/>
      <c r="CA419" s="408"/>
      <c r="CB419" s="408"/>
      <c r="CC419" s="408"/>
      <c r="CD419" s="408"/>
      <c r="CE419" s="408"/>
      <c r="CF419" s="408"/>
      <c r="CG419" s="408"/>
      <c r="CH419" s="408"/>
      <c r="CI419" s="408">
        <v>1588.7040999999999</v>
      </c>
      <c r="CJ419" s="408">
        <v>-494.08238000000028</v>
      </c>
      <c r="CK419" s="408"/>
      <c r="CL419" s="408"/>
      <c r="CM419" s="408"/>
      <c r="CN419" s="408"/>
      <c r="CO419" s="408">
        <v>-551.7703200000002</v>
      </c>
      <c r="CP419" s="408">
        <v>60.134219999999956</v>
      </c>
      <c r="CQ419" s="408">
        <v>29</v>
      </c>
      <c r="CR419" s="408">
        <v>77.818555447767721</v>
      </c>
      <c r="CS419" s="408">
        <v>1.8124814417627935</v>
      </c>
      <c r="CT419" s="408">
        <v>2.7301605373634565</v>
      </c>
      <c r="CU419" s="408">
        <v>0</v>
      </c>
      <c r="CV419" s="408">
        <v>0</v>
      </c>
      <c r="CW419" s="408">
        <v>0</v>
      </c>
      <c r="CX419" s="408">
        <v>0</v>
      </c>
      <c r="CY419" s="408">
        <v>0</v>
      </c>
      <c r="CZ419" s="408">
        <v>6.4063267793775651</v>
      </c>
      <c r="DA419" s="408">
        <v>0</v>
      </c>
      <c r="DB419" s="408">
        <v>0</v>
      </c>
      <c r="DC419" s="408">
        <v>60.1160035888322</v>
      </c>
      <c r="DD419" s="408">
        <v>0</v>
      </c>
      <c r="DE419" s="408">
        <v>0</v>
      </c>
      <c r="DF419" s="408">
        <v>0</v>
      </c>
      <c r="DG419" s="408">
        <v>10.05729501941002</v>
      </c>
      <c r="DH419" s="408">
        <v>0</v>
      </c>
      <c r="DI419" s="408">
        <v>-2.8255875778754387</v>
      </c>
      <c r="DJ419" s="408"/>
      <c r="DK419" s="408">
        <v>0</v>
      </c>
      <c r="DL419" s="408">
        <v>0</v>
      </c>
      <c r="DM419" s="408">
        <v>0</v>
      </c>
      <c r="DN419" s="408">
        <v>0</v>
      </c>
      <c r="DO419" s="408">
        <v>-0.36710704917483028</v>
      </c>
      <c r="DP419" s="408">
        <v>-0.11101729192793197</v>
      </c>
      <c r="DQ419" s="408">
        <v>0</v>
      </c>
      <c r="DR419" s="408">
        <v>0</v>
      </c>
      <c r="DS419" s="408"/>
      <c r="DT419" s="408"/>
      <c r="DU419" s="408"/>
      <c r="DV419" s="408">
        <v>1015.1575915177358</v>
      </c>
      <c r="DW419" s="408">
        <v>0</v>
      </c>
      <c r="DX419" s="408">
        <v>0</v>
      </c>
      <c r="DY419" s="408">
        <v>-551.77032000000008</v>
      </c>
      <c r="DZ419" s="408">
        <v>60.134219999999914</v>
      </c>
      <c r="EA419" s="408">
        <v>0</v>
      </c>
      <c r="EB419" s="408">
        <v>0</v>
      </c>
      <c r="EC419" s="408">
        <v>-569.49295190136968</v>
      </c>
      <c r="ED419" s="408">
        <v>0</v>
      </c>
      <c r="EE419" s="408">
        <v>0</v>
      </c>
      <c r="EF419" s="408">
        <v>0</v>
      </c>
      <c r="EG419" s="408">
        <v>0</v>
      </c>
      <c r="EH419" s="408">
        <v>0</v>
      </c>
      <c r="EI419" s="408">
        <v>0</v>
      </c>
      <c r="EJ419" s="408">
        <v>0</v>
      </c>
      <c r="EK419" s="408">
        <v>0</v>
      </c>
      <c r="EL419" s="408">
        <v>0</v>
      </c>
      <c r="EM419" s="408">
        <v>0</v>
      </c>
      <c r="EN419" s="408">
        <v>0</v>
      </c>
      <c r="EO419" s="408">
        <v>0</v>
      </c>
      <c r="EP419" s="408">
        <v>0</v>
      </c>
      <c r="EQ419" s="408">
        <v>0</v>
      </c>
      <c r="ER419" s="408">
        <v>0</v>
      </c>
      <c r="ES419" s="408">
        <v>0</v>
      </c>
      <c r="ET419" s="408">
        <v>0</v>
      </c>
      <c r="EU419" s="408">
        <v>0</v>
      </c>
      <c r="EV419" s="408">
        <v>238</v>
      </c>
      <c r="EW419" s="408">
        <v>0</v>
      </c>
      <c r="EX419" s="408">
        <v>0</v>
      </c>
      <c r="EY419" s="408">
        <v>0</v>
      </c>
      <c r="EZ419" s="408"/>
      <c r="FA419" s="408">
        <v>0</v>
      </c>
      <c r="FB419" s="408"/>
      <c r="FC419" s="408"/>
      <c r="FD419" s="408"/>
      <c r="FE419" s="408"/>
      <c r="FF419" s="408">
        <v>0</v>
      </c>
      <c r="FG419" s="408">
        <v>0</v>
      </c>
      <c r="FH419" s="408">
        <v>0</v>
      </c>
      <c r="FI419" s="408">
        <v>0</v>
      </c>
    </row>
    <row r="420" spans="1:165">
      <c r="A420" s="408">
        <v>424</v>
      </c>
      <c r="B420" s="408" t="s">
        <v>1036</v>
      </c>
      <c r="C420" s="408" t="s">
        <v>2243</v>
      </c>
      <c r="D420" s="408" t="s">
        <v>597</v>
      </c>
      <c r="E420" s="408" t="s">
        <v>970</v>
      </c>
      <c r="F420" s="408" t="s">
        <v>1322</v>
      </c>
      <c r="G420" s="408" t="s">
        <v>1322</v>
      </c>
      <c r="H420" s="408" t="s">
        <v>1322</v>
      </c>
      <c r="I420" s="408" t="s">
        <v>973</v>
      </c>
      <c r="J420" s="408" t="s">
        <v>2236</v>
      </c>
      <c r="K420" s="824">
        <v>44593</v>
      </c>
      <c r="L420" s="408">
        <v>0</v>
      </c>
      <c r="M420" s="408">
        <v>0</v>
      </c>
      <c r="N420" s="408">
        <v>10.346</v>
      </c>
      <c r="O420" s="408">
        <v>10.346</v>
      </c>
      <c r="P420" s="408">
        <v>10.346</v>
      </c>
      <c r="Q420" s="408">
        <v>10.346</v>
      </c>
      <c r="R420" s="408"/>
      <c r="S420" s="408">
        <v>1614.19</v>
      </c>
      <c r="T420" s="408">
        <v>209.4</v>
      </c>
      <c r="U420" s="408"/>
      <c r="V420" s="408">
        <v>18866.862139999997</v>
      </c>
      <c r="W420" s="408">
        <v>18866.862139999997</v>
      </c>
      <c r="X420" s="408">
        <v>12540.903899999999</v>
      </c>
      <c r="Y420" s="408">
        <v>0</v>
      </c>
      <c r="Z420" s="408">
        <v>553.90393595572141</v>
      </c>
      <c r="AA420" s="408">
        <v>0</v>
      </c>
      <c r="AB420" s="408">
        <v>0</v>
      </c>
      <c r="AC420" s="408">
        <v>0</v>
      </c>
      <c r="AD420" s="408">
        <v>3221.9305280989934</v>
      </c>
      <c r="AE420" s="408">
        <v>12030.707630608857</v>
      </c>
      <c r="AF420" s="408">
        <v>2138.0086159539446</v>
      </c>
      <c r="AG420" s="408">
        <v>28.482175519488429</v>
      </c>
      <c r="AH420" s="408">
        <v>0</v>
      </c>
      <c r="AI420" s="408">
        <v>0</v>
      </c>
      <c r="AJ420" s="408">
        <v>0</v>
      </c>
      <c r="AK420" s="408">
        <v>0</v>
      </c>
      <c r="AL420" s="408">
        <v>98.386338620459327</v>
      </c>
      <c r="AM420" s="408"/>
      <c r="AN420" s="408">
        <v>13.737877215825009</v>
      </c>
      <c r="AO420" s="408">
        <v>250.3206979066091</v>
      </c>
      <c r="AP420" s="408">
        <v>372.8564298700382</v>
      </c>
      <c r="AQ420" s="408">
        <v>0</v>
      </c>
      <c r="AR420" s="408">
        <v>0</v>
      </c>
      <c r="AS420" s="408">
        <v>0</v>
      </c>
      <c r="AT420" s="408">
        <v>0</v>
      </c>
      <c r="AU420" s="408">
        <v>0</v>
      </c>
      <c r="AV420" s="408">
        <v>0</v>
      </c>
      <c r="AW420" s="408">
        <v>0</v>
      </c>
      <c r="AX420" s="408">
        <v>0</v>
      </c>
      <c r="AY420" s="408">
        <v>0</v>
      </c>
      <c r="AZ420" s="408">
        <v>0</v>
      </c>
      <c r="BA420" s="408"/>
      <c r="BB420" s="408">
        <v>0</v>
      </c>
      <c r="BC420" s="408">
        <v>0</v>
      </c>
      <c r="BD420" s="408">
        <v>0</v>
      </c>
      <c r="BE420" s="408">
        <v>0</v>
      </c>
      <c r="BF420" s="408">
        <v>0</v>
      </c>
      <c r="BG420" s="408">
        <v>158.54661859318833</v>
      </c>
      <c r="BH420" s="408">
        <v>0</v>
      </c>
      <c r="BI420" s="408">
        <v>0</v>
      </c>
      <c r="BJ420" s="408">
        <v>0</v>
      </c>
      <c r="BK420" s="408">
        <v>0</v>
      </c>
      <c r="BL420" s="408">
        <v>0</v>
      </c>
      <c r="BM420" s="408"/>
      <c r="BN420" s="408"/>
      <c r="BO420" s="408"/>
      <c r="BP420" s="408"/>
      <c r="BQ420" s="408"/>
      <c r="BR420" s="408"/>
      <c r="BS420" s="408"/>
      <c r="BT420" s="408"/>
      <c r="BU420" s="408"/>
      <c r="BV420" s="408">
        <v>2296.5552345471328</v>
      </c>
      <c r="BW420" s="408"/>
      <c r="BX420" s="408"/>
      <c r="BY420" s="408"/>
      <c r="BZ420" s="408"/>
      <c r="CA420" s="408"/>
      <c r="CB420" s="408"/>
      <c r="CC420" s="408"/>
      <c r="CD420" s="408"/>
      <c r="CE420" s="408"/>
      <c r="CF420" s="408"/>
      <c r="CG420" s="408"/>
      <c r="CH420" s="408"/>
      <c r="CI420" s="408">
        <v>12545.752499999999</v>
      </c>
      <c r="CJ420" s="408">
        <v>-6321.139639999994</v>
      </c>
      <c r="CK420" s="408"/>
      <c r="CL420" s="408"/>
      <c r="CM420" s="408"/>
      <c r="CN420" s="408"/>
      <c r="CO420" s="408">
        <v>-6562.1574200000014</v>
      </c>
      <c r="CP420" s="408">
        <v>236.19917999999984</v>
      </c>
      <c r="CQ420" s="408">
        <v>29</v>
      </c>
      <c r="CR420" s="408">
        <v>423.08284042368541</v>
      </c>
      <c r="CS420" s="408">
        <v>30.221726134673929</v>
      </c>
      <c r="CT420" s="408">
        <v>45.015713863537201</v>
      </c>
      <c r="CU420" s="408">
        <v>0</v>
      </c>
      <c r="CV420" s="408">
        <v>0</v>
      </c>
      <c r="CW420" s="408">
        <v>0</v>
      </c>
      <c r="CX420" s="408">
        <v>0</v>
      </c>
      <c r="CY420" s="408">
        <v>0</v>
      </c>
      <c r="CZ420" s="408">
        <v>105.62273684356478</v>
      </c>
      <c r="DA420" s="408">
        <v>0</v>
      </c>
      <c r="DB420" s="408">
        <v>0</v>
      </c>
      <c r="DC420" s="408">
        <v>236.1276283713205</v>
      </c>
      <c r="DD420" s="408">
        <v>0</v>
      </c>
      <c r="DE420" s="408">
        <v>0</v>
      </c>
      <c r="DF420" s="408">
        <v>0</v>
      </c>
      <c r="DG420" s="408">
        <v>17.510330293031785</v>
      </c>
      <c r="DH420" s="408">
        <v>0</v>
      </c>
      <c r="DI420" s="408">
        <v>-9.6557214503452542</v>
      </c>
      <c r="DJ420" s="408"/>
      <c r="DK420" s="408">
        <v>0</v>
      </c>
      <c r="DL420" s="408">
        <v>0</v>
      </c>
      <c r="DM420" s="408">
        <v>0</v>
      </c>
      <c r="DN420" s="408">
        <v>0</v>
      </c>
      <c r="DO420" s="408">
        <v>-1.4419474300542134</v>
      </c>
      <c r="DP420" s="408">
        <v>-0.3176262020424101</v>
      </c>
      <c r="DQ420" s="408">
        <v>0</v>
      </c>
      <c r="DR420" s="408">
        <v>0</v>
      </c>
      <c r="DS420" s="408"/>
      <c r="DT420" s="408"/>
      <c r="DU420" s="408"/>
      <c r="DV420" s="408">
        <v>12030.707630608857</v>
      </c>
      <c r="DW420" s="408">
        <v>0</v>
      </c>
      <c r="DX420" s="408">
        <v>0</v>
      </c>
      <c r="DY420" s="408">
        <v>-6562.1574199999995</v>
      </c>
      <c r="DZ420" s="408">
        <v>236.19917999999961</v>
      </c>
      <c r="EA420" s="408">
        <v>0</v>
      </c>
      <c r="EB420" s="408">
        <v>0</v>
      </c>
      <c r="EC420" s="408">
        <v>-6749.1030548020071</v>
      </c>
      <c r="ED420" s="408">
        <v>0</v>
      </c>
      <c r="EE420" s="408">
        <v>0</v>
      </c>
      <c r="EF420" s="408">
        <v>0</v>
      </c>
      <c r="EG420" s="408">
        <v>0</v>
      </c>
      <c r="EH420" s="408">
        <v>0</v>
      </c>
      <c r="EI420" s="408">
        <v>0</v>
      </c>
      <c r="EJ420" s="408">
        <v>0</v>
      </c>
      <c r="EK420" s="408">
        <v>0</v>
      </c>
      <c r="EL420" s="408">
        <v>0</v>
      </c>
      <c r="EM420" s="408">
        <v>0</v>
      </c>
      <c r="EN420" s="408">
        <v>0</v>
      </c>
      <c r="EO420" s="408">
        <v>0</v>
      </c>
      <c r="EP420" s="408">
        <v>0</v>
      </c>
      <c r="EQ420" s="408">
        <v>0</v>
      </c>
      <c r="ER420" s="408">
        <v>0</v>
      </c>
      <c r="ES420" s="408">
        <v>0</v>
      </c>
      <c r="ET420" s="408">
        <v>0</v>
      </c>
      <c r="EU420" s="408">
        <v>0</v>
      </c>
      <c r="EV420" s="408">
        <v>238</v>
      </c>
      <c r="EW420" s="408">
        <v>0</v>
      </c>
      <c r="EX420" s="408">
        <v>0</v>
      </c>
      <c r="EY420" s="408">
        <v>0</v>
      </c>
      <c r="EZ420" s="408"/>
      <c r="FA420" s="408">
        <v>0</v>
      </c>
      <c r="FB420" s="408"/>
      <c r="FC420" s="408"/>
      <c r="FD420" s="408"/>
      <c r="FE420" s="408"/>
      <c r="FF420" s="408">
        <v>0</v>
      </c>
      <c r="FG420" s="408">
        <v>0</v>
      </c>
      <c r="FH420" s="408">
        <v>0</v>
      </c>
      <c r="FI420" s="408">
        <v>0</v>
      </c>
    </row>
    <row r="421" spans="1:165">
      <c r="A421" s="408">
        <v>425</v>
      </c>
      <c r="B421" s="408" t="s">
        <v>1036</v>
      </c>
      <c r="C421" s="408" t="s">
        <v>2243</v>
      </c>
      <c r="D421" s="408" t="s">
        <v>597</v>
      </c>
      <c r="E421" s="408" t="s">
        <v>970</v>
      </c>
      <c r="F421" s="408" t="s">
        <v>1322</v>
      </c>
      <c r="G421" s="408" t="s">
        <v>1322</v>
      </c>
      <c r="H421" s="408" t="s">
        <v>1322</v>
      </c>
      <c r="I421" s="408" t="s">
        <v>2244</v>
      </c>
      <c r="J421" s="408" t="s">
        <v>2236</v>
      </c>
      <c r="K421" s="824">
        <v>44593</v>
      </c>
      <c r="L421" s="408">
        <v>0</v>
      </c>
      <c r="M421" s="408">
        <v>0</v>
      </c>
      <c r="N421" s="408">
        <v>332.30500000000001</v>
      </c>
      <c r="O421" s="408">
        <v>332.30500000000001</v>
      </c>
      <c r="P421" s="408">
        <v>332.30500000000001</v>
      </c>
      <c r="Q421" s="408">
        <v>332.30500000000001</v>
      </c>
      <c r="R421" s="408"/>
      <c r="S421" s="408">
        <v>79.7</v>
      </c>
      <c r="T421" s="408">
        <v>209.4</v>
      </c>
      <c r="U421" s="408"/>
      <c r="V421" s="408">
        <v>96069.375499999995</v>
      </c>
      <c r="W421" s="408">
        <v>96069.375499999995</v>
      </c>
      <c r="X421" s="408">
        <v>103851.9586</v>
      </c>
      <c r="Y421" s="408">
        <v>0</v>
      </c>
      <c r="Z421" s="408">
        <v>17790.938279312391</v>
      </c>
      <c r="AA421" s="408">
        <v>0</v>
      </c>
      <c r="AB421" s="408">
        <v>0</v>
      </c>
      <c r="AC421" s="408">
        <v>0</v>
      </c>
      <c r="AD421" s="408">
        <v>0</v>
      </c>
      <c r="AE421" s="408">
        <v>0</v>
      </c>
      <c r="AF421" s="408">
        <v>68671.076080086568</v>
      </c>
      <c r="AG421" s="408">
        <v>914.82402242447347</v>
      </c>
      <c r="AH421" s="408">
        <v>0</v>
      </c>
      <c r="AI421" s="408">
        <v>0</v>
      </c>
      <c r="AJ421" s="408">
        <v>0</v>
      </c>
      <c r="AK421" s="408">
        <v>0</v>
      </c>
      <c r="AL421" s="408">
        <v>3160.0881746831369</v>
      </c>
      <c r="AM421" s="408"/>
      <c r="AN421" s="408">
        <v>441.24930293879083</v>
      </c>
      <c r="AO421" s="408">
        <v>0</v>
      </c>
      <c r="AP421" s="408">
        <v>0</v>
      </c>
      <c r="AQ421" s="408">
        <v>0</v>
      </c>
      <c r="AR421" s="408">
        <v>0</v>
      </c>
      <c r="AS421" s="408">
        <v>0</v>
      </c>
      <c r="AT421" s="408">
        <v>0</v>
      </c>
      <c r="AU421" s="408">
        <v>0</v>
      </c>
      <c r="AV421" s="408">
        <v>0</v>
      </c>
      <c r="AW421" s="408">
        <v>0</v>
      </c>
      <c r="AX421" s="408">
        <v>0</v>
      </c>
      <c r="AY421" s="408">
        <v>0</v>
      </c>
      <c r="AZ421" s="408">
        <v>0</v>
      </c>
      <c r="BA421" s="408"/>
      <c r="BB421" s="408">
        <v>0</v>
      </c>
      <c r="BC421" s="408">
        <v>0</v>
      </c>
      <c r="BD421" s="408">
        <v>0</v>
      </c>
      <c r="BE421" s="408">
        <v>0</v>
      </c>
      <c r="BF421" s="408">
        <v>0</v>
      </c>
      <c r="BG421" s="408">
        <v>5092.3868250154119</v>
      </c>
      <c r="BH421" s="408">
        <v>0</v>
      </c>
      <c r="BI421" s="408">
        <v>0</v>
      </c>
      <c r="BJ421" s="408">
        <v>0</v>
      </c>
      <c r="BK421" s="408">
        <v>0</v>
      </c>
      <c r="BL421" s="408">
        <v>0</v>
      </c>
      <c r="BM421" s="408"/>
      <c r="BN421" s="408"/>
      <c r="BO421" s="408"/>
      <c r="BP421" s="408"/>
      <c r="BQ421" s="408"/>
      <c r="BR421" s="408"/>
      <c r="BS421" s="408"/>
      <c r="BT421" s="408"/>
      <c r="BU421" s="408"/>
      <c r="BV421" s="408">
        <v>73763.462905101973</v>
      </c>
      <c r="BW421" s="408"/>
      <c r="BX421" s="408"/>
      <c r="BY421" s="408"/>
      <c r="BZ421" s="408"/>
      <c r="CA421" s="408"/>
      <c r="CB421" s="408"/>
      <c r="CC421" s="408"/>
      <c r="CD421" s="408"/>
      <c r="CE421" s="408"/>
      <c r="CF421" s="408"/>
      <c r="CG421" s="408"/>
      <c r="CH421" s="408"/>
      <c r="CI421" s="408">
        <v>103853.52119999999</v>
      </c>
      <c r="CJ421" s="408">
        <v>7784.1156999999948</v>
      </c>
      <c r="CK421" s="408"/>
      <c r="CL421" s="408"/>
      <c r="CM421" s="408"/>
      <c r="CN421" s="408"/>
      <c r="CO421" s="408">
        <v>196.05995000000112</v>
      </c>
      <c r="CP421" s="408">
        <v>7586.5231499999945</v>
      </c>
      <c r="CQ421" s="408">
        <v>29</v>
      </c>
      <c r="CR421" s="408">
        <v>7779.9924822720641</v>
      </c>
      <c r="CS421" s="408">
        <v>0</v>
      </c>
      <c r="CT421" s="408">
        <v>0</v>
      </c>
      <c r="CU421" s="408">
        <v>0</v>
      </c>
      <c r="CV421" s="408">
        <v>0</v>
      </c>
      <c r="CW421" s="408">
        <v>0</v>
      </c>
      <c r="CX421" s="408">
        <v>0</v>
      </c>
      <c r="CY421" s="408">
        <v>0</v>
      </c>
      <c r="CZ421" s="408">
        <v>0</v>
      </c>
      <c r="DA421" s="408">
        <v>0</v>
      </c>
      <c r="DB421" s="408">
        <v>0</v>
      </c>
      <c r="DC421" s="408">
        <v>7584.2249706100556</v>
      </c>
      <c r="DD421" s="408">
        <v>0</v>
      </c>
      <c r="DE421" s="408">
        <v>0</v>
      </c>
      <c r="DF421" s="408">
        <v>0</v>
      </c>
      <c r="DG421" s="408">
        <v>562.41738913840345</v>
      </c>
      <c r="DH421" s="408">
        <v>0</v>
      </c>
      <c r="DI421" s="408">
        <v>-310.13382143407944</v>
      </c>
      <c r="DJ421" s="408"/>
      <c r="DK421" s="408">
        <v>0</v>
      </c>
      <c r="DL421" s="408">
        <v>0</v>
      </c>
      <c r="DM421" s="408">
        <v>0</v>
      </c>
      <c r="DN421" s="408">
        <v>0</v>
      </c>
      <c r="DO421" s="408">
        <v>-46.314164000015808</v>
      </c>
      <c r="DP421" s="408">
        <v>-10.201892042306497</v>
      </c>
      <c r="DQ421" s="408">
        <v>0</v>
      </c>
      <c r="DR421" s="408">
        <v>0</v>
      </c>
      <c r="DS421" s="408"/>
      <c r="DT421" s="408"/>
      <c r="DU421" s="408"/>
      <c r="DV421" s="408">
        <v>0</v>
      </c>
      <c r="DW421" s="408">
        <v>0</v>
      </c>
      <c r="DX421" s="408">
        <v>0</v>
      </c>
      <c r="DY421" s="408">
        <v>196.05995000000257</v>
      </c>
      <c r="DZ421" s="408">
        <v>7586.5231499999936</v>
      </c>
      <c r="EA421" s="408">
        <v>0</v>
      </c>
      <c r="EB421" s="408">
        <v>0</v>
      </c>
      <c r="EC421" s="408">
        <v>0</v>
      </c>
      <c r="ED421" s="408">
        <v>0</v>
      </c>
      <c r="EE421" s="408">
        <v>0</v>
      </c>
      <c r="EF421" s="408">
        <v>0</v>
      </c>
      <c r="EG421" s="408">
        <v>0</v>
      </c>
      <c r="EH421" s="408">
        <v>0</v>
      </c>
      <c r="EI421" s="408">
        <v>0</v>
      </c>
      <c r="EJ421" s="408">
        <v>0</v>
      </c>
      <c r="EK421" s="408">
        <v>0</v>
      </c>
      <c r="EL421" s="408">
        <v>0</v>
      </c>
      <c r="EM421" s="408">
        <v>0</v>
      </c>
      <c r="EN421" s="408">
        <v>0</v>
      </c>
      <c r="EO421" s="408">
        <v>0</v>
      </c>
      <c r="EP421" s="408">
        <v>0</v>
      </c>
      <c r="EQ421" s="408">
        <v>0</v>
      </c>
      <c r="ER421" s="408">
        <v>0</v>
      </c>
      <c r="ES421" s="408">
        <v>0</v>
      </c>
      <c r="ET421" s="408">
        <v>0</v>
      </c>
      <c r="EU421" s="408">
        <v>0</v>
      </c>
      <c r="EV421" s="408">
        <v>238</v>
      </c>
      <c r="EW421" s="408">
        <v>0</v>
      </c>
      <c r="EX421" s="408">
        <v>0</v>
      </c>
      <c r="EY421" s="408">
        <v>0</v>
      </c>
      <c r="EZ421" s="408"/>
      <c r="FA421" s="408">
        <v>0</v>
      </c>
      <c r="FB421" s="408"/>
      <c r="FC421" s="408"/>
      <c r="FD421" s="408"/>
      <c r="FE421" s="408"/>
      <c r="FF421" s="408">
        <v>0</v>
      </c>
      <c r="FG421" s="408">
        <v>0</v>
      </c>
      <c r="FH421" s="408">
        <v>0</v>
      </c>
      <c r="FI421" s="408">
        <v>0</v>
      </c>
    </row>
    <row r="422" spans="1:165">
      <c r="A422" s="408">
        <v>426</v>
      </c>
      <c r="B422" s="408" t="s">
        <v>1036</v>
      </c>
      <c r="C422" s="408" t="s">
        <v>2243</v>
      </c>
      <c r="D422" s="408" t="s">
        <v>597</v>
      </c>
      <c r="E422" s="408" t="s">
        <v>970</v>
      </c>
      <c r="F422" s="408" t="s">
        <v>1322</v>
      </c>
      <c r="G422" s="408" t="s">
        <v>1322</v>
      </c>
      <c r="H422" s="408" t="s">
        <v>1322</v>
      </c>
      <c r="I422" s="408" t="s">
        <v>1322</v>
      </c>
      <c r="J422" s="408" t="s">
        <v>2236</v>
      </c>
      <c r="K422" s="824">
        <v>44593</v>
      </c>
      <c r="L422" s="408">
        <v>1664</v>
      </c>
      <c r="M422" s="408">
        <v>1664</v>
      </c>
      <c r="N422" s="408">
        <v>0</v>
      </c>
      <c r="O422" s="408">
        <v>0</v>
      </c>
      <c r="P422" s="408">
        <v>0</v>
      </c>
      <c r="Q422" s="408">
        <v>0</v>
      </c>
      <c r="R422" s="408">
        <v>44.35</v>
      </c>
      <c r="S422" s="408"/>
      <c r="T422" s="408"/>
      <c r="U422" s="408">
        <v>73798.400000000009</v>
      </c>
      <c r="V422" s="408"/>
      <c r="W422" s="408">
        <v>73798.400000000009</v>
      </c>
      <c r="X422" s="408">
        <v>48206.080000000002</v>
      </c>
      <c r="Y422" s="408">
        <v>0</v>
      </c>
      <c r="Z422" s="408">
        <v>0</v>
      </c>
      <c r="AA422" s="408">
        <v>0</v>
      </c>
      <c r="AB422" s="408">
        <v>0</v>
      </c>
      <c r="AC422" s="408">
        <v>0</v>
      </c>
      <c r="AD422" s="408">
        <v>21835.113976973938</v>
      </c>
      <c r="AE422" s="408">
        <v>47786.496219481342</v>
      </c>
      <c r="AF422" s="408"/>
      <c r="AG422" s="408"/>
      <c r="AH422" s="408"/>
      <c r="AI422" s="408">
        <v>0</v>
      </c>
      <c r="AJ422" s="408">
        <v>0</v>
      </c>
      <c r="AK422" s="408">
        <v>0</v>
      </c>
      <c r="AL422" s="408">
        <v>0</v>
      </c>
      <c r="AM422" s="408"/>
      <c r="AN422" s="408">
        <v>0</v>
      </c>
      <c r="AO422" s="408">
        <v>1650.2232309238491</v>
      </c>
      <c r="AP422" s="408">
        <v>2524.7728786311618</v>
      </c>
      <c r="AQ422" s="408">
        <v>0</v>
      </c>
      <c r="AR422" s="408">
        <v>0</v>
      </c>
      <c r="AS422" s="408"/>
      <c r="AT422" s="408"/>
      <c r="AU422" s="408">
        <v>0</v>
      </c>
      <c r="AV422" s="408">
        <v>0</v>
      </c>
      <c r="AW422" s="408">
        <v>0</v>
      </c>
      <c r="AX422" s="408"/>
      <c r="AY422" s="408"/>
      <c r="AZ422" s="408">
        <v>0</v>
      </c>
      <c r="BA422" s="408"/>
      <c r="BB422" s="408">
        <v>0</v>
      </c>
      <c r="BC422" s="408">
        <v>0</v>
      </c>
      <c r="BD422" s="408">
        <v>0</v>
      </c>
      <c r="BE422" s="408">
        <v>0</v>
      </c>
      <c r="BF422" s="408"/>
      <c r="BG422" s="408">
        <v>0</v>
      </c>
      <c r="BH422" s="408">
        <v>0</v>
      </c>
      <c r="BI422" s="408">
        <v>540.66</v>
      </c>
      <c r="BJ422" s="408">
        <v>2487.2600000000002</v>
      </c>
      <c r="BK422" s="408">
        <v>42583.83</v>
      </c>
      <c r="BL422" s="408">
        <v>7</v>
      </c>
      <c r="BM422" s="408"/>
      <c r="BN422" s="408"/>
      <c r="BO422" s="408"/>
      <c r="BP422" s="408"/>
      <c r="BQ422" s="408"/>
      <c r="BR422" s="408"/>
      <c r="BS422" s="408"/>
      <c r="BT422" s="408"/>
      <c r="BU422" s="408"/>
      <c r="BV422" s="408">
        <v>0</v>
      </c>
      <c r="BW422" s="408"/>
      <c r="BX422" s="408"/>
      <c r="BY422" s="408"/>
      <c r="BZ422" s="408"/>
      <c r="CA422" s="408"/>
      <c r="CB422" s="408"/>
      <c r="CC422" s="408"/>
      <c r="CD422" s="408"/>
      <c r="CE422" s="408"/>
      <c r="CF422" s="408"/>
      <c r="CG422" s="408"/>
      <c r="CH422" s="408"/>
      <c r="CI422" s="408">
        <v>48206.080000000002</v>
      </c>
      <c r="CJ422" s="408">
        <v>-25592.349999999991</v>
      </c>
      <c r="CK422" s="408"/>
      <c r="CL422" s="408"/>
      <c r="CM422" s="408"/>
      <c r="CN422" s="408"/>
      <c r="CO422" s="408">
        <v>-25592.320000000003</v>
      </c>
      <c r="CP422" s="408">
        <v>0</v>
      </c>
      <c r="CQ422" s="408">
        <v>29</v>
      </c>
      <c r="CR422" s="408">
        <v>1219.8640214824409</v>
      </c>
      <c r="CS422" s="408">
        <v>199.23480144923769</v>
      </c>
      <c r="CT422" s="408">
        <v>304.82095619081565</v>
      </c>
      <c r="CU422" s="408">
        <v>0</v>
      </c>
      <c r="CV422" s="408">
        <v>0</v>
      </c>
      <c r="CW422" s="408"/>
      <c r="CX422" s="408"/>
      <c r="CY422" s="408"/>
      <c r="CZ422" s="408">
        <v>715.80826384238389</v>
      </c>
      <c r="DA422" s="408">
        <v>0</v>
      </c>
      <c r="DB422" s="408">
        <v>0</v>
      </c>
      <c r="DC422" s="408"/>
      <c r="DD422" s="408"/>
      <c r="DE422" s="408">
        <v>0</v>
      </c>
      <c r="DF422" s="408">
        <v>0</v>
      </c>
      <c r="DG422" s="408">
        <v>0</v>
      </c>
      <c r="DH422" s="408">
        <v>0</v>
      </c>
      <c r="DI422" s="408">
        <v>0</v>
      </c>
      <c r="DJ422" s="408"/>
      <c r="DK422" s="408">
        <v>0</v>
      </c>
      <c r="DL422" s="408">
        <v>0</v>
      </c>
      <c r="DM422" s="408"/>
      <c r="DN422" s="408">
        <v>0</v>
      </c>
      <c r="DO422" s="408">
        <v>0</v>
      </c>
      <c r="DP422" s="408">
        <v>0</v>
      </c>
      <c r="DQ422" s="408">
        <v>0</v>
      </c>
      <c r="DR422" s="408">
        <v>0</v>
      </c>
      <c r="DS422" s="408"/>
      <c r="DT422" s="408"/>
      <c r="DU422" s="408">
        <v>47786.496219481342</v>
      </c>
      <c r="DV422" s="408"/>
      <c r="DW422" s="408">
        <v>0</v>
      </c>
      <c r="DX422" s="408">
        <v>0</v>
      </c>
      <c r="DY422" s="408">
        <v>-25592.320000000007</v>
      </c>
      <c r="DZ422" s="408"/>
      <c r="EA422" s="408">
        <v>0</v>
      </c>
      <c r="EB422" s="408"/>
      <c r="EC422" s="408">
        <v>-26807.732139764656</v>
      </c>
      <c r="ED422" s="408"/>
      <c r="EE422" s="408">
        <v>0</v>
      </c>
      <c r="EF422" s="408">
        <v>0</v>
      </c>
      <c r="EG422" s="408"/>
      <c r="EH422" s="408">
        <v>0</v>
      </c>
      <c r="EI422" s="408">
        <v>0</v>
      </c>
      <c r="EJ422" s="408">
        <v>0</v>
      </c>
      <c r="EK422" s="408">
        <v>0</v>
      </c>
      <c r="EL422" s="408">
        <v>0</v>
      </c>
      <c r="EM422" s="408"/>
      <c r="EN422" s="408"/>
      <c r="EO422" s="408">
        <v>0</v>
      </c>
      <c r="EP422" s="408">
        <v>0</v>
      </c>
      <c r="EQ422" s="408"/>
      <c r="ER422" s="408">
        <v>0</v>
      </c>
      <c r="ES422" s="408"/>
      <c r="ET422" s="408">
        <v>0</v>
      </c>
      <c r="EU422" s="408"/>
      <c r="EV422" s="408">
        <v>238</v>
      </c>
      <c r="EW422" s="408"/>
      <c r="EX422" s="408"/>
      <c r="EY422" s="408"/>
      <c r="EZ422" s="408"/>
      <c r="FA422" s="408">
        <v>0</v>
      </c>
      <c r="FB422" s="408"/>
      <c r="FC422" s="408"/>
      <c r="FD422" s="408"/>
      <c r="FE422" s="408"/>
      <c r="FF422" s="408">
        <v>0</v>
      </c>
      <c r="FG422" s="408">
        <v>0</v>
      </c>
      <c r="FH422" s="408">
        <v>0</v>
      </c>
      <c r="FI422" s="408">
        <v>0</v>
      </c>
    </row>
    <row r="423" spans="1:165">
      <c r="A423" s="408">
        <v>427</v>
      </c>
      <c r="B423" s="408" t="s">
        <v>1036</v>
      </c>
      <c r="C423" s="408" t="s">
        <v>2235</v>
      </c>
      <c r="D423" s="408" t="s">
        <v>1958</v>
      </c>
      <c r="E423" s="408" t="s">
        <v>998</v>
      </c>
      <c r="F423" s="408" t="s">
        <v>1322</v>
      </c>
      <c r="G423" s="408" t="s">
        <v>1322</v>
      </c>
      <c r="H423" s="408" t="s">
        <v>1322</v>
      </c>
      <c r="I423" s="408" t="s">
        <v>1322</v>
      </c>
      <c r="J423" s="408" t="s">
        <v>2236</v>
      </c>
      <c r="K423" s="824">
        <v>44593</v>
      </c>
      <c r="L423" s="408">
        <v>0</v>
      </c>
      <c r="M423" s="408">
        <v>0</v>
      </c>
      <c r="N423" s="408">
        <v>472.36399999999998</v>
      </c>
      <c r="O423" s="408">
        <v>472.36399999999998</v>
      </c>
      <c r="P423" s="408">
        <v>472.36399999999998</v>
      </c>
      <c r="Q423" s="408">
        <v>472.36399999999998</v>
      </c>
      <c r="R423" s="408"/>
      <c r="S423" s="408">
        <v>581.32000000000005</v>
      </c>
      <c r="T423" s="408">
        <v>209.4</v>
      </c>
      <c r="U423" s="408"/>
      <c r="V423" s="408">
        <v>373507.66207999998</v>
      </c>
      <c r="W423" s="408">
        <v>373507.66207999998</v>
      </c>
      <c r="X423" s="408">
        <v>285340.92148000002</v>
      </c>
      <c r="Y423" s="408">
        <v>0</v>
      </c>
      <c r="Z423" s="408">
        <v>29068.292127313147</v>
      </c>
      <c r="AA423" s="408">
        <v>0</v>
      </c>
      <c r="AB423" s="408">
        <v>0</v>
      </c>
      <c r="AC423" s="408">
        <v>0</v>
      </c>
      <c r="AD423" s="408">
        <v>35045.225920330115</v>
      </c>
      <c r="AE423" s="408">
        <v>182051.59474551395</v>
      </c>
      <c r="AF423" s="408">
        <v>97614.372884831726</v>
      </c>
      <c r="AG423" s="408">
        <v>1300.4015423436722</v>
      </c>
      <c r="AH423" s="408">
        <v>0</v>
      </c>
      <c r="AI423" s="408">
        <v>0</v>
      </c>
      <c r="AJ423" s="408">
        <v>0</v>
      </c>
      <c r="AK423" s="408">
        <v>0</v>
      </c>
      <c r="AL423" s="408">
        <v>4491.9934714976462</v>
      </c>
      <c r="AM423" s="408"/>
      <c r="AN423" s="408">
        <v>861.10271608218829</v>
      </c>
      <c r="AO423" s="408">
        <v>2692.2295368305363</v>
      </c>
      <c r="AP423" s="408">
        <v>4055.3346752231641</v>
      </c>
      <c r="AQ423" s="408">
        <v>0</v>
      </c>
      <c r="AR423" s="408">
        <v>0</v>
      </c>
      <c r="AS423" s="408">
        <v>0</v>
      </c>
      <c r="AT423" s="408">
        <v>0</v>
      </c>
      <c r="AU423" s="408">
        <v>0</v>
      </c>
      <c r="AV423" s="408">
        <v>0</v>
      </c>
      <c r="AW423" s="408">
        <v>0</v>
      </c>
      <c r="AX423" s="408">
        <v>0</v>
      </c>
      <c r="AY423" s="408">
        <v>0</v>
      </c>
      <c r="AZ423" s="408">
        <v>0</v>
      </c>
      <c r="BA423" s="408"/>
      <c r="BB423" s="408">
        <v>0</v>
      </c>
      <c r="BC423" s="408">
        <v>0</v>
      </c>
      <c r="BD423" s="408">
        <v>0</v>
      </c>
      <c r="BE423" s="408">
        <v>0</v>
      </c>
      <c r="BF423" s="408">
        <v>0</v>
      </c>
      <c r="BG423" s="408">
        <v>16330.702103089667</v>
      </c>
      <c r="BH423" s="408">
        <v>0</v>
      </c>
      <c r="BI423" s="408">
        <v>888.91</v>
      </c>
      <c r="BJ423" s="408">
        <v>4109.71</v>
      </c>
      <c r="BK423" s="408">
        <v>119132.52</v>
      </c>
      <c r="BL423" s="408">
        <v>822</v>
      </c>
      <c r="BM423" s="408"/>
      <c r="BN423" s="408"/>
      <c r="BO423" s="408"/>
      <c r="BP423" s="408"/>
      <c r="BQ423" s="408"/>
      <c r="BR423" s="408"/>
      <c r="BS423" s="408"/>
      <c r="BT423" s="408"/>
      <c r="BU423" s="408"/>
      <c r="BV423" s="408">
        <v>113945.0749879214</v>
      </c>
      <c r="BW423" s="408"/>
      <c r="BX423" s="408"/>
      <c r="BY423" s="408"/>
      <c r="BZ423" s="408"/>
      <c r="CA423" s="408"/>
      <c r="CB423" s="408"/>
      <c r="CC423" s="408"/>
      <c r="CD423" s="408"/>
      <c r="CE423" s="408"/>
      <c r="CF423" s="408"/>
      <c r="CG423" s="408"/>
      <c r="CH423" s="408"/>
      <c r="CI423" s="408">
        <v>285338.50520000001</v>
      </c>
      <c r="CJ423" s="408">
        <v>-88169.186879999994</v>
      </c>
      <c r="CK423" s="408"/>
      <c r="CL423" s="408"/>
      <c r="CM423" s="408"/>
      <c r="CN423" s="408"/>
      <c r="CO423" s="408">
        <v>-98950.810720000023</v>
      </c>
      <c r="CP423" s="408">
        <v>10784.070119999991</v>
      </c>
      <c r="CQ423" s="408">
        <v>29</v>
      </c>
      <c r="CR423" s="408">
        <v>13955.460943633021</v>
      </c>
      <c r="CS423" s="408">
        <v>325.03833855612811</v>
      </c>
      <c r="CT423" s="408">
        <v>489.60878970051317</v>
      </c>
      <c r="CU423" s="408">
        <v>0</v>
      </c>
      <c r="CV423" s="408">
        <v>0</v>
      </c>
      <c r="CW423" s="408">
        <v>0</v>
      </c>
      <c r="CX423" s="408">
        <v>0</v>
      </c>
      <c r="CY423" s="408">
        <v>0</v>
      </c>
      <c r="CZ423" s="408">
        <v>1148.8679357683795</v>
      </c>
      <c r="DA423" s="408">
        <v>0</v>
      </c>
      <c r="DB423" s="408">
        <v>0</v>
      </c>
      <c r="DC423" s="408">
        <v>10780.803310263917</v>
      </c>
      <c r="DD423" s="408">
        <v>0</v>
      </c>
      <c r="DE423" s="408">
        <v>0</v>
      </c>
      <c r="DF423" s="408">
        <v>0</v>
      </c>
      <c r="DG423" s="408">
        <v>1803.6082401475305</v>
      </c>
      <c r="DH423" s="408">
        <v>0</v>
      </c>
      <c r="DI423" s="408">
        <v>-506.72203896566134</v>
      </c>
      <c r="DJ423" s="408"/>
      <c r="DK423" s="408">
        <v>0</v>
      </c>
      <c r="DL423" s="408">
        <v>0</v>
      </c>
      <c r="DM423" s="408">
        <v>0</v>
      </c>
      <c r="DN423" s="408">
        <v>0</v>
      </c>
      <c r="DO423" s="408">
        <v>-65.834530818686289</v>
      </c>
      <c r="DP423" s="408">
        <v>-19.90910101907582</v>
      </c>
      <c r="DQ423" s="408">
        <v>0</v>
      </c>
      <c r="DR423" s="408">
        <v>0</v>
      </c>
      <c r="DS423" s="408"/>
      <c r="DT423" s="408"/>
      <c r="DU423" s="408"/>
      <c r="DV423" s="408">
        <v>182051.59474551395</v>
      </c>
      <c r="DW423" s="408">
        <v>0</v>
      </c>
      <c r="DX423" s="408">
        <v>0</v>
      </c>
      <c r="DY423" s="408">
        <v>-98950.810720000009</v>
      </c>
      <c r="DZ423" s="408">
        <v>10784.070120000004</v>
      </c>
      <c r="EA423" s="408">
        <v>0</v>
      </c>
      <c r="EB423" s="408">
        <v>0</v>
      </c>
      <c r="EC423" s="408">
        <v>-102129.0693743123</v>
      </c>
      <c r="ED423" s="408">
        <v>0</v>
      </c>
      <c r="EE423" s="408">
        <v>0</v>
      </c>
      <c r="EF423" s="408">
        <v>0</v>
      </c>
      <c r="EG423" s="408">
        <v>0</v>
      </c>
      <c r="EH423" s="408">
        <v>0</v>
      </c>
      <c r="EI423" s="408">
        <v>0</v>
      </c>
      <c r="EJ423" s="408">
        <v>0</v>
      </c>
      <c r="EK423" s="408">
        <v>0</v>
      </c>
      <c r="EL423" s="408">
        <v>0</v>
      </c>
      <c r="EM423" s="408">
        <v>0</v>
      </c>
      <c r="EN423" s="408">
        <v>0</v>
      </c>
      <c r="EO423" s="408">
        <v>0</v>
      </c>
      <c r="EP423" s="408">
        <v>0</v>
      </c>
      <c r="EQ423" s="408">
        <v>0</v>
      </c>
      <c r="ER423" s="408">
        <v>0</v>
      </c>
      <c r="ES423" s="408">
        <v>0</v>
      </c>
      <c r="ET423" s="408">
        <v>0</v>
      </c>
      <c r="EU423" s="408">
        <v>0</v>
      </c>
      <c r="EV423" s="408">
        <v>238</v>
      </c>
      <c r="EW423" s="408">
        <v>0</v>
      </c>
      <c r="EX423" s="408">
        <v>0</v>
      </c>
      <c r="EY423" s="408">
        <v>0</v>
      </c>
      <c r="EZ423" s="408"/>
      <c r="FA423" s="408">
        <v>0</v>
      </c>
      <c r="FB423" s="408"/>
      <c r="FC423" s="408"/>
      <c r="FD423" s="408"/>
      <c r="FE423" s="408"/>
      <c r="FF423" s="408">
        <v>0</v>
      </c>
      <c r="FG423" s="408">
        <v>0</v>
      </c>
      <c r="FH423" s="408">
        <v>0</v>
      </c>
      <c r="FI423" s="408">
        <v>0</v>
      </c>
    </row>
    <row r="424" spans="1:165">
      <c r="A424" s="408">
        <v>428</v>
      </c>
      <c r="B424" s="408" t="s">
        <v>2237</v>
      </c>
      <c r="C424" s="408" t="s">
        <v>2235</v>
      </c>
      <c r="D424" s="408" t="s">
        <v>1958</v>
      </c>
      <c r="E424" s="408" t="s">
        <v>998</v>
      </c>
      <c r="F424" s="408" t="s">
        <v>1322</v>
      </c>
      <c r="G424" s="408" t="s">
        <v>1322</v>
      </c>
      <c r="H424" s="408" t="s">
        <v>1322</v>
      </c>
      <c r="I424" s="408" t="s">
        <v>1322</v>
      </c>
      <c r="J424" s="408" t="s">
        <v>2236</v>
      </c>
      <c r="K424" s="824">
        <v>44593</v>
      </c>
      <c r="L424" s="408">
        <v>0</v>
      </c>
      <c r="M424" s="408">
        <v>0</v>
      </c>
      <c r="N424" s="408">
        <v>-1.0509999999999999</v>
      </c>
      <c r="O424" s="408">
        <v>-1.0509999999999999</v>
      </c>
      <c r="P424" s="408">
        <v>-1.0509999999999999</v>
      </c>
      <c r="Q424" s="408">
        <v>-1.0509999999999999</v>
      </c>
      <c r="R424" s="408"/>
      <c r="S424" s="408">
        <v>581.32000000000005</v>
      </c>
      <c r="T424" s="408">
        <v>209.4</v>
      </c>
      <c r="U424" s="408"/>
      <c r="V424" s="408">
        <v>-831.04671999999994</v>
      </c>
      <c r="W424" s="408">
        <v>-831.04671999999994</v>
      </c>
      <c r="X424" s="408">
        <v>-634.87756999999988</v>
      </c>
      <c r="Y424" s="408">
        <v>0</v>
      </c>
      <c r="Z424" s="408">
        <v>-64.676340757987731</v>
      </c>
      <c r="AA424" s="408">
        <v>0</v>
      </c>
      <c r="AB424" s="408">
        <v>0</v>
      </c>
      <c r="AC424" s="408">
        <v>0</v>
      </c>
      <c r="AD424" s="408">
        <v>-77.974893180401025</v>
      </c>
      <c r="AE424" s="408">
        <v>-405.06098279618084</v>
      </c>
      <c r="AF424" s="408">
        <v>-217.18993382636725</v>
      </c>
      <c r="AG424" s="408">
        <v>-2.8933661773615249</v>
      </c>
      <c r="AH424" s="408">
        <v>0</v>
      </c>
      <c r="AI424" s="408">
        <v>0</v>
      </c>
      <c r="AJ424" s="408">
        <v>0</v>
      </c>
      <c r="AK424" s="408">
        <v>0</v>
      </c>
      <c r="AL424" s="408">
        <v>-9.994591329025976</v>
      </c>
      <c r="AM424" s="408"/>
      <c r="AN424" s="408">
        <v>-1.9159354959361423</v>
      </c>
      <c r="AO424" s="408">
        <v>-5.9901542945882698</v>
      </c>
      <c r="AP424" s="408">
        <v>-9.0230346589908326</v>
      </c>
      <c r="AQ424" s="408">
        <v>0</v>
      </c>
      <c r="AR424" s="408">
        <v>0</v>
      </c>
      <c r="AS424" s="408">
        <v>0</v>
      </c>
      <c r="AT424" s="408">
        <v>0</v>
      </c>
      <c r="AU424" s="408">
        <v>0</v>
      </c>
      <c r="AV424" s="408">
        <v>0</v>
      </c>
      <c r="AW424" s="408">
        <v>0</v>
      </c>
      <c r="AX424" s="408">
        <v>0</v>
      </c>
      <c r="AY424" s="408">
        <v>0</v>
      </c>
      <c r="AZ424" s="408">
        <v>0</v>
      </c>
      <c r="BA424" s="408"/>
      <c r="BB424" s="408">
        <v>0</v>
      </c>
      <c r="BC424" s="408">
        <v>0</v>
      </c>
      <c r="BD424" s="408">
        <v>0</v>
      </c>
      <c r="BE424" s="408">
        <v>0</v>
      </c>
      <c r="BF424" s="408">
        <v>0</v>
      </c>
      <c r="BG424" s="408">
        <v>-36.335469913768279</v>
      </c>
      <c r="BH424" s="408">
        <v>0</v>
      </c>
      <c r="BI424" s="408">
        <v>-2.23</v>
      </c>
      <c r="BJ424" s="408">
        <v>-10.199999999999999</v>
      </c>
      <c r="BK424" s="408">
        <v>-265.52</v>
      </c>
      <c r="BL424" s="408">
        <v>0</v>
      </c>
      <c r="BM424" s="408"/>
      <c r="BN424" s="408"/>
      <c r="BO424" s="408"/>
      <c r="BP424" s="408"/>
      <c r="BQ424" s="408"/>
      <c r="BR424" s="408"/>
      <c r="BS424" s="408"/>
      <c r="BT424" s="408"/>
      <c r="BU424" s="408"/>
      <c r="BV424" s="408">
        <v>-253.52540374013552</v>
      </c>
      <c r="BW424" s="408"/>
      <c r="BX424" s="408"/>
      <c r="BY424" s="408"/>
      <c r="BZ424" s="408"/>
      <c r="CA424" s="408"/>
      <c r="CB424" s="408"/>
      <c r="CC424" s="408"/>
      <c r="CD424" s="408"/>
      <c r="CE424" s="408"/>
      <c r="CF424" s="408"/>
      <c r="CG424" s="408"/>
      <c r="CH424" s="408"/>
      <c r="CI424" s="408">
        <v>-634.27350000000001</v>
      </c>
      <c r="CJ424" s="408">
        <v>196.74321999999995</v>
      </c>
      <c r="CK424" s="408"/>
      <c r="CL424" s="408"/>
      <c r="CM424" s="408"/>
      <c r="CN424" s="408"/>
      <c r="CO424" s="408">
        <v>220.16348000000008</v>
      </c>
      <c r="CP424" s="408">
        <v>-23.99432999999998</v>
      </c>
      <c r="CQ424" s="408">
        <v>29</v>
      </c>
      <c r="CR424" s="408">
        <v>-31.050608115263572</v>
      </c>
      <c r="CS424" s="408">
        <v>-0.72320349099950576</v>
      </c>
      <c r="CT424" s="408">
        <v>-1.0893692956602106</v>
      </c>
      <c r="CU424" s="408">
        <v>0</v>
      </c>
      <c r="CV424" s="408">
        <v>0</v>
      </c>
      <c r="CW424" s="408">
        <v>0</v>
      </c>
      <c r="CX424" s="408">
        <v>0</v>
      </c>
      <c r="CY424" s="408">
        <v>0</v>
      </c>
      <c r="CZ424" s="408">
        <v>-2.5562070786354667</v>
      </c>
      <c r="DA424" s="408">
        <v>0</v>
      </c>
      <c r="DB424" s="408">
        <v>0</v>
      </c>
      <c r="DC424" s="408">
        <v>-23.987061416804352</v>
      </c>
      <c r="DD424" s="408">
        <v>0</v>
      </c>
      <c r="DE424" s="408">
        <v>0</v>
      </c>
      <c r="DF424" s="408">
        <v>0</v>
      </c>
      <c r="DG424" s="408">
        <v>-4.0129905335610943</v>
      </c>
      <c r="DH424" s="408">
        <v>0</v>
      </c>
      <c r="DI424" s="408">
        <v>1.1274459166086075</v>
      </c>
      <c r="DJ424" s="408"/>
      <c r="DK424" s="408">
        <v>0</v>
      </c>
      <c r="DL424" s="408">
        <v>0</v>
      </c>
      <c r="DM424" s="408">
        <v>0</v>
      </c>
      <c r="DN424" s="408">
        <v>0</v>
      </c>
      <c r="DO424" s="408">
        <v>0.14648045128426368</v>
      </c>
      <c r="DP424" s="408">
        <v>4.4297332504273701E-2</v>
      </c>
      <c r="DQ424" s="408">
        <v>0</v>
      </c>
      <c r="DR424" s="408">
        <v>0</v>
      </c>
      <c r="DS424" s="408"/>
      <c r="DT424" s="408"/>
      <c r="DU424" s="408"/>
      <c r="DV424" s="408">
        <v>-405.06098279618084</v>
      </c>
      <c r="DW424" s="408">
        <v>0</v>
      </c>
      <c r="DX424" s="408">
        <v>0</v>
      </c>
      <c r="DY424" s="408">
        <v>220.16348000000005</v>
      </c>
      <c r="DZ424" s="408">
        <v>-23.994329999999991</v>
      </c>
      <c r="EA424" s="408">
        <v>0</v>
      </c>
      <c r="EB424" s="408">
        <v>0</v>
      </c>
      <c r="EC424" s="408">
        <v>227.23503889458601</v>
      </c>
      <c r="ED424" s="408">
        <v>0</v>
      </c>
      <c r="EE424" s="408">
        <v>0</v>
      </c>
      <c r="EF424" s="408">
        <v>0</v>
      </c>
      <c r="EG424" s="408">
        <v>0</v>
      </c>
      <c r="EH424" s="408">
        <v>0</v>
      </c>
      <c r="EI424" s="408">
        <v>0</v>
      </c>
      <c r="EJ424" s="408">
        <v>0</v>
      </c>
      <c r="EK424" s="408">
        <v>0</v>
      </c>
      <c r="EL424" s="408">
        <v>0</v>
      </c>
      <c r="EM424" s="408">
        <v>0</v>
      </c>
      <c r="EN424" s="408">
        <v>0</v>
      </c>
      <c r="EO424" s="408">
        <v>0</v>
      </c>
      <c r="EP424" s="408">
        <v>0</v>
      </c>
      <c r="EQ424" s="408">
        <v>0</v>
      </c>
      <c r="ER424" s="408">
        <v>0</v>
      </c>
      <c r="ES424" s="408">
        <v>0</v>
      </c>
      <c r="ET424" s="408">
        <v>0</v>
      </c>
      <c r="EU424" s="408">
        <v>0</v>
      </c>
      <c r="EV424" s="408">
        <v>238</v>
      </c>
      <c r="EW424" s="408">
        <v>0</v>
      </c>
      <c r="EX424" s="408">
        <v>0</v>
      </c>
      <c r="EY424" s="408">
        <v>0</v>
      </c>
      <c r="EZ424" s="408"/>
      <c r="FA424" s="408">
        <v>0</v>
      </c>
      <c r="FB424" s="408"/>
      <c r="FC424" s="408"/>
      <c r="FD424" s="408"/>
      <c r="FE424" s="408"/>
      <c r="FF424" s="408">
        <v>0</v>
      </c>
      <c r="FG424" s="408">
        <v>0</v>
      </c>
      <c r="FH424" s="408">
        <v>0</v>
      </c>
      <c r="FI424" s="408">
        <v>0</v>
      </c>
    </row>
    <row r="425" spans="1:165">
      <c r="A425" s="408">
        <v>429</v>
      </c>
      <c r="B425" s="408" t="s">
        <v>2238</v>
      </c>
      <c r="C425" s="408" t="s">
        <v>2235</v>
      </c>
      <c r="D425" s="408" t="s">
        <v>1958</v>
      </c>
      <c r="E425" s="408" t="s">
        <v>998</v>
      </c>
      <c r="F425" s="408" t="s">
        <v>1322</v>
      </c>
      <c r="G425" s="408" t="s">
        <v>1322</v>
      </c>
      <c r="H425" s="408" t="s">
        <v>1322</v>
      </c>
      <c r="I425" s="408" t="s">
        <v>1322</v>
      </c>
      <c r="J425" s="408" t="s">
        <v>2236</v>
      </c>
      <c r="K425" s="824">
        <v>44593</v>
      </c>
      <c r="L425" s="408">
        <v>0</v>
      </c>
      <c r="M425" s="408">
        <v>0</v>
      </c>
      <c r="N425" s="408">
        <v>72.944000000000003</v>
      </c>
      <c r="O425" s="408">
        <v>72.944000000000003</v>
      </c>
      <c r="P425" s="408">
        <v>72.944000000000003</v>
      </c>
      <c r="Q425" s="408">
        <v>72.944000000000003</v>
      </c>
      <c r="R425" s="408"/>
      <c r="S425" s="408">
        <v>581.32000000000005</v>
      </c>
      <c r="T425" s="408">
        <v>209.4</v>
      </c>
      <c r="U425" s="408"/>
      <c r="V425" s="408">
        <v>57678.279680000007</v>
      </c>
      <c r="W425" s="408">
        <v>57678.279680000007</v>
      </c>
      <c r="X425" s="408">
        <v>44063.282080000004</v>
      </c>
      <c r="Y425" s="408">
        <v>0</v>
      </c>
      <c r="Z425" s="408">
        <v>4488.8211229787421</v>
      </c>
      <c r="AA425" s="408">
        <v>0</v>
      </c>
      <c r="AB425" s="408">
        <v>0</v>
      </c>
      <c r="AC425" s="408">
        <v>0</v>
      </c>
      <c r="AD425" s="408">
        <v>5411.7988659858929</v>
      </c>
      <c r="AE425" s="408">
        <v>28113.005070489646</v>
      </c>
      <c r="AF425" s="408">
        <v>15073.932000980529</v>
      </c>
      <c r="AG425" s="408">
        <v>200.81227634772512</v>
      </c>
      <c r="AH425" s="408">
        <v>0</v>
      </c>
      <c r="AI425" s="408">
        <v>0</v>
      </c>
      <c r="AJ425" s="408">
        <v>0</v>
      </c>
      <c r="AK425" s="408">
        <v>0</v>
      </c>
      <c r="AL425" s="408">
        <v>693.66838240197035</v>
      </c>
      <c r="AM425" s="408"/>
      <c r="AN425" s="408">
        <v>132.97430905382109</v>
      </c>
      <c r="AO425" s="408">
        <v>415.74292565599126</v>
      </c>
      <c r="AP425" s="408">
        <v>626.2380972078281</v>
      </c>
      <c r="AQ425" s="408">
        <v>0</v>
      </c>
      <c r="AR425" s="408">
        <v>0</v>
      </c>
      <c r="AS425" s="408">
        <v>0</v>
      </c>
      <c r="AT425" s="408">
        <v>0</v>
      </c>
      <c r="AU425" s="408">
        <v>0</v>
      </c>
      <c r="AV425" s="408">
        <v>0</v>
      </c>
      <c r="AW425" s="408">
        <v>0</v>
      </c>
      <c r="AX425" s="408">
        <v>0</v>
      </c>
      <c r="AY425" s="408">
        <v>0</v>
      </c>
      <c r="AZ425" s="408">
        <v>0</v>
      </c>
      <c r="BA425" s="408"/>
      <c r="BB425" s="408">
        <v>0</v>
      </c>
      <c r="BC425" s="408">
        <v>0</v>
      </c>
      <c r="BD425" s="408">
        <v>0</v>
      </c>
      <c r="BE425" s="408">
        <v>0</v>
      </c>
      <c r="BF425" s="408">
        <v>0</v>
      </c>
      <c r="BG425" s="408">
        <v>2521.8406445194232</v>
      </c>
      <c r="BH425" s="408">
        <v>0</v>
      </c>
      <c r="BI425" s="408">
        <v>137.56</v>
      </c>
      <c r="BJ425" s="408">
        <v>635.9</v>
      </c>
      <c r="BK425" s="408">
        <v>33977.1</v>
      </c>
      <c r="BL425" s="408">
        <v>92</v>
      </c>
      <c r="BM425" s="408"/>
      <c r="BN425" s="408"/>
      <c r="BO425" s="408"/>
      <c r="BP425" s="408"/>
      <c r="BQ425" s="408"/>
      <c r="BR425" s="408"/>
      <c r="BS425" s="408"/>
      <c r="BT425" s="408"/>
      <c r="BU425" s="408"/>
      <c r="BV425" s="408">
        <v>17595.77264549995</v>
      </c>
      <c r="BW425" s="408"/>
      <c r="BX425" s="408"/>
      <c r="BY425" s="408"/>
      <c r="BZ425" s="408"/>
      <c r="CA425" s="408"/>
      <c r="CB425" s="408"/>
      <c r="CC425" s="408"/>
      <c r="CD425" s="408"/>
      <c r="CE425" s="408"/>
      <c r="CF425" s="408"/>
      <c r="CG425" s="408"/>
      <c r="CH425" s="408"/>
      <c r="CI425" s="408">
        <v>44060.8658</v>
      </c>
      <c r="CJ425" s="408">
        <v>-13617.443880000013</v>
      </c>
      <c r="CK425" s="408"/>
      <c r="CL425" s="408"/>
      <c r="CM425" s="408"/>
      <c r="CN425" s="408"/>
      <c r="CO425" s="408">
        <v>-15280.309120000005</v>
      </c>
      <c r="CP425" s="408">
        <v>1665.3115199999988</v>
      </c>
      <c r="CQ425" s="408">
        <v>29</v>
      </c>
      <c r="CR425" s="408">
        <v>2155.0481050045419</v>
      </c>
      <c r="CS425" s="408">
        <v>50.193487580844874</v>
      </c>
      <c r="CT425" s="408">
        <v>75.606997052938596</v>
      </c>
      <c r="CU425" s="408">
        <v>0</v>
      </c>
      <c r="CV425" s="408">
        <v>0</v>
      </c>
      <c r="CW425" s="408">
        <v>0</v>
      </c>
      <c r="CX425" s="408">
        <v>0</v>
      </c>
      <c r="CY425" s="408">
        <v>0</v>
      </c>
      <c r="CZ425" s="408">
        <v>177.41195922358293</v>
      </c>
      <c r="DA425" s="408">
        <v>0</v>
      </c>
      <c r="DB425" s="408">
        <v>0</v>
      </c>
      <c r="DC425" s="408">
        <v>1664.807048513203</v>
      </c>
      <c r="DD425" s="408">
        <v>0</v>
      </c>
      <c r="DE425" s="408">
        <v>0</v>
      </c>
      <c r="DF425" s="408">
        <v>0</v>
      </c>
      <c r="DG425" s="408">
        <v>278.51910702196028</v>
      </c>
      <c r="DH425" s="408">
        <v>0</v>
      </c>
      <c r="DI425" s="408">
        <v>-78.249681199903534</v>
      </c>
      <c r="DJ425" s="408"/>
      <c r="DK425" s="408">
        <v>0</v>
      </c>
      <c r="DL425" s="408">
        <v>0</v>
      </c>
      <c r="DM425" s="408">
        <v>0</v>
      </c>
      <c r="DN425" s="408">
        <v>0</v>
      </c>
      <c r="DO425" s="408">
        <v>-10.166384432425502</v>
      </c>
      <c r="DP425" s="408">
        <v>-3.0744287556534005</v>
      </c>
      <c r="DQ425" s="408">
        <v>0</v>
      </c>
      <c r="DR425" s="408">
        <v>0</v>
      </c>
      <c r="DS425" s="408"/>
      <c r="DT425" s="408"/>
      <c r="DU425" s="408"/>
      <c r="DV425" s="408">
        <v>28113.005070489646</v>
      </c>
      <c r="DW425" s="408">
        <v>0</v>
      </c>
      <c r="DX425" s="408">
        <v>0</v>
      </c>
      <c r="DY425" s="408">
        <v>-15280.309120000002</v>
      </c>
      <c r="DZ425" s="408">
        <v>1665.3115199999993</v>
      </c>
      <c r="EA425" s="408">
        <v>0</v>
      </c>
      <c r="EB425" s="408">
        <v>0</v>
      </c>
      <c r="EC425" s="408">
        <v>-15771.106257970203</v>
      </c>
      <c r="ED425" s="408">
        <v>0</v>
      </c>
      <c r="EE425" s="408">
        <v>0</v>
      </c>
      <c r="EF425" s="408">
        <v>0</v>
      </c>
      <c r="EG425" s="408">
        <v>0</v>
      </c>
      <c r="EH425" s="408">
        <v>0</v>
      </c>
      <c r="EI425" s="408">
        <v>0</v>
      </c>
      <c r="EJ425" s="408">
        <v>0</v>
      </c>
      <c r="EK425" s="408">
        <v>0</v>
      </c>
      <c r="EL425" s="408">
        <v>0</v>
      </c>
      <c r="EM425" s="408">
        <v>0</v>
      </c>
      <c r="EN425" s="408">
        <v>0</v>
      </c>
      <c r="EO425" s="408">
        <v>0</v>
      </c>
      <c r="EP425" s="408">
        <v>0</v>
      </c>
      <c r="EQ425" s="408">
        <v>0</v>
      </c>
      <c r="ER425" s="408">
        <v>0</v>
      </c>
      <c r="ES425" s="408">
        <v>0</v>
      </c>
      <c r="ET425" s="408">
        <v>0</v>
      </c>
      <c r="EU425" s="408">
        <v>0</v>
      </c>
      <c r="EV425" s="408">
        <v>238</v>
      </c>
      <c r="EW425" s="408">
        <v>0</v>
      </c>
      <c r="EX425" s="408">
        <v>0</v>
      </c>
      <c r="EY425" s="408">
        <v>0</v>
      </c>
      <c r="EZ425" s="408"/>
      <c r="FA425" s="408">
        <v>0</v>
      </c>
      <c r="FB425" s="408"/>
      <c r="FC425" s="408"/>
      <c r="FD425" s="408"/>
      <c r="FE425" s="408"/>
      <c r="FF425" s="408">
        <v>0</v>
      </c>
      <c r="FG425" s="408">
        <v>0</v>
      </c>
      <c r="FH425" s="408">
        <v>0</v>
      </c>
      <c r="FI425" s="408">
        <v>0</v>
      </c>
    </row>
    <row r="426" spans="1:165">
      <c r="A426" s="408">
        <v>430</v>
      </c>
      <c r="B426" s="408" t="s">
        <v>1036</v>
      </c>
      <c r="C426" s="408" t="s">
        <v>2243</v>
      </c>
      <c r="D426" s="408" t="s">
        <v>597</v>
      </c>
      <c r="E426" s="408" t="s">
        <v>998</v>
      </c>
      <c r="F426" s="408" t="s">
        <v>1322</v>
      </c>
      <c r="G426" s="408" t="s">
        <v>1322</v>
      </c>
      <c r="H426" s="408" t="s">
        <v>1322</v>
      </c>
      <c r="I426" s="408" t="s">
        <v>973</v>
      </c>
      <c r="J426" s="408" t="s">
        <v>2236</v>
      </c>
      <c r="K426" s="824">
        <v>44593</v>
      </c>
      <c r="L426" s="408">
        <v>0</v>
      </c>
      <c r="M426" s="408">
        <v>0</v>
      </c>
      <c r="N426" s="408">
        <v>21.234000000000002</v>
      </c>
      <c r="O426" s="408">
        <v>21.234000000000002</v>
      </c>
      <c r="P426" s="408">
        <v>21.234000000000002</v>
      </c>
      <c r="Q426" s="408">
        <v>21.234000000000002</v>
      </c>
      <c r="R426" s="408"/>
      <c r="S426" s="408">
        <v>1614.19</v>
      </c>
      <c r="T426" s="408">
        <v>209.4</v>
      </c>
      <c r="U426" s="408"/>
      <c r="V426" s="408">
        <v>38722.110060000006</v>
      </c>
      <c r="W426" s="408">
        <v>38722.110060000006</v>
      </c>
      <c r="X426" s="408">
        <v>25738.793099999999</v>
      </c>
      <c r="Y426" s="408">
        <v>0</v>
      </c>
      <c r="Z426" s="408">
        <v>1136.8254568029952</v>
      </c>
      <c r="AA426" s="408">
        <v>0</v>
      </c>
      <c r="AB426" s="408">
        <v>0</v>
      </c>
      <c r="AC426" s="408">
        <v>0</v>
      </c>
      <c r="AD426" s="408">
        <v>6612.6496069644336</v>
      </c>
      <c r="AE426" s="408">
        <v>24691.672707166876</v>
      </c>
      <c r="AF426" s="408">
        <v>4388.0219361266254</v>
      </c>
      <c r="AG426" s="408">
        <v>58.456458049566727</v>
      </c>
      <c r="AH426" s="408">
        <v>0</v>
      </c>
      <c r="AI426" s="408">
        <v>0</v>
      </c>
      <c r="AJ426" s="408">
        <v>0</v>
      </c>
      <c r="AK426" s="408">
        <v>0</v>
      </c>
      <c r="AL426" s="408">
        <v>201.92688133257622</v>
      </c>
      <c r="AM426" s="408"/>
      <c r="AN426" s="408">
        <v>28.19544604686142</v>
      </c>
      <c r="AO426" s="408">
        <v>513.75504536525602</v>
      </c>
      <c r="AP426" s="408">
        <v>765.2458372182864</v>
      </c>
      <c r="AQ426" s="408">
        <v>0</v>
      </c>
      <c r="AR426" s="408">
        <v>0</v>
      </c>
      <c r="AS426" s="408">
        <v>0</v>
      </c>
      <c r="AT426" s="408">
        <v>0</v>
      </c>
      <c r="AU426" s="408">
        <v>0</v>
      </c>
      <c r="AV426" s="408">
        <v>0</v>
      </c>
      <c r="AW426" s="408">
        <v>0</v>
      </c>
      <c r="AX426" s="408">
        <v>0</v>
      </c>
      <c r="AY426" s="408">
        <v>0</v>
      </c>
      <c r="AZ426" s="408">
        <v>0</v>
      </c>
      <c r="BA426" s="408"/>
      <c r="BB426" s="408">
        <v>0</v>
      </c>
      <c r="BC426" s="408">
        <v>0</v>
      </c>
      <c r="BD426" s="408">
        <v>0</v>
      </c>
      <c r="BE426" s="408">
        <v>0</v>
      </c>
      <c r="BF426" s="408">
        <v>0</v>
      </c>
      <c r="BG426" s="408">
        <v>325.39908169415827</v>
      </c>
      <c r="BH426" s="408">
        <v>0</v>
      </c>
      <c r="BI426" s="408">
        <v>0</v>
      </c>
      <c r="BJ426" s="408">
        <v>0</v>
      </c>
      <c r="BK426" s="408">
        <v>0</v>
      </c>
      <c r="BL426" s="408">
        <v>0</v>
      </c>
      <c r="BM426" s="408"/>
      <c r="BN426" s="408"/>
      <c r="BO426" s="408"/>
      <c r="BP426" s="408"/>
      <c r="BQ426" s="408"/>
      <c r="BR426" s="408"/>
      <c r="BS426" s="408"/>
      <c r="BT426" s="408"/>
      <c r="BU426" s="408"/>
      <c r="BV426" s="408">
        <v>4713.4210178207841</v>
      </c>
      <c r="BW426" s="408"/>
      <c r="BX426" s="408"/>
      <c r="BY426" s="408"/>
      <c r="BZ426" s="408"/>
      <c r="CA426" s="408"/>
      <c r="CB426" s="408"/>
      <c r="CC426" s="408"/>
      <c r="CD426" s="408"/>
      <c r="CE426" s="408"/>
      <c r="CF426" s="408"/>
      <c r="CG426" s="408"/>
      <c r="CH426" s="408"/>
      <c r="CI426" s="408">
        <v>25733.944500000001</v>
      </c>
      <c r="CJ426" s="408">
        <v>-12988.195560000011</v>
      </c>
      <c r="CK426" s="408"/>
      <c r="CL426" s="408"/>
      <c r="CM426" s="408"/>
      <c r="CN426" s="408"/>
      <c r="CO426" s="408">
        <v>-13468.089180000003</v>
      </c>
      <c r="CP426" s="408">
        <v>484.77221999999972</v>
      </c>
      <c r="CQ426" s="408">
        <v>29</v>
      </c>
      <c r="CR426" s="408">
        <v>868.32988918969386</v>
      </c>
      <c r="CS426" s="408">
        <v>62.026689807042885</v>
      </c>
      <c r="CT426" s="408">
        <v>92.389683759747641</v>
      </c>
      <c r="CU426" s="408">
        <v>0</v>
      </c>
      <c r="CV426" s="408">
        <v>0</v>
      </c>
      <c r="CW426" s="408">
        <v>0</v>
      </c>
      <c r="CX426" s="408">
        <v>0</v>
      </c>
      <c r="CY426" s="408">
        <v>0</v>
      </c>
      <c r="CZ426" s="408">
        <v>216.77877383880332</v>
      </c>
      <c r="DA426" s="408">
        <v>0</v>
      </c>
      <c r="DB426" s="408">
        <v>0</v>
      </c>
      <c r="DC426" s="408">
        <v>484.62536833912782</v>
      </c>
      <c r="DD426" s="408">
        <v>0</v>
      </c>
      <c r="DE426" s="408">
        <v>0</v>
      </c>
      <c r="DF426" s="408">
        <v>0</v>
      </c>
      <c r="DG426" s="408">
        <v>35.937981194880763</v>
      </c>
      <c r="DH426" s="408">
        <v>0</v>
      </c>
      <c r="DI426" s="408">
        <v>-19.81728100489363</v>
      </c>
      <c r="DJ426" s="408"/>
      <c r="DK426" s="408">
        <v>0</v>
      </c>
      <c r="DL426" s="408">
        <v>0</v>
      </c>
      <c r="DM426" s="408">
        <v>0</v>
      </c>
      <c r="DN426" s="408">
        <v>0</v>
      </c>
      <c r="DO426" s="408">
        <v>-2.959434731274996</v>
      </c>
      <c r="DP426" s="408">
        <v>-0.65189201374139927</v>
      </c>
      <c r="DQ426" s="408">
        <v>0</v>
      </c>
      <c r="DR426" s="408">
        <v>0</v>
      </c>
      <c r="DS426" s="408"/>
      <c r="DT426" s="408"/>
      <c r="DU426" s="408"/>
      <c r="DV426" s="408">
        <v>24691.672707166876</v>
      </c>
      <c r="DW426" s="408">
        <v>0</v>
      </c>
      <c r="DX426" s="408">
        <v>0</v>
      </c>
      <c r="DY426" s="408">
        <v>-13468.089180000003</v>
      </c>
      <c r="DZ426" s="408">
        <v>484.77221999999983</v>
      </c>
      <c r="EA426" s="408">
        <v>0</v>
      </c>
      <c r="EB426" s="408">
        <v>0</v>
      </c>
      <c r="EC426" s="408">
        <v>-13851.77404462264</v>
      </c>
      <c r="ED426" s="408">
        <v>0</v>
      </c>
      <c r="EE426" s="408">
        <v>0</v>
      </c>
      <c r="EF426" s="408">
        <v>0</v>
      </c>
      <c r="EG426" s="408">
        <v>0</v>
      </c>
      <c r="EH426" s="408">
        <v>0</v>
      </c>
      <c r="EI426" s="408">
        <v>0</v>
      </c>
      <c r="EJ426" s="408">
        <v>0</v>
      </c>
      <c r="EK426" s="408">
        <v>0</v>
      </c>
      <c r="EL426" s="408">
        <v>0</v>
      </c>
      <c r="EM426" s="408">
        <v>0</v>
      </c>
      <c r="EN426" s="408">
        <v>0</v>
      </c>
      <c r="EO426" s="408">
        <v>0</v>
      </c>
      <c r="EP426" s="408">
        <v>0</v>
      </c>
      <c r="EQ426" s="408">
        <v>0</v>
      </c>
      <c r="ER426" s="408">
        <v>0</v>
      </c>
      <c r="ES426" s="408">
        <v>0</v>
      </c>
      <c r="ET426" s="408">
        <v>0</v>
      </c>
      <c r="EU426" s="408">
        <v>0</v>
      </c>
      <c r="EV426" s="408">
        <v>238</v>
      </c>
      <c r="EW426" s="408">
        <v>0</v>
      </c>
      <c r="EX426" s="408">
        <v>0</v>
      </c>
      <c r="EY426" s="408">
        <v>0</v>
      </c>
      <c r="EZ426" s="408"/>
      <c r="FA426" s="408">
        <v>0</v>
      </c>
      <c r="FB426" s="408"/>
      <c r="FC426" s="408"/>
      <c r="FD426" s="408"/>
      <c r="FE426" s="408"/>
      <c r="FF426" s="408">
        <v>0</v>
      </c>
      <c r="FG426" s="408">
        <v>0</v>
      </c>
      <c r="FH426" s="408">
        <v>0</v>
      </c>
      <c r="FI426" s="408">
        <v>0</v>
      </c>
    </row>
    <row r="427" spans="1:165">
      <c r="A427" s="408">
        <v>431</v>
      </c>
      <c r="B427" s="408" t="s">
        <v>1036</v>
      </c>
      <c r="C427" s="408" t="s">
        <v>2243</v>
      </c>
      <c r="D427" s="408" t="s">
        <v>597</v>
      </c>
      <c r="E427" s="408" t="s">
        <v>998</v>
      </c>
      <c r="F427" s="408" t="s">
        <v>1322</v>
      </c>
      <c r="G427" s="408" t="s">
        <v>1322</v>
      </c>
      <c r="H427" s="408" t="s">
        <v>1322</v>
      </c>
      <c r="I427" s="408" t="s">
        <v>2244</v>
      </c>
      <c r="J427" s="408" t="s">
        <v>2236</v>
      </c>
      <c r="K427" s="824">
        <v>44593</v>
      </c>
      <c r="L427" s="408">
        <v>0</v>
      </c>
      <c r="M427" s="408">
        <v>0</v>
      </c>
      <c r="N427" s="408">
        <v>367.50599999999997</v>
      </c>
      <c r="O427" s="408">
        <v>367.50599999999997</v>
      </c>
      <c r="P427" s="408">
        <v>367.50599999999997</v>
      </c>
      <c r="Q427" s="408">
        <v>367.50599999999997</v>
      </c>
      <c r="R427" s="408"/>
      <c r="S427" s="408">
        <v>79.7</v>
      </c>
      <c r="T427" s="408">
        <v>209.4</v>
      </c>
      <c r="U427" s="408"/>
      <c r="V427" s="408">
        <v>106245.9846</v>
      </c>
      <c r="W427" s="408">
        <v>106245.9846</v>
      </c>
      <c r="X427" s="408">
        <v>114852.97511999999</v>
      </c>
      <c r="Y427" s="408">
        <v>0</v>
      </c>
      <c r="Z427" s="408">
        <v>19675.528695857658</v>
      </c>
      <c r="AA427" s="408">
        <v>0</v>
      </c>
      <c r="AB427" s="408">
        <v>0</v>
      </c>
      <c r="AC427" s="408">
        <v>0</v>
      </c>
      <c r="AD427" s="408">
        <v>0</v>
      </c>
      <c r="AE427" s="408">
        <v>0</v>
      </c>
      <c r="AF427" s="408">
        <v>75945.388982676435</v>
      </c>
      <c r="AG427" s="408">
        <v>1011.7311421288531</v>
      </c>
      <c r="AH427" s="408">
        <v>0</v>
      </c>
      <c r="AI427" s="408">
        <v>0</v>
      </c>
      <c r="AJ427" s="408">
        <v>0</v>
      </c>
      <c r="AK427" s="408">
        <v>0</v>
      </c>
      <c r="AL427" s="408">
        <v>3494.8356621931684</v>
      </c>
      <c r="AM427" s="408"/>
      <c r="AN427" s="408">
        <v>487.99075044258512</v>
      </c>
      <c r="AO427" s="408">
        <v>0</v>
      </c>
      <c r="AP427" s="408">
        <v>0</v>
      </c>
      <c r="AQ427" s="408">
        <v>0</v>
      </c>
      <c r="AR427" s="408">
        <v>0</v>
      </c>
      <c r="AS427" s="408">
        <v>0</v>
      </c>
      <c r="AT427" s="408">
        <v>0</v>
      </c>
      <c r="AU427" s="408">
        <v>0</v>
      </c>
      <c r="AV427" s="408">
        <v>0</v>
      </c>
      <c r="AW427" s="408">
        <v>0</v>
      </c>
      <c r="AX427" s="408">
        <v>0</v>
      </c>
      <c r="AY427" s="408">
        <v>0</v>
      </c>
      <c r="AZ427" s="408">
        <v>0</v>
      </c>
      <c r="BA427" s="408"/>
      <c r="BB427" s="408">
        <v>0</v>
      </c>
      <c r="BC427" s="408">
        <v>0</v>
      </c>
      <c r="BD427" s="408">
        <v>0</v>
      </c>
      <c r="BE427" s="408">
        <v>0</v>
      </c>
      <c r="BF427" s="408">
        <v>0</v>
      </c>
      <c r="BG427" s="408">
        <v>5631.8223093667375</v>
      </c>
      <c r="BH427" s="408">
        <v>0</v>
      </c>
      <c r="BI427" s="408">
        <v>0</v>
      </c>
      <c r="BJ427" s="408">
        <v>0</v>
      </c>
      <c r="BK427" s="408">
        <v>0</v>
      </c>
      <c r="BL427" s="408">
        <v>0</v>
      </c>
      <c r="BM427" s="408"/>
      <c r="BN427" s="408"/>
      <c r="BO427" s="408"/>
      <c r="BP427" s="408"/>
      <c r="BQ427" s="408"/>
      <c r="BR427" s="408"/>
      <c r="BS427" s="408"/>
      <c r="BT427" s="408"/>
      <c r="BU427" s="408"/>
      <c r="BV427" s="408">
        <v>81577.211292043168</v>
      </c>
      <c r="BW427" s="408"/>
      <c r="BX427" s="408"/>
      <c r="BY427" s="408"/>
      <c r="BZ427" s="408"/>
      <c r="CA427" s="408"/>
      <c r="CB427" s="408"/>
      <c r="CC427" s="408"/>
      <c r="CD427" s="408"/>
      <c r="CE427" s="408"/>
      <c r="CF427" s="408"/>
      <c r="CG427" s="408"/>
      <c r="CH427" s="408"/>
      <c r="CI427" s="408">
        <v>114854.2252</v>
      </c>
      <c r="CJ427" s="408">
        <v>8608.2106000000203</v>
      </c>
      <c r="CK427" s="408"/>
      <c r="CL427" s="408"/>
      <c r="CM427" s="408"/>
      <c r="CN427" s="408"/>
      <c r="CO427" s="408">
        <v>216.82854000000123</v>
      </c>
      <c r="CP427" s="408">
        <v>8390.1619799999935</v>
      </c>
      <c r="CQ427" s="408">
        <v>29</v>
      </c>
      <c r="CR427" s="408">
        <v>8604.1254786713253</v>
      </c>
      <c r="CS427" s="408">
        <v>0</v>
      </c>
      <c r="CT427" s="408">
        <v>0</v>
      </c>
      <c r="CU427" s="408">
        <v>0</v>
      </c>
      <c r="CV427" s="408">
        <v>0</v>
      </c>
      <c r="CW427" s="408">
        <v>0</v>
      </c>
      <c r="CX427" s="408">
        <v>0</v>
      </c>
      <c r="CY427" s="408">
        <v>0</v>
      </c>
      <c r="CZ427" s="408">
        <v>0</v>
      </c>
      <c r="DA427" s="408">
        <v>0</v>
      </c>
      <c r="DB427" s="408">
        <v>0</v>
      </c>
      <c r="DC427" s="408">
        <v>8387.6203549420461</v>
      </c>
      <c r="DD427" s="408">
        <v>0</v>
      </c>
      <c r="DE427" s="408">
        <v>0</v>
      </c>
      <c r="DF427" s="408">
        <v>0</v>
      </c>
      <c r="DG427" s="408">
        <v>621.99414698153214</v>
      </c>
      <c r="DH427" s="408">
        <v>0</v>
      </c>
      <c r="DI427" s="408">
        <v>-342.98623306887748</v>
      </c>
      <c r="DJ427" s="408"/>
      <c r="DK427" s="408">
        <v>0</v>
      </c>
      <c r="DL427" s="408">
        <v>0</v>
      </c>
      <c r="DM427" s="408">
        <v>0</v>
      </c>
      <c r="DN427" s="408">
        <v>0</v>
      </c>
      <c r="DO427" s="408">
        <v>-51.22021382461844</v>
      </c>
      <c r="DP427" s="408">
        <v>-11.282576358766505</v>
      </c>
      <c r="DQ427" s="408">
        <v>0</v>
      </c>
      <c r="DR427" s="408">
        <v>0</v>
      </c>
      <c r="DS427" s="408"/>
      <c r="DT427" s="408"/>
      <c r="DU427" s="408"/>
      <c r="DV427" s="408">
        <v>0</v>
      </c>
      <c r="DW427" s="408">
        <v>0</v>
      </c>
      <c r="DX427" s="408">
        <v>0</v>
      </c>
      <c r="DY427" s="408">
        <v>216.82854000000225</v>
      </c>
      <c r="DZ427" s="408">
        <v>8390.1619799999899</v>
      </c>
      <c r="EA427" s="408">
        <v>0</v>
      </c>
      <c r="EB427" s="408">
        <v>0</v>
      </c>
      <c r="EC427" s="408">
        <v>0</v>
      </c>
      <c r="ED427" s="408">
        <v>0</v>
      </c>
      <c r="EE427" s="408">
        <v>0</v>
      </c>
      <c r="EF427" s="408">
        <v>0</v>
      </c>
      <c r="EG427" s="408">
        <v>0</v>
      </c>
      <c r="EH427" s="408">
        <v>0</v>
      </c>
      <c r="EI427" s="408">
        <v>0</v>
      </c>
      <c r="EJ427" s="408">
        <v>0</v>
      </c>
      <c r="EK427" s="408">
        <v>0</v>
      </c>
      <c r="EL427" s="408">
        <v>0</v>
      </c>
      <c r="EM427" s="408">
        <v>0</v>
      </c>
      <c r="EN427" s="408">
        <v>0</v>
      </c>
      <c r="EO427" s="408">
        <v>0</v>
      </c>
      <c r="EP427" s="408">
        <v>0</v>
      </c>
      <c r="EQ427" s="408">
        <v>0</v>
      </c>
      <c r="ER427" s="408">
        <v>0</v>
      </c>
      <c r="ES427" s="408">
        <v>0</v>
      </c>
      <c r="ET427" s="408">
        <v>0</v>
      </c>
      <c r="EU427" s="408">
        <v>0</v>
      </c>
      <c r="EV427" s="408">
        <v>238</v>
      </c>
      <c r="EW427" s="408">
        <v>0</v>
      </c>
      <c r="EX427" s="408">
        <v>0</v>
      </c>
      <c r="EY427" s="408">
        <v>0</v>
      </c>
      <c r="EZ427" s="408"/>
      <c r="FA427" s="408">
        <v>0</v>
      </c>
      <c r="FB427" s="408"/>
      <c r="FC427" s="408"/>
      <c r="FD427" s="408"/>
      <c r="FE427" s="408"/>
      <c r="FF427" s="408">
        <v>0</v>
      </c>
      <c r="FG427" s="408">
        <v>0</v>
      </c>
      <c r="FH427" s="408">
        <v>0</v>
      </c>
      <c r="FI427" s="408">
        <v>0</v>
      </c>
    </row>
    <row r="428" spans="1:165">
      <c r="A428" s="408">
        <v>432</v>
      </c>
      <c r="B428" s="408" t="s">
        <v>1036</v>
      </c>
      <c r="C428" s="408" t="s">
        <v>2243</v>
      </c>
      <c r="D428" s="408" t="s">
        <v>597</v>
      </c>
      <c r="E428" s="408" t="s">
        <v>998</v>
      </c>
      <c r="F428" s="408" t="s">
        <v>1322</v>
      </c>
      <c r="G428" s="408" t="s">
        <v>1322</v>
      </c>
      <c r="H428" s="408" t="s">
        <v>1322</v>
      </c>
      <c r="I428" s="408" t="s">
        <v>1322</v>
      </c>
      <c r="J428" s="408" t="s">
        <v>2236</v>
      </c>
      <c r="K428" s="824">
        <v>44593</v>
      </c>
      <c r="L428" s="408">
        <v>3946</v>
      </c>
      <c r="M428" s="408">
        <v>3946</v>
      </c>
      <c r="N428" s="408">
        <v>0</v>
      </c>
      <c r="O428" s="408">
        <v>0</v>
      </c>
      <c r="P428" s="408">
        <v>0</v>
      </c>
      <c r="Q428" s="408">
        <v>0</v>
      </c>
      <c r="R428" s="408">
        <v>44.35</v>
      </c>
      <c r="S428" s="408"/>
      <c r="T428" s="408"/>
      <c r="U428" s="408">
        <v>175005.1</v>
      </c>
      <c r="V428" s="408"/>
      <c r="W428" s="408">
        <v>175005.1</v>
      </c>
      <c r="X428" s="408">
        <v>114315.62</v>
      </c>
      <c r="Y428" s="408">
        <v>0</v>
      </c>
      <c r="Z428" s="408">
        <v>0</v>
      </c>
      <c r="AA428" s="408">
        <v>0</v>
      </c>
      <c r="AB428" s="408">
        <v>0</v>
      </c>
      <c r="AC428" s="408">
        <v>0</v>
      </c>
      <c r="AD428" s="408">
        <v>51779.663313184596</v>
      </c>
      <c r="AE428" s="408">
        <v>113320.62144355371</v>
      </c>
      <c r="AF428" s="408"/>
      <c r="AG428" s="408"/>
      <c r="AH428" s="408"/>
      <c r="AI428" s="408">
        <v>0</v>
      </c>
      <c r="AJ428" s="408">
        <v>0</v>
      </c>
      <c r="AK428" s="408">
        <v>0</v>
      </c>
      <c r="AL428" s="408">
        <v>0</v>
      </c>
      <c r="AM428" s="408"/>
      <c r="AN428" s="408">
        <v>0</v>
      </c>
      <c r="AO428" s="408">
        <v>3913.3298492941758</v>
      </c>
      <c r="AP428" s="408">
        <v>5987.2318383885595</v>
      </c>
      <c r="AQ428" s="408">
        <v>0</v>
      </c>
      <c r="AR428" s="408">
        <v>0</v>
      </c>
      <c r="AS428" s="408"/>
      <c r="AT428" s="408"/>
      <c r="AU428" s="408">
        <v>0</v>
      </c>
      <c r="AV428" s="408">
        <v>0</v>
      </c>
      <c r="AW428" s="408">
        <v>0</v>
      </c>
      <c r="AX428" s="408"/>
      <c r="AY428" s="408"/>
      <c r="AZ428" s="408">
        <v>0</v>
      </c>
      <c r="BA428" s="408"/>
      <c r="BB428" s="408">
        <v>0</v>
      </c>
      <c r="BC428" s="408">
        <v>0</v>
      </c>
      <c r="BD428" s="408">
        <v>0</v>
      </c>
      <c r="BE428" s="408">
        <v>0</v>
      </c>
      <c r="BF428" s="408"/>
      <c r="BG428" s="408">
        <v>0</v>
      </c>
      <c r="BH428" s="408">
        <v>0</v>
      </c>
      <c r="BI428" s="408">
        <v>815.06</v>
      </c>
      <c r="BJ428" s="408">
        <v>3749.98</v>
      </c>
      <c r="BK428" s="408">
        <v>103054.29</v>
      </c>
      <c r="BL428" s="408">
        <v>34</v>
      </c>
      <c r="BM428" s="408"/>
      <c r="BN428" s="408"/>
      <c r="BO428" s="408"/>
      <c r="BP428" s="408"/>
      <c r="BQ428" s="408"/>
      <c r="BR428" s="408"/>
      <c r="BS428" s="408"/>
      <c r="BT428" s="408"/>
      <c r="BU428" s="408"/>
      <c r="BV428" s="408">
        <v>0</v>
      </c>
      <c r="BW428" s="408"/>
      <c r="BX428" s="408"/>
      <c r="BY428" s="408"/>
      <c r="BZ428" s="408"/>
      <c r="CA428" s="408"/>
      <c r="CB428" s="408"/>
      <c r="CC428" s="408"/>
      <c r="CD428" s="408"/>
      <c r="CE428" s="408"/>
      <c r="CF428" s="408"/>
      <c r="CG428" s="408"/>
      <c r="CH428" s="408"/>
      <c r="CI428" s="408">
        <v>114315.62</v>
      </c>
      <c r="CJ428" s="408">
        <v>-60689.510000000038</v>
      </c>
      <c r="CK428" s="408"/>
      <c r="CL428" s="408"/>
      <c r="CM428" s="408"/>
      <c r="CN428" s="408"/>
      <c r="CO428" s="408">
        <v>-60689.48000000001</v>
      </c>
      <c r="CP428" s="408">
        <v>0</v>
      </c>
      <c r="CQ428" s="408">
        <v>29</v>
      </c>
      <c r="CR428" s="408">
        <v>2892.7785028664002</v>
      </c>
      <c r="CS428" s="408">
        <v>472.46425872517557</v>
      </c>
      <c r="CT428" s="408">
        <v>722.85065692846183</v>
      </c>
      <c r="CU428" s="408">
        <v>0</v>
      </c>
      <c r="CV428" s="408">
        <v>0</v>
      </c>
      <c r="CW428" s="408"/>
      <c r="CX428" s="408"/>
      <c r="CY428" s="408"/>
      <c r="CZ428" s="408">
        <v>1697.4635872127619</v>
      </c>
      <c r="DA428" s="408">
        <v>0</v>
      </c>
      <c r="DB428" s="408">
        <v>0</v>
      </c>
      <c r="DC428" s="408"/>
      <c r="DD428" s="408"/>
      <c r="DE428" s="408">
        <v>0</v>
      </c>
      <c r="DF428" s="408">
        <v>0</v>
      </c>
      <c r="DG428" s="408">
        <v>0</v>
      </c>
      <c r="DH428" s="408">
        <v>0</v>
      </c>
      <c r="DI428" s="408">
        <v>0</v>
      </c>
      <c r="DJ428" s="408"/>
      <c r="DK428" s="408">
        <v>0</v>
      </c>
      <c r="DL428" s="408">
        <v>0</v>
      </c>
      <c r="DM428" s="408"/>
      <c r="DN428" s="408">
        <v>0</v>
      </c>
      <c r="DO428" s="408">
        <v>0</v>
      </c>
      <c r="DP428" s="408">
        <v>0</v>
      </c>
      <c r="DQ428" s="408">
        <v>0</v>
      </c>
      <c r="DR428" s="408">
        <v>0</v>
      </c>
      <c r="DS428" s="408"/>
      <c r="DT428" s="408"/>
      <c r="DU428" s="408">
        <v>113320.62144355371</v>
      </c>
      <c r="DV428" s="408"/>
      <c r="DW428" s="408">
        <v>0</v>
      </c>
      <c r="DX428" s="408">
        <v>0</v>
      </c>
      <c r="DY428" s="408">
        <v>-60689.48000000001</v>
      </c>
      <c r="DZ428" s="408"/>
      <c r="EA428" s="408">
        <v>0</v>
      </c>
      <c r="EB428" s="408"/>
      <c r="EC428" s="408">
        <v>-63571.701336244798</v>
      </c>
      <c r="ED428" s="408"/>
      <c r="EE428" s="408">
        <v>0</v>
      </c>
      <c r="EF428" s="408">
        <v>0</v>
      </c>
      <c r="EG428" s="408"/>
      <c r="EH428" s="408">
        <v>0</v>
      </c>
      <c r="EI428" s="408">
        <v>0</v>
      </c>
      <c r="EJ428" s="408">
        <v>0</v>
      </c>
      <c r="EK428" s="408">
        <v>0</v>
      </c>
      <c r="EL428" s="408">
        <v>0</v>
      </c>
      <c r="EM428" s="408"/>
      <c r="EN428" s="408"/>
      <c r="EO428" s="408">
        <v>0</v>
      </c>
      <c r="EP428" s="408">
        <v>0</v>
      </c>
      <c r="EQ428" s="408"/>
      <c r="ER428" s="408">
        <v>0</v>
      </c>
      <c r="ES428" s="408"/>
      <c r="ET428" s="408">
        <v>0</v>
      </c>
      <c r="EU428" s="408"/>
      <c r="EV428" s="408">
        <v>238</v>
      </c>
      <c r="EW428" s="408"/>
      <c r="EX428" s="408"/>
      <c r="EY428" s="408"/>
      <c r="EZ428" s="408"/>
      <c r="FA428" s="408">
        <v>0</v>
      </c>
      <c r="FB428" s="408"/>
      <c r="FC428" s="408"/>
      <c r="FD428" s="408"/>
      <c r="FE428" s="408"/>
      <c r="FF428" s="408">
        <v>0</v>
      </c>
      <c r="FG428" s="408">
        <v>0</v>
      </c>
      <c r="FH428" s="408">
        <v>0</v>
      </c>
      <c r="FI428" s="408">
        <v>0</v>
      </c>
    </row>
    <row r="429" spans="1:165">
      <c r="A429" s="408">
        <v>433</v>
      </c>
      <c r="B429" s="408" t="s">
        <v>2238</v>
      </c>
      <c r="C429" s="408" t="s">
        <v>2243</v>
      </c>
      <c r="D429" s="408" t="s">
        <v>597</v>
      </c>
      <c r="E429" s="408" t="s">
        <v>998</v>
      </c>
      <c r="F429" s="408" t="s">
        <v>1322</v>
      </c>
      <c r="G429" s="408" t="s">
        <v>1322</v>
      </c>
      <c r="H429" s="408" t="s">
        <v>1322</v>
      </c>
      <c r="I429" s="408" t="s">
        <v>1322</v>
      </c>
      <c r="J429" s="408" t="s">
        <v>2236</v>
      </c>
      <c r="K429" s="824">
        <v>44593</v>
      </c>
      <c r="L429" s="408">
        <v>388</v>
      </c>
      <c r="M429" s="408">
        <v>388</v>
      </c>
      <c r="N429" s="408">
        <v>0</v>
      </c>
      <c r="O429" s="408">
        <v>0</v>
      </c>
      <c r="P429" s="408">
        <v>0</v>
      </c>
      <c r="Q429" s="408">
        <v>0</v>
      </c>
      <c r="R429" s="408">
        <v>44.35</v>
      </c>
      <c r="S429" s="408"/>
      <c r="T429" s="408"/>
      <c r="U429" s="408">
        <v>17207.8</v>
      </c>
      <c r="V429" s="408"/>
      <c r="W429" s="408">
        <v>17207.8</v>
      </c>
      <c r="X429" s="408">
        <v>11240.359999999999</v>
      </c>
      <c r="Y429" s="408">
        <v>0</v>
      </c>
      <c r="Z429" s="408">
        <v>0</v>
      </c>
      <c r="AA429" s="408">
        <v>0</v>
      </c>
      <c r="AB429" s="408">
        <v>0</v>
      </c>
      <c r="AC429" s="408">
        <v>0</v>
      </c>
      <c r="AD429" s="408">
        <v>5091.3607109770965</v>
      </c>
      <c r="AE429" s="408">
        <v>11142.524358869448</v>
      </c>
      <c r="AF429" s="408"/>
      <c r="AG429" s="408"/>
      <c r="AH429" s="408"/>
      <c r="AI429" s="408">
        <v>0</v>
      </c>
      <c r="AJ429" s="408">
        <v>0</v>
      </c>
      <c r="AK429" s="408">
        <v>0</v>
      </c>
      <c r="AL429" s="408">
        <v>0</v>
      </c>
      <c r="AM429" s="408"/>
      <c r="AN429" s="408">
        <v>0</v>
      </c>
      <c r="AO429" s="408">
        <v>384.7876283644552</v>
      </c>
      <c r="AP429" s="408">
        <v>588.70906064236215</v>
      </c>
      <c r="AQ429" s="408">
        <v>0</v>
      </c>
      <c r="AR429" s="408">
        <v>0</v>
      </c>
      <c r="AS429" s="408"/>
      <c r="AT429" s="408"/>
      <c r="AU429" s="408">
        <v>0</v>
      </c>
      <c r="AV429" s="408">
        <v>0</v>
      </c>
      <c r="AW429" s="408">
        <v>0</v>
      </c>
      <c r="AX429" s="408"/>
      <c r="AY429" s="408"/>
      <c r="AZ429" s="408">
        <v>0</v>
      </c>
      <c r="BA429" s="408"/>
      <c r="BB429" s="408">
        <v>0</v>
      </c>
      <c r="BC429" s="408">
        <v>0</v>
      </c>
      <c r="BD429" s="408">
        <v>0</v>
      </c>
      <c r="BE429" s="408">
        <v>0</v>
      </c>
      <c r="BF429" s="408"/>
      <c r="BG429" s="408">
        <v>0</v>
      </c>
      <c r="BH429" s="408">
        <v>0</v>
      </c>
      <c r="BI429" s="408">
        <v>28.9</v>
      </c>
      <c r="BJ429" s="408">
        <v>133.02000000000001</v>
      </c>
      <c r="BK429" s="408">
        <v>4561.6099999999997</v>
      </c>
      <c r="BL429" s="408">
        <v>3</v>
      </c>
      <c r="BM429" s="408"/>
      <c r="BN429" s="408"/>
      <c r="BO429" s="408"/>
      <c r="BP429" s="408"/>
      <c r="BQ429" s="408"/>
      <c r="BR429" s="408"/>
      <c r="BS429" s="408"/>
      <c r="BT429" s="408"/>
      <c r="BU429" s="408"/>
      <c r="BV429" s="408">
        <v>0</v>
      </c>
      <c r="BW429" s="408"/>
      <c r="BX429" s="408"/>
      <c r="BY429" s="408"/>
      <c r="BZ429" s="408"/>
      <c r="CA429" s="408"/>
      <c r="CB429" s="408"/>
      <c r="CC429" s="408"/>
      <c r="CD429" s="408"/>
      <c r="CE429" s="408"/>
      <c r="CF429" s="408"/>
      <c r="CG429" s="408"/>
      <c r="CH429" s="408"/>
      <c r="CI429" s="408">
        <v>11240.359999999999</v>
      </c>
      <c r="CJ429" s="408">
        <v>-5967.4699999999957</v>
      </c>
      <c r="CK429" s="408"/>
      <c r="CL429" s="408"/>
      <c r="CM429" s="408"/>
      <c r="CN429" s="408"/>
      <c r="CO429" s="408">
        <v>-5967.4400000000014</v>
      </c>
      <c r="CP429" s="408">
        <v>0</v>
      </c>
      <c r="CQ429" s="408">
        <v>29</v>
      </c>
      <c r="CR429" s="408">
        <v>284.43944731681859</v>
      </c>
      <c r="CS429" s="408">
        <v>46.456191684077055</v>
      </c>
      <c r="CT429" s="408">
        <v>71.076040265647066</v>
      </c>
      <c r="CU429" s="408">
        <v>0</v>
      </c>
      <c r="CV429" s="408">
        <v>0</v>
      </c>
      <c r="CW429" s="408"/>
      <c r="CX429" s="408"/>
      <c r="CY429" s="408"/>
      <c r="CZ429" s="408">
        <v>166.90721536709407</v>
      </c>
      <c r="DA429" s="408">
        <v>0</v>
      </c>
      <c r="DB429" s="408">
        <v>0</v>
      </c>
      <c r="DC429" s="408"/>
      <c r="DD429" s="408"/>
      <c r="DE429" s="408">
        <v>0</v>
      </c>
      <c r="DF429" s="408">
        <v>0</v>
      </c>
      <c r="DG429" s="408">
        <v>0</v>
      </c>
      <c r="DH429" s="408">
        <v>0</v>
      </c>
      <c r="DI429" s="408">
        <v>0</v>
      </c>
      <c r="DJ429" s="408"/>
      <c r="DK429" s="408">
        <v>0</v>
      </c>
      <c r="DL429" s="408">
        <v>0</v>
      </c>
      <c r="DM429" s="408"/>
      <c r="DN429" s="408">
        <v>0</v>
      </c>
      <c r="DO429" s="408">
        <v>0</v>
      </c>
      <c r="DP429" s="408">
        <v>0</v>
      </c>
      <c r="DQ429" s="408">
        <v>0</v>
      </c>
      <c r="DR429" s="408">
        <v>0</v>
      </c>
      <c r="DS429" s="408"/>
      <c r="DT429" s="408"/>
      <c r="DU429" s="408">
        <v>11142.524358869448</v>
      </c>
      <c r="DV429" s="408"/>
      <c r="DW429" s="408">
        <v>0</v>
      </c>
      <c r="DX429" s="408">
        <v>0</v>
      </c>
      <c r="DY429" s="408">
        <v>-5967.4400000000005</v>
      </c>
      <c r="DZ429" s="408"/>
      <c r="EA429" s="408">
        <v>0</v>
      </c>
      <c r="EB429" s="408"/>
      <c r="EC429" s="408">
        <v>-6250.8413883585872</v>
      </c>
      <c r="ED429" s="408"/>
      <c r="EE429" s="408">
        <v>0</v>
      </c>
      <c r="EF429" s="408">
        <v>0</v>
      </c>
      <c r="EG429" s="408"/>
      <c r="EH429" s="408">
        <v>0</v>
      </c>
      <c r="EI429" s="408">
        <v>0</v>
      </c>
      <c r="EJ429" s="408">
        <v>0</v>
      </c>
      <c r="EK429" s="408">
        <v>0</v>
      </c>
      <c r="EL429" s="408">
        <v>0</v>
      </c>
      <c r="EM429" s="408"/>
      <c r="EN429" s="408"/>
      <c r="EO429" s="408">
        <v>0</v>
      </c>
      <c r="EP429" s="408">
        <v>0</v>
      </c>
      <c r="EQ429" s="408"/>
      <c r="ER429" s="408">
        <v>0</v>
      </c>
      <c r="ES429" s="408"/>
      <c r="ET429" s="408">
        <v>0</v>
      </c>
      <c r="EU429" s="408"/>
      <c r="EV429" s="408">
        <v>238</v>
      </c>
      <c r="EW429" s="408"/>
      <c r="EX429" s="408"/>
      <c r="EY429" s="408"/>
      <c r="EZ429" s="408"/>
      <c r="FA429" s="408">
        <v>0</v>
      </c>
      <c r="FB429" s="408"/>
      <c r="FC429" s="408"/>
      <c r="FD429" s="408"/>
      <c r="FE429" s="408"/>
      <c r="FF429" s="408">
        <v>0</v>
      </c>
      <c r="FG429" s="408">
        <v>0</v>
      </c>
      <c r="FH429" s="408">
        <v>0</v>
      </c>
      <c r="FI429" s="408">
        <v>0</v>
      </c>
    </row>
    <row r="430" spans="1:165">
      <c r="A430" s="408">
        <v>434</v>
      </c>
      <c r="B430" s="408" t="s">
        <v>1036</v>
      </c>
      <c r="C430" s="408" t="s">
        <v>2235</v>
      </c>
      <c r="D430" s="408" t="s">
        <v>2245</v>
      </c>
      <c r="E430" s="408" t="s">
        <v>974</v>
      </c>
      <c r="F430" s="408" t="s">
        <v>1322</v>
      </c>
      <c r="G430" s="408" t="s">
        <v>1322</v>
      </c>
      <c r="H430" s="408" t="s">
        <v>1322</v>
      </c>
      <c r="I430" s="408" t="s">
        <v>1322</v>
      </c>
      <c r="J430" s="408" t="s">
        <v>2236</v>
      </c>
      <c r="K430" s="824">
        <v>44593</v>
      </c>
      <c r="L430" s="408">
        <v>0</v>
      </c>
      <c r="M430" s="408">
        <v>0</v>
      </c>
      <c r="N430" s="408">
        <v>5277.7030000000004</v>
      </c>
      <c r="O430" s="408">
        <v>5277.7030000000004</v>
      </c>
      <c r="P430" s="408">
        <v>5277.7030000000004</v>
      </c>
      <c r="Q430" s="408">
        <v>5277.7030000000004</v>
      </c>
      <c r="R430" s="408"/>
      <c r="S430" s="408">
        <v>581.32000000000005</v>
      </c>
      <c r="T430" s="408">
        <v>209.4</v>
      </c>
      <c r="U430" s="408"/>
      <c r="V430" s="408">
        <v>4173185.3161600004</v>
      </c>
      <c r="W430" s="408">
        <v>4173185.3161600004</v>
      </c>
      <c r="X430" s="408">
        <v>3188102.0512100002</v>
      </c>
      <c r="Y430" s="408">
        <v>0</v>
      </c>
      <c r="Z430" s="408">
        <v>324778.79890338168</v>
      </c>
      <c r="AA430" s="408">
        <v>0</v>
      </c>
      <c r="AB430" s="408">
        <v>0</v>
      </c>
      <c r="AC430" s="408">
        <v>0</v>
      </c>
      <c r="AD430" s="408">
        <v>391558.82746230456</v>
      </c>
      <c r="AE430" s="408">
        <v>2034054.7707767386</v>
      </c>
      <c r="AF430" s="408">
        <v>1090641.2610135302</v>
      </c>
      <c r="AG430" s="408">
        <v>14529.331450389585</v>
      </c>
      <c r="AH430" s="408">
        <v>0</v>
      </c>
      <c r="AI430" s="408">
        <v>0</v>
      </c>
      <c r="AJ430" s="408">
        <v>0</v>
      </c>
      <c r="AK430" s="408">
        <v>0</v>
      </c>
      <c r="AL430" s="408">
        <v>50188.853131279146</v>
      </c>
      <c r="AM430" s="408"/>
      <c r="AN430" s="408">
        <v>9621.0642385429746</v>
      </c>
      <c r="AO430" s="408">
        <v>30080.166784977548</v>
      </c>
      <c r="AP430" s="408">
        <v>45310.082862854331</v>
      </c>
      <c r="AQ430" s="408">
        <v>0</v>
      </c>
      <c r="AR430" s="408">
        <v>0</v>
      </c>
      <c r="AS430" s="408">
        <v>0</v>
      </c>
      <c r="AT430" s="408">
        <v>0</v>
      </c>
      <c r="AU430" s="408">
        <v>0</v>
      </c>
      <c r="AV430" s="408">
        <v>0</v>
      </c>
      <c r="AW430" s="408">
        <v>0</v>
      </c>
      <c r="AX430" s="408">
        <v>0</v>
      </c>
      <c r="AY430" s="408">
        <v>0</v>
      </c>
      <c r="AZ430" s="408">
        <v>0</v>
      </c>
      <c r="BA430" s="408"/>
      <c r="BB430" s="408">
        <v>0</v>
      </c>
      <c r="BC430" s="408">
        <v>0</v>
      </c>
      <c r="BD430" s="408">
        <v>0</v>
      </c>
      <c r="BE430" s="408">
        <v>0</v>
      </c>
      <c r="BF430" s="408">
        <v>0</v>
      </c>
      <c r="BG430" s="408">
        <v>182462.24412017566</v>
      </c>
      <c r="BH430" s="408">
        <v>0</v>
      </c>
      <c r="BI430" s="408">
        <v>8949.2999999999993</v>
      </c>
      <c r="BJ430" s="408">
        <v>41451.51</v>
      </c>
      <c r="BK430" s="408">
        <v>291538.26</v>
      </c>
      <c r="BL430" s="408">
        <v>13663</v>
      </c>
      <c r="BM430" s="408"/>
      <c r="BN430" s="408"/>
      <c r="BO430" s="408"/>
      <c r="BP430" s="408"/>
      <c r="BQ430" s="408"/>
      <c r="BR430" s="408">
        <v>382580.69046999968</v>
      </c>
      <c r="BS430" s="408"/>
      <c r="BT430" s="408"/>
      <c r="BU430" s="408"/>
      <c r="BV430" s="408">
        <v>1273103.5051337059</v>
      </c>
      <c r="BW430" s="408"/>
      <c r="BX430" s="408"/>
      <c r="BY430" s="408"/>
      <c r="BZ430" s="408"/>
      <c r="CA430" s="408"/>
      <c r="CB430" s="408"/>
      <c r="CC430" s="408"/>
      <c r="CD430" s="408"/>
      <c r="CE430" s="408"/>
      <c r="CF430" s="408"/>
      <c r="CG430" s="408"/>
      <c r="CH430" s="408"/>
      <c r="CI430" s="408">
        <v>2805519.7660000003</v>
      </c>
      <c r="CJ430" s="408">
        <v>-866969.89654999925</v>
      </c>
      <c r="CK430" s="408"/>
      <c r="CL430" s="408"/>
      <c r="CM430" s="408"/>
      <c r="CN430" s="408"/>
      <c r="CO430" s="408">
        <v>-1105573.2244400005</v>
      </c>
      <c r="CP430" s="408">
        <v>120489.95948999992</v>
      </c>
      <c r="CQ430" s="408">
        <v>29</v>
      </c>
      <c r="CR430" s="408">
        <v>155923.77507302584</v>
      </c>
      <c r="CS430" s="408">
        <v>3631.6396137569609</v>
      </c>
      <c r="CT430" s="408">
        <v>5470.3783061976937</v>
      </c>
      <c r="CU430" s="408">
        <v>0</v>
      </c>
      <c r="CV430" s="408">
        <v>0</v>
      </c>
      <c r="CW430" s="408">
        <v>0</v>
      </c>
      <c r="CX430" s="408">
        <v>0</v>
      </c>
      <c r="CY430" s="408">
        <v>0</v>
      </c>
      <c r="CZ430" s="408">
        <v>12836.252871109114</v>
      </c>
      <c r="DA430" s="408">
        <v>0</v>
      </c>
      <c r="DB430" s="408">
        <v>0</v>
      </c>
      <c r="DC430" s="408">
        <v>120453.45956294239</v>
      </c>
      <c r="DD430" s="408">
        <v>0</v>
      </c>
      <c r="DE430" s="408">
        <v>0</v>
      </c>
      <c r="DF430" s="408">
        <v>0</v>
      </c>
      <c r="DG430" s="408">
        <v>20151.638608893438</v>
      </c>
      <c r="DH430" s="408">
        <v>0</v>
      </c>
      <c r="DI430" s="408">
        <v>-5661.5839166726801</v>
      </c>
      <c r="DJ430" s="408"/>
      <c r="DK430" s="408">
        <v>0</v>
      </c>
      <c r="DL430" s="408">
        <v>0</v>
      </c>
      <c r="DM430" s="408">
        <v>0</v>
      </c>
      <c r="DN430" s="408">
        <v>0</v>
      </c>
      <c r="DO430" s="408">
        <v>-735.56642929048394</v>
      </c>
      <c r="DP430" s="408">
        <v>-222.44354391037268</v>
      </c>
      <c r="DQ430" s="408">
        <v>0</v>
      </c>
      <c r="DR430" s="408">
        <v>0</v>
      </c>
      <c r="DS430" s="408"/>
      <c r="DT430" s="408"/>
      <c r="DU430" s="408"/>
      <c r="DV430" s="408">
        <v>2034054.7707767386</v>
      </c>
      <c r="DW430" s="408">
        <v>0</v>
      </c>
      <c r="DX430" s="408">
        <v>0</v>
      </c>
      <c r="DY430" s="408">
        <v>-1105573.2244400003</v>
      </c>
      <c r="DZ430" s="408">
        <v>120489.95949000004</v>
      </c>
      <c r="EA430" s="408">
        <v>0</v>
      </c>
      <c r="EB430" s="408">
        <v>0</v>
      </c>
      <c r="EC430" s="408">
        <v>-1141083.7740048273</v>
      </c>
      <c r="ED430" s="408">
        <v>0</v>
      </c>
      <c r="EE430" s="408">
        <v>0</v>
      </c>
      <c r="EF430" s="408">
        <v>0</v>
      </c>
      <c r="EG430" s="408">
        <v>0</v>
      </c>
      <c r="EH430" s="408">
        <v>0</v>
      </c>
      <c r="EI430" s="408">
        <v>0</v>
      </c>
      <c r="EJ430" s="408">
        <v>0</v>
      </c>
      <c r="EK430" s="408">
        <v>0</v>
      </c>
      <c r="EL430" s="408">
        <v>0</v>
      </c>
      <c r="EM430" s="408">
        <v>0</v>
      </c>
      <c r="EN430" s="408">
        <v>0</v>
      </c>
      <c r="EO430" s="408">
        <v>0</v>
      </c>
      <c r="EP430" s="408">
        <v>0</v>
      </c>
      <c r="EQ430" s="408">
        <v>0</v>
      </c>
      <c r="ER430" s="408">
        <v>0</v>
      </c>
      <c r="ES430" s="408">
        <v>0</v>
      </c>
      <c r="ET430" s="408">
        <v>0</v>
      </c>
      <c r="EU430" s="408">
        <v>0</v>
      </c>
      <c r="EV430" s="408">
        <v>238</v>
      </c>
      <c r="EW430" s="408">
        <v>0</v>
      </c>
      <c r="EX430" s="408">
        <v>0</v>
      </c>
      <c r="EY430" s="408">
        <v>0</v>
      </c>
      <c r="EZ430" s="408"/>
      <c r="FA430" s="408">
        <v>0</v>
      </c>
      <c r="FB430" s="408"/>
      <c r="FC430" s="408"/>
      <c r="FD430" s="408"/>
      <c r="FE430" s="408"/>
      <c r="FF430" s="408">
        <v>0</v>
      </c>
      <c r="FG430" s="408">
        <v>0</v>
      </c>
      <c r="FH430" s="408">
        <v>0</v>
      </c>
      <c r="FI430" s="408">
        <v>0</v>
      </c>
    </row>
    <row r="431" spans="1:165">
      <c r="A431" s="408">
        <v>435</v>
      </c>
      <c r="B431" s="408" t="s">
        <v>2237</v>
      </c>
      <c r="C431" s="408" t="s">
        <v>2235</v>
      </c>
      <c r="D431" s="408" t="s">
        <v>2245</v>
      </c>
      <c r="E431" s="408" t="s">
        <v>974</v>
      </c>
      <c r="F431" s="408" t="s">
        <v>1322</v>
      </c>
      <c r="G431" s="408" t="s">
        <v>1322</v>
      </c>
      <c r="H431" s="408" t="s">
        <v>1322</v>
      </c>
      <c r="I431" s="408" t="s">
        <v>1322</v>
      </c>
      <c r="J431" s="408" t="s">
        <v>2236</v>
      </c>
      <c r="K431" s="824">
        <v>44593</v>
      </c>
      <c r="L431" s="408">
        <v>0</v>
      </c>
      <c r="M431" s="408">
        <v>0</v>
      </c>
      <c r="N431" s="408">
        <v>-1.659</v>
      </c>
      <c r="O431" s="408">
        <v>-1.659</v>
      </c>
      <c r="P431" s="408">
        <v>-1.659</v>
      </c>
      <c r="Q431" s="408">
        <v>-1.659</v>
      </c>
      <c r="R431" s="408"/>
      <c r="S431" s="408">
        <v>581.32000000000005</v>
      </c>
      <c r="T431" s="408">
        <v>209.4</v>
      </c>
      <c r="U431" s="408"/>
      <c r="V431" s="408">
        <v>-1311.80448</v>
      </c>
      <c r="W431" s="408">
        <v>-1311.80448</v>
      </c>
      <c r="X431" s="408">
        <v>-1002.1521299999999</v>
      </c>
      <c r="Y431" s="408">
        <v>0</v>
      </c>
      <c r="Z431" s="408">
        <v>-102.09138850380748</v>
      </c>
      <c r="AA431" s="408">
        <v>0</v>
      </c>
      <c r="AB431" s="408">
        <v>0</v>
      </c>
      <c r="AC431" s="408">
        <v>0</v>
      </c>
      <c r="AD431" s="408">
        <v>-123.08310921625625</v>
      </c>
      <c r="AE431" s="408">
        <v>-639.38741242517983</v>
      </c>
      <c r="AF431" s="408">
        <v>-342.83358726731046</v>
      </c>
      <c r="AG431" s="408">
        <v>-4.5671688755877931</v>
      </c>
      <c r="AH431" s="408">
        <v>0</v>
      </c>
      <c r="AI431" s="408">
        <v>0</v>
      </c>
      <c r="AJ431" s="408">
        <v>0</v>
      </c>
      <c r="AK431" s="408">
        <v>0</v>
      </c>
      <c r="AL431" s="408">
        <v>-15.776429129261745</v>
      </c>
      <c r="AM431" s="408"/>
      <c r="AN431" s="408">
        <v>-3.0242977999600953</v>
      </c>
      <c r="AO431" s="408">
        <v>-9.4554386058248721</v>
      </c>
      <c r="AP431" s="408">
        <v>-14.242830161052133</v>
      </c>
      <c r="AQ431" s="408">
        <v>0</v>
      </c>
      <c r="AR431" s="408">
        <v>0</v>
      </c>
      <c r="AS431" s="408">
        <v>0</v>
      </c>
      <c r="AT431" s="408">
        <v>0</v>
      </c>
      <c r="AU431" s="408">
        <v>0</v>
      </c>
      <c r="AV431" s="408">
        <v>0</v>
      </c>
      <c r="AW431" s="408">
        <v>0</v>
      </c>
      <c r="AX431" s="408">
        <v>0</v>
      </c>
      <c r="AY431" s="408">
        <v>0</v>
      </c>
      <c r="AZ431" s="408">
        <v>0</v>
      </c>
      <c r="BA431" s="408"/>
      <c r="BB431" s="408">
        <v>0</v>
      </c>
      <c r="BC431" s="408">
        <v>0</v>
      </c>
      <c r="BD431" s="408">
        <v>0</v>
      </c>
      <c r="BE431" s="408">
        <v>0</v>
      </c>
      <c r="BF431" s="408">
        <v>0</v>
      </c>
      <c r="BG431" s="408">
        <v>-57.355418255891138</v>
      </c>
      <c r="BH431" s="408">
        <v>0</v>
      </c>
      <c r="BI431" s="408">
        <v>-3.13</v>
      </c>
      <c r="BJ431" s="408">
        <v>-14.38</v>
      </c>
      <c r="BK431" s="408">
        <v>33.51</v>
      </c>
      <c r="BL431" s="408">
        <v>0</v>
      </c>
      <c r="BM431" s="408"/>
      <c r="BN431" s="408"/>
      <c r="BO431" s="408"/>
      <c r="BP431" s="408"/>
      <c r="BQ431" s="408"/>
      <c r="BR431" s="408">
        <v>-120.26090999999988</v>
      </c>
      <c r="BS431" s="408"/>
      <c r="BT431" s="408"/>
      <c r="BU431" s="408"/>
      <c r="BV431" s="408">
        <v>-400.18900552320162</v>
      </c>
      <c r="BW431" s="408"/>
      <c r="BX431" s="408"/>
      <c r="BY431" s="408"/>
      <c r="BZ431" s="408"/>
      <c r="CA431" s="408"/>
      <c r="CB431" s="408"/>
      <c r="CC431" s="408"/>
      <c r="CD431" s="408"/>
      <c r="CE431" s="408"/>
      <c r="CF431" s="408"/>
      <c r="CG431" s="408"/>
      <c r="CH431" s="408"/>
      <c r="CI431" s="408">
        <v>-882.42280000000005</v>
      </c>
      <c r="CJ431" s="408">
        <v>271.96235000000001</v>
      </c>
      <c r="CK431" s="408"/>
      <c r="CL431" s="408"/>
      <c r="CM431" s="408"/>
      <c r="CN431" s="408"/>
      <c r="CO431" s="408">
        <v>347.52732000000015</v>
      </c>
      <c r="CP431" s="408">
        <v>-37.874969999999976</v>
      </c>
      <c r="CQ431" s="408">
        <v>29</v>
      </c>
      <c r="CR431" s="408">
        <v>-49.013281506396083</v>
      </c>
      <c r="CS431" s="408">
        <v>-1.1415743021581157</v>
      </c>
      <c r="CT431" s="408">
        <v>-1.7195658054236826</v>
      </c>
      <c r="CU431" s="408">
        <v>0</v>
      </c>
      <c r="CV431" s="408">
        <v>0</v>
      </c>
      <c r="CW431" s="408">
        <v>0</v>
      </c>
      <c r="CX431" s="408">
        <v>0</v>
      </c>
      <c r="CY431" s="408">
        <v>0</v>
      </c>
      <c r="CZ431" s="408">
        <v>-4.0349643610430519</v>
      </c>
      <c r="DA431" s="408">
        <v>0</v>
      </c>
      <c r="DB431" s="408">
        <v>0</v>
      </c>
      <c r="DC431" s="408">
        <v>-37.863496565631237</v>
      </c>
      <c r="DD431" s="408">
        <v>0</v>
      </c>
      <c r="DE431" s="408">
        <v>0</v>
      </c>
      <c r="DF431" s="408">
        <v>0</v>
      </c>
      <c r="DG431" s="408">
        <v>-6.3344921933186029</v>
      </c>
      <c r="DH431" s="408">
        <v>0</v>
      </c>
      <c r="DI431" s="408">
        <v>1.7796696247894346</v>
      </c>
      <c r="DJ431" s="408"/>
      <c r="DK431" s="408">
        <v>0</v>
      </c>
      <c r="DL431" s="408">
        <v>0</v>
      </c>
      <c r="DM431" s="408">
        <v>0</v>
      </c>
      <c r="DN431" s="408">
        <v>0</v>
      </c>
      <c r="DO431" s="408">
        <v>0.23121890454861038</v>
      </c>
      <c r="DP431" s="408">
        <v>6.9923191840713272E-2</v>
      </c>
      <c r="DQ431" s="408">
        <v>0</v>
      </c>
      <c r="DR431" s="408">
        <v>0</v>
      </c>
      <c r="DS431" s="408"/>
      <c r="DT431" s="408"/>
      <c r="DU431" s="408"/>
      <c r="DV431" s="408">
        <v>-639.38741242517983</v>
      </c>
      <c r="DW431" s="408">
        <v>0</v>
      </c>
      <c r="DX431" s="408">
        <v>0</v>
      </c>
      <c r="DY431" s="408">
        <v>347.52732000000003</v>
      </c>
      <c r="DZ431" s="408">
        <v>-37.874969999999962</v>
      </c>
      <c r="EA431" s="408">
        <v>0</v>
      </c>
      <c r="EB431" s="408">
        <v>0</v>
      </c>
      <c r="EC431" s="408">
        <v>358.68975216566906</v>
      </c>
      <c r="ED431" s="408">
        <v>0</v>
      </c>
      <c r="EE431" s="408">
        <v>0</v>
      </c>
      <c r="EF431" s="408">
        <v>0</v>
      </c>
      <c r="EG431" s="408">
        <v>0</v>
      </c>
      <c r="EH431" s="408">
        <v>0</v>
      </c>
      <c r="EI431" s="408">
        <v>0</v>
      </c>
      <c r="EJ431" s="408">
        <v>0</v>
      </c>
      <c r="EK431" s="408">
        <v>0</v>
      </c>
      <c r="EL431" s="408">
        <v>0</v>
      </c>
      <c r="EM431" s="408">
        <v>0</v>
      </c>
      <c r="EN431" s="408">
        <v>0</v>
      </c>
      <c r="EO431" s="408">
        <v>0</v>
      </c>
      <c r="EP431" s="408">
        <v>0</v>
      </c>
      <c r="EQ431" s="408">
        <v>0</v>
      </c>
      <c r="ER431" s="408">
        <v>0</v>
      </c>
      <c r="ES431" s="408">
        <v>0</v>
      </c>
      <c r="ET431" s="408">
        <v>0</v>
      </c>
      <c r="EU431" s="408">
        <v>0</v>
      </c>
      <c r="EV431" s="408">
        <v>238</v>
      </c>
      <c r="EW431" s="408">
        <v>0</v>
      </c>
      <c r="EX431" s="408">
        <v>0</v>
      </c>
      <c r="EY431" s="408">
        <v>0</v>
      </c>
      <c r="EZ431" s="408"/>
      <c r="FA431" s="408">
        <v>0</v>
      </c>
      <c r="FB431" s="408"/>
      <c r="FC431" s="408"/>
      <c r="FD431" s="408"/>
      <c r="FE431" s="408"/>
      <c r="FF431" s="408">
        <v>0</v>
      </c>
      <c r="FG431" s="408">
        <v>0</v>
      </c>
      <c r="FH431" s="408">
        <v>0</v>
      </c>
      <c r="FI431" s="408">
        <v>0</v>
      </c>
    </row>
    <row r="432" spans="1:165">
      <c r="A432" s="408">
        <v>436</v>
      </c>
      <c r="B432" s="408" t="s">
        <v>2238</v>
      </c>
      <c r="C432" s="408" t="s">
        <v>2235</v>
      </c>
      <c r="D432" s="408" t="s">
        <v>2245</v>
      </c>
      <c r="E432" s="408" t="s">
        <v>974</v>
      </c>
      <c r="F432" s="408" t="s">
        <v>1322</v>
      </c>
      <c r="G432" s="408" t="s">
        <v>1322</v>
      </c>
      <c r="H432" s="408" t="s">
        <v>1322</v>
      </c>
      <c r="I432" s="408" t="s">
        <v>1322</v>
      </c>
      <c r="J432" s="408" t="s">
        <v>2236</v>
      </c>
      <c r="K432" s="824">
        <v>44593</v>
      </c>
      <c r="L432" s="408">
        <v>0</v>
      </c>
      <c r="M432" s="408">
        <v>0</v>
      </c>
      <c r="N432" s="408">
        <v>203.977</v>
      </c>
      <c r="O432" s="408">
        <v>203.977</v>
      </c>
      <c r="P432" s="408">
        <v>203.977</v>
      </c>
      <c r="Q432" s="408">
        <v>203.977</v>
      </c>
      <c r="R432" s="408"/>
      <c r="S432" s="408">
        <v>581.32000000000005</v>
      </c>
      <c r="T432" s="408">
        <v>209.4</v>
      </c>
      <c r="U432" s="408"/>
      <c r="V432" s="408">
        <v>161288.69344</v>
      </c>
      <c r="W432" s="408">
        <v>161288.69344</v>
      </c>
      <c r="X432" s="408">
        <v>123216.38639</v>
      </c>
      <c r="Y432" s="408">
        <v>0</v>
      </c>
      <c r="Z432" s="408">
        <v>12552.317753370186</v>
      </c>
      <c r="AA432" s="408">
        <v>0</v>
      </c>
      <c r="AB432" s="408">
        <v>0</v>
      </c>
      <c r="AC432" s="408">
        <v>0</v>
      </c>
      <c r="AD432" s="408">
        <v>15133.287142015854</v>
      </c>
      <c r="AE432" s="408">
        <v>78613.819303345939</v>
      </c>
      <c r="AF432" s="408">
        <v>42151.999174215911</v>
      </c>
      <c r="AG432" s="408">
        <v>561.54153450016349</v>
      </c>
      <c r="AH432" s="408">
        <v>0</v>
      </c>
      <c r="AI432" s="408">
        <v>0</v>
      </c>
      <c r="AJ432" s="408">
        <v>0</v>
      </c>
      <c r="AK432" s="408">
        <v>0</v>
      </c>
      <c r="AL432" s="408">
        <v>1939.7400147675846</v>
      </c>
      <c r="AM432" s="408"/>
      <c r="AN432" s="408">
        <v>371.84279224982544</v>
      </c>
      <c r="AO432" s="408">
        <v>1162.5629900544545</v>
      </c>
      <c r="AP432" s="408">
        <v>1751.1812946117727</v>
      </c>
      <c r="AQ432" s="408">
        <v>0</v>
      </c>
      <c r="AR432" s="408">
        <v>0</v>
      </c>
      <c r="AS432" s="408">
        <v>0</v>
      </c>
      <c r="AT432" s="408">
        <v>0</v>
      </c>
      <c r="AU432" s="408">
        <v>0</v>
      </c>
      <c r="AV432" s="408">
        <v>0</v>
      </c>
      <c r="AW432" s="408">
        <v>0</v>
      </c>
      <c r="AX432" s="408">
        <v>0</v>
      </c>
      <c r="AY432" s="408">
        <v>0</v>
      </c>
      <c r="AZ432" s="408">
        <v>0</v>
      </c>
      <c r="BA432" s="408"/>
      <c r="BB432" s="408">
        <v>0</v>
      </c>
      <c r="BC432" s="408">
        <v>0</v>
      </c>
      <c r="BD432" s="408">
        <v>0</v>
      </c>
      <c r="BE432" s="408">
        <v>0</v>
      </c>
      <c r="BF432" s="408">
        <v>0</v>
      </c>
      <c r="BG432" s="408">
        <v>7051.9506627980145</v>
      </c>
      <c r="BH432" s="408">
        <v>0</v>
      </c>
      <c r="BI432" s="408">
        <v>349.03</v>
      </c>
      <c r="BJ432" s="408">
        <v>1614.93</v>
      </c>
      <c r="BK432" s="408">
        <v>10105.11</v>
      </c>
      <c r="BL432" s="408">
        <v>843</v>
      </c>
      <c r="BM432" s="408"/>
      <c r="BN432" s="408"/>
      <c r="BO432" s="408"/>
      <c r="BP432" s="408"/>
      <c r="BQ432" s="408"/>
      <c r="BR432" s="408">
        <v>14786.292729999986</v>
      </c>
      <c r="BS432" s="408"/>
      <c r="BT432" s="408"/>
      <c r="BU432" s="408"/>
      <c r="BV432" s="408">
        <v>49203.949837013926</v>
      </c>
      <c r="BW432" s="408"/>
      <c r="BX432" s="408"/>
      <c r="BY432" s="408"/>
      <c r="BZ432" s="408"/>
      <c r="CA432" s="408"/>
      <c r="CB432" s="408"/>
      <c r="CC432" s="408"/>
      <c r="CD432" s="408"/>
      <c r="CE432" s="408"/>
      <c r="CF432" s="408"/>
      <c r="CG432" s="408"/>
      <c r="CH432" s="408"/>
      <c r="CI432" s="408">
        <v>108431.68840000001</v>
      </c>
      <c r="CJ432" s="408">
        <v>-33505.737049999996</v>
      </c>
      <c r="CK432" s="408"/>
      <c r="CL432" s="408"/>
      <c r="CM432" s="408"/>
      <c r="CN432" s="408"/>
      <c r="CO432" s="408">
        <v>-42729.101960000015</v>
      </c>
      <c r="CP432" s="408">
        <v>4656.7949099999969</v>
      </c>
      <c r="CQ432" s="408">
        <v>29</v>
      </c>
      <c r="CR432" s="408">
        <v>6026.2701156299736</v>
      </c>
      <c r="CS432" s="408">
        <v>140.35859037450632</v>
      </c>
      <c r="CT432" s="408">
        <v>211.42367347372306</v>
      </c>
      <c r="CU432" s="408">
        <v>0</v>
      </c>
      <c r="CV432" s="408">
        <v>0</v>
      </c>
      <c r="CW432" s="408">
        <v>0</v>
      </c>
      <c r="CX432" s="408">
        <v>0</v>
      </c>
      <c r="CY432" s="408">
        <v>0</v>
      </c>
      <c r="CZ432" s="408">
        <v>496.10604308166148</v>
      </c>
      <c r="DA432" s="408">
        <v>0</v>
      </c>
      <c r="DB432" s="408">
        <v>0</v>
      </c>
      <c r="DC432" s="408">
        <v>4655.3842308425301</v>
      </c>
      <c r="DD432" s="408">
        <v>0</v>
      </c>
      <c r="DE432" s="408">
        <v>0</v>
      </c>
      <c r="DF432" s="408">
        <v>0</v>
      </c>
      <c r="DG432" s="408">
        <v>778.83707903348386</v>
      </c>
      <c r="DH432" s="408">
        <v>0</v>
      </c>
      <c r="DI432" s="408">
        <v>-218.81354494012885</v>
      </c>
      <c r="DJ432" s="408"/>
      <c r="DK432" s="408">
        <v>0</v>
      </c>
      <c r="DL432" s="408">
        <v>0</v>
      </c>
      <c r="DM432" s="408">
        <v>0</v>
      </c>
      <c r="DN432" s="408">
        <v>0</v>
      </c>
      <c r="DO432" s="408">
        <v>-28.42877546299701</v>
      </c>
      <c r="DP432" s="408">
        <v>-8.5971807728108729</v>
      </c>
      <c r="DQ432" s="408">
        <v>0</v>
      </c>
      <c r="DR432" s="408">
        <v>0</v>
      </c>
      <c r="DS432" s="408"/>
      <c r="DT432" s="408"/>
      <c r="DU432" s="408"/>
      <c r="DV432" s="408">
        <v>78613.819303345939</v>
      </c>
      <c r="DW432" s="408">
        <v>0</v>
      </c>
      <c r="DX432" s="408">
        <v>0</v>
      </c>
      <c r="DY432" s="408">
        <v>-42729.101960000015</v>
      </c>
      <c r="DZ432" s="408">
        <v>4656.7949099999969</v>
      </c>
      <c r="EA432" s="408">
        <v>0</v>
      </c>
      <c r="EB432" s="408">
        <v>0</v>
      </c>
      <c r="EC432" s="408">
        <v>-44101.542843578471</v>
      </c>
      <c r="ED432" s="408">
        <v>0</v>
      </c>
      <c r="EE432" s="408">
        <v>0</v>
      </c>
      <c r="EF432" s="408">
        <v>0</v>
      </c>
      <c r="EG432" s="408">
        <v>0</v>
      </c>
      <c r="EH432" s="408">
        <v>0</v>
      </c>
      <c r="EI432" s="408">
        <v>0</v>
      </c>
      <c r="EJ432" s="408">
        <v>0</v>
      </c>
      <c r="EK432" s="408">
        <v>0</v>
      </c>
      <c r="EL432" s="408">
        <v>0</v>
      </c>
      <c r="EM432" s="408">
        <v>0</v>
      </c>
      <c r="EN432" s="408">
        <v>0</v>
      </c>
      <c r="EO432" s="408">
        <v>0</v>
      </c>
      <c r="EP432" s="408">
        <v>0</v>
      </c>
      <c r="EQ432" s="408">
        <v>0</v>
      </c>
      <c r="ER432" s="408">
        <v>0</v>
      </c>
      <c r="ES432" s="408">
        <v>0</v>
      </c>
      <c r="ET432" s="408">
        <v>0</v>
      </c>
      <c r="EU432" s="408">
        <v>0</v>
      </c>
      <c r="EV432" s="408">
        <v>238</v>
      </c>
      <c r="EW432" s="408">
        <v>0</v>
      </c>
      <c r="EX432" s="408">
        <v>0</v>
      </c>
      <c r="EY432" s="408">
        <v>0</v>
      </c>
      <c r="EZ432" s="408"/>
      <c r="FA432" s="408">
        <v>0</v>
      </c>
      <c r="FB432" s="408"/>
      <c r="FC432" s="408"/>
      <c r="FD432" s="408"/>
      <c r="FE432" s="408"/>
      <c r="FF432" s="408">
        <v>0</v>
      </c>
      <c r="FG432" s="408">
        <v>0</v>
      </c>
      <c r="FH432" s="408">
        <v>0</v>
      </c>
      <c r="FI432" s="408">
        <v>0</v>
      </c>
    </row>
    <row r="433" spans="1:165">
      <c r="A433" s="408">
        <v>437</v>
      </c>
      <c r="B433" s="408" t="s">
        <v>2238</v>
      </c>
      <c r="C433" s="408" t="s">
        <v>2235</v>
      </c>
      <c r="D433" s="408" t="s">
        <v>2245</v>
      </c>
      <c r="E433" s="408" t="s">
        <v>974</v>
      </c>
      <c r="F433" s="408" t="s">
        <v>1322</v>
      </c>
      <c r="G433" s="408" t="s">
        <v>1322</v>
      </c>
      <c r="H433" s="408" t="s">
        <v>1322</v>
      </c>
      <c r="I433" s="408" t="s">
        <v>1322</v>
      </c>
      <c r="J433" s="408" t="s">
        <v>2236</v>
      </c>
      <c r="K433" s="824">
        <v>44593</v>
      </c>
      <c r="L433" s="408">
        <v>0</v>
      </c>
      <c r="M433" s="408">
        <v>0</v>
      </c>
      <c r="N433" s="408">
        <v>-1.6120000000000001</v>
      </c>
      <c r="O433" s="408">
        <v>-1.6120000000000001</v>
      </c>
      <c r="P433" s="408">
        <v>-1.6120000000000001</v>
      </c>
      <c r="Q433" s="408">
        <v>-1.6120000000000001</v>
      </c>
      <c r="R433" s="408"/>
      <c r="S433" s="408">
        <v>581.32000000000005</v>
      </c>
      <c r="T433" s="408">
        <v>209.4</v>
      </c>
      <c r="U433" s="408"/>
      <c r="V433" s="408">
        <v>-1274.6406400000001</v>
      </c>
      <c r="W433" s="408">
        <v>-1274.6406400000001</v>
      </c>
      <c r="X433" s="408">
        <v>-973.76083999999992</v>
      </c>
      <c r="Y433" s="408">
        <v>0</v>
      </c>
      <c r="Z433" s="408">
        <v>-99.199106852403645</v>
      </c>
      <c r="AA433" s="408">
        <v>0</v>
      </c>
      <c r="AB433" s="408">
        <v>0</v>
      </c>
      <c r="AC433" s="408">
        <v>0</v>
      </c>
      <c r="AD433" s="408">
        <v>-119.59612541085298</v>
      </c>
      <c r="AE433" s="408">
        <v>-621.27336276635924</v>
      </c>
      <c r="AF433" s="408">
        <v>-333.12100221513231</v>
      </c>
      <c r="AG433" s="408">
        <v>-4.4377795222709597</v>
      </c>
      <c r="AH433" s="408">
        <v>0</v>
      </c>
      <c r="AI433" s="408">
        <v>0</v>
      </c>
      <c r="AJ433" s="408">
        <v>0</v>
      </c>
      <c r="AK433" s="408">
        <v>0</v>
      </c>
      <c r="AL433" s="408">
        <v>-15.329477851940888</v>
      </c>
      <c r="AM433" s="408"/>
      <c r="AN433" s="408">
        <v>-2.9386184771161385</v>
      </c>
      <c r="AO433" s="408">
        <v>-9.187563009397044</v>
      </c>
      <c r="AP433" s="408">
        <v>-13.839326232438843</v>
      </c>
      <c r="AQ433" s="408">
        <v>0</v>
      </c>
      <c r="AR433" s="408">
        <v>0</v>
      </c>
      <c r="AS433" s="408">
        <v>0</v>
      </c>
      <c r="AT433" s="408">
        <v>0</v>
      </c>
      <c r="AU433" s="408">
        <v>0</v>
      </c>
      <c r="AV433" s="408">
        <v>0</v>
      </c>
      <c r="AW433" s="408">
        <v>0</v>
      </c>
      <c r="AX433" s="408">
        <v>0</v>
      </c>
      <c r="AY433" s="408">
        <v>0</v>
      </c>
      <c r="AZ433" s="408">
        <v>0</v>
      </c>
      <c r="BA433" s="408"/>
      <c r="BB433" s="408">
        <v>0</v>
      </c>
      <c r="BC433" s="408">
        <v>0</v>
      </c>
      <c r="BD433" s="408">
        <v>0</v>
      </c>
      <c r="BE433" s="408">
        <v>0</v>
      </c>
      <c r="BF433" s="408">
        <v>0</v>
      </c>
      <c r="BG433" s="408">
        <v>-55.73052093339151</v>
      </c>
      <c r="BH433" s="408">
        <v>0</v>
      </c>
      <c r="BI433" s="408">
        <v>-3.1</v>
      </c>
      <c r="BJ433" s="408">
        <v>-14.12</v>
      </c>
      <c r="BK433" s="408">
        <v>2.19</v>
      </c>
      <c r="BL433" s="408">
        <v>5</v>
      </c>
      <c r="BM433" s="408"/>
      <c r="BN433" s="408"/>
      <c r="BO433" s="408"/>
      <c r="BP433" s="408"/>
      <c r="BQ433" s="408"/>
      <c r="BR433" s="408">
        <v>-116.85387999999989</v>
      </c>
      <c r="BS433" s="408"/>
      <c r="BT433" s="408"/>
      <c r="BU433" s="408"/>
      <c r="BV433" s="408">
        <v>-388.85152314852382</v>
      </c>
      <c r="BW433" s="408"/>
      <c r="BX433" s="408"/>
      <c r="BY433" s="408"/>
      <c r="BZ433" s="408"/>
      <c r="CA433" s="408"/>
      <c r="CB433" s="408"/>
      <c r="CC433" s="408"/>
      <c r="CD433" s="408"/>
      <c r="CE433" s="408"/>
      <c r="CF433" s="408"/>
      <c r="CG433" s="408"/>
      <c r="CH433" s="408"/>
      <c r="CI433" s="408">
        <v>-855.8438000000001</v>
      </c>
      <c r="CJ433" s="408">
        <v>265.83639999999991</v>
      </c>
      <c r="CK433" s="408"/>
      <c r="CL433" s="408"/>
      <c r="CM433" s="408"/>
      <c r="CN433" s="408"/>
      <c r="CO433" s="408">
        <v>337.68176000000017</v>
      </c>
      <c r="CP433" s="408">
        <v>-36.80195999999998</v>
      </c>
      <c r="CQ433" s="408">
        <v>29</v>
      </c>
      <c r="CR433" s="408">
        <v>-47.62471958306844</v>
      </c>
      <c r="CS433" s="408">
        <v>-1.1092331374797357</v>
      </c>
      <c r="CT433" s="408">
        <v>-1.670849956807098</v>
      </c>
      <c r="CU433" s="408">
        <v>0</v>
      </c>
      <c r="CV433" s="408">
        <v>0</v>
      </c>
      <c r="CW433" s="408">
        <v>0</v>
      </c>
      <c r="CX433" s="408">
        <v>0</v>
      </c>
      <c r="CY433" s="408">
        <v>0</v>
      </c>
      <c r="CZ433" s="408">
        <v>-3.9206525316463967</v>
      </c>
      <c r="DA433" s="408">
        <v>0</v>
      </c>
      <c r="DB433" s="408">
        <v>0</v>
      </c>
      <c r="DC433" s="408">
        <v>-36.790811611692334</v>
      </c>
      <c r="DD433" s="408">
        <v>0</v>
      </c>
      <c r="DE433" s="408">
        <v>0</v>
      </c>
      <c r="DF433" s="408">
        <v>0</v>
      </c>
      <c r="DG433" s="408">
        <v>-6.1550340058044597</v>
      </c>
      <c r="DH433" s="408">
        <v>0</v>
      </c>
      <c r="DI433" s="408">
        <v>1.7292510157688668</v>
      </c>
      <c r="DJ433" s="408"/>
      <c r="DK433" s="408">
        <v>0</v>
      </c>
      <c r="DL433" s="408">
        <v>0</v>
      </c>
      <c r="DM433" s="408">
        <v>0</v>
      </c>
      <c r="DN433" s="408">
        <v>0</v>
      </c>
      <c r="DO433" s="408">
        <v>0.22466839911534642</v>
      </c>
      <c r="DP433" s="408">
        <v>6.7942245477534691E-2</v>
      </c>
      <c r="DQ433" s="408">
        <v>0</v>
      </c>
      <c r="DR433" s="408">
        <v>0</v>
      </c>
      <c r="DS433" s="408"/>
      <c r="DT433" s="408"/>
      <c r="DU433" s="408"/>
      <c r="DV433" s="408">
        <v>-621.27336276635924</v>
      </c>
      <c r="DW433" s="408">
        <v>0</v>
      </c>
      <c r="DX433" s="408">
        <v>0</v>
      </c>
      <c r="DY433" s="408">
        <v>337.68176000000017</v>
      </c>
      <c r="DZ433" s="408">
        <v>-36.801959999999951</v>
      </c>
      <c r="EA433" s="408">
        <v>0</v>
      </c>
      <c r="EB433" s="408">
        <v>0</v>
      </c>
      <c r="EC433" s="408">
        <v>348.52795689635838</v>
      </c>
      <c r="ED433" s="408">
        <v>0</v>
      </c>
      <c r="EE433" s="408">
        <v>0</v>
      </c>
      <c r="EF433" s="408">
        <v>0</v>
      </c>
      <c r="EG433" s="408">
        <v>0</v>
      </c>
      <c r="EH433" s="408">
        <v>0</v>
      </c>
      <c r="EI433" s="408">
        <v>0</v>
      </c>
      <c r="EJ433" s="408">
        <v>0</v>
      </c>
      <c r="EK433" s="408">
        <v>0</v>
      </c>
      <c r="EL433" s="408">
        <v>0</v>
      </c>
      <c r="EM433" s="408">
        <v>0</v>
      </c>
      <c r="EN433" s="408">
        <v>0</v>
      </c>
      <c r="EO433" s="408">
        <v>0</v>
      </c>
      <c r="EP433" s="408">
        <v>0</v>
      </c>
      <c r="EQ433" s="408">
        <v>0</v>
      </c>
      <c r="ER433" s="408">
        <v>0</v>
      </c>
      <c r="ES433" s="408">
        <v>0</v>
      </c>
      <c r="ET433" s="408">
        <v>0</v>
      </c>
      <c r="EU433" s="408">
        <v>0</v>
      </c>
      <c r="EV433" s="408">
        <v>238</v>
      </c>
      <c r="EW433" s="408">
        <v>0</v>
      </c>
      <c r="EX433" s="408">
        <v>0</v>
      </c>
      <c r="EY433" s="408">
        <v>0</v>
      </c>
      <c r="EZ433" s="408"/>
      <c r="FA433" s="408">
        <v>0</v>
      </c>
      <c r="FB433" s="408"/>
      <c r="FC433" s="408"/>
      <c r="FD433" s="408"/>
      <c r="FE433" s="408"/>
      <c r="FF433" s="408">
        <v>0</v>
      </c>
      <c r="FG433" s="408">
        <v>0</v>
      </c>
      <c r="FH433" s="408">
        <v>0</v>
      </c>
      <c r="FI433" s="408">
        <v>0</v>
      </c>
    </row>
    <row r="434" spans="1:165">
      <c r="A434" s="408">
        <v>438</v>
      </c>
      <c r="B434" s="408" t="s">
        <v>1036</v>
      </c>
      <c r="C434" s="408" t="s">
        <v>2243</v>
      </c>
      <c r="D434" s="408" t="s">
        <v>597</v>
      </c>
      <c r="E434" s="408" t="s">
        <v>974</v>
      </c>
      <c r="F434" s="408" t="s">
        <v>1322</v>
      </c>
      <c r="G434" s="408" t="s">
        <v>1322</v>
      </c>
      <c r="H434" s="408" t="s">
        <v>1322</v>
      </c>
      <c r="I434" s="408" t="s">
        <v>973</v>
      </c>
      <c r="J434" s="408" t="s">
        <v>2236</v>
      </c>
      <c r="K434" s="824">
        <v>44593</v>
      </c>
      <c r="L434" s="408">
        <v>0</v>
      </c>
      <c r="M434" s="408">
        <v>0</v>
      </c>
      <c r="N434" s="408">
        <v>14.007</v>
      </c>
      <c r="O434" s="408">
        <v>13.446719999999999</v>
      </c>
      <c r="P434" s="408">
        <v>14.007</v>
      </c>
      <c r="Q434" s="408">
        <v>13.446719999999999</v>
      </c>
      <c r="R434" s="408"/>
      <c r="S434" s="408">
        <v>1614.19</v>
      </c>
      <c r="T434" s="408">
        <v>209.4</v>
      </c>
      <c r="U434" s="408"/>
      <c r="V434" s="408">
        <v>25543.025130000002</v>
      </c>
      <c r="W434" s="408">
        <v>25543.025130000002</v>
      </c>
      <c r="X434" s="408">
        <v>16978.585049999998</v>
      </c>
      <c r="Y434" s="408">
        <v>0</v>
      </c>
      <c r="Z434" s="408">
        <v>749.9064789224617</v>
      </c>
      <c r="AA434" s="408">
        <v>0</v>
      </c>
      <c r="AB434" s="408">
        <v>0</v>
      </c>
      <c r="AC434" s="408">
        <v>0</v>
      </c>
      <c r="AD434" s="408">
        <v>4362.0317907483659</v>
      </c>
      <c r="AE434" s="408">
        <v>16287.852482306038</v>
      </c>
      <c r="AF434" s="408">
        <v>2894.5569962948871</v>
      </c>
      <c r="AG434" s="408">
        <v>38.560780253380479</v>
      </c>
      <c r="AH434" s="408">
        <v>0</v>
      </c>
      <c r="AI434" s="408">
        <v>0</v>
      </c>
      <c r="AJ434" s="408">
        <v>0</v>
      </c>
      <c r="AK434" s="408">
        <v>0</v>
      </c>
      <c r="AL434" s="408">
        <v>133.20099024326055</v>
      </c>
      <c r="AM434" s="408"/>
      <c r="AN434" s="408">
        <v>18.599115229273234</v>
      </c>
      <c r="AO434" s="408">
        <v>338.89831969629557</v>
      </c>
      <c r="AP434" s="408">
        <v>504.79412460754151</v>
      </c>
      <c r="AQ434" s="408">
        <v>0</v>
      </c>
      <c r="AR434" s="408">
        <v>0</v>
      </c>
      <c r="AS434" s="408">
        <v>0</v>
      </c>
      <c r="AT434" s="408">
        <v>0</v>
      </c>
      <c r="AU434" s="408">
        <v>0</v>
      </c>
      <c r="AV434" s="408">
        <v>0</v>
      </c>
      <c r="AW434" s="408">
        <v>0</v>
      </c>
      <c r="AX434" s="408">
        <v>0</v>
      </c>
      <c r="AY434" s="408">
        <v>0</v>
      </c>
      <c r="AZ434" s="408">
        <v>0</v>
      </c>
      <c r="BA434" s="408"/>
      <c r="BB434" s="408">
        <v>0</v>
      </c>
      <c r="BC434" s="408">
        <v>0</v>
      </c>
      <c r="BD434" s="408">
        <v>0</v>
      </c>
      <c r="BE434" s="408">
        <v>0</v>
      </c>
      <c r="BF434" s="408">
        <v>0</v>
      </c>
      <c r="BG434" s="408">
        <v>214.64938011161695</v>
      </c>
      <c r="BH434" s="408">
        <v>0</v>
      </c>
      <c r="BI434" s="408">
        <v>0</v>
      </c>
      <c r="BJ434" s="408">
        <v>0</v>
      </c>
      <c r="BK434" s="408">
        <v>0</v>
      </c>
      <c r="BL434" s="408">
        <v>0</v>
      </c>
      <c r="BM434" s="408"/>
      <c r="BN434" s="408"/>
      <c r="BO434" s="408"/>
      <c r="BP434" s="408"/>
      <c r="BQ434" s="408"/>
      <c r="BR434" s="408">
        <v>679.14340200000061</v>
      </c>
      <c r="BS434" s="408"/>
      <c r="BT434" s="408"/>
      <c r="BU434" s="408"/>
      <c r="BV434" s="408">
        <v>3109.2063764065042</v>
      </c>
      <c r="BW434" s="408"/>
      <c r="BX434" s="408"/>
      <c r="BY434" s="408"/>
      <c r="BZ434" s="408"/>
      <c r="CA434" s="408"/>
      <c r="CB434" s="408"/>
      <c r="CC434" s="408"/>
      <c r="CD434" s="408"/>
      <c r="CE434" s="408"/>
      <c r="CF434" s="408"/>
      <c r="CG434" s="408"/>
      <c r="CH434" s="408"/>
      <c r="CI434" s="408">
        <v>16303.4175</v>
      </c>
      <c r="CJ434" s="408">
        <v>-8217.9166247999965</v>
      </c>
      <c r="CK434" s="408"/>
      <c r="CL434" s="408"/>
      <c r="CM434" s="408"/>
      <c r="CN434" s="408"/>
      <c r="CO434" s="408">
        <v>-8884.2198900000003</v>
      </c>
      <c r="CP434" s="408">
        <v>319.77980999999977</v>
      </c>
      <c r="CQ434" s="408">
        <v>29</v>
      </c>
      <c r="CR434" s="408">
        <v>572.79348016765653</v>
      </c>
      <c r="CS434" s="408">
        <v>40.915882270285863</v>
      </c>
      <c r="CT434" s="408">
        <v>60.944819648807822</v>
      </c>
      <c r="CU434" s="408">
        <v>0</v>
      </c>
      <c r="CV434" s="408">
        <v>0</v>
      </c>
      <c r="CW434" s="408">
        <v>0</v>
      </c>
      <c r="CX434" s="408">
        <v>0</v>
      </c>
      <c r="CY434" s="408">
        <v>0</v>
      </c>
      <c r="CZ434" s="408">
        <v>142.99803546953535</v>
      </c>
      <c r="DA434" s="408">
        <v>0</v>
      </c>
      <c r="DB434" s="408">
        <v>0</v>
      </c>
      <c r="DC434" s="408">
        <v>319.68293935792417</v>
      </c>
      <c r="DD434" s="408">
        <v>0</v>
      </c>
      <c r="DE434" s="408">
        <v>0</v>
      </c>
      <c r="DF434" s="408">
        <v>0</v>
      </c>
      <c r="DG434" s="408">
        <v>23.706475586168182</v>
      </c>
      <c r="DH434" s="408">
        <v>0</v>
      </c>
      <c r="DI434" s="408">
        <v>-13.07246185530505</v>
      </c>
      <c r="DJ434" s="408"/>
      <c r="DK434" s="408">
        <v>0</v>
      </c>
      <c r="DL434" s="408">
        <v>0</v>
      </c>
      <c r="DM434" s="408">
        <v>0</v>
      </c>
      <c r="DN434" s="408">
        <v>0</v>
      </c>
      <c r="DO434" s="408">
        <v>-1.9521899915686447</v>
      </c>
      <c r="DP434" s="408">
        <v>-0.43002031819138153</v>
      </c>
      <c r="DQ434" s="408">
        <v>0</v>
      </c>
      <c r="DR434" s="408">
        <v>0</v>
      </c>
      <c r="DS434" s="408"/>
      <c r="DT434" s="408"/>
      <c r="DU434" s="408"/>
      <c r="DV434" s="408">
        <v>16287.852482306038</v>
      </c>
      <c r="DW434" s="408">
        <v>0</v>
      </c>
      <c r="DX434" s="408">
        <v>0</v>
      </c>
      <c r="DY434" s="408">
        <v>-8884.2198900000021</v>
      </c>
      <c r="DZ434" s="408">
        <v>319.77981</v>
      </c>
      <c r="EA434" s="408">
        <v>0</v>
      </c>
      <c r="EB434" s="408">
        <v>0</v>
      </c>
      <c r="EC434" s="408">
        <v>-9137.3174645864801</v>
      </c>
      <c r="ED434" s="408">
        <v>0</v>
      </c>
      <c r="EE434" s="408">
        <v>0</v>
      </c>
      <c r="EF434" s="408">
        <v>0</v>
      </c>
      <c r="EG434" s="408">
        <v>0</v>
      </c>
      <c r="EH434" s="408">
        <v>0</v>
      </c>
      <c r="EI434" s="408">
        <v>0</v>
      </c>
      <c r="EJ434" s="408">
        <v>0</v>
      </c>
      <c r="EK434" s="408">
        <v>0</v>
      </c>
      <c r="EL434" s="408">
        <v>0</v>
      </c>
      <c r="EM434" s="408">
        <v>0</v>
      </c>
      <c r="EN434" s="408">
        <v>0</v>
      </c>
      <c r="EO434" s="408">
        <v>0</v>
      </c>
      <c r="EP434" s="408">
        <v>0</v>
      </c>
      <c r="EQ434" s="408">
        <v>0</v>
      </c>
      <c r="ER434" s="408">
        <v>0</v>
      </c>
      <c r="ES434" s="408">
        <v>0</v>
      </c>
      <c r="ET434" s="408">
        <v>0</v>
      </c>
      <c r="EU434" s="408">
        <v>0</v>
      </c>
      <c r="EV434" s="408">
        <v>238</v>
      </c>
      <c r="EW434" s="408">
        <v>0</v>
      </c>
      <c r="EX434" s="408">
        <v>0</v>
      </c>
      <c r="EY434" s="408">
        <v>0</v>
      </c>
      <c r="EZ434" s="408"/>
      <c r="FA434" s="408">
        <v>0</v>
      </c>
      <c r="FB434" s="408"/>
      <c r="FC434" s="408"/>
      <c r="FD434" s="408"/>
      <c r="FE434" s="408"/>
      <c r="FF434" s="408">
        <v>0</v>
      </c>
      <c r="FG434" s="408">
        <v>0</v>
      </c>
      <c r="FH434" s="408">
        <v>0</v>
      </c>
      <c r="FI434" s="408">
        <v>0</v>
      </c>
    </row>
    <row r="435" spans="1:165">
      <c r="A435" s="408">
        <v>439</v>
      </c>
      <c r="B435" s="408" t="s">
        <v>2238</v>
      </c>
      <c r="C435" s="408" t="s">
        <v>2243</v>
      </c>
      <c r="D435" s="408" t="s">
        <v>597</v>
      </c>
      <c r="E435" s="408" t="s">
        <v>974</v>
      </c>
      <c r="F435" s="408" t="s">
        <v>1322</v>
      </c>
      <c r="G435" s="408" t="s">
        <v>1322</v>
      </c>
      <c r="H435" s="408" t="s">
        <v>1322</v>
      </c>
      <c r="I435" s="408" t="s">
        <v>973</v>
      </c>
      <c r="J435" s="408" t="s">
        <v>2236</v>
      </c>
      <c r="K435" s="824">
        <v>44593</v>
      </c>
      <c r="L435" s="408">
        <v>0</v>
      </c>
      <c r="M435" s="408">
        <v>0</v>
      </c>
      <c r="N435" s="408">
        <v>0.223</v>
      </c>
      <c r="O435" s="408">
        <v>0.21407999999999999</v>
      </c>
      <c r="P435" s="408">
        <v>0.223</v>
      </c>
      <c r="Q435" s="408">
        <v>0.21407999999999999</v>
      </c>
      <c r="R435" s="408"/>
      <c r="S435" s="408">
        <v>1614.19</v>
      </c>
      <c r="T435" s="408">
        <v>209.4</v>
      </c>
      <c r="U435" s="408"/>
      <c r="V435" s="408">
        <v>406.66057000000001</v>
      </c>
      <c r="W435" s="408">
        <v>406.66057000000001</v>
      </c>
      <c r="X435" s="408">
        <v>270.30944999999997</v>
      </c>
      <c r="Y435" s="408">
        <v>0</v>
      </c>
      <c r="Z435" s="408">
        <v>11.938969429550152</v>
      </c>
      <c r="AA435" s="408">
        <v>0</v>
      </c>
      <c r="AB435" s="408">
        <v>0</v>
      </c>
      <c r="AC435" s="408">
        <v>0</v>
      </c>
      <c r="AD435" s="408">
        <v>69.446211846711336</v>
      </c>
      <c r="AE435" s="408">
        <v>259.31256539974629</v>
      </c>
      <c r="AF435" s="408">
        <v>46.083116311398577</v>
      </c>
      <c r="AG435" s="408">
        <v>0.61391118701391068</v>
      </c>
      <c r="AH435" s="408">
        <v>0</v>
      </c>
      <c r="AI435" s="408">
        <v>0</v>
      </c>
      <c r="AJ435" s="408">
        <v>0</v>
      </c>
      <c r="AK435" s="408">
        <v>0</v>
      </c>
      <c r="AL435" s="408">
        <v>2.1206411668627903</v>
      </c>
      <c r="AM435" s="408"/>
      <c r="AN435" s="408">
        <v>0.29610928079731075</v>
      </c>
      <c r="AO435" s="408">
        <v>5.3954683581262159</v>
      </c>
      <c r="AP435" s="408">
        <v>8.036630955056884</v>
      </c>
      <c r="AQ435" s="408">
        <v>0</v>
      </c>
      <c r="AR435" s="408">
        <v>0</v>
      </c>
      <c r="AS435" s="408">
        <v>0</v>
      </c>
      <c r="AT435" s="408">
        <v>0</v>
      </c>
      <c r="AU435" s="408">
        <v>0</v>
      </c>
      <c r="AV435" s="408">
        <v>0</v>
      </c>
      <c r="AW435" s="408">
        <v>0</v>
      </c>
      <c r="AX435" s="408">
        <v>0</v>
      </c>
      <c r="AY435" s="408">
        <v>0</v>
      </c>
      <c r="AZ435" s="408">
        <v>0</v>
      </c>
      <c r="BA435" s="408"/>
      <c r="BB435" s="408">
        <v>0</v>
      </c>
      <c r="BC435" s="408">
        <v>0</v>
      </c>
      <c r="BD435" s="408">
        <v>0</v>
      </c>
      <c r="BE435" s="408">
        <v>0</v>
      </c>
      <c r="BF435" s="408">
        <v>0</v>
      </c>
      <c r="BG435" s="408">
        <v>3.4173493085521938</v>
      </c>
      <c r="BH435" s="408">
        <v>0</v>
      </c>
      <c r="BI435" s="408">
        <v>0</v>
      </c>
      <c r="BJ435" s="408">
        <v>0</v>
      </c>
      <c r="BK435" s="408">
        <v>0</v>
      </c>
      <c r="BL435" s="408">
        <v>0</v>
      </c>
      <c r="BM435" s="408"/>
      <c r="BN435" s="408"/>
      <c r="BO435" s="408"/>
      <c r="BP435" s="408"/>
      <c r="BQ435" s="408"/>
      <c r="BR435" s="408">
        <v>10.812378000000013</v>
      </c>
      <c r="BS435" s="408"/>
      <c r="BT435" s="408"/>
      <c r="BU435" s="408"/>
      <c r="BV435" s="408">
        <v>49.500465619950774</v>
      </c>
      <c r="BW435" s="408"/>
      <c r="BX435" s="408"/>
      <c r="BY435" s="408"/>
      <c r="BZ435" s="408"/>
      <c r="CA435" s="408"/>
      <c r="CB435" s="408"/>
      <c r="CC435" s="408"/>
      <c r="CD435" s="408"/>
      <c r="CE435" s="408"/>
      <c r="CF435" s="408"/>
      <c r="CG435" s="408"/>
      <c r="CH435" s="408"/>
      <c r="CI435" s="408">
        <v>254.55149999999998</v>
      </c>
      <c r="CJ435" s="408">
        <v>-135.87264720000002</v>
      </c>
      <c r="CK435" s="408"/>
      <c r="CL435" s="408"/>
      <c r="CM435" s="408"/>
      <c r="CN435" s="408"/>
      <c r="CO435" s="408">
        <v>-141.44221000000002</v>
      </c>
      <c r="CP435" s="408">
        <v>5.0910899999999968</v>
      </c>
      <c r="CQ435" s="408">
        <v>29</v>
      </c>
      <c r="CR435" s="408">
        <v>9.119222251544727</v>
      </c>
      <c r="CS435" s="408">
        <v>0.65140585038007881</v>
      </c>
      <c r="CT435" s="408">
        <v>0.97027877359064263</v>
      </c>
      <c r="CU435" s="408">
        <v>0</v>
      </c>
      <c r="CV435" s="408">
        <v>0</v>
      </c>
      <c r="CW435" s="408">
        <v>0</v>
      </c>
      <c r="CX435" s="408">
        <v>0</v>
      </c>
      <c r="CY435" s="408">
        <v>0</v>
      </c>
      <c r="CZ435" s="408">
        <v>2.2766161140648506</v>
      </c>
      <c r="DA435" s="408">
        <v>0</v>
      </c>
      <c r="DB435" s="408">
        <v>0</v>
      </c>
      <c r="DC435" s="408">
        <v>5.0895477601782773</v>
      </c>
      <c r="DD435" s="408">
        <v>0</v>
      </c>
      <c r="DE435" s="408">
        <v>0</v>
      </c>
      <c r="DF435" s="408">
        <v>0</v>
      </c>
      <c r="DG435" s="408">
        <v>0.37742157890451278</v>
      </c>
      <c r="DH435" s="408">
        <v>0</v>
      </c>
      <c r="DI435" s="408">
        <v>-0.20812158161869299</v>
      </c>
      <c r="DJ435" s="408"/>
      <c r="DK435" s="408">
        <v>0</v>
      </c>
      <c r="DL435" s="408">
        <v>0</v>
      </c>
      <c r="DM435" s="408">
        <v>0</v>
      </c>
      <c r="DN435" s="408">
        <v>0</v>
      </c>
      <c r="DO435" s="408">
        <v>-3.1080057693996466E-2</v>
      </c>
      <c r="DP435" s="408">
        <v>-6.8461862609179858E-3</v>
      </c>
      <c r="DQ435" s="408">
        <v>0</v>
      </c>
      <c r="DR435" s="408">
        <v>0</v>
      </c>
      <c r="DS435" s="408"/>
      <c r="DT435" s="408"/>
      <c r="DU435" s="408"/>
      <c r="DV435" s="408">
        <v>259.31256539974629</v>
      </c>
      <c r="DW435" s="408">
        <v>0</v>
      </c>
      <c r="DX435" s="408">
        <v>0</v>
      </c>
      <c r="DY435" s="408">
        <v>-141.44221000000005</v>
      </c>
      <c r="DZ435" s="408">
        <v>5.0910899999999941</v>
      </c>
      <c r="EA435" s="408">
        <v>0</v>
      </c>
      <c r="EB435" s="408">
        <v>0</v>
      </c>
      <c r="EC435" s="408">
        <v>-145.47167806116835</v>
      </c>
      <c r="ED435" s="408">
        <v>0</v>
      </c>
      <c r="EE435" s="408">
        <v>0</v>
      </c>
      <c r="EF435" s="408">
        <v>0</v>
      </c>
      <c r="EG435" s="408">
        <v>0</v>
      </c>
      <c r="EH435" s="408">
        <v>0</v>
      </c>
      <c r="EI435" s="408">
        <v>0</v>
      </c>
      <c r="EJ435" s="408">
        <v>0</v>
      </c>
      <c r="EK435" s="408">
        <v>0</v>
      </c>
      <c r="EL435" s="408">
        <v>0</v>
      </c>
      <c r="EM435" s="408">
        <v>0</v>
      </c>
      <c r="EN435" s="408">
        <v>0</v>
      </c>
      <c r="EO435" s="408">
        <v>0</v>
      </c>
      <c r="EP435" s="408">
        <v>0</v>
      </c>
      <c r="EQ435" s="408">
        <v>0</v>
      </c>
      <c r="ER435" s="408">
        <v>0</v>
      </c>
      <c r="ES435" s="408">
        <v>0</v>
      </c>
      <c r="ET435" s="408">
        <v>0</v>
      </c>
      <c r="EU435" s="408">
        <v>0</v>
      </c>
      <c r="EV435" s="408">
        <v>238</v>
      </c>
      <c r="EW435" s="408">
        <v>0</v>
      </c>
      <c r="EX435" s="408">
        <v>0</v>
      </c>
      <c r="EY435" s="408">
        <v>0</v>
      </c>
      <c r="EZ435" s="408"/>
      <c r="FA435" s="408">
        <v>0</v>
      </c>
      <c r="FB435" s="408"/>
      <c r="FC435" s="408"/>
      <c r="FD435" s="408"/>
      <c r="FE435" s="408"/>
      <c r="FF435" s="408">
        <v>0</v>
      </c>
      <c r="FG435" s="408">
        <v>0</v>
      </c>
      <c r="FH435" s="408">
        <v>0</v>
      </c>
      <c r="FI435" s="408">
        <v>0</v>
      </c>
    </row>
    <row r="436" spans="1:165">
      <c r="A436" s="408">
        <v>440</v>
      </c>
      <c r="B436" s="408" t="s">
        <v>1036</v>
      </c>
      <c r="C436" s="408" t="s">
        <v>2243</v>
      </c>
      <c r="D436" s="408" t="s">
        <v>597</v>
      </c>
      <c r="E436" s="408" t="s">
        <v>974</v>
      </c>
      <c r="F436" s="408" t="s">
        <v>1322</v>
      </c>
      <c r="G436" s="408" t="s">
        <v>1322</v>
      </c>
      <c r="H436" s="408" t="s">
        <v>1322</v>
      </c>
      <c r="I436" s="408" t="s">
        <v>2244</v>
      </c>
      <c r="J436" s="408" t="s">
        <v>2236</v>
      </c>
      <c r="K436" s="824">
        <v>44593</v>
      </c>
      <c r="L436" s="408">
        <v>0</v>
      </c>
      <c r="M436" s="408">
        <v>0</v>
      </c>
      <c r="N436" s="408">
        <v>183.601</v>
      </c>
      <c r="O436" s="408">
        <v>176.25695999999999</v>
      </c>
      <c r="P436" s="408">
        <v>183.601</v>
      </c>
      <c r="Q436" s="408">
        <v>176.25695999999999</v>
      </c>
      <c r="R436" s="408"/>
      <c r="S436" s="408">
        <v>79.7</v>
      </c>
      <c r="T436" s="408">
        <v>209.4</v>
      </c>
      <c r="U436" s="408"/>
      <c r="V436" s="408">
        <v>53079.049100000004</v>
      </c>
      <c r="W436" s="408">
        <v>53079.049100000004</v>
      </c>
      <c r="X436" s="408">
        <v>57378.984519999998</v>
      </c>
      <c r="Y436" s="408">
        <v>0</v>
      </c>
      <c r="Z436" s="408">
        <v>9829.6265750441144</v>
      </c>
      <c r="AA436" s="408">
        <v>0</v>
      </c>
      <c r="AB436" s="408">
        <v>0</v>
      </c>
      <c r="AC436" s="408">
        <v>0</v>
      </c>
      <c r="AD436" s="408">
        <v>0</v>
      </c>
      <c r="AE436" s="408">
        <v>0</v>
      </c>
      <c r="AF436" s="408">
        <v>37941.283577977978</v>
      </c>
      <c r="AG436" s="408">
        <v>505.44712038987001</v>
      </c>
      <c r="AH436" s="408">
        <v>0</v>
      </c>
      <c r="AI436" s="408">
        <v>0</v>
      </c>
      <c r="AJ436" s="408">
        <v>0</v>
      </c>
      <c r="AK436" s="408">
        <v>0</v>
      </c>
      <c r="AL436" s="408">
        <v>1745.9723716465255</v>
      </c>
      <c r="AM436" s="408"/>
      <c r="AN436" s="408">
        <v>243.79354288639934</v>
      </c>
      <c r="AO436" s="408">
        <v>0</v>
      </c>
      <c r="AP436" s="408">
        <v>0</v>
      </c>
      <c r="AQ436" s="408">
        <v>0</v>
      </c>
      <c r="AR436" s="408">
        <v>0</v>
      </c>
      <c r="AS436" s="408">
        <v>0</v>
      </c>
      <c r="AT436" s="408">
        <v>0</v>
      </c>
      <c r="AU436" s="408">
        <v>0</v>
      </c>
      <c r="AV436" s="408">
        <v>0</v>
      </c>
      <c r="AW436" s="408">
        <v>0</v>
      </c>
      <c r="AX436" s="408">
        <v>0</v>
      </c>
      <c r="AY436" s="408">
        <v>0</v>
      </c>
      <c r="AZ436" s="408">
        <v>0</v>
      </c>
      <c r="BA436" s="408"/>
      <c r="BB436" s="408">
        <v>0</v>
      </c>
      <c r="BC436" s="408">
        <v>0</v>
      </c>
      <c r="BD436" s="408">
        <v>0</v>
      </c>
      <c r="BE436" s="408">
        <v>0</v>
      </c>
      <c r="BF436" s="408">
        <v>0</v>
      </c>
      <c r="BG436" s="408">
        <v>2813.5818403564635</v>
      </c>
      <c r="BH436" s="408">
        <v>0</v>
      </c>
      <c r="BI436" s="408">
        <v>0</v>
      </c>
      <c r="BJ436" s="408">
        <v>0</v>
      </c>
      <c r="BK436" s="408">
        <v>0</v>
      </c>
      <c r="BL436" s="408">
        <v>0</v>
      </c>
      <c r="BM436" s="408"/>
      <c r="BN436" s="408"/>
      <c r="BO436" s="408"/>
      <c r="BP436" s="408"/>
      <c r="BQ436" s="408"/>
      <c r="BR436" s="408">
        <v>2295.1593808000021</v>
      </c>
      <c r="BS436" s="408"/>
      <c r="BT436" s="408"/>
      <c r="BU436" s="408"/>
      <c r="BV436" s="408">
        <v>40754.865418334441</v>
      </c>
      <c r="BW436" s="408"/>
      <c r="BX436" s="408"/>
      <c r="BY436" s="408"/>
      <c r="BZ436" s="408"/>
      <c r="CA436" s="408"/>
      <c r="CB436" s="408"/>
      <c r="CC436" s="408"/>
      <c r="CD436" s="408"/>
      <c r="CE436" s="408"/>
      <c r="CF436" s="408"/>
      <c r="CG436" s="408"/>
      <c r="CH436" s="408"/>
      <c r="CI436" s="408">
        <v>55084.775199999996</v>
      </c>
      <c r="CJ436" s="408">
        <v>4128.8580639999927</v>
      </c>
      <c r="CK436" s="408"/>
      <c r="CL436" s="408"/>
      <c r="CM436" s="408"/>
      <c r="CN436" s="408"/>
      <c r="CO436" s="408">
        <v>108.32459000000063</v>
      </c>
      <c r="CP436" s="408">
        <v>4191.6108299999969</v>
      </c>
      <c r="CQ436" s="408">
        <v>29</v>
      </c>
      <c r="CR436" s="408">
        <v>4298.5040843130046</v>
      </c>
      <c r="CS436" s="408">
        <v>0</v>
      </c>
      <c r="CT436" s="408">
        <v>0</v>
      </c>
      <c r="CU436" s="408">
        <v>0</v>
      </c>
      <c r="CV436" s="408">
        <v>0</v>
      </c>
      <c r="CW436" s="408">
        <v>0</v>
      </c>
      <c r="CX436" s="408">
        <v>0</v>
      </c>
      <c r="CY436" s="408">
        <v>0</v>
      </c>
      <c r="CZ436" s="408">
        <v>0</v>
      </c>
      <c r="DA436" s="408">
        <v>0</v>
      </c>
      <c r="DB436" s="408">
        <v>0</v>
      </c>
      <c r="DC436" s="408">
        <v>4190.3410686838251</v>
      </c>
      <c r="DD436" s="408">
        <v>0</v>
      </c>
      <c r="DE436" s="408">
        <v>0</v>
      </c>
      <c r="DF436" s="408">
        <v>0</v>
      </c>
      <c r="DG436" s="408">
        <v>310.73981752666987</v>
      </c>
      <c r="DH436" s="408">
        <v>0</v>
      </c>
      <c r="DI436" s="408">
        <v>-171.35125787790821</v>
      </c>
      <c r="DJ436" s="408"/>
      <c r="DK436" s="408">
        <v>0</v>
      </c>
      <c r="DL436" s="408">
        <v>0</v>
      </c>
      <c r="DM436" s="408">
        <v>0</v>
      </c>
      <c r="DN436" s="408">
        <v>0</v>
      </c>
      <c r="DO436" s="408">
        <v>-25.588922298993339</v>
      </c>
      <c r="DP436" s="408">
        <v>-5.636621720586561</v>
      </c>
      <c r="DQ436" s="408">
        <v>0</v>
      </c>
      <c r="DR436" s="408">
        <v>0</v>
      </c>
      <c r="DS436" s="408"/>
      <c r="DT436" s="408"/>
      <c r="DU436" s="408"/>
      <c r="DV436" s="408">
        <v>0</v>
      </c>
      <c r="DW436" s="408">
        <v>0</v>
      </c>
      <c r="DX436" s="408">
        <v>0</v>
      </c>
      <c r="DY436" s="408">
        <v>108.32459000000017</v>
      </c>
      <c r="DZ436" s="408">
        <v>4191.6108299999978</v>
      </c>
      <c r="EA436" s="408">
        <v>0</v>
      </c>
      <c r="EB436" s="408">
        <v>0</v>
      </c>
      <c r="EC436" s="408">
        <v>0</v>
      </c>
      <c r="ED436" s="408">
        <v>0</v>
      </c>
      <c r="EE436" s="408">
        <v>0</v>
      </c>
      <c r="EF436" s="408">
        <v>0</v>
      </c>
      <c r="EG436" s="408">
        <v>0</v>
      </c>
      <c r="EH436" s="408">
        <v>0</v>
      </c>
      <c r="EI436" s="408">
        <v>0</v>
      </c>
      <c r="EJ436" s="408">
        <v>0</v>
      </c>
      <c r="EK436" s="408">
        <v>0</v>
      </c>
      <c r="EL436" s="408">
        <v>0</v>
      </c>
      <c r="EM436" s="408">
        <v>0</v>
      </c>
      <c r="EN436" s="408">
        <v>0</v>
      </c>
      <c r="EO436" s="408">
        <v>0</v>
      </c>
      <c r="EP436" s="408">
        <v>0</v>
      </c>
      <c r="EQ436" s="408">
        <v>0</v>
      </c>
      <c r="ER436" s="408">
        <v>0</v>
      </c>
      <c r="ES436" s="408">
        <v>0</v>
      </c>
      <c r="ET436" s="408">
        <v>0</v>
      </c>
      <c r="EU436" s="408">
        <v>0</v>
      </c>
      <c r="EV436" s="408">
        <v>238</v>
      </c>
      <c r="EW436" s="408">
        <v>0</v>
      </c>
      <c r="EX436" s="408">
        <v>0</v>
      </c>
      <c r="EY436" s="408">
        <v>0</v>
      </c>
      <c r="EZ436" s="408"/>
      <c r="FA436" s="408">
        <v>0</v>
      </c>
      <c r="FB436" s="408"/>
      <c r="FC436" s="408"/>
      <c r="FD436" s="408"/>
      <c r="FE436" s="408"/>
      <c r="FF436" s="408">
        <v>0</v>
      </c>
      <c r="FG436" s="408">
        <v>0</v>
      </c>
      <c r="FH436" s="408">
        <v>0</v>
      </c>
      <c r="FI436" s="408">
        <v>0</v>
      </c>
    </row>
    <row r="437" spans="1:165">
      <c r="A437" s="408">
        <v>441</v>
      </c>
      <c r="B437" s="408" t="s">
        <v>2238</v>
      </c>
      <c r="C437" s="408" t="s">
        <v>2243</v>
      </c>
      <c r="D437" s="408" t="s">
        <v>597</v>
      </c>
      <c r="E437" s="408" t="s">
        <v>974</v>
      </c>
      <c r="F437" s="408" t="s">
        <v>1322</v>
      </c>
      <c r="G437" s="408" t="s">
        <v>1322</v>
      </c>
      <c r="H437" s="408" t="s">
        <v>1322</v>
      </c>
      <c r="I437" s="408" t="s">
        <v>2244</v>
      </c>
      <c r="J437" s="408" t="s">
        <v>2236</v>
      </c>
      <c r="K437" s="824">
        <v>44593</v>
      </c>
      <c r="L437" s="408">
        <v>0</v>
      </c>
      <c r="M437" s="408">
        <v>0</v>
      </c>
      <c r="N437" s="408">
        <v>4.7270000000000003</v>
      </c>
      <c r="O437" s="408">
        <v>4.5379199999999997</v>
      </c>
      <c r="P437" s="408">
        <v>4.7270000000000003</v>
      </c>
      <c r="Q437" s="408">
        <v>4.5379199999999997</v>
      </c>
      <c r="R437" s="408"/>
      <c r="S437" s="408">
        <v>79.7</v>
      </c>
      <c r="T437" s="408">
        <v>209.4</v>
      </c>
      <c r="U437" s="408"/>
      <c r="V437" s="408">
        <v>1366.5757000000001</v>
      </c>
      <c r="W437" s="408">
        <v>1366.5757000000001</v>
      </c>
      <c r="X437" s="408">
        <v>1477.2820400000001</v>
      </c>
      <c r="Y437" s="408">
        <v>0</v>
      </c>
      <c r="Z437" s="408">
        <v>253.07402911876039</v>
      </c>
      <c r="AA437" s="408">
        <v>0</v>
      </c>
      <c r="AB437" s="408">
        <v>0</v>
      </c>
      <c r="AC437" s="408">
        <v>0</v>
      </c>
      <c r="AD437" s="408">
        <v>0</v>
      </c>
      <c r="AE437" s="408">
        <v>0</v>
      </c>
      <c r="AF437" s="408">
        <v>976.8380753541752</v>
      </c>
      <c r="AG437" s="408">
        <v>13.013265385716394</v>
      </c>
      <c r="AH437" s="408">
        <v>0</v>
      </c>
      <c r="AI437" s="408">
        <v>0</v>
      </c>
      <c r="AJ437" s="408">
        <v>0</v>
      </c>
      <c r="AK437" s="408">
        <v>0</v>
      </c>
      <c r="AL437" s="408">
        <v>44.951886976504085</v>
      </c>
      <c r="AM437" s="408"/>
      <c r="AN437" s="408">
        <v>6.2767200463178838</v>
      </c>
      <c r="AO437" s="408">
        <v>0</v>
      </c>
      <c r="AP437" s="408">
        <v>0</v>
      </c>
      <c r="AQ437" s="408">
        <v>0</v>
      </c>
      <c r="AR437" s="408">
        <v>0</v>
      </c>
      <c r="AS437" s="408">
        <v>0</v>
      </c>
      <c r="AT437" s="408">
        <v>0</v>
      </c>
      <c r="AU437" s="408">
        <v>0</v>
      </c>
      <c r="AV437" s="408">
        <v>0</v>
      </c>
      <c r="AW437" s="408">
        <v>0</v>
      </c>
      <c r="AX437" s="408">
        <v>0</v>
      </c>
      <c r="AY437" s="408">
        <v>0</v>
      </c>
      <c r="AZ437" s="408">
        <v>0</v>
      </c>
      <c r="BA437" s="408"/>
      <c r="BB437" s="408">
        <v>0</v>
      </c>
      <c r="BC437" s="408">
        <v>0</v>
      </c>
      <c r="BD437" s="408">
        <v>0</v>
      </c>
      <c r="BE437" s="408">
        <v>0</v>
      </c>
      <c r="BF437" s="408">
        <v>0</v>
      </c>
      <c r="BG437" s="408">
        <v>72.438610679489784</v>
      </c>
      <c r="BH437" s="408">
        <v>0</v>
      </c>
      <c r="BI437" s="408">
        <v>0</v>
      </c>
      <c r="BJ437" s="408">
        <v>0</v>
      </c>
      <c r="BK437" s="408">
        <v>0</v>
      </c>
      <c r="BL437" s="408">
        <v>0</v>
      </c>
      <c r="BM437" s="408"/>
      <c r="BN437" s="408"/>
      <c r="BO437" s="408"/>
      <c r="BP437" s="408"/>
      <c r="BQ437" s="408"/>
      <c r="BR437" s="408">
        <v>59.091281600000187</v>
      </c>
      <c r="BS437" s="408"/>
      <c r="BT437" s="408"/>
      <c r="BU437" s="408"/>
      <c r="BV437" s="408">
        <v>1049.2766860336651</v>
      </c>
      <c r="BW437" s="408"/>
      <c r="BX437" s="408"/>
      <c r="BY437" s="408"/>
      <c r="BZ437" s="408"/>
      <c r="CA437" s="408"/>
      <c r="CB437" s="408"/>
      <c r="CC437" s="408"/>
      <c r="CD437" s="408"/>
      <c r="CE437" s="408"/>
      <c r="CF437" s="408"/>
      <c r="CG437" s="408"/>
      <c r="CH437" s="408"/>
      <c r="CI437" s="408">
        <v>1418.8407999999999</v>
      </c>
      <c r="CJ437" s="408">
        <v>106.89812800000004</v>
      </c>
      <c r="CK437" s="408"/>
      <c r="CL437" s="408"/>
      <c r="CM437" s="408"/>
      <c r="CN437" s="408"/>
      <c r="CO437" s="408">
        <v>2.7889300000000161</v>
      </c>
      <c r="CP437" s="408">
        <v>107.91740999999993</v>
      </c>
      <c r="CQ437" s="408">
        <v>29</v>
      </c>
      <c r="CR437" s="408">
        <v>110.66948876393667</v>
      </c>
      <c r="CS437" s="408">
        <v>0</v>
      </c>
      <c r="CT437" s="408">
        <v>0</v>
      </c>
      <c r="CU437" s="408">
        <v>0</v>
      </c>
      <c r="CV437" s="408">
        <v>0</v>
      </c>
      <c r="CW437" s="408">
        <v>0</v>
      </c>
      <c r="CX437" s="408">
        <v>0</v>
      </c>
      <c r="CY437" s="408">
        <v>0</v>
      </c>
      <c r="CZ437" s="408">
        <v>0</v>
      </c>
      <c r="DA437" s="408">
        <v>0</v>
      </c>
      <c r="DB437" s="408">
        <v>0</v>
      </c>
      <c r="DC437" s="408">
        <v>107.88471866530369</v>
      </c>
      <c r="DD437" s="408">
        <v>0</v>
      </c>
      <c r="DE437" s="408">
        <v>0</v>
      </c>
      <c r="DF437" s="408">
        <v>0</v>
      </c>
      <c r="DG437" s="408">
        <v>8.0003219887068582</v>
      </c>
      <c r="DH437" s="408">
        <v>0</v>
      </c>
      <c r="DI437" s="408">
        <v>-4.4116175619352305</v>
      </c>
      <c r="DJ437" s="408"/>
      <c r="DK437" s="408">
        <v>0</v>
      </c>
      <c r="DL437" s="408">
        <v>0</v>
      </c>
      <c r="DM437" s="408">
        <v>0</v>
      </c>
      <c r="DN437" s="408">
        <v>0</v>
      </c>
      <c r="DO437" s="408">
        <v>-0.65881359963911734</v>
      </c>
      <c r="DP437" s="408">
        <v>-0.14512072849936963</v>
      </c>
      <c r="DQ437" s="408">
        <v>0</v>
      </c>
      <c r="DR437" s="408">
        <v>0</v>
      </c>
      <c r="DS437" s="408"/>
      <c r="DT437" s="408"/>
      <c r="DU437" s="408"/>
      <c r="DV437" s="408">
        <v>0</v>
      </c>
      <c r="DW437" s="408">
        <v>0</v>
      </c>
      <c r="DX437" s="408">
        <v>0</v>
      </c>
      <c r="DY437" s="408">
        <v>2.7889299999999935</v>
      </c>
      <c r="DZ437" s="408">
        <v>107.91741000000002</v>
      </c>
      <c r="EA437" s="408">
        <v>0</v>
      </c>
      <c r="EB437" s="408">
        <v>0</v>
      </c>
      <c r="EC437" s="408">
        <v>0</v>
      </c>
      <c r="ED437" s="408">
        <v>0</v>
      </c>
      <c r="EE437" s="408">
        <v>0</v>
      </c>
      <c r="EF437" s="408">
        <v>0</v>
      </c>
      <c r="EG437" s="408">
        <v>0</v>
      </c>
      <c r="EH437" s="408">
        <v>0</v>
      </c>
      <c r="EI437" s="408">
        <v>0</v>
      </c>
      <c r="EJ437" s="408">
        <v>0</v>
      </c>
      <c r="EK437" s="408">
        <v>0</v>
      </c>
      <c r="EL437" s="408">
        <v>0</v>
      </c>
      <c r="EM437" s="408">
        <v>0</v>
      </c>
      <c r="EN437" s="408">
        <v>0</v>
      </c>
      <c r="EO437" s="408">
        <v>0</v>
      </c>
      <c r="EP437" s="408">
        <v>0</v>
      </c>
      <c r="EQ437" s="408">
        <v>0</v>
      </c>
      <c r="ER437" s="408">
        <v>0</v>
      </c>
      <c r="ES437" s="408">
        <v>0</v>
      </c>
      <c r="ET437" s="408">
        <v>0</v>
      </c>
      <c r="EU437" s="408">
        <v>0</v>
      </c>
      <c r="EV437" s="408">
        <v>238</v>
      </c>
      <c r="EW437" s="408">
        <v>0</v>
      </c>
      <c r="EX437" s="408">
        <v>0</v>
      </c>
      <c r="EY437" s="408">
        <v>0</v>
      </c>
      <c r="EZ437" s="408"/>
      <c r="FA437" s="408">
        <v>0</v>
      </c>
      <c r="FB437" s="408"/>
      <c r="FC437" s="408"/>
      <c r="FD437" s="408"/>
      <c r="FE437" s="408"/>
      <c r="FF437" s="408">
        <v>0</v>
      </c>
      <c r="FG437" s="408">
        <v>0</v>
      </c>
      <c r="FH437" s="408">
        <v>0</v>
      </c>
      <c r="FI437" s="408">
        <v>0</v>
      </c>
    </row>
    <row r="438" spans="1:165">
      <c r="A438" s="408">
        <v>442</v>
      </c>
      <c r="B438" s="408" t="s">
        <v>1036</v>
      </c>
      <c r="C438" s="408" t="s">
        <v>2243</v>
      </c>
      <c r="D438" s="408" t="s">
        <v>597</v>
      </c>
      <c r="E438" s="408" t="s">
        <v>974</v>
      </c>
      <c r="F438" s="408" t="s">
        <v>1322</v>
      </c>
      <c r="G438" s="408" t="s">
        <v>1322</v>
      </c>
      <c r="H438" s="408" t="s">
        <v>1322</v>
      </c>
      <c r="I438" s="408" t="s">
        <v>1322</v>
      </c>
      <c r="J438" s="408" t="s">
        <v>2236</v>
      </c>
      <c r="K438" s="824">
        <v>44593</v>
      </c>
      <c r="L438" s="408">
        <v>1634</v>
      </c>
      <c r="M438" s="408">
        <v>1568.64</v>
      </c>
      <c r="N438" s="408">
        <v>0</v>
      </c>
      <c r="O438" s="408">
        <v>0</v>
      </c>
      <c r="P438" s="408">
        <v>0</v>
      </c>
      <c r="Q438" s="408">
        <v>0</v>
      </c>
      <c r="R438" s="408">
        <v>44.35</v>
      </c>
      <c r="S438" s="408"/>
      <c r="T438" s="408"/>
      <c r="U438" s="408">
        <v>72467.900000000009</v>
      </c>
      <c r="V438" s="408"/>
      <c r="W438" s="408">
        <v>72467.900000000009</v>
      </c>
      <c r="X438" s="408">
        <v>47336.979999999996</v>
      </c>
      <c r="Y438" s="408">
        <v>0</v>
      </c>
      <c r="Z438" s="408">
        <v>0</v>
      </c>
      <c r="AA438" s="408">
        <v>0</v>
      </c>
      <c r="AB438" s="408">
        <v>0</v>
      </c>
      <c r="AC438" s="408">
        <v>0</v>
      </c>
      <c r="AD438" s="408">
        <v>21441.452066331378</v>
      </c>
      <c r="AE438" s="408">
        <v>46924.96083090896</v>
      </c>
      <c r="AF438" s="408"/>
      <c r="AG438" s="408"/>
      <c r="AH438" s="408"/>
      <c r="AI438" s="408">
        <v>0</v>
      </c>
      <c r="AJ438" s="408">
        <v>0</v>
      </c>
      <c r="AK438" s="408">
        <v>0</v>
      </c>
      <c r="AL438" s="408">
        <v>0</v>
      </c>
      <c r="AM438" s="408"/>
      <c r="AN438" s="408">
        <v>0</v>
      </c>
      <c r="AO438" s="408">
        <v>1620.47161017402</v>
      </c>
      <c r="AP438" s="408">
        <v>2479.2541368289171</v>
      </c>
      <c r="AQ438" s="408">
        <v>0</v>
      </c>
      <c r="AR438" s="408">
        <v>0</v>
      </c>
      <c r="AS438" s="408"/>
      <c r="AT438" s="408"/>
      <c r="AU438" s="408">
        <v>0</v>
      </c>
      <c r="AV438" s="408">
        <v>0</v>
      </c>
      <c r="AW438" s="408">
        <v>0</v>
      </c>
      <c r="AX438" s="408"/>
      <c r="AY438" s="408"/>
      <c r="AZ438" s="408">
        <v>0</v>
      </c>
      <c r="BA438" s="408"/>
      <c r="BB438" s="408">
        <v>0</v>
      </c>
      <c r="BC438" s="408">
        <v>0</v>
      </c>
      <c r="BD438" s="408">
        <v>0</v>
      </c>
      <c r="BE438" s="408">
        <v>0</v>
      </c>
      <c r="BF438" s="408"/>
      <c r="BG438" s="408">
        <v>0</v>
      </c>
      <c r="BH438" s="408">
        <v>0</v>
      </c>
      <c r="BI438" s="408">
        <v>369.96</v>
      </c>
      <c r="BJ438" s="408">
        <v>1702.17</v>
      </c>
      <c r="BK438" s="408">
        <v>105.95</v>
      </c>
      <c r="BL438" s="408">
        <v>15</v>
      </c>
      <c r="BM438" s="408"/>
      <c r="BN438" s="408"/>
      <c r="BO438" s="408"/>
      <c r="BP438" s="408"/>
      <c r="BQ438" s="408"/>
      <c r="BR438" s="408">
        <v>1893.479199999997</v>
      </c>
      <c r="BS438" s="408"/>
      <c r="BT438" s="408"/>
      <c r="BU438" s="408"/>
      <c r="BV438" s="408">
        <v>0</v>
      </c>
      <c r="BW438" s="408"/>
      <c r="BX438" s="408"/>
      <c r="BY438" s="408"/>
      <c r="BZ438" s="408"/>
      <c r="CA438" s="408"/>
      <c r="CB438" s="408"/>
      <c r="CC438" s="408"/>
      <c r="CD438" s="408"/>
      <c r="CE438" s="408"/>
      <c r="CF438" s="408"/>
      <c r="CG438" s="408"/>
      <c r="CH438" s="408"/>
      <c r="CI438" s="408">
        <v>45443.500800000002</v>
      </c>
      <c r="CJ438" s="408">
        <v>-24125.713199999991</v>
      </c>
      <c r="CK438" s="408"/>
      <c r="CL438" s="408"/>
      <c r="CM438" s="408"/>
      <c r="CN438" s="408"/>
      <c r="CO438" s="408">
        <v>-25130.920000000006</v>
      </c>
      <c r="CP438" s="408">
        <v>0</v>
      </c>
      <c r="CQ438" s="408">
        <v>29</v>
      </c>
      <c r="CR438" s="408">
        <v>1197.8712807105185</v>
      </c>
      <c r="CS438" s="408">
        <v>195.6428278654173</v>
      </c>
      <c r="CT438" s="408">
        <v>299.32538606718344</v>
      </c>
      <c r="CU438" s="408">
        <v>0</v>
      </c>
      <c r="CV438" s="408">
        <v>0</v>
      </c>
      <c r="CW438" s="408"/>
      <c r="CX438" s="408"/>
      <c r="CY438" s="408"/>
      <c r="CZ438" s="408">
        <v>702.90306677791887</v>
      </c>
      <c r="DA438" s="408">
        <v>0</v>
      </c>
      <c r="DB438" s="408">
        <v>0</v>
      </c>
      <c r="DC438" s="408"/>
      <c r="DD438" s="408"/>
      <c r="DE438" s="408">
        <v>0</v>
      </c>
      <c r="DF438" s="408">
        <v>0</v>
      </c>
      <c r="DG438" s="408">
        <v>0</v>
      </c>
      <c r="DH438" s="408">
        <v>0</v>
      </c>
      <c r="DI438" s="408">
        <v>0</v>
      </c>
      <c r="DJ438" s="408"/>
      <c r="DK438" s="408">
        <v>0</v>
      </c>
      <c r="DL438" s="408">
        <v>0</v>
      </c>
      <c r="DM438" s="408"/>
      <c r="DN438" s="408">
        <v>0</v>
      </c>
      <c r="DO438" s="408">
        <v>0</v>
      </c>
      <c r="DP438" s="408">
        <v>0</v>
      </c>
      <c r="DQ438" s="408">
        <v>0</v>
      </c>
      <c r="DR438" s="408">
        <v>0</v>
      </c>
      <c r="DS438" s="408"/>
      <c r="DT438" s="408"/>
      <c r="DU438" s="408">
        <v>46924.96083090896</v>
      </c>
      <c r="DV438" s="408"/>
      <c r="DW438" s="408">
        <v>0</v>
      </c>
      <c r="DX438" s="408">
        <v>0</v>
      </c>
      <c r="DY438" s="408">
        <v>-25130.920000000013</v>
      </c>
      <c r="DZ438" s="408"/>
      <c r="EA438" s="408">
        <v>0</v>
      </c>
      <c r="EB438" s="408"/>
      <c r="EC438" s="408">
        <v>-26324.419661283322</v>
      </c>
      <c r="ED438" s="408"/>
      <c r="EE438" s="408">
        <v>0</v>
      </c>
      <c r="EF438" s="408">
        <v>0</v>
      </c>
      <c r="EG438" s="408"/>
      <c r="EH438" s="408">
        <v>0</v>
      </c>
      <c r="EI438" s="408">
        <v>0</v>
      </c>
      <c r="EJ438" s="408">
        <v>0</v>
      </c>
      <c r="EK438" s="408">
        <v>0</v>
      </c>
      <c r="EL438" s="408">
        <v>0</v>
      </c>
      <c r="EM438" s="408"/>
      <c r="EN438" s="408"/>
      <c r="EO438" s="408">
        <v>0</v>
      </c>
      <c r="EP438" s="408">
        <v>0</v>
      </c>
      <c r="EQ438" s="408"/>
      <c r="ER438" s="408">
        <v>0</v>
      </c>
      <c r="ES438" s="408"/>
      <c r="ET438" s="408">
        <v>0</v>
      </c>
      <c r="EU438" s="408"/>
      <c r="EV438" s="408">
        <v>238</v>
      </c>
      <c r="EW438" s="408"/>
      <c r="EX438" s="408"/>
      <c r="EY438" s="408"/>
      <c r="EZ438" s="408"/>
      <c r="FA438" s="408">
        <v>0</v>
      </c>
      <c r="FB438" s="408"/>
      <c r="FC438" s="408"/>
      <c r="FD438" s="408"/>
      <c r="FE438" s="408"/>
      <c r="FF438" s="408">
        <v>0</v>
      </c>
      <c r="FG438" s="408">
        <v>0</v>
      </c>
      <c r="FH438" s="408">
        <v>0</v>
      </c>
      <c r="FI438" s="408">
        <v>0</v>
      </c>
    </row>
    <row r="439" spans="1:165">
      <c r="A439" s="408">
        <v>443</v>
      </c>
      <c r="B439" s="408" t="s">
        <v>2238</v>
      </c>
      <c r="C439" s="408" t="s">
        <v>2243</v>
      </c>
      <c r="D439" s="408" t="s">
        <v>597</v>
      </c>
      <c r="E439" s="408" t="s">
        <v>974</v>
      </c>
      <c r="F439" s="408" t="s">
        <v>1322</v>
      </c>
      <c r="G439" s="408" t="s">
        <v>1322</v>
      </c>
      <c r="H439" s="408" t="s">
        <v>1322</v>
      </c>
      <c r="I439" s="408" t="s">
        <v>1322</v>
      </c>
      <c r="J439" s="408" t="s">
        <v>2236</v>
      </c>
      <c r="K439" s="824">
        <v>44593</v>
      </c>
      <c r="L439" s="408">
        <v>604</v>
      </c>
      <c r="M439" s="408">
        <v>579.84</v>
      </c>
      <c r="N439" s="408">
        <v>0</v>
      </c>
      <c r="O439" s="408">
        <v>0</v>
      </c>
      <c r="P439" s="408">
        <v>0</v>
      </c>
      <c r="Q439" s="408">
        <v>0</v>
      </c>
      <c r="R439" s="408">
        <v>44.35</v>
      </c>
      <c r="S439" s="408"/>
      <c r="T439" s="408"/>
      <c r="U439" s="408">
        <v>26787.4</v>
      </c>
      <c r="V439" s="408"/>
      <c r="W439" s="408">
        <v>26787.4</v>
      </c>
      <c r="X439" s="408">
        <v>17497.88</v>
      </c>
      <c r="Y439" s="408">
        <v>0</v>
      </c>
      <c r="Z439" s="408">
        <v>0</v>
      </c>
      <c r="AA439" s="408">
        <v>0</v>
      </c>
      <c r="AB439" s="408">
        <v>0</v>
      </c>
      <c r="AC439" s="408">
        <v>0</v>
      </c>
      <c r="AD439" s="408">
        <v>7925.7264676035211</v>
      </c>
      <c r="AE439" s="408">
        <v>17345.579156590582</v>
      </c>
      <c r="AF439" s="408"/>
      <c r="AG439" s="408"/>
      <c r="AH439" s="408"/>
      <c r="AI439" s="408">
        <v>0</v>
      </c>
      <c r="AJ439" s="408">
        <v>0</v>
      </c>
      <c r="AK439" s="408">
        <v>0</v>
      </c>
      <c r="AL439" s="408">
        <v>0</v>
      </c>
      <c r="AM439" s="408"/>
      <c r="AN439" s="408">
        <v>0</v>
      </c>
      <c r="AO439" s="408">
        <v>598.99929776322404</v>
      </c>
      <c r="AP439" s="408">
        <v>916.44400161852263</v>
      </c>
      <c r="AQ439" s="408">
        <v>0</v>
      </c>
      <c r="AR439" s="408">
        <v>0</v>
      </c>
      <c r="AS439" s="408"/>
      <c r="AT439" s="408"/>
      <c r="AU439" s="408">
        <v>0</v>
      </c>
      <c r="AV439" s="408">
        <v>0</v>
      </c>
      <c r="AW439" s="408">
        <v>0</v>
      </c>
      <c r="AX439" s="408"/>
      <c r="AY439" s="408"/>
      <c r="AZ439" s="408">
        <v>0</v>
      </c>
      <c r="BA439" s="408"/>
      <c r="BB439" s="408">
        <v>0</v>
      </c>
      <c r="BC439" s="408">
        <v>0</v>
      </c>
      <c r="BD439" s="408">
        <v>0</v>
      </c>
      <c r="BE439" s="408">
        <v>0</v>
      </c>
      <c r="BF439" s="408"/>
      <c r="BG439" s="408">
        <v>0</v>
      </c>
      <c r="BH439" s="408">
        <v>0</v>
      </c>
      <c r="BI439" s="408">
        <v>54.23</v>
      </c>
      <c r="BJ439" s="408">
        <v>249.68</v>
      </c>
      <c r="BK439" s="408">
        <v>26.75</v>
      </c>
      <c r="BL439" s="408">
        <v>9</v>
      </c>
      <c r="BM439" s="408"/>
      <c r="BN439" s="408"/>
      <c r="BO439" s="408"/>
      <c r="BP439" s="408"/>
      <c r="BQ439" s="408"/>
      <c r="BR439" s="408">
        <v>699.915199999999</v>
      </c>
      <c r="BS439" s="408"/>
      <c r="BT439" s="408"/>
      <c r="BU439" s="408"/>
      <c r="BV439" s="408">
        <v>0</v>
      </c>
      <c r="BW439" s="408"/>
      <c r="BX439" s="408"/>
      <c r="BY439" s="408"/>
      <c r="BZ439" s="408"/>
      <c r="CA439" s="408"/>
      <c r="CB439" s="408"/>
      <c r="CC439" s="408"/>
      <c r="CD439" s="408"/>
      <c r="CE439" s="408"/>
      <c r="CF439" s="408"/>
      <c r="CG439" s="408"/>
      <c r="CH439" s="408"/>
      <c r="CI439" s="408">
        <v>16797.964800000002</v>
      </c>
      <c r="CJ439" s="408">
        <v>-8917.9691999999959</v>
      </c>
      <c r="CK439" s="408"/>
      <c r="CL439" s="408"/>
      <c r="CM439" s="408"/>
      <c r="CN439" s="408"/>
      <c r="CO439" s="408">
        <v>-9289.5200000000023</v>
      </c>
      <c r="CP439" s="408">
        <v>0</v>
      </c>
      <c r="CQ439" s="408">
        <v>29</v>
      </c>
      <c r="CR439" s="408">
        <v>442.78718087463312</v>
      </c>
      <c r="CS439" s="408">
        <v>72.318401487583856</v>
      </c>
      <c r="CT439" s="408">
        <v>110.64414515580097</v>
      </c>
      <c r="CU439" s="408">
        <v>0</v>
      </c>
      <c r="CV439" s="408">
        <v>0</v>
      </c>
      <c r="CW439" s="408"/>
      <c r="CX439" s="408"/>
      <c r="CY439" s="408"/>
      <c r="CZ439" s="408">
        <v>259.82463423124955</v>
      </c>
      <c r="DA439" s="408">
        <v>0</v>
      </c>
      <c r="DB439" s="408">
        <v>0</v>
      </c>
      <c r="DC439" s="408"/>
      <c r="DD439" s="408"/>
      <c r="DE439" s="408">
        <v>0</v>
      </c>
      <c r="DF439" s="408">
        <v>0</v>
      </c>
      <c r="DG439" s="408">
        <v>0</v>
      </c>
      <c r="DH439" s="408">
        <v>0</v>
      </c>
      <c r="DI439" s="408">
        <v>0</v>
      </c>
      <c r="DJ439" s="408"/>
      <c r="DK439" s="408">
        <v>0</v>
      </c>
      <c r="DL439" s="408">
        <v>0</v>
      </c>
      <c r="DM439" s="408"/>
      <c r="DN439" s="408">
        <v>0</v>
      </c>
      <c r="DO439" s="408">
        <v>0</v>
      </c>
      <c r="DP439" s="408">
        <v>0</v>
      </c>
      <c r="DQ439" s="408">
        <v>0</v>
      </c>
      <c r="DR439" s="408">
        <v>0</v>
      </c>
      <c r="DS439" s="408"/>
      <c r="DT439" s="408"/>
      <c r="DU439" s="408">
        <v>17345.579156590582</v>
      </c>
      <c r="DV439" s="408"/>
      <c r="DW439" s="408">
        <v>0</v>
      </c>
      <c r="DX439" s="408">
        <v>0</v>
      </c>
      <c r="DY439" s="408">
        <v>-9289.52</v>
      </c>
      <c r="DZ439" s="408"/>
      <c r="EA439" s="408">
        <v>0</v>
      </c>
      <c r="EB439" s="408"/>
      <c r="EC439" s="408">
        <v>-9730.6912334241897</v>
      </c>
      <c r="ED439" s="408"/>
      <c r="EE439" s="408">
        <v>0</v>
      </c>
      <c r="EF439" s="408">
        <v>0</v>
      </c>
      <c r="EG439" s="408"/>
      <c r="EH439" s="408">
        <v>0</v>
      </c>
      <c r="EI439" s="408">
        <v>0</v>
      </c>
      <c r="EJ439" s="408">
        <v>0</v>
      </c>
      <c r="EK439" s="408">
        <v>0</v>
      </c>
      <c r="EL439" s="408">
        <v>0</v>
      </c>
      <c r="EM439" s="408"/>
      <c r="EN439" s="408"/>
      <c r="EO439" s="408">
        <v>0</v>
      </c>
      <c r="EP439" s="408">
        <v>0</v>
      </c>
      <c r="EQ439" s="408"/>
      <c r="ER439" s="408">
        <v>0</v>
      </c>
      <c r="ES439" s="408"/>
      <c r="ET439" s="408">
        <v>0</v>
      </c>
      <c r="EU439" s="408"/>
      <c r="EV439" s="408">
        <v>238</v>
      </c>
      <c r="EW439" s="408"/>
      <c r="EX439" s="408"/>
      <c r="EY439" s="408"/>
      <c r="EZ439" s="408"/>
      <c r="FA439" s="408">
        <v>0</v>
      </c>
      <c r="FB439" s="408"/>
      <c r="FC439" s="408"/>
      <c r="FD439" s="408"/>
      <c r="FE439" s="408"/>
      <c r="FF439" s="408">
        <v>0</v>
      </c>
      <c r="FG439" s="408">
        <v>0</v>
      </c>
      <c r="FH439" s="408">
        <v>0</v>
      </c>
      <c r="FI439" s="408">
        <v>0</v>
      </c>
    </row>
    <row r="440" spans="1:165">
      <c r="A440" s="408">
        <v>444</v>
      </c>
      <c r="B440" s="408" t="s">
        <v>1036</v>
      </c>
      <c r="C440" s="408" t="s">
        <v>2235</v>
      </c>
      <c r="D440" s="408" t="s">
        <v>1958</v>
      </c>
      <c r="E440" s="408" t="s">
        <v>2246</v>
      </c>
      <c r="F440" s="408" t="s">
        <v>1322</v>
      </c>
      <c r="G440" s="408" t="s">
        <v>1322</v>
      </c>
      <c r="H440" s="408" t="s">
        <v>1322</v>
      </c>
      <c r="I440" s="408" t="s">
        <v>1322</v>
      </c>
      <c r="J440" s="408" t="s">
        <v>2236</v>
      </c>
      <c r="K440" s="824">
        <v>44593</v>
      </c>
      <c r="L440" s="408">
        <v>0</v>
      </c>
      <c r="M440" s="408">
        <v>0</v>
      </c>
      <c r="N440" s="408">
        <v>342.98</v>
      </c>
      <c r="O440" s="408">
        <v>342.98</v>
      </c>
      <c r="P440" s="408">
        <v>342.98</v>
      </c>
      <c r="Q440" s="408">
        <v>342.98</v>
      </c>
      <c r="R440" s="408"/>
      <c r="S440" s="408">
        <v>581.32000000000005</v>
      </c>
      <c r="T440" s="408">
        <v>209.4</v>
      </c>
      <c r="U440" s="408"/>
      <c r="V440" s="408">
        <v>271201.14560000005</v>
      </c>
      <c r="W440" s="408">
        <v>271201.14560000005</v>
      </c>
      <c r="X440" s="408">
        <v>207183.92859999998</v>
      </c>
      <c r="Y440" s="408">
        <v>0</v>
      </c>
      <c r="Z440" s="408">
        <v>21106.271506350746</v>
      </c>
      <c r="AA440" s="408">
        <v>0</v>
      </c>
      <c r="AB440" s="408">
        <v>0</v>
      </c>
      <c r="AC440" s="408">
        <v>0</v>
      </c>
      <c r="AD440" s="408">
        <v>25446.078842068458</v>
      </c>
      <c r="AE440" s="408">
        <v>132186.31387196394</v>
      </c>
      <c r="AF440" s="408">
        <v>70877.072791405764</v>
      </c>
      <c r="AG440" s="408">
        <v>944.21192341717972</v>
      </c>
      <c r="AH440" s="408">
        <v>0</v>
      </c>
      <c r="AI440" s="408">
        <v>0</v>
      </c>
      <c r="AJ440" s="408">
        <v>0</v>
      </c>
      <c r="AK440" s="408">
        <v>0</v>
      </c>
      <c r="AL440" s="408">
        <v>3261.6031722448424</v>
      </c>
      <c r="AM440" s="408"/>
      <c r="AN440" s="408">
        <v>625.24030104298583</v>
      </c>
      <c r="AO440" s="408">
        <v>1954.8079162301476</v>
      </c>
      <c r="AP440" s="408">
        <v>2944.5484560805671</v>
      </c>
      <c r="AQ440" s="408">
        <v>0</v>
      </c>
      <c r="AR440" s="408">
        <v>0</v>
      </c>
      <c r="AS440" s="408">
        <v>0</v>
      </c>
      <c r="AT440" s="408">
        <v>0</v>
      </c>
      <c r="AU440" s="408">
        <v>0</v>
      </c>
      <c r="AV440" s="408">
        <v>0</v>
      </c>
      <c r="AW440" s="408">
        <v>0</v>
      </c>
      <c r="AX440" s="408">
        <v>0</v>
      </c>
      <c r="AY440" s="408">
        <v>0</v>
      </c>
      <c r="AZ440" s="408">
        <v>0</v>
      </c>
      <c r="BA440" s="408"/>
      <c r="BB440" s="408">
        <v>0</v>
      </c>
      <c r="BC440" s="408">
        <v>0</v>
      </c>
      <c r="BD440" s="408">
        <v>0</v>
      </c>
      <c r="BE440" s="408">
        <v>0</v>
      </c>
      <c r="BF440" s="408">
        <v>0</v>
      </c>
      <c r="BG440" s="408">
        <v>11857.601780232395</v>
      </c>
      <c r="BH440" s="408">
        <v>0</v>
      </c>
      <c r="BI440" s="408">
        <v>646.02</v>
      </c>
      <c r="BJ440" s="408">
        <v>2984.34</v>
      </c>
      <c r="BK440" s="408">
        <v>76714.02</v>
      </c>
      <c r="BL440" s="408">
        <v>483</v>
      </c>
      <c r="BM440" s="408"/>
      <c r="BN440" s="408"/>
      <c r="BO440" s="408"/>
      <c r="BP440" s="408"/>
      <c r="BQ440" s="408"/>
      <c r="BR440" s="408"/>
      <c r="BS440" s="408"/>
      <c r="BT440" s="408"/>
      <c r="BU440" s="408"/>
      <c r="BV440" s="408">
        <v>82734.674571638156</v>
      </c>
      <c r="BW440" s="408"/>
      <c r="BX440" s="408"/>
      <c r="BY440" s="408"/>
      <c r="BZ440" s="408"/>
      <c r="CA440" s="408"/>
      <c r="CB440" s="408"/>
      <c r="CC440" s="408"/>
      <c r="CD440" s="408"/>
      <c r="CE440" s="408"/>
      <c r="CF440" s="408"/>
      <c r="CG440" s="408"/>
      <c r="CH440" s="408"/>
      <c r="CI440" s="408">
        <v>207183.92859999998</v>
      </c>
      <c r="CJ440" s="408">
        <v>-64017.24700000009</v>
      </c>
      <c r="CK440" s="408"/>
      <c r="CL440" s="408"/>
      <c r="CM440" s="408"/>
      <c r="CN440" s="408"/>
      <c r="CO440" s="408">
        <v>-71847.450400000031</v>
      </c>
      <c r="CP440" s="408">
        <v>7830.2333999999946</v>
      </c>
      <c r="CQ440" s="408">
        <v>29</v>
      </c>
      <c r="CR440" s="408">
        <v>10132.956775806844</v>
      </c>
      <c r="CS440" s="408">
        <v>236.00792896575672</v>
      </c>
      <c r="CT440" s="408">
        <v>355.50131401097906</v>
      </c>
      <c r="CU440" s="408">
        <v>0</v>
      </c>
      <c r="CV440" s="408">
        <v>0</v>
      </c>
      <c r="CW440" s="408">
        <v>0</v>
      </c>
      <c r="CX440" s="408">
        <v>0</v>
      </c>
      <c r="CY440" s="408">
        <v>0</v>
      </c>
      <c r="CZ440" s="408">
        <v>834.18449460550983</v>
      </c>
      <c r="DA440" s="408">
        <v>0</v>
      </c>
      <c r="DB440" s="408">
        <v>0</v>
      </c>
      <c r="DC440" s="408">
        <v>7827.8613936589391</v>
      </c>
      <c r="DD440" s="408">
        <v>0</v>
      </c>
      <c r="DE440" s="408">
        <v>0</v>
      </c>
      <c r="DF440" s="408">
        <v>0</v>
      </c>
      <c r="DG440" s="408">
        <v>1309.586577736236</v>
      </c>
      <c r="DH440" s="408">
        <v>0</v>
      </c>
      <c r="DI440" s="408">
        <v>-367.9271174866044</v>
      </c>
      <c r="DJ440" s="408"/>
      <c r="DK440" s="408">
        <v>0</v>
      </c>
      <c r="DL440" s="408">
        <v>0</v>
      </c>
      <c r="DM440" s="408">
        <v>0</v>
      </c>
      <c r="DN440" s="408">
        <v>0</v>
      </c>
      <c r="DO440" s="408">
        <v>-47.801964968102766</v>
      </c>
      <c r="DP440" s="408">
        <v>-14.455850715809447</v>
      </c>
      <c r="DQ440" s="408">
        <v>0</v>
      </c>
      <c r="DR440" s="408">
        <v>0</v>
      </c>
      <c r="DS440" s="408"/>
      <c r="DT440" s="408"/>
      <c r="DU440" s="408"/>
      <c r="DV440" s="408">
        <v>132186.31387196394</v>
      </c>
      <c r="DW440" s="408">
        <v>0</v>
      </c>
      <c r="DX440" s="408">
        <v>0</v>
      </c>
      <c r="DY440" s="408">
        <v>-71847.450400000031</v>
      </c>
      <c r="DZ440" s="408">
        <v>7830.2333999999973</v>
      </c>
      <c r="EA440" s="408">
        <v>0</v>
      </c>
      <c r="EB440" s="408">
        <v>0</v>
      </c>
      <c r="EC440" s="408">
        <v>-74155.160456769838</v>
      </c>
      <c r="ED440" s="408">
        <v>0</v>
      </c>
      <c r="EE440" s="408">
        <v>0</v>
      </c>
      <c r="EF440" s="408">
        <v>0</v>
      </c>
      <c r="EG440" s="408">
        <v>0</v>
      </c>
      <c r="EH440" s="408">
        <v>0</v>
      </c>
      <c r="EI440" s="408">
        <v>0</v>
      </c>
      <c r="EJ440" s="408">
        <v>0</v>
      </c>
      <c r="EK440" s="408">
        <v>0</v>
      </c>
      <c r="EL440" s="408">
        <v>0</v>
      </c>
      <c r="EM440" s="408">
        <v>0</v>
      </c>
      <c r="EN440" s="408">
        <v>0</v>
      </c>
      <c r="EO440" s="408">
        <v>0</v>
      </c>
      <c r="EP440" s="408">
        <v>0</v>
      </c>
      <c r="EQ440" s="408">
        <v>0</v>
      </c>
      <c r="ER440" s="408">
        <v>0</v>
      </c>
      <c r="ES440" s="408">
        <v>0</v>
      </c>
      <c r="ET440" s="408">
        <v>0</v>
      </c>
      <c r="EU440" s="408">
        <v>0</v>
      </c>
      <c r="EV440" s="408">
        <v>238</v>
      </c>
      <c r="EW440" s="408">
        <v>0</v>
      </c>
      <c r="EX440" s="408">
        <v>0</v>
      </c>
      <c r="EY440" s="408">
        <v>0</v>
      </c>
      <c r="EZ440" s="408"/>
      <c r="FA440" s="408">
        <v>0</v>
      </c>
      <c r="FB440" s="408"/>
      <c r="FC440" s="408"/>
      <c r="FD440" s="408"/>
      <c r="FE440" s="408"/>
      <c r="FF440" s="408">
        <v>0</v>
      </c>
      <c r="FG440" s="408">
        <v>0</v>
      </c>
      <c r="FH440" s="408">
        <v>0</v>
      </c>
      <c r="FI440" s="408">
        <v>0</v>
      </c>
    </row>
    <row r="441" spans="1:165">
      <c r="A441" s="408">
        <v>445</v>
      </c>
      <c r="B441" s="408" t="s">
        <v>2238</v>
      </c>
      <c r="C441" s="408" t="s">
        <v>2235</v>
      </c>
      <c r="D441" s="408" t="s">
        <v>1958</v>
      </c>
      <c r="E441" s="408" t="s">
        <v>2246</v>
      </c>
      <c r="F441" s="408" t="s">
        <v>1322</v>
      </c>
      <c r="G441" s="408" t="s">
        <v>1322</v>
      </c>
      <c r="H441" s="408" t="s">
        <v>1322</v>
      </c>
      <c r="I441" s="408" t="s">
        <v>1322</v>
      </c>
      <c r="J441" s="408" t="s">
        <v>2236</v>
      </c>
      <c r="K441" s="824">
        <v>44593</v>
      </c>
      <c r="L441" s="408">
        <v>0</v>
      </c>
      <c r="M441" s="408">
        <v>0</v>
      </c>
      <c r="N441" s="408">
        <v>8.56</v>
      </c>
      <c r="O441" s="408">
        <v>8.56</v>
      </c>
      <c r="P441" s="408">
        <v>8.56</v>
      </c>
      <c r="Q441" s="408">
        <v>8.56</v>
      </c>
      <c r="R441" s="408"/>
      <c r="S441" s="408">
        <v>581.32000000000005</v>
      </c>
      <c r="T441" s="408">
        <v>209.4</v>
      </c>
      <c r="U441" s="408"/>
      <c r="V441" s="408">
        <v>6768.5632000000005</v>
      </c>
      <c r="W441" s="408">
        <v>6768.5632000000005</v>
      </c>
      <c r="X441" s="408">
        <v>5170.8392000000003</v>
      </c>
      <c r="Y441" s="408">
        <v>0</v>
      </c>
      <c r="Z441" s="408">
        <v>526.76448800035689</v>
      </c>
      <c r="AA441" s="408">
        <v>0</v>
      </c>
      <c r="AB441" s="408">
        <v>0</v>
      </c>
      <c r="AC441" s="408">
        <v>0</v>
      </c>
      <c r="AD441" s="408">
        <v>635.07619945217209</v>
      </c>
      <c r="AE441" s="408">
        <v>3299.0694697766967</v>
      </c>
      <c r="AF441" s="408">
        <v>1768.930383971174</v>
      </c>
      <c r="AG441" s="408">
        <v>23.56538009344877</v>
      </c>
      <c r="AH441" s="408">
        <v>0</v>
      </c>
      <c r="AI441" s="408">
        <v>0</v>
      </c>
      <c r="AJ441" s="408">
        <v>0</v>
      </c>
      <c r="AK441" s="408">
        <v>0</v>
      </c>
      <c r="AL441" s="408">
        <v>81.402190082266756</v>
      </c>
      <c r="AM441" s="408"/>
      <c r="AN441" s="408">
        <v>15.604574543495128</v>
      </c>
      <c r="AO441" s="408">
        <v>48.787555434515319</v>
      </c>
      <c r="AP441" s="408">
        <v>73.489226147441997</v>
      </c>
      <c r="AQ441" s="408">
        <v>0</v>
      </c>
      <c r="AR441" s="408">
        <v>0</v>
      </c>
      <c r="AS441" s="408">
        <v>0</v>
      </c>
      <c r="AT441" s="408">
        <v>0</v>
      </c>
      <c r="AU441" s="408">
        <v>0</v>
      </c>
      <c r="AV441" s="408">
        <v>0</v>
      </c>
      <c r="AW441" s="408">
        <v>0</v>
      </c>
      <c r="AX441" s="408">
        <v>0</v>
      </c>
      <c r="AY441" s="408">
        <v>0</v>
      </c>
      <c r="AZ441" s="408">
        <v>0</v>
      </c>
      <c r="BA441" s="408"/>
      <c r="BB441" s="408">
        <v>0</v>
      </c>
      <c r="BC441" s="408">
        <v>0</v>
      </c>
      <c r="BD441" s="408">
        <v>0</v>
      </c>
      <c r="BE441" s="408">
        <v>0</v>
      </c>
      <c r="BF441" s="408">
        <v>0</v>
      </c>
      <c r="BG441" s="408">
        <v>295.93874639567701</v>
      </c>
      <c r="BH441" s="408">
        <v>0</v>
      </c>
      <c r="BI441" s="408">
        <v>16.149999999999999</v>
      </c>
      <c r="BJ441" s="408">
        <v>74.489999999999995</v>
      </c>
      <c r="BK441" s="408">
        <v>1958.46</v>
      </c>
      <c r="BL441" s="408">
        <v>5</v>
      </c>
      <c r="BM441" s="408"/>
      <c r="BN441" s="408"/>
      <c r="BO441" s="408"/>
      <c r="BP441" s="408"/>
      <c r="BQ441" s="408"/>
      <c r="BR441" s="408"/>
      <c r="BS441" s="408"/>
      <c r="BT441" s="408"/>
      <c r="BU441" s="408"/>
      <c r="BV441" s="408">
        <v>2064.8691303668511</v>
      </c>
      <c r="BW441" s="408"/>
      <c r="BX441" s="408"/>
      <c r="BY441" s="408"/>
      <c r="BZ441" s="408"/>
      <c r="CA441" s="408"/>
      <c r="CB441" s="408"/>
      <c r="CC441" s="408"/>
      <c r="CD441" s="408"/>
      <c r="CE441" s="408"/>
      <c r="CF441" s="408"/>
      <c r="CG441" s="408"/>
      <c r="CH441" s="408"/>
      <c r="CI441" s="408">
        <v>5170.8392000000003</v>
      </c>
      <c r="CJ441" s="408">
        <v>-1597.7540000000008</v>
      </c>
      <c r="CK441" s="408"/>
      <c r="CL441" s="408"/>
      <c r="CM441" s="408"/>
      <c r="CN441" s="408"/>
      <c r="CO441" s="408">
        <v>-1793.1488000000008</v>
      </c>
      <c r="CP441" s="408">
        <v>195.42479999999986</v>
      </c>
      <c r="CQ441" s="408">
        <v>29</v>
      </c>
      <c r="CR441" s="408">
        <v>252.89553326989017</v>
      </c>
      <c r="CS441" s="408">
        <v>5.8902206307856986</v>
      </c>
      <c r="CT441" s="408">
        <v>8.8725034927225437</v>
      </c>
      <c r="CU441" s="408">
        <v>0</v>
      </c>
      <c r="CV441" s="408">
        <v>0</v>
      </c>
      <c r="CW441" s="408">
        <v>0</v>
      </c>
      <c r="CX441" s="408">
        <v>0</v>
      </c>
      <c r="CY441" s="408">
        <v>0</v>
      </c>
      <c r="CZ441" s="408">
        <v>20.819345949685612</v>
      </c>
      <c r="DA441" s="408">
        <v>0</v>
      </c>
      <c r="DB441" s="408">
        <v>0</v>
      </c>
      <c r="DC441" s="408">
        <v>195.36560012164159</v>
      </c>
      <c r="DD441" s="408">
        <v>0</v>
      </c>
      <c r="DE441" s="408">
        <v>0</v>
      </c>
      <c r="DF441" s="408">
        <v>0</v>
      </c>
      <c r="DG441" s="408">
        <v>32.684299683428094</v>
      </c>
      <c r="DH441" s="408">
        <v>0</v>
      </c>
      <c r="DI441" s="408">
        <v>-9.1826232599140667</v>
      </c>
      <c r="DJ441" s="408"/>
      <c r="DK441" s="408">
        <v>0</v>
      </c>
      <c r="DL441" s="408">
        <v>0</v>
      </c>
      <c r="DM441" s="408">
        <v>0</v>
      </c>
      <c r="DN441" s="408">
        <v>0</v>
      </c>
      <c r="DO441" s="408">
        <v>-1.1930282235901899</v>
      </c>
      <c r="DP441" s="408">
        <v>-0.36078512486829872</v>
      </c>
      <c r="DQ441" s="408">
        <v>0</v>
      </c>
      <c r="DR441" s="408">
        <v>0</v>
      </c>
      <c r="DS441" s="408"/>
      <c r="DT441" s="408"/>
      <c r="DU441" s="408"/>
      <c r="DV441" s="408">
        <v>3299.0694697766967</v>
      </c>
      <c r="DW441" s="408">
        <v>0</v>
      </c>
      <c r="DX441" s="408">
        <v>0</v>
      </c>
      <c r="DY441" s="408">
        <v>-1793.1488000000004</v>
      </c>
      <c r="DZ441" s="408">
        <v>195.42479999999978</v>
      </c>
      <c r="EA441" s="408">
        <v>0</v>
      </c>
      <c r="EB441" s="408">
        <v>0</v>
      </c>
      <c r="EC441" s="408">
        <v>-1850.7439894744589</v>
      </c>
      <c r="ED441" s="408">
        <v>0</v>
      </c>
      <c r="EE441" s="408">
        <v>0</v>
      </c>
      <c r="EF441" s="408">
        <v>0</v>
      </c>
      <c r="EG441" s="408">
        <v>0</v>
      </c>
      <c r="EH441" s="408">
        <v>0</v>
      </c>
      <c r="EI441" s="408">
        <v>0</v>
      </c>
      <c r="EJ441" s="408">
        <v>0</v>
      </c>
      <c r="EK441" s="408">
        <v>0</v>
      </c>
      <c r="EL441" s="408">
        <v>0</v>
      </c>
      <c r="EM441" s="408">
        <v>0</v>
      </c>
      <c r="EN441" s="408">
        <v>0</v>
      </c>
      <c r="EO441" s="408">
        <v>0</v>
      </c>
      <c r="EP441" s="408">
        <v>0</v>
      </c>
      <c r="EQ441" s="408">
        <v>0</v>
      </c>
      <c r="ER441" s="408">
        <v>0</v>
      </c>
      <c r="ES441" s="408">
        <v>0</v>
      </c>
      <c r="ET441" s="408">
        <v>0</v>
      </c>
      <c r="EU441" s="408">
        <v>0</v>
      </c>
      <c r="EV441" s="408">
        <v>238</v>
      </c>
      <c r="EW441" s="408">
        <v>0</v>
      </c>
      <c r="EX441" s="408">
        <v>0</v>
      </c>
      <c r="EY441" s="408">
        <v>0</v>
      </c>
      <c r="EZ441" s="408"/>
      <c r="FA441" s="408">
        <v>0</v>
      </c>
      <c r="FB441" s="408"/>
      <c r="FC441" s="408"/>
      <c r="FD441" s="408"/>
      <c r="FE441" s="408"/>
      <c r="FF441" s="408">
        <v>0</v>
      </c>
      <c r="FG441" s="408">
        <v>0</v>
      </c>
      <c r="FH441" s="408">
        <v>0</v>
      </c>
      <c r="FI441" s="408">
        <v>0</v>
      </c>
    </row>
    <row r="442" spans="1:165">
      <c r="A442" s="408">
        <v>446</v>
      </c>
      <c r="B442" s="408" t="s">
        <v>1036</v>
      </c>
      <c r="C442" s="408" t="s">
        <v>2243</v>
      </c>
      <c r="D442" s="408" t="s">
        <v>597</v>
      </c>
      <c r="E442" s="408" t="s">
        <v>2246</v>
      </c>
      <c r="F442" s="408" t="s">
        <v>1322</v>
      </c>
      <c r="G442" s="408" t="s">
        <v>1322</v>
      </c>
      <c r="H442" s="408" t="s">
        <v>1322</v>
      </c>
      <c r="I442" s="408" t="s">
        <v>973</v>
      </c>
      <c r="J442" s="408" t="s">
        <v>2236</v>
      </c>
      <c r="K442" s="824">
        <v>44593</v>
      </c>
      <c r="L442" s="408">
        <v>0</v>
      </c>
      <c r="M442" s="408">
        <v>0</v>
      </c>
      <c r="N442" s="408">
        <v>0.38100000000000001</v>
      </c>
      <c r="O442" s="408">
        <v>0.38100000000000001</v>
      </c>
      <c r="P442" s="408">
        <v>0.38100000000000001</v>
      </c>
      <c r="Q442" s="408">
        <v>0.38100000000000001</v>
      </c>
      <c r="R442" s="408"/>
      <c r="S442" s="408">
        <v>1614.19</v>
      </c>
      <c r="T442" s="408">
        <v>209.4</v>
      </c>
      <c r="U442" s="408"/>
      <c r="V442" s="408">
        <v>694.78778999999997</v>
      </c>
      <c r="W442" s="408">
        <v>694.78778999999997</v>
      </c>
      <c r="X442" s="408">
        <v>461.82914999999997</v>
      </c>
      <c r="Y442" s="408">
        <v>0</v>
      </c>
      <c r="Z442" s="408">
        <v>20.397970191294206</v>
      </c>
      <c r="AA442" s="408">
        <v>0</v>
      </c>
      <c r="AB442" s="408">
        <v>0</v>
      </c>
      <c r="AC442" s="408">
        <v>0</v>
      </c>
      <c r="AD442" s="408">
        <v>118.65025432106286</v>
      </c>
      <c r="AE442" s="408">
        <v>443.04075075023917</v>
      </c>
      <c r="AF442" s="408">
        <v>78.733934146380534</v>
      </c>
      <c r="AG442" s="408">
        <v>1.0488796513556051</v>
      </c>
      <c r="AH442" s="408">
        <v>0</v>
      </c>
      <c r="AI442" s="408">
        <v>0</v>
      </c>
      <c r="AJ442" s="408">
        <v>0</v>
      </c>
      <c r="AK442" s="408">
        <v>0</v>
      </c>
      <c r="AL442" s="408">
        <v>3.6231582267924805</v>
      </c>
      <c r="AM442" s="408"/>
      <c r="AN442" s="408">
        <v>0.50590868154159374</v>
      </c>
      <c r="AO442" s="408">
        <v>9.2182665670228179</v>
      </c>
      <c r="AP442" s="408">
        <v>13.730746160881939</v>
      </c>
      <c r="AQ442" s="408">
        <v>0</v>
      </c>
      <c r="AR442" s="408">
        <v>0</v>
      </c>
      <c r="AS442" s="408">
        <v>0</v>
      </c>
      <c r="AT442" s="408">
        <v>0</v>
      </c>
      <c r="AU442" s="408">
        <v>0</v>
      </c>
      <c r="AV442" s="408">
        <v>0</v>
      </c>
      <c r="AW442" s="408">
        <v>0</v>
      </c>
      <c r="AX442" s="408">
        <v>0</v>
      </c>
      <c r="AY442" s="408">
        <v>0</v>
      </c>
      <c r="AZ442" s="408">
        <v>0</v>
      </c>
      <c r="BA442" s="408"/>
      <c r="BB442" s="408">
        <v>0</v>
      </c>
      <c r="BC442" s="408">
        <v>0</v>
      </c>
      <c r="BD442" s="408">
        <v>0</v>
      </c>
      <c r="BE442" s="408">
        <v>0</v>
      </c>
      <c r="BF442" s="408">
        <v>0</v>
      </c>
      <c r="BG442" s="408">
        <v>5.838610253625049</v>
      </c>
      <c r="BH442" s="408">
        <v>0</v>
      </c>
      <c r="BI442" s="408">
        <v>0</v>
      </c>
      <c r="BJ442" s="408">
        <v>0</v>
      </c>
      <c r="BK442" s="408">
        <v>0</v>
      </c>
      <c r="BL442" s="408">
        <v>0</v>
      </c>
      <c r="BM442" s="408"/>
      <c r="BN442" s="408"/>
      <c r="BO442" s="408"/>
      <c r="BP442" s="408"/>
      <c r="BQ442" s="408"/>
      <c r="BR442" s="408"/>
      <c r="BS442" s="408"/>
      <c r="BT442" s="408"/>
      <c r="BU442" s="408"/>
      <c r="BV442" s="408">
        <v>84.572544400005583</v>
      </c>
      <c r="BW442" s="408"/>
      <c r="BX442" s="408"/>
      <c r="BY442" s="408"/>
      <c r="BZ442" s="408"/>
      <c r="CA442" s="408"/>
      <c r="CB442" s="408"/>
      <c r="CC442" s="408"/>
      <c r="CD442" s="408"/>
      <c r="CE442" s="408"/>
      <c r="CF442" s="408"/>
      <c r="CG442" s="408"/>
      <c r="CH442" s="408"/>
      <c r="CI442" s="408">
        <v>460.61699999999996</v>
      </c>
      <c r="CJ442" s="408">
        <v>-234.20078999999998</v>
      </c>
      <c r="CK442" s="408"/>
      <c r="CL442" s="408"/>
      <c r="CM442" s="408"/>
      <c r="CN442" s="408"/>
      <c r="CO442" s="408">
        <v>-241.65687000000003</v>
      </c>
      <c r="CP442" s="408">
        <v>8.6982299999999935</v>
      </c>
      <c r="CQ442" s="408">
        <v>29</v>
      </c>
      <c r="CR442" s="408">
        <v>15.580375236944207</v>
      </c>
      <c r="CS442" s="408">
        <v>1.1129400403354701</v>
      </c>
      <c r="CT442" s="408">
        <v>1.6577408642961231</v>
      </c>
      <c r="CU442" s="408">
        <v>0</v>
      </c>
      <c r="CV442" s="408">
        <v>0</v>
      </c>
      <c r="CW442" s="408">
        <v>0</v>
      </c>
      <c r="CX442" s="408">
        <v>0</v>
      </c>
      <c r="CY442" s="408">
        <v>0</v>
      </c>
      <c r="CZ442" s="408">
        <v>3.8896445715637213</v>
      </c>
      <c r="DA442" s="408">
        <v>0</v>
      </c>
      <c r="DB442" s="408">
        <v>0</v>
      </c>
      <c r="DC442" s="408">
        <v>8.6955950521431475</v>
      </c>
      <c r="DD442" s="408">
        <v>0</v>
      </c>
      <c r="DE442" s="408">
        <v>0</v>
      </c>
      <c r="DF442" s="408">
        <v>0</v>
      </c>
      <c r="DG442" s="408">
        <v>0.64483238368887541</v>
      </c>
      <c r="DH442" s="408">
        <v>0</v>
      </c>
      <c r="DI442" s="408">
        <v>-0.35557992195839461</v>
      </c>
      <c r="DJ442" s="408"/>
      <c r="DK442" s="408">
        <v>0</v>
      </c>
      <c r="DL442" s="408">
        <v>0</v>
      </c>
      <c r="DM442" s="408">
        <v>0</v>
      </c>
      <c r="DN442" s="408">
        <v>0</v>
      </c>
      <c r="DO442" s="408">
        <v>-5.3100905746245264E-2</v>
      </c>
      <c r="DP442" s="408">
        <v>-1.169684737851906E-2</v>
      </c>
      <c r="DQ442" s="408">
        <v>0</v>
      </c>
      <c r="DR442" s="408">
        <v>0</v>
      </c>
      <c r="DS442" s="408"/>
      <c r="DT442" s="408"/>
      <c r="DU442" s="408"/>
      <c r="DV442" s="408">
        <v>443.04075075023917</v>
      </c>
      <c r="DW442" s="408">
        <v>0</v>
      </c>
      <c r="DX442" s="408">
        <v>0</v>
      </c>
      <c r="DY442" s="408">
        <v>-241.65687000000003</v>
      </c>
      <c r="DZ442" s="408">
        <v>8.6982299999999952</v>
      </c>
      <c r="EA442" s="408">
        <v>0</v>
      </c>
      <c r="EB442" s="408">
        <v>0</v>
      </c>
      <c r="EC442" s="408">
        <v>-248.54129749464187</v>
      </c>
      <c r="ED442" s="408">
        <v>0</v>
      </c>
      <c r="EE442" s="408">
        <v>0</v>
      </c>
      <c r="EF442" s="408">
        <v>0</v>
      </c>
      <c r="EG442" s="408">
        <v>0</v>
      </c>
      <c r="EH442" s="408">
        <v>0</v>
      </c>
      <c r="EI442" s="408">
        <v>0</v>
      </c>
      <c r="EJ442" s="408">
        <v>0</v>
      </c>
      <c r="EK442" s="408">
        <v>0</v>
      </c>
      <c r="EL442" s="408">
        <v>0</v>
      </c>
      <c r="EM442" s="408">
        <v>0</v>
      </c>
      <c r="EN442" s="408">
        <v>0</v>
      </c>
      <c r="EO442" s="408">
        <v>0</v>
      </c>
      <c r="EP442" s="408">
        <v>0</v>
      </c>
      <c r="EQ442" s="408">
        <v>0</v>
      </c>
      <c r="ER442" s="408">
        <v>0</v>
      </c>
      <c r="ES442" s="408">
        <v>0</v>
      </c>
      <c r="ET442" s="408">
        <v>0</v>
      </c>
      <c r="EU442" s="408">
        <v>0</v>
      </c>
      <c r="EV442" s="408">
        <v>238</v>
      </c>
      <c r="EW442" s="408">
        <v>0</v>
      </c>
      <c r="EX442" s="408">
        <v>0</v>
      </c>
      <c r="EY442" s="408">
        <v>0</v>
      </c>
      <c r="EZ442" s="408"/>
      <c r="FA442" s="408">
        <v>0</v>
      </c>
      <c r="FB442" s="408"/>
      <c r="FC442" s="408"/>
      <c r="FD442" s="408"/>
      <c r="FE442" s="408"/>
      <c r="FF442" s="408">
        <v>0</v>
      </c>
      <c r="FG442" s="408">
        <v>0</v>
      </c>
      <c r="FH442" s="408">
        <v>0</v>
      </c>
      <c r="FI442" s="408">
        <v>0</v>
      </c>
    </row>
    <row r="443" spans="1:165">
      <c r="A443" s="408">
        <v>447</v>
      </c>
      <c r="B443" s="408" t="s">
        <v>1036</v>
      </c>
      <c r="C443" s="408" t="s">
        <v>2243</v>
      </c>
      <c r="D443" s="408" t="s">
        <v>597</v>
      </c>
      <c r="E443" s="408" t="s">
        <v>2246</v>
      </c>
      <c r="F443" s="408" t="s">
        <v>1322</v>
      </c>
      <c r="G443" s="408" t="s">
        <v>1322</v>
      </c>
      <c r="H443" s="408" t="s">
        <v>1322</v>
      </c>
      <c r="I443" s="408" t="s">
        <v>2244</v>
      </c>
      <c r="J443" s="408" t="s">
        <v>2236</v>
      </c>
      <c r="K443" s="824">
        <v>44593</v>
      </c>
      <c r="L443" s="408">
        <v>0</v>
      </c>
      <c r="M443" s="408">
        <v>0</v>
      </c>
      <c r="N443" s="408">
        <v>11.935</v>
      </c>
      <c r="O443" s="408">
        <v>11.935</v>
      </c>
      <c r="P443" s="408">
        <v>11.935</v>
      </c>
      <c r="Q443" s="408">
        <v>11.935</v>
      </c>
      <c r="R443" s="408"/>
      <c r="S443" s="408">
        <v>79.7</v>
      </c>
      <c r="T443" s="408">
        <v>209.4</v>
      </c>
      <c r="U443" s="408"/>
      <c r="V443" s="408">
        <v>3450.4085000000005</v>
      </c>
      <c r="W443" s="408">
        <v>3450.4085000000005</v>
      </c>
      <c r="X443" s="408">
        <v>3729.9262000000003</v>
      </c>
      <c r="Y443" s="408">
        <v>0</v>
      </c>
      <c r="Z443" s="408">
        <v>638.97578538870437</v>
      </c>
      <c r="AA443" s="408">
        <v>0</v>
      </c>
      <c r="AB443" s="408">
        <v>0</v>
      </c>
      <c r="AC443" s="408">
        <v>0</v>
      </c>
      <c r="AD443" s="408">
        <v>0</v>
      </c>
      <c r="AE443" s="408">
        <v>0</v>
      </c>
      <c r="AF443" s="408">
        <v>2466.3766510158835</v>
      </c>
      <c r="AG443" s="408">
        <v>32.856636847583069</v>
      </c>
      <c r="AH443" s="408">
        <v>0</v>
      </c>
      <c r="AI443" s="408">
        <v>0</v>
      </c>
      <c r="AJ443" s="408">
        <v>0</v>
      </c>
      <c r="AK443" s="408">
        <v>0</v>
      </c>
      <c r="AL443" s="408">
        <v>113.49709563456234</v>
      </c>
      <c r="AM443" s="408"/>
      <c r="AN443" s="408">
        <v>15.847821822044413</v>
      </c>
      <c r="AO443" s="408">
        <v>0</v>
      </c>
      <c r="AP443" s="408">
        <v>0</v>
      </c>
      <c r="AQ443" s="408">
        <v>0</v>
      </c>
      <c r="AR443" s="408">
        <v>0</v>
      </c>
      <c r="AS443" s="408">
        <v>0</v>
      </c>
      <c r="AT443" s="408">
        <v>0</v>
      </c>
      <c r="AU443" s="408">
        <v>0</v>
      </c>
      <c r="AV443" s="408">
        <v>0</v>
      </c>
      <c r="AW443" s="408">
        <v>0</v>
      </c>
      <c r="AX443" s="408">
        <v>0</v>
      </c>
      <c r="AY443" s="408">
        <v>0</v>
      </c>
      <c r="AZ443" s="408">
        <v>0</v>
      </c>
      <c r="BA443" s="408"/>
      <c r="BB443" s="408">
        <v>0</v>
      </c>
      <c r="BC443" s="408">
        <v>0</v>
      </c>
      <c r="BD443" s="408">
        <v>0</v>
      </c>
      <c r="BE443" s="408">
        <v>0</v>
      </c>
      <c r="BF443" s="408">
        <v>0</v>
      </c>
      <c r="BG443" s="408">
        <v>182.89714797116787</v>
      </c>
      <c r="BH443" s="408">
        <v>0</v>
      </c>
      <c r="BI443" s="408">
        <v>0</v>
      </c>
      <c r="BJ443" s="408">
        <v>0</v>
      </c>
      <c r="BK443" s="408">
        <v>0</v>
      </c>
      <c r="BL443" s="408">
        <v>0</v>
      </c>
      <c r="BM443" s="408"/>
      <c r="BN443" s="408"/>
      <c r="BO443" s="408"/>
      <c r="BP443" s="408"/>
      <c r="BQ443" s="408"/>
      <c r="BR443" s="408"/>
      <c r="BS443" s="408"/>
      <c r="BT443" s="408"/>
      <c r="BU443" s="408"/>
      <c r="BV443" s="408">
        <v>2649.2737989870511</v>
      </c>
      <c r="BW443" s="408"/>
      <c r="BX443" s="408"/>
      <c r="BY443" s="408"/>
      <c r="BZ443" s="408"/>
      <c r="CA443" s="408"/>
      <c r="CB443" s="408"/>
      <c r="CC443" s="408"/>
      <c r="CD443" s="408"/>
      <c r="CE443" s="408"/>
      <c r="CF443" s="408"/>
      <c r="CG443" s="408"/>
      <c r="CH443" s="408"/>
      <c r="CI443" s="408">
        <v>3731.4888000000001</v>
      </c>
      <c r="CJ443" s="408">
        <v>281.05029999999942</v>
      </c>
      <c r="CK443" s="408"/>
      <c r="CL443" s="408"/>
      <c r="CM443" s="408"/>
      <c r="CN443" s="408"/>
      <c r="CO443" s="408">
        <v>7.0416500000000406</v>
      </c>
      <c r="CP443" s="408">
        <v>272.47604999999982</v>
      </c>
      <c r="CQ443" s="408">
        <v>29</v>
      </c>
      <c r="CR443" s="408">
        <v>279.42465589117546</v>
      </c>
      <c r="CS443" s="408">
        <v>0</v>
      </c>
      <c r="CT443" s="408">
        <v>0</v>
      </c>
      <c r="CU443" s="408">
        <v>0</v>
      </c>
      <c r="CV443" s="408">
        <v>0</v>
      </c>
      <c r="CW443" s="408">
        <v>0</v>
      </c>
      <c r="CX443" s="408">
        <v>0</v>
      </c>
      <c r="CY443" s="408">
        <v>0</v>
      </c>
      <c r="CZ443" s="408">
        <v>0</v>
      </c>
      <c r="DA443" s="408">
        <v>0</v>
      </c>
      <c r="DB443" s="408">
        <v>0</v>
      </c>
      <c r="DC443" s="408">
        <v>272.39350904810635</v>
      </c>
      <c r="DD443" s="408">
        <v>0</v>
      </c>
      <c r="DE443" s="408">
        <v>0</v>
      </c>
      <c r="DF443" s="408">
        <v>0</v>
      </c>
      <c r="DG443" s="408">
        <v>20.199670601907428</v>
      </c>
      <c r="DH443" s="408">
        <v>0</v>
      </c>
      <c r="DI443" s="408">
        <v>-11.138704379457863</v>
      </c>
      <c r="DJ443" s="408"/>
      <c r="DK443" s="408">
        <v>0</v>
      </c>
      <c r="DL443" s="408">
        <v>0</v>
      </c>
      <c r="DM443" s="408">
        <v>0</v>
      </c>
      <c r="DN443" s="408">
        <v>0</v>
      </c>
      <c r="DO443" s="408">
        <v>-1.6634102626809408</v>
      </c>
      <c r="DP443" s="408">
        <v>-0.36640911669980269</v>
      </c>
      <c r="DQ443" s="408">
        <v>0</v>
      </c>
      <c r="DR443" s="408">
        <v>0</v>
      </c>
      <c r="DS443" s="408"/>
      <c r="DT443" s="408"/>
      <c r="DU443" s="408"/>
      <c r="DV443" s="408">
        <v>0</v>
      </c>
      <c r="DW443" s="408">
        <v>0</v>
      </c>
      <c r="DX443" s="408">
        <v>0</v>
      </c>
      <c r="DY443" s="408">
        <v>7.0416500000001179</v>
      </c>
      <c r="DZ443" s="408">
        <v>272.47604999999976</v>
      </c>
      <c r="EA443" s="408">
        <v>0</v>
      </c>
      <c r="EB443" s="408">
        <v>0</v>
      </c>
      <c r="EC443" s="408">
        <v>0</v>
      </c>
      <c r="ED443" s="408">
        <v>0</v>
      </c>
      <c r="EE443" s="408">
        <v>0</v>
      </c>
      <c r="EF443" s="408">
        <v>0</v>
      </c>
      <c r="EG443" s="408">
        <v>0</v>
      </c>
      <c r="EH443" s="408">
        <v>0</v>
      </c>
      <c r="EI443" s="408">
        <v>0</v>
      </c>
      <c r="EJ443" s="408">
        <v>0</v>
      </c>
      <c r="EK443" s="408">
        <v>0</v>
      </c>
      <c r="EL443" s="408">
        <v>0</v>
      </c>
      <c r="EM443" s="408">
        <v>0</v>
      </c>
      <c r="EN443" s="408">
        <v>0</v>
      </c>
      <c r="EO443" s="408">
        <v>0</v>
      </c>
      <c r="EP443" s="408">
        <v>0</v>
      </c>
      <c r="EQ443" s="408">
        <v>0</v>
      </c>
      <c r="ER443" s="408">
        <v>0</v>
      </c>
      <c r="ES443" s="408">
        <v>0</v>
      </c>
      <c r="ET443" s="408">
        <v>0</v>
      </c>
      <c r="EU443" s="408">
        <v>0</v>
      </c>
      <c r="EV443" s="408">
        <v>238</v>
      </c>
      <c r="EW443" s="408">
        <v>0</v>
      </c>
      <c r="EX443" s="408">
        <v>0</v>
      </c>
      <c r="EY443" s="408">
        <v>0</v>
      </c>
      <c r="EZ443" s="408"/>
      <c r="FA443" s="408">
        <v>0</v>
      </c>
      <c r="FB443" s="408"/>
      <c r="FC443" s="408"/>
      <c r="FD443" s="408"/>
      <c r="FE443" s="408"/>
      <c r="FF443" s="408">
        <v>0</v>
      </c>
      <c r="FG443" s="408">
        <v>0</v>
      </c>
      <c r="FH443" s="408">
        <v>0</v>
      </c>
      <c r="FI443" s="408">
        <v>0</v>
      </c>
    </row>
    <row r="444" spans="1:165">
      <c r="A444" s="408">
        <v>448</v>
      </c>
      <c r="B444" s="408" t="s">
        <v>1036</v>
      </c>
      <c r="C444" s="408" t="s">
        <v>2243</v>
      </c>
      <c r="D444" s="408" t="s">
        <v>597</v>
      </c>
      <c r="E444" s="408" t="s">
        <v>2246</v>
      </c>
      <c r="F444" s="408" t="s">
        <v>1322</v>
      </c>
      <c r="G444" s="408" t="s">
        <v>1322</v>
      </c>
      <c r="H444" s="408" t="s">
        <v>1322</v>
      </c>
      <c r="I444" s="408" t="s">
        <v>1322</v>
      </c>
      <c r="J444" s="408" t="s">
        <v>2236</v>
      </c>
      <c r="K444" s="824">
        <v>44593</v>
      </c>
      <c r="L444" s="408">
        <v>143</v>
      </c>
      <c r="M444" s="408">
        <v>143</v>
      </c>
      <c r="N444" s="408">
        <v>0</v>
      </c>
      <c r="O444" s="408">
        <v>0</v>
      </c>
      <c r="P444" s="408">
        <v>0</v>
      </c>
      <c r="Q444" s="408">
        <v>0</v>
      </c>
      <c r="R444" s="408">
        <v>44.35</v>
      </c>
      <c r="S444" s="408"/>
      <c r="T444" s="408"/>
      <c r="U444" s="408">
        <v>6342.05</v>
      </c>
      <c r="V444" s="408"/>
      <c r="W444" s="408">
        <v>6342.05</v>
      </c>
      <c r="X444" s="408">
        <v>4142.71</v>
      </c>
      <c r="Y444" s="408">
        <v>0</v>
      </c>
      <c r="Z444" s="408">
        <v>0</v>
      </c>
      <c r="AA444" s="408">
        <v>0</v>
      </c>
      <c r="AB444" s="408">
        <v>0</v>
      </c>
      <c r="AC444" s="408">
        <v>0</v>
      </c>
      <c r="AD444" s="408">
        <v>1876.4551073961979</v>
      </c>
      <c r="AE444" s="408">
        <v>4106.6520188616778</v>
      </c>
      <c r="AF444" s="408"/>
      <c r="AG444" s="408"/>
      <c r="AH444" s="408"/>
      <c r="AI444" s="408">
        <v>0</v>
      </c>
      <c r="AJ444" s="408">
        <v>0</v>
      </c>
      <c r="AK444" s="408">
        <v>0</v>
      </c>
      <c r="AL444" s="408">
        <v>0</v>
      </c>
      <c r="AM444" s="408"/>
      <c r="AN444" s="408">
        <v>0</v>
      </c>
      <c r="AO444" s="408">
        <v>141.81605890751828</v>
      </c>
      <c r="AP444" s="408">
        <v>216.97266925736545</v>
      </c>
      <c r="AQ444" s="408">
        <v>0</v>
      </c>
      <c r="AR444" s="408">
        <v>0</v>
      </c>
      <c r="AS444" s="408"/>
      <c r="AT444" s="408"/>
      <c r="AU444" s="408">
        <v>0</v>
      </c>
      <c r="AV444" s="408">
        <v>0</v>
      </c>
      <c r="AW444" s="408">
        <v>0</v>
      </c>
      <c r="AX444" s="408"/>
      <c r="AY444" s="408"/>
      <c r="AZ444" s="408">
        <v>0</v>
      </c>
      <c r="BA444" s="408"/>
      <c r="BB444" s="408">
        <v>0</v>
      </c>
      <c r="BC444" s="408">
        <v>0</v>
      </c>
      <c r="BD444" s="408">
        <v>0</v>
      </c>
      <c r="BE444" s="408">
        <v>0</v>
      </c>
      <c r="BF444" s="408"/>
      <c r="BG444" s="408">
        <v>0</v>
      </c>
      <c r="BH444" s="408">
        <v>0</v>
      </c>
      <c r="BI444" s="408">
        <v>25.56</v>
      </c>
      <c r="BJ444" s="408">
        <v>117.6</v>
      </c>
      <c r="BK444" s="408">
        <v>2938.7</v>
      </c>
      <c r="BL444" s="408">
        <v>2</v>
      </c>
      <c r="BM444" s="408"/>
      <c r="BN444" s="408"/>
      <c r="BO444" s="408"/>
      <c r="BP444" s="408"/>
      <c r="BQ444" s="408"/>
      <c r="BR444" s="408"/>
      <c r="BS444" s="408"/>
      <c r="BT444" s="408"/>
      <c r="BU444" s="408"/>
      <c r="BV444" s="408">
        <v>0</v>
      </c>
      <c r="BW444" s="408"/>
      <c r="BX444" s="408"/>
      <c r="BY444" s="408"/>
      <c r="BZ444" s="408"/>
      <c r="CA444" s="408"/>
      <c r="CB444" s="408"/>
      <c r="CC444" s="408"/>
      <c r="CD444" s="408"/>
      <c r="CE444" s="408"/>
      <c r="CF444" s="408"/>
      <c r="CG444" s="408"/>
      <c r="CH444" s="408"/>
      <c r="CI444" s="408">
        <v>4142.71</v>
      </c>
      <c r="CJ444" s="408">
        <v>-2199.3700000000008</v>
      </c>
      <c r="CK444" s="408"/>
      <c r="CL444" s="408"/>
      <c r="CM444" s="408"/>
      <c r="CN444" s="408"/>
      <c r="CO444" s="408">
        <v>-2199.34</v>
      </c>
      <c r="CP444" s="408">
        <v>0</v>
      </c>
      <c r="CQ444" s="408">
        <v>29</v>
      </c>
      <c r="CR444" s="408">
        <v>104.83206434614658</v>
      </c>
      <c r="CS444" s="408">
        <v>17.121740749543847</v>
      </c>
      <c r="CT444" s="408">
        <v>26.195550922648238</v>
      </c>
      <c r="CU444" s="408">
        <v>0</v>
      </c>
      <c r="CV444" s="408">
        <v>0</v>
      </c>
      <c r="CW444" s="408"/>
      <c r="CX444" s="408"/>
      <c r="CY444" s="408"/>
      <c r="CZ444" s="408">
        <v>61.514772673954667</v>
      </c>
      <c r="DA444" s="408">
        <v>0</v>
      </c>
      <c r="DB444" s="408">
        <v>0</v>
      </c>
      <c r="DC444" s="408"/>
      <c r="DD444" s="408"/>
      <c r="DE444" s="408">
        <v>0</v>
      </c>
      <c r="DF444" s="408">
        <v>0</v>
      </c>
      <c r="DG444" s="408">
        <v>0</v>
      </c>
      <c r="DH444" s="408">
        <v>0</v>
      </c>
      <c r="DI444" s="408">
        <v>0</v>
      </c>
      <c r="DJ444" s="408"/>
      <c r="DK444" s="408">
        <v>0</v>
      </c>
      <c r="DL444" s="408">
        <v>0</v>
      </c>
      <c r="DM444" s="408"/>
      <c r="DN444" s="408">
        <v>0</v>
      </c>
      <c r="DO444" s="408">
        <v>0</v>
      </c>
      <c r="DP444" s="408">
        <v>0</v>
      </c>
      <c r="DQ444" s="408">
        <v>0</v>
      </c>
      <c r="DR444" s="408">
        <v>0</v>
      </c>
      <c r="DS444" s="408"/>
      <c r="DT444" s="408"/>
      <c r="DU444" s="408">
        <v>4106.6520188616778</v>
      </c>
      <c r="DV444" s="408"/>
      <c r="DW444" s="408">
        <v>0</v>
      </c>
      <c r="DX444" s="408">
        <v>0</v>
      </c>
      <c r="DY444" s="408">
        <v>-2199.34</v>
      </c>
      <c r="DZ444" s="408"/>
      <c r="EA444" s="408">
        <v>0</v>
      </c>
      <c r="EB444" s="408"/>
      <c r="EC444" s="408">
        <v>-2303.7894807610255</v>
      </c>
      <c r="ED444" s="408"/>
      <c r="EE444" s="408">
        <v>0</v>
      </c>
      <c r="EF444" s="408">
        <v>0</v>
      </c>
      <c r="EG444" s="408"/>
      <c r="EH444" s="408">
        <v>0</v>
      </c>
      <c r="EI444" s="408">
        <v>0</v>
      </c>
      <c r="EJ444" s="408">
        <v>0</v>
      </c>
      <c r="EK444" s="408">
        <v>0</v>
      </c>
      <c r="EL444" s="408">
        <v>0</v>
      </c>
      <c r="EM444" s="408"/>
      <c r="EN444" s="408"/>
      <c r="EO444" s="408">
        <v>0</v>
      </c>
      <c r="EP444" s="408">
        <v>0</v>
      </c>
      <c r="EQ444" s="408"/>
      <c r="ER444" s="408">
        <v>0</v>
      </c>
      <c r="ES444" s="408"/>
      <c r="ET444" s="408">
        <v>0</v>
      </c>
      <c r="EU444" s="408"/>
      <c r="EV444" s="408">
        <v>238</v>
      </c>
      <c r="EW444" s="408"/>
      <c r="EX444" s="408"/>
      <c r="EY444" s="408"/>
      <c r="EZ444" s="408"/>
      <c r="FA444" s="408">
        <v>0</v>
      </c>
      <c r="FB444" s="408"/>
      <c r="FC444" s="408"/>
      <c r="FD444" s="408"/>
      <c r="FE444" s="408"/>
      <c r="FF444" s="408">
        <v>0</v>
      </c>
      <c r="FG444" s="408">
        <v>0</v>
      </c>
      <c r="FH444" s="408">
        <v>0</v>
      </c>
      <c r="FI444" s="408">
        <v>0</v>
      </c>
    </row>
    <row r="445" spans="1:165">
      <c r="A445" s="408">
        <v>449</v>
      </c>
      <c r="B445" s="408" t="s">
        <v>1036</v>
      </c>
      <c r="C445" s="408" t="s">
        <v>2235</v>
      </c>
      <c r="D445" s="408" t="s">
        <v>2247</v>
      </c>
      <c r="E445" s="408" t="s">
        <v>2248</v>
      </c>
      <c r="F445" s="408" t="s">
        <v>2249</v>
      </c>
      <c r="G445" s="408" t="s">
        <v>1322</v>
      </c>
      <c r="H445" s="408" t="s">
        <v>1322</v>
      </c>
      <c r="I445" s="408" t="s">
        <v>1322</v>
      </c>
      <c r="J445" s="408" t="s">
        <v>2236</v>
      </c>
      <c r="K445" s="824">
        <v>44593</v>
      </c>
      <c r="L445" s="408">
        <v>0</v>
      </c>
      <c r="M445" s="408">
        <v>0</v>
      </c>
      <c r="N445" s="408">
        <v>421.13</v>
      </c>
      <c r="O445" s="408">
        <v>421.13</v>
      </c>
      <c r="P445" s="408">
        <v>421.13</v>
      </c>
      <c r="Q445" s="408">
        <v>421.13</v>
      </c>
      <c r="R445" s="408"/>
      <c r="S445" s="408">
        <v>319.73</v>
      </c>
      <c r="T445" s="408">
        <v>115.17</v>
      </c>
      <c r="U445" s="408"/>
      <c r="V445" s="408">
        <v>183149.43700000001</v>
      </c>
      <c r="W445" s="408">
        <v>183149.43700000001</v>
      </c>
      <c r="X445" s="408">
        <v>139912.01990000001</v>
      </c>
      <c r="Y445" s="408">
        <v>0</v>
      </c>
      <c r="Z445" s="408">
        <v>14253.502436609206</v>
      </c>
      <c r="AA445" s="408">
        <v>0</v>
      </c>
      <c r="AB445" s="408">
        <v>0</v>
      </c>
      <c r="AC445" s="408">
        <v>0</v>
      </c>
      <c r="AD445" s="408">
        <v>17184.26424432376</v>
      </c>
      <c r="AE445" s="408">
        <v>89268.156447883724</v>
      </c>
      <c r="AF445" s="408">
        <v>47864.755716236003</v>
      </c>
      <c r="AG445" s="408">
        <v>637.64587445265397</v>
      </c>
      <c r="AH445" s="408">
        <v>0</v>
      </c>
      <c r="AI445" s="408">
        <v>0</v>
      </c>
      <c r="AJ445" s="408">
        <v>0</v>
      </c>
      <c r="AK445" s="408">
        <v>0</v>
      </c>
      <c r="AL445" s="408">
        <v>2202.6281974462318</v>
      </c>
      <c r="AM445" s="408"/>
      <c r="AN445" s="408">
        <v>422.23772927875723</v>
      </c>
      <c r="AO445" s="408">
        <v>1320.122286340606</v>
      </c>
      <c r="AP445" s="408">
        <v>1988.5145787511383</v>
      </c>
      <c r="AQ445" s="408">
        <v>0</v>
      </c>
      <c r="AR445" s="408">
        <v>0</v>
      </c>
      <c r="AS445" s="408">
        <v>0</v>
      </c>
      <c r="AT445" s="408">
        <v>0</v>
      </c>
      <c r="AU445" s="408">
        <v>0</v>
      </c>
      <c r="AV445" s="408">
        <v>0</v>
      </c>
      <c r="AW445" s="408">
        <v>0</v>
      </c>
      <c r="AX445" s="408">
        <v>0</v>
      </c>
      <c r="AY445" s="408">
        <v>0</v>
      </c>
      <c r="AZ445" s="408">
        <v>0</v>
      </c>
      <c r="BA445" s="408"/>
      <c r="BB445" s="408">
        <v>0</v>
      </c>
      <c r="BC445" s="408">
        <v>0</v>
      </c>
      <c r="BD445" s="408">
        <v>0</v>
      </c>
      <c r="BE445" s="408">
        <v>0</v>
      </c>
      <c r="BF445" s="408">
        <v>0</v>
      </c>
      <c r="BG445" s="408">
        <v>8007.684152837186</v>
      </c>
      <c r="BH445" s="408">
        <v>0</v>
      </c>
      <c r="BI445" s="408">
        <v>506.2</v>
      </c>
      <c r="BJ445" s="408">
        <v>2329.2399999999998</v>
      </c>
      <c r="BK445" s="408">
        <v>50636.639999999999</v>
      </c>
      <c r="BL445" s="408">
        <v>41</v>
      </c>
      <c r="BM445" s="408"/>
      <c r="BN445" s="408"/>
      <c r="BO445" s="408"/>
      <c r="BP445" s="408"/>
      <c r="BQ445" s="408"/>
      <c r="BR445" s="408"/>
      <c r="BS445" s="408"/>
      <c r="BT445" s="408"/>
      <c r="BU445" s="408"/>
      <c r="BV445" s="408">
        <v>55872.43986907319</v>
      </c>
      <c r="BW445" s="408"/>
      <c r="BX445" s="408"/>
      <c r="BY445" s="408"/>
      <c r="BZ445" s="408"/>
      <c r="CA445" s="408"/>
      <c r="CB445" s="408"/>
      <c r="CC445" s="408"/>
      <c r="CD445" s="408"/>
      <c r="CE445" s="408"/>
      <c r="CF445" s="408"/>
      <c r="CG445" s="408"/>
      <c r="CH445" s="408"/>
      <c r="CI445" s="408">
        <v>139912.01990000001</v>
      </c>
      <c r="CJ445" s="408">
        <v>-43237.447100000019</v>
      </c>
      <c r="CK445" s="408"/>
      <c r="CL445" s="408"/>
      <c r="CM445" s="408"/>
      <c r="CN445" s="408"/>
      <c r="CO445" s="408">
        <v>-48522.598600000012</v>
      </c>
      <c r="CP445" s="408">
        <v>5285.1814999999988</v>
      </c>
      <c r="CQ445" s="408">
        <v>29</v>
      </c>
      <c r="CR445" s="408">
        <v>6842.995649447621</v>
      </c>
      <c r="CS445" s="408">
        <v>159.38104413943256</v>
      </c>
      <c r="CT445" s="408">
        <v>240.07740277332141</v>
      </c>
      <c r="CU445" s="408">
        <v>0</v>
      </c>
      <c r="CV445" s="408">
        <v>0</v>
      </c>
      <c r="CW445" s="408">
        <v>0</v>
      </c>
      <c r="CX445" s="408">
        <v>0</v>
      </c>
      <c r="CY445" s="408">
        <v>0</v>
      </c>
      <c r="CZ445" s="408">
        <v>563.34207218281153</v>
      </c>
      <c r="DA445" s="408">
        <v>0</v>
      </c>
      <c r="DB445" s="408">
        <v>0</v>
      </c>
      <c r="DC445" s="408">
        <v>5286.3169799736934</v>
      </c>
      <c r="DD445" s="408">
        <v>0</v>
      </c>
      <c r="DE445" s="408">
        <v>0</v>
      </c>
      <c r="DF445" s="408">
        <v>0</v>
      </c>
      <c r="DG445" s="408">
        <v>884.39094849591311</v>
      </c>
      <c r="DH445" s="408">
        <v>0</v>
      </c>
      <c r="DI445" s="408">
        <v>-248.46880530332601</v>
      </c>
      <c r="DJ445" s="408"/>
      <c r="DK445" s="408">
        <v>0</v>
      </c>
      <c r="DL445" s="408">
        <v>0</v>
      </c>
      <c r="DM445" s="408">
        <v>0</v>
      </c>
      <c r="DN445" s="408">
        <v>0</v>
      </c>
      <c r="DO445" s="408">
        <v>-32.281657323632771</v>
      </c>
      <c r="DP445" s="408">
        <v>-9.7623354906169766</v>
      </c>
      <c r="DQ445" s="408">
        <v>0</v>
      </c>
      <c r="DR445" s="408">
        <v>0</v>
      </c>
      <c r="DS445" s="408"/>
      <c r="DT445" s="408"/>
      <c r="DU445" s="408"/>
      <c r="DV445" s="408">
        <v>89268.156447883724</v>
      </c>
      <c r="DW445" s="408">
        <v>0</v>
      </c>
      <c r="DX445" s="408">
        <v>0</v>
      </c>
      <c r="DY445" s="408">
        <v>-48522.598600000012</v>
      </c>
      <c r="DZ445" s="408">
        <v>5285.1814999999988</v>
      </c>
      <c r="EA445" s="408">
        <v>0</v>
      </c>
      <c r="EB445" s="408">
        <v>0</v>
      </c>
      <c r="EC445" s="408">
        <v>-50078.516233418239</v>
      </c>
      <c r="ED445" s="408">
        <v>0</v>
      </c>
      <c r="EE445" s="408">
        <v>0</v>
      </c>
      <c r="EF445" s="408">
        <v>0</v>
      </c>
      <c r="EG445" s="408">
        <v>0</v>
      </c>
      <c r="EH445" s="408">
        <v>0</v>
      </c>
      <c r="EI445" s="408">
        <v>0</v>
      </c>
      <c r="EJ445" s="408">
        <v>0</v>
      </c>
      <c r="EK445" s="408">
        <v>0</v>
      </c>
      <c r="EL445" s="408">
        <v>0</v>
      </c>
      <c r="EM445" s="408">
        <v>0</v>
      </c>
      <c r="EN445" s="408">
        <v>0</v>
      </c>
      <c r="EO445" s="408">
        <v>0</v>
      </c>
      <c r="EP445" s="408">
        <v>0</v>
      </c>
      <c r="EQ445" s="408">
        <v>0</v>
      </c>
      <c r="ER445" s="408">
        <v>0</v>
      </c>
      <c r="ES445" s="408">
        <v>0</v>
      </c>
      <c r="ET445" s="408">
        <v>0</v>
      </c>
      <c r="EU445" s="408">
        <v>0</v>
      </c>
      <c r="EV445" s="408">
        <v>238</v>
      </c>
      <c r="EW445" s="408">
        <v>0</v>
      </c>
      <c r="EX445" s="408">
        <v>0</v>
      </c>
      <c r="EY445" s="408">
        <v>0</v>
      </c>
      <c r="EZ445" s="408"/>
      <c r="FA445" s="408">
        <v>0</v>
      </c>
      <c r="FB445" s="408"/>
      <c r="FC445" s="408"/>
      <c r="FD445" s="408"/>
      <c r="FE445" s="408"/>
      <c r="FF445" s="408">
        <v>0</v>
      </c>
      <c r="FG445" s="408">
        <v>0</v>
      </c>
      <c r="FH445" s="408">
        <v>0</v>
      </c>
      <c r="FI445" s="408">
        <v>0</v>
      </c>
    </row>
    <row r="446" spans="1:165">
      <c r="A446" s="408">
        <v>450</v>
      </c>
      <c r="B446" s="408" t="s">
        <v>1036</v>
      </c>
      <c r="C446" s="408" t="s">
        <v>2235</v>
      </c>
      <c r="D446" s="408" t="s">
        <v>1958</v>
      </c>
      <c r="E446" s="408" t="s">
        <v>1001</v>
      </c>
      <c r="F446" s="408" t="s">
        <v>2250</v>
      </c>
      <c r="G446" s="408" t="s">
        <v>1322</v>
      </c>
      <c r="H446" s="408" t="s">
        <v>1322</v>
      </c>
      <c r="I446" s="408" t="s">
        <v>1322</v>
      </c>
      <c r="J446" s="408" t="s">
        <v>2236</v>
      </c>
      <c r="K446" s="824">
        <v>44593</v>
      </c>
      <c r="L446" s="408">
        <v>0</v>
      </c>
      <c r="M446" s="408">
        <v>0</v>
      </c>
      <c r="N446" s="408">
        <v>101.619</v>
      </c>
      <c r="O446" s="408">
        <v>95.521860000000004</v>
      </c>
      <c r="P446" s="408">
        <v>101.619</v>
      </c>
      <c r="Q446" s="408">
        <v>95.521860000000004</v>
      </c>
      <c r="R446" s="408"/>
      <c r="S446" s="408">
        <v>581.32000000000005</v>
      </c>
      <c r="T446" s="408">
        <v>209.4</v>
      </c>
      <c r="U446" s="408"/>
      <c r="V446" s="408">
        <v>80352.17568</v>
      </c>
      <c r="W446" s="408">
        <v>80352.17568</v>
      </c>
      <c r="X446" s="408">
        <v>61384.989329999997</v>
      </c>
      <c r="Y446" s="408">
        <v>0</v>
      </c>
      <c r="Z446" s="408">
        <v>6253.4206198724605</v>
      </c>
      <c r="AA446" s="408">
        <v>0</v>
      </c>
      <c r="AB446" s="408">
        <v>0</v>
      </c>
      <c r="AC446" s="408">
        <v>0</v>
      </c>
      <c r="AD446" s="408">
        <v>7539.2299430058729</v>
      </c>
      <c r="AE446" s="408">
        <v>39164.502388929686</v>
      </c>
      <c r="AF446" s="408">
        <v>20999.642136538168</v>
      </c>
      <c r="AG446" s="408">
        <v>279.75354669581429</v>
      </c>
      <c r="AH446" s="408">
        <v>0</v>
      </c>
      <c r="AI446" s="408">
        <v>0</v>
      </c>
      <c r="AJ446" s="408">
        <v>0</v>
      </c>
      <c r="AK446" s="408">
        <v>0</v>
      </c>
      <c r="AL446" s="408">
        <v>966.3562095759188</v>
      </c>
      <c r="AM446" s="408"/>
      <c r="AN446" s="408">
        <v>185.24781081021393</v>
      </c>
      <c r="AO446" s="408">
        <v>579.17553688084251</v>
      </c>
      <c r="AP446" s="408">
        <v>872.41841961178818</v>
      </c>
      <c r="AQ446" s="408">
        <v>0</v>
      </c>
      <c r="AR446" s="408">
        <v>0</v>
      </c>
      <c r="AS446" s="408">
        <v>0</v>
      </c>
      <c r="AT446" s="408">
        <v>0</v>
      </c>
      <c r="AU446" s="408">
        <v>0</v>
      </c>
      <c r="AV446" s="408">
        <v>0</v>
      </c>
      <c r="AW446" s="408">
        <v>0</v>
      </c>
      <c r="AX446" s="408">
        <v>0</v>
      </c>
      <c r="AY446" s="408">
        <v>0</v>
      </c>
      <c r="AZ446" s="408">
        <v>0</v>
      </c>
      <c r="BA446" s="408"/>
      <c r="BB446" s="408">
        <v>0</v>
      </c>
      <c r="BC446" s="408">
        <v>0</v>
      </c>
      <c r="BD446" s="408">
        <v>0</v>
      </c>
      <c r="BE446" s="408">
        <v>0</v>
      </c>
      <c r="BF446" s="408">
        <v>0</v>
      </c>
      <c r="BG446" s="408">
        <v>3513.2008726614836</v>
      </c>
      <c r="BH446" s="408">
        <v>0</v>
      </c>
      <c r="BI446" s="408">
        <v>182.77</v>
      </c>
      <c r="BJ446" s="408">
        <v>841.31</v>
      </c>
      <c r="BK446" s="408">
        <v>25630.240000000002</v>
      </c>
      <c r="BL446" s="408">
        <v>21</v>
      </c>
      <c r="BM446" s="408"/>
      <c r="BN446" s="408"/>
      <c r="BO446" s="408"/>
      <c r="BP446" s="408"/>
      <c r="BQ446" s="408">
        <v>3683.0993597999977</v>
      </c>
      <c r="BR446" s="408"/>
      <c r="BS446" s="408"/>
      <c r="BT446" s="408"/>
      <c r="BU446" s="408"/>
      <c r="BV446" s="408">
        <v>24512.843009199652</v>
      </c>
      <c r="BW446" s="408"/>
      <c r="BX446" s="408"/>
      <c r="BY446" s="408"/>
      <c r="BZ446" s="408"/>
      <c r="CA446" s="408"/>
      <c r="CB446" s="408"/>
      <c r="CC446" s="408"/>
      <c r="CD446" s="408"/>
      <c r="CE446" s="408"/>
      <c r="CF446" s="408"/>
      <c r="CG446" s="408"/>
      <c r="CH446" s="408"/>
      <c r="CI446" s="408">
        <v>57700.766399999993</v>
      </c>
      <c r="CJ446" s="408">
        <v>-17830.308739200016</v>
      </c>
      <c r="CK446" s="408"/>
      <c r="CL446" s="408"/>
      <c r="CM446" s="408"/>
      <c r="CN446" s="408"/>
      <c r="CO446" s="408">
        <v>-21287.148120000009</v>
      </c>
      <c r="CP446" s="408">
        <v>2319.9617699999985</v>
      </c>
      <c r="CQ446" s="408">
        <v>29</v>
      </c>
      <c r="CR446" s="408">
        <v>3002.2185975879693</v>
      </c>
      <c r="CS446" s="408">
        <v>69.925038584090089</v>
      </c>
      <c r="CT446" s="408">
        <v>105.32884724614178</v>
      </c>
      <c r="CU446" s="408">
        <v>0</v>
      </c>
      <c r="CV446" s="408">
        <v>0</v>
      </c>
      <c r="CW446" s="408">
        <v>0</v>
      </c>
      <c r="CX446" s="408">
        <v>0</v>
      </c>
      <c r="CY446" s="408">
        <v>0</v>
      </c>
      <c r="CZ446" s="408">
        <v>247.1543359884472</v>
      </c>
      <c r="DA446" s="408">
        <v>0</v>
      </c>
      <c r="DB446" s="408">
        <v>0</v>
      </c>
      <c r="DC446" s="408">
        <v>2319.2589858365754</v>
      </c>
      <c r="DD446" s="408">
        <v>0</v>
      </c>
      <c r="DE446" s="408">
        <v>0</v>
      </c>
      <c r="DF446" s="408">
        <v>0</v>
      </c>
      <c r="DG446" s="408">
        <v>388.00769270213596</v>
      </c>
      <c r="DH446" s="408">
        <v>0</v>
      </c>
      <c r="DI446" s="408">
        <v>-109.01039638425391</v>
      </c>
      <c r="DJ446" s="408"/>
      <c r="DK446" s="408">
        <v>0</v>
      </c>
      <c r="DL446" s="408">
        <v>0</v>
      </c>
      <c r="DM446" s="408">
        <v>0</v>
      </c>
      <c r="DN446" s="408">
        <v>0</v>
      </c>
      <c r="DO446" s="408">
        <v>-14.162889608996579</v>
      </c>
      <c r="DP446" s="408">
        <v>-4.2830167761672442</v>
      </c>
      <c r="DQ446" s="408">
        <v>0</v>
      </c>
      <c r="DR446" s="408">
        <v>0</v>
      </c>
      <c r="DS446" s="408"/>
      <c r="DT446" s="408"/>
      <c r="DU446" s="408"/>
      <c r="DV446" s="408">
        <v>39164.502388929686</v>
      </c>
      <c r="DW446" s="408">
        <v>0</v>
      </c>
      <c r="DX446" s="408">
        <v>0</v>
      </c>
      <c r="DY446" s="408">
        <v>-21287.148120000005</v>
      </c>
      <c r="DZ446" s="408">
        <v>2319.9617699999981</v>
      </c>
      <c r="EA446" s="408">
        <v>0</v>
      </c>
      <c r="EB446" s="408">
        <v>0</v>
      </c>
      <c r="EC446" s="408">
        <v>-21970.882414299653</v>
      </c>
      <c r="ED446" s="408">
        <v>0</v>
      </c>
      <c r="EE446" s="408">
        <v>0</v>
      </c>
      <c r="EF446" s="408">
        <v>0</v>
      </c>
      <c r="EG446" s="408">
        <v>0</v>
      </c>
      <c r="EH446" s="408">
        <v>0</v>
      </c>
      <c r="EI446" s="408">
        <v>0</v>
      </c>
      <c r="EJ446" s="408">
        <v>0</v>
      </c>
      <c r="EK446" s="408">
        <v>0</v>
      </c>
      <c r="EL446" s="408">
        <v>0</v>
      </c>
      <c r="EM446" s="408">
        <v>0</v>
      </c>
      <c r="EN446" s="408">
        <v>0</v>
      </c>
      <c r="EO446" s="408">
        <v>0</v>
      </c>
      <c r="EP446" s="408">
        <v>0</v>
      </c>
      <c r="EQ446" s="408">
        <v>0</v>
      </c>
      <c r="ER446" s="408">
        <v>0</v>
      </c>
      <c r="ES446" s="408">
        <v>0</v>
      </c>
      <c r="ET446" s="408">
        <v>0</v>
      </c>
      <c r="EU446" s="408">
        <v>0</v>
      </c>
      <c r="EV446" s="408">
        <v>238</v>
      </c>
      <c r="EW446" s="408">
        <v>0</v>
      </c>
      <c r="EX446" s="408">
        <v>0</v>
      </c>
      <c r="EY446" s="408">
        <v>0</v>
      </c>
      <c r="EZ446" s="408"/>
      <c r="FA446" s="408">
        <v>0</v>
      </c>
      <c r="FB446" s="408"/>
      <c r="FC446" s="408"/>
      <c r="FD446" s="408"/>
      <c r="FE446" s="408"/>
      <c r="FF446" s="408">
        <v>0</v>
      </c>
      <c r="FG446" s="408">
        <v>0</v>
      </c>
      <c r="FH446" s="408">
        <v>0</v>
      </c>
      <c r="FI446" s="408">
        <v>0</v>
      </c>
    </row>
    <row r="447" spans="1:165">
      <c r="A447" s="408">
        <v>451</v>
      </c>
      <c r="B447" s="408" t="s">
        <v>1036</v>
      </c>
      <c r="C447" s="408" t="s">
        <v>2235</v>
      </c>
      <c r="D447" s="408" t="s">
        <v>1958</v>
      </c>
      <c r="E447" s="408" t="s">
        <v>2251</v>
      </c>
      <c r="F447" s="408" t="s">
        <v>1322</v>
      </c>
      <c r="G447" s="408" t="s">
        <v>1322</v>
      </c>
      <c r="H447" s="408" t="s">
        <v>1322</v>
      </c>
      <c r="I447" s="408" t="s">
        <v>1322</v>
      </c>
      <c r="J447" s="408" t="s">
        <v>2236</v>
      </c>
      <c r="K447" s="824">
        <v>44593</v>
      </c>
      <c r="L447" s="408">
        <v>0</v>
      </c>
      <c r="M447" s="408">
        <v>0</v>
      </c>
      <c r="N447" s="408">
        <v>53.040999999999997</v>
      </c>
      <c r="O447" s="408">
        <v>53.040999999999997</v>
      </c>
      <c r="P447" s="408">
        <v>53.040999999999997</v>
      </c>
      <c r="Q447" s="408">
        <v>53.040999999999997</v>
      </c>
      <c r="R447" s="408"/>
      <c r="S447" s="408">
        <v>581.32000000000005</v>
      </c>
      <c r="T447" s="408">
        <v>209.4</v>
      </c>
      <c r="U447" s="408"/>
      <c r="V447" s="408">
        <v>41940.579519999999</v>
      </c>
      <c r="W447" s="408">
        <v>41940.579519999999</v>
      </c>
      <c r="X447" s="408">
        <v>32040.476869999999</v>
      </c>
      <c r="Y447" s="408">
        <v>0</v>
      </c>
      <c r="Z447" s="408">
        <v>3264.0321504704352</v>
      </c>
      <c r="AA447" s="408">
        <v>0</v>
      </c>
      <c r="AB447" s="408">
        <v>0</v>
      </c>
      <c r="AC447" s="408">
        <v>0</v>
      </c>
      <c r="AD447" s="408">
        <v>3935.1725111147962</v>
      </c>
      <c r="AE447" s="408">
        <v>20442.283147946935</v>
      </c>
      <c r="AF447" s="408">
        <v>10960.962207501756</v>
      </c>
      <c r="AG447" s="408">
        <v>146.02001466549251</v>
      </c>
      <c r="AH447" s="408">
        <v>0</v>
      </c>
      <c r="AI447" s="408">
        <v>0</v>
      </c>
      <c r="AJ447" s="408">
        <v>0</v>
      </c>
      <c r="AK447" s="408">
        <v>0</v>
      </c>
      <c r="AL447" s="408">
        <v>504.39878085905497</v>
      </c>
      <c r="AM447" s="408"/>
      <c r="AN447" s="408">
        <v>96.691850275879091</v>
      </c>
      <c r="AO447" s="408">
        <v>302.30615978996809</v>
      </c>
      <c r="AP447" s="408">
        <v>455.36706122505495</v>
      </c>
      <c r="AQ447" s="408">
        <v>0</v>
      </c>
      <c r="AR447" s="408">
        <v>0</v>
      </c>
      <c r="AS447" s="408">
        <v>0</v>
      </c>
      <c r="AT447" s="408">
        <v>0</v>
      </c>
      <c r="AU447" s="408">
        <v>0</v>
      </c>
      <c r="AV447" s="408">
        <v>0</v>
      </c>
      <c r="AW447" s="408">
        <v>0</v>
      </c>
      <c r="AX447" s="408">
        <v>0</v>
      </c>
      <c r="AY447" s="408">
        <v>0</v>
      </c>
      <c r="AZ447" s="408">
        <v>0</v>
      </c>
      <c r="BA447" s="408"/>
      <c r="BB447" s="408">
        <v>0</v>
      </c>
      <c r="BC447" s="408">
        <v>0</v>
      </c>
      <c r="BD447" s="408">
        <v>0</v>
      </c>
      <c r="BE447" s="408">
        <v>0</v>
      </c>
      <c r="BF447" s="408">
        <v>0</v>
      </c>
      <c r="BG447" s="408">
        <v>1833.7484868660165</v>
      </c>
      <c r="BH447" s="408">
        <v>0</v>
      </c>
      <c r="BI447" s="408">
        <v>100.23</v>
      </c>
      <c r="BJ447" s="408">
        <v>461.55</v>
      </c>
      <c r="BK447" s="408">
        <v>13377.9</v>
      </c>
      <c r="BL447" s="408">
        <v>17</v>
      </c>
      <c r="BM447" s="408"/>
      <c r="BN447" s="408"/>
      <c r="BO447" s="408"/>
      <c r="BP447" s="408"/>
      <c r="BQ447" s="408"/>
      <c r="BR447" s="408"/>
      <c r="BS447" s="408"/>
      <c r="BT447" s="408"/>
      <c r="BU447" s="408"/>
      <c r="BV447" s="408">
        <v>12794.710694367772</v>
      </c>
      <c r="BW447" s="408"/>
      <c r="BX447" s="408"/>
      <c r="BY447" s="408"/>
      <c r="BZ447" s="408"/>
      <c r="CA447" s="408"/>
      <c r="CB447" s="408"/>
      <c r="CC447" s="408"/>
      <c r="CD447" s="408"/>
      <c r="CE447" s="408"/>
      <c r="CF447" s="408"/>
      <c r="CG447" s="408"/>
      <c r="CH447" s="408"/>
      <c r="CI447" s="408">
        <v>32039.872799999997</v>
      </c>
      <c r="CJ447" s="408">
        <v>-9900.7367200000008</v>
      </c>
      <c r="CK447" s="408"/>
      <c r="CL447" s="408"/>
      <c r="CM447" s="408"/>
      <c r="CN447" s="408"/>
      <c r="CO447" s="408">
        <v>-11111.028680000003</v>
      </c>
      <c r="CP447" s="408">
        <v>1210.9260299999992</v>
      </c>
      <c r="CQ447" s="408">
        <v>29</v>
      </c>
      <c r="CR447" s="408">
        <v>1567.0364462813486</v>
      </c>
      <c r="CS447" s="408">
        <v>36.498036504381275</v>
      </c>
      <c r="CT447" s="408">
        <v>54.977389924941235</v>
      </c>
      <c r="CU447" s="408">
        <v>0</v>
      </c>
      <c r="CV447" s="408">
        <v>0</v>
      </c>
      <c r="CW447" s="408">
        <v>0</v>
      </c>
      <c r="CX447" s="408">
        <v>0</v>
      </c>
      <c r="CY447" s="408">
        <v>0</v>
      </c>
      <c r="CZ447" s="408">
        <v>129.00454772398098</v>
      </c>
      <c r="DA447" s="408">
        <v>0</v>
      </c>
      <c r="DB447" s="408">
        <v>0</v>
      </c>
      <c r="DC447" s="408">
        <v>1210.5592051462609</v>
      </c>
      <c r="DD447" s="408">
        <v>0</v>
      </c>
      <c r="DE447" s="408">
        <v>0</v>
      </c>
      <c r="DF447" s="408">
        <v>0</v>
      </c>
      <c r="DG447" s="408">
        <v>202.52429199868129</v>
      </c>
      <c r="DH447" s="408">
        <v>0</v>
      </c>
      <c r="DI447" s="408">
        <v>-56.899009384241253</v>
      </c>
      <c r="DJ447" s="408"/>
      <c r="DK447" s="408">
        <v>0</v>
      </c>
      <c r="DL447" s="408">
        <v>0</v>
      </c>
      <c r="DM447" s="408">
        <v>0</v>
      </c>
      <c r="DN447" s="408">
        <v>0</v>
      </c>
      <c r="DO447" s="408">
        <v>-7.3924544401223216</v>
      </c>
      <c r="DP447" s="408">
        <v>-2.235561192539663</v>
      </c>
      <c r="DQ447" s="408">
        <v>0</v>
      </c>
      <c r="DR447" s="408">
        <v>0</v>
      </c>
      <c r="DS447" s="408"/>
      <c r="DT447" s="408"/>
      <c r="DU447" s="408"/>
      <c r="DV447" s="408">
        <v>20442.283147946935</v>
      </c>
      <c r="DW447" s="408">
        <v>0</v>
      </c>
      <c r="DX447" s="408">
        <v>0</v>
      </c>
      <c r="DY447" s="408">
        <v>-11111.028680000003</v>
      </c>
      <c r="DZ447" s="408">
        <v>1210.9260300000005</v>
      </c>
      <c r="EA447" s="408">
        <v>0</v>
      </c>
      <c r="EB447" s="408">
        <v>0</v>
      </c>
      <c r="EC447" s="408">
        <v>-11467.910274032101</v>
      </c>
      <c r="ED447" s="408">
        <v>0</v>
      </c>
      <c r="EE447" s="408">
        <v>0</v>
      </c>
      <c r="EF447" s="408">
        <v>0</v>
      </c>
      <c r="EG447" s="408">
        <v>0</v>
      </c>
      <c r="EH447" s="408">
        <v>0</v>
      </c>
      <c r="EI447" s="408">
        <v>0</v>
      </c>
      <c r="EJ447" s="408">
        <v>0</v>
      </c>
      <c r="EK447" s="408">
        <v>0</v>
      </c>
      <c r="EL447" s="408">
        <v>0</v>
      </c>
      <c r="EM447" s="408">
        <v>0</v>
      </c>
      <c r="EN447" s="408">
        <v>0</v>
      </c>
      <c r="EO447" s="408">
        <v>0</v>
      </c>
      <c r="EP447" s="408">
        <v>0</v>
      </c>
      <c r="EQ447" s="408">
        <v>0</v>
      </c>
      <c r="ER447" s="408">
        <v>0</v>
      </c>
      <c r="ES447" s="408">
        <v>0</v>
      </c>
      <c r="ET447" s="408">
        <v>0</v>
      </c>
      <c r="EU447" s="408">
        <v>0</v>
      </c>
      <c r="EV447" s="408">
        <v>238</v>
      </c>
      <c r="EW447" s="408">
        <v>0</v>
      </c>
      <c r="EX447" s="408">
        <v>0</v>
      </c>
      <c r="EY447" s="408">
        <v>0</v>
      </c>
      <c r="EZ447" s="408"/>
      <c r="FA447" s="408">
        <v>0</v>
      </c>
      <c r="FB447" s="408"/>
      <c r="FC447" s="408"/>
      <c r="FD447" s="408"/>
      <c r="FE447" s="408"/>
      <c r="FF447" s="408">
        <v>0</v>
      </c>
      <c r="FG447" s="408">
        <v>0</v>
      </c>
      <c r="FH447" s="408">
        <v>0</v>
      </c>
      <c r="FI447" s="408">
        <v>0</v>
      </c>
    </row>
    <row r="448" spans="1:165">
      <c r="A448" s="408">
        <v>452</v>
      </c>
      <c r="B448" s="408" t="s">
        <v>1036</v>
      </c>
      <c r="C448" s="408" t="s">
        <v>2235</v>
      </c>
      <c r="D448" s="408" t="s">
        <v>2245</v>
      </c>
      <c r="E448" s="408" t="s">
        <v>974</v>
      </c>
      <c r="F448" s="408" t="s">
        <v>2252</v>
      </c>
      <c r="G448" s="408" t="s">
        <v>2253</v>
      </c>
      <c r="H448" s="408" t="s">
        <v>1322</v>
      </c>
      <c r="I448" s="408" t="s">
        <v>1322</v>
      </c>
      <c r="J448" s="408" t="s">
        <v>2236</v>
      </c>
      <c r="K448" s="824">
        <v>44593</v>
      </c>
      <c r="L448" s="408">
        <v>0</v>
      </c>
      <c r="M448" s="408">
        <v>0</v>
      </c>
      <c r="N448" s="408">
        <v>0</v>
      </c>
      <c r="O448" s="408">
        <v>0</v>
      </c>
      <c r="P448" s="408">
        <v>0</v>
      </c>
      <c r="Q448" s="408">
        <v>0</v>
      </c>
      <c r="R448" s="408"/>
      <c r="S448" s="408"/>
      <c r="T448" s="408"/>
      <c r="U448" s="408"/>
      <c r="V448" s="408"/>
      <c r="W448" s="408"/>
      <c r="X448" s="408"/>
      <c r="Y448" s="408"/>
      <c r="Z448" s="408"/>
      <c r="AA448" s="408">
        <v>0</v>
      </c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408"/>
      <c r="AL448" s="408"/>
      <c r="AM448" s="408"/>
      <c r="AN448" s="408"/>
      <c r="AO448" s="408"/>
      <c r="AP448" s="408"/>
      <c r="AQ448" s="408"/>
      <c r="AR448" s="408"/>
      <c r="AS448" s="408"/>
      <c r="AT448" s="408"/>
      <c r="AU448" s="408"/>
      <c r="AV448" s="408"/>
      <c r="AW448" s="408"/>
      <c r="AX448" s="408"/>
      <c r="AY448" s="408"/>
      <c r="AZ448" s="408">
        <v>0</v>
      </c>
      <c r="BA448" s="408"/>
      <c r="BB448" s="408"/>
      <c r="BC448" s="408"/>
      <c r="BD448" s="408"/>
      <c r="BE448" s="408"/>
      <c r="BF448" s="408"/>
      <c r="BG448" s="408"/>
      <c r="BH448" s="408"/>
      <c r="BI448" s="408">
        <v>637.95000000000005</v>
      </c>
      <c r="BJ448" s="408">
        <v>2937.52</v>
      </c>
      <c r="BK448" s="408">
        <v>1260.3499999999999</v>
      </c>
      <c r="BL448" s="408">
        <v>128</v>
      </c>
      <c r="BM448" s="408"/>
      <c r="BN448" s="408"/>
      <c r="BO448" s="408"/>
      <c r="BP448" s="408"/>
      <c r="BQ448" s="408"/>
      <c r="BR448" s="408"/>
      <c r="BS448" s="408"/>
      <c r="BT448" s="408"/>
      <c r="BU448" s="408"/>
      <c r="BV448" s="408"/>
      <c r="BW448" s="408"/>
      <c r="BX448" s="408"/>
      <c r="BY448" s="408"/>
      <c r="BZ448" s="408"/>
      <c r="CA448" s="408"/>
      <c r="CB448" s="408"/>
      <c r="CC448" s="408"/>
      <c r="CD448" s="408"/>
      <c r="CE448" s="408"/>
      <c r="CF448" s="408"/>
      <c r="CG448" s="408"/>
      <c r="CH448" s="408"/>
      <c r="CI448" s="408"/>
      <c r="CJ448" s="408">
        <v>-0.03</v>
      </c>
      <c r="CK448" s="408"/>
      <c r="CL448" s="408"/>
      <c r="CM448" s="408"/>
      <c r="CN448" s="408"/>
      <c r="CO448" s="408">
        <v>0</v>
      </c>
      <c r="CP448" s="408">
        <v>0</v>
      </c>
      <c r="CQ448" s="408">
        <v>29</v>
      </c>
      <c r="CR448" s="408"/>
      <c r="CS448" s="408"/>
      <c r="CT448" s="408"/>
      <c r="CU448" s="408"/>
      <c r="CV448" s="408"/>
      <c r="CW448" s="408"/>
      <c r="CX448" s="408"/>
      <c r="CY448" s="408"/>
      <c r="CZ448" s="408"/>
      <c r="DA448" s="408"/>
      <c r="DB448" s="408"/>
      <c r="DC448" s="408"/>
      <c r="DD448" s="408"/>
      <c r="DE448" s="408"/>
      <c r="DF448" s="408"/>
      <c r="DG448" s="408"/>
      <c r="DH448" s="408"/>
      <c r="DI448" s="408"/>
      <c r="DJ448" s="408"/>
      <c r="DK448" s="408">
        <v>0</v>
      </c>
      <c r="DL448" s="408"/>
      <c r="DM448" s="408"/>
      <c r="DN448" s="408"/>
      <c r="DO448" s="408"/>
      <c r="DP448" s="408"/>
      <c r="DQ448" s="408"/>
      <c r="DR448" s="408"/>
      <c r="DS448" s="408"/>
      <c r="DT448" s="408"/>
      <c r="DU448" s="408"/>
      <c r="DV448" s="408"/>
      <c r="DW448" s="408"/>
      <c r="DX448" s="408"/>
      <c r="DY448" s="408"/>
      <c r="DZ448" s="408"/>
      <c r="EA448" s="408"/>
      <c r="EB448" s="408"/>
      <c r="EC448" s="408"/>
      <c r="ED448" s="408"/>
      <c r="EE448" s="408"/>
      <c r="EF448" s="408"/>
      <c r="EG448" s="408"/>
      <c r="EH448" s="408"/>
      <c r="EI448" s="408"/>
      <c r="EJ448" s="408"/>
      <c r="EK448" s="408"/>
      <c r="EL448" s="408"/>
      <c r="EM448" s="408"/>
      <c r="EN448" s="408"/>
      <c r="EO448" s="408"/>
      <c r="EP448" s="408"/>
      <c r="EQ448" s="408"/>
      <c r="ER448" s="408"/>
      <c r="ES448" s="408"/>
      <c r="ET448" s="408"/>
      <c r="EU448" s="408"/>
      <c r="EV448" s="408">
        <v>238</v>
      </c>
      <c r="EW448" s="408"/>
      <c r="EX448" s="408"/>
      <c r="EY448" s="408"/>
      <c r="EZ448" s="408"/>
      <c r="FA448" s="408">
        <v>0</v>
      </c>
      <c r="FB448" s="408"/>
      <c r="FC448" s="408"/>
      <c r="FD448" s="408"/>
      <c r="FE448" s="408"/>
      <c r="FF448" s="408">
        <v>0</v>
      </c>
      <c r="FG448" s="408">
        <v>0</v>
      </c>
      <c r="FH448" s="408">
        <v>0</v>
      </c>
      <c r="FI448" s="408">
        <v>0</v>
      </c>
    </row>
    <row r="449" spans="1:165">
      <c r="A449" s="408">
        <v>453</v>
      </c>
      <c r="B449" s="408" t="s">
        <v>2237</v>
      </c>
      <c r="C449" s="408" t="s">
        <v>2235</v>
      </c>
      <c r="D449" s="408" t="s">
        <v>2245</v>
      </c>
      <c r="E449" s="408" t="s">
        <v>974</v>
      </c>
      <c r="F449" s="408" t="s">
        <v>2252</v>
      </c>
      <c r="G449" s="408" t="s">
        <v>2253</v>
      </c>
      <c r="H449" s="408" t="s">
        <v>1322</v>
      </c>
      <c r="I449" s="408" t="s">
        <v>1322</v>
      </c>
      <c r="J449" s="408" t="s">
        <v>2236</v>
      </c>
      <c r="K449" s="824">
        <v>44593</v>
      </c>
      <c r="L449" s="408">
        <v>0</v>
      </c>
      <c r="M449" s="408">
        <v>0</v>
      </c>
      <c r="N449" s="408">
        <v>0</v>
      </c>
      <c r="O449" s="408">
        <v>0</v>
      </c>
      <c r="P449" s="408">
        <v>0</v>
      </c>
      <c r="Q449" s="408">
        <v>0</v>
      </c>
      <c r="R449" s="408"/>
      <c r="S449" s="408"/>
      <c r="T449" s="408"/>
      <c r="U449" s="408"/>
      <c r="V449" s="408"/>
      <c r="W449" s="408"/>
      <c r="X449" s="408"/>
      <c r="Y449" s="408"/>
      <c r="Z449" s="408"/>
      <c r="AA449" s="408">
        <v>0</v>
      </c>
      <c r="AB449" s="408"/>
      <c r="AC449" s="408"/>
      <c r="AD449" s="408"/>
      <c r="AE449" s="408"/>
      <c r="AF449" s="408"/>
      <c r="AG449" s="408"/>
      <c r="AH449" s="408"/>
      <c r="AI449" s="408"/>
      <c r="AJ449" s="408"/>
      <c r="AK449" s="408"/>
      <c r="AL449" s="408"/>
      <c r="AM449" s="408"/>
      <c r="AN449" s="408"/>
      <c r="AO449" s="408"/>
      <c r="AP449" s="408"/>
      <c r="AQ449" s="408"/>
      <c r="AR449" s="408"/>
      <c r="AS449" s="408"/>
      <c r="AT449" s="408"/>
      <c r="AU449" s="408"/>
      <c r="AV449" s="408"/>
      <c r="AW449" s="408"/>
      <c r="AX449" s="408"/>
      <c r="AY449" s="408"/>
      <c r="AZ449" s="408">
        <v>0</v>
      </c>
      <c r="BA449" s="408"/>
      <c r="BB449" s="408"/>
      <c r="BC449" s="408"/>
      <c r="BD449" s="408"/>
      <c r="BE449" s="408"/>
      <c r="BF449" s="408"/>
      <c r="BG449" s="408"/>
      <c r="BH449" s="408"/>
      <c r="BI449" s="408">
        <v>107.32</v>
      </c>
      <c r="BJ449" s="408">
        <v>503.01</v>
      </c>
      <c r="BK449" s="408">
        <v>0</v>
      </c>
      <c r="BL449" s="408">
        <v>0</v>
      </c>
      <c r="BM449" s="408"/>
      <c r="BN449" s="408"/>
      <c r="BO449" s="408"/>
      <c r="BP449" s="408"/>
      <c r="BQ449" s="408"/>
      <c r="BR449" s="408"/>
      <c r="BS449" s="408"/>
      <c r="BT449" s="408"/>
      <c r="BU449" s="408"/>
      <c r="BV449" s="408"/>
      <c r="BW449" s="408"/>
      <c r="BX449" s="408"/>
      <c r="BY449" s="408"/>
      <c r="BZ449" s="408"/>
      <c r="CA449" s="408"/>
      <c r="CB449" s="408"/>
      <c r="CC449" s="408"/>
      <c r="CD449" s="408"/>
      <c r="CE449" s="408"/>
      <c r="CF449" s="408"/>
      <c r="CG449" s="408"/>
      <c r="CH449" s="408"/>
      <c r="CI449" s="408"/>
      <c r="CJ449" s="408">
        <v>-0.03</v>
      </c>
      <c r="CK449" s="408"/>
      <c r="CL449" s="408"/>
      <c r="CM449" s="408"/>
      <c r="CN449" s="408"/>
      <c r="CO449" s="408">
        <v>0</v>
      </c>
      <c r="CP449" s="408">
        <v>0</v>
      </c>
      <c r="CQ449" s="408">
        <v>29</v>
      </c>
      <c r="CR449" s="408"/>
      <c r="CS449" s="408"/>
      <c r="CT449" s="408"/>
      <c r="CU449" s="408"/>
      <c r="CV449" s="408"/>
      <c r="CW449" s="408"/>
      <c r="CX449" s="408"/>
      <c r="CY449" s="408"/>
      <c r="CZ449" s="408"/>
      <c r="DA449" s="408"/>
      <c r="DB449" s="408"/>
      <c r="DC449" s="408"/>
      <c r="DD449" s="408"/>
      <c r="DE449" s="408"/>
      <c r="DF449" s="408"/>
      <c r="DG449" s="408"/>
      <c r="DH449" s="408"/>
      <c r="DI449" s="408"/>
      <c r="DJ449" s="408"/>
      <c r="DK449" s="408">
        <v>0</v>
      </c>
      <c r="DL449" s="408"/>
      <c r="DM449" s="408"/>
      <c r="DN449" s="408"/>
      <c r="DO449" s="408"/>
      <c r="DP449" s="408"/>
      <c r="DQ449" s="408"/>
      <c r="DR449" s="408"/>
      <c r="DS449" s="408"/>
      <c r="DT449" s="408"/>
      <c r="DU449" s="408"/>
      <c r="DV449" s="408"/>
      <c r="DW449" s="408"/>
      <c r="DX449" s="408"/>
      <c r="DY449" s="408"/>
      <c r="DZ449" s="408"/>
      <c r="EA449" s="408"/>
      <c r="EB449" s="408"/>
      <c r="EC449" s="408"/>
      <c r="ED449" s="408"/>
      <c r="EE449" s="408"/>
      <c r="EF449" s="408"/>
      <c r="EG449" s="408"/>
      <c r="EH449" s="408"/>
      <c r="EI449" s="408"/>
      <c r="EJ449" s="408"/>
      <c r="EK449" s="408"/>
      <c r="EL449" s="408"/>
      <c r="EM449" s="408"/>
      <c r="EN449" s="408"/>
      <c r="EO449" s="408"/>
      <c r="EP449" s="408"/>
      <c r="EQ449" s="408"/>
      <c r="ER449" s="408"/>
      <c r="ES449" s="408"/>
      <c r="ET449" s="408"/>
      <c r="EU449" s="408"/>
      <c r="EV449" s="408">
        <v>238</v>
      </c>
      <c r="EW449" s="408"/>
      <c r="EX449" s="408"/>
      <c r="EY449" s="408"/>
      <c r="EZ449" s="408"/>
      <c r="FA449" s="408">
        <v>0</v>
      </c>
      <c r="FB449" s="408"/>
      <c r="FC449" s="408"/>
      <c r="FD449" s="408"/>
      <c r="FE449" s="408"/>
      <c r="FF449" s="408">
        <v>0</v>
      </c>
      <c r="FG449" s="408">
        <v>0</v>
      </c>
      <c r="FH449" s="408">
        <v>0</v>
      </c>
      <c r="FI449" s="408">
        <v>0</v>
      </c>
    </row>
    <row r="450" spans="1:165">
      <c r="A450" s="408">
        <v>454</v>
      </c>
      <c r="B450" s="408" t="s">
        <v>2238</v>
      </c>
      <c r="C450" s="408" t="s">
        <v>2235</v>
      </c>
      <c r="D450" s="408" t="s">
        <v>2245</v>
      </c>
      <c r="E450" s="408" t="s">
        <v>974</v>
      </c>
      <c r="F450" s="408" t="s">
        <v>2252</v>
      </c>
      <c r="G450" s="408" t="s">
        <v>2253</v>
      </c>
      <c r="H450" s="408" t="s">
        <v>1322</v>
      </c>
      <c r="I450" s="408" t="s">
        <v>1322</v>
      </c>
      <c r="J450" s="408" t="s">
        <v>2236</v>
      </c>
      <c r="K450" s="824">
        <v>44593</v>
      </c>
      <c r="L450" s="408">
        <v>0</v>
      </c>
      <c r="M450" s="408">
        <v>0</v>
      </c>
      <c r="N450" s="408">
        <v>0</v>
      </c>
      <c r="O450" s="408">
        <v>0</v>
      </c>
      <c r="P450" s="408">
        <v>0</v>
      </c>
      <c r="Q450" s="408">
        <v>0</v>
      </c>
      <c r="R450" s="408"/>
      <c r="S450" s="408"/>
      <c r="T450" s="408"/>
      <c r="U450" s="408"/>
      <c r="V450" s="408"/>
      <c r="W450" s="408"/>
      <c r="X450" s="408"/>
      <c r="Y450" s="408"/>
      <c r="Z450" s="408"/>
      <c r="AA450" s="408">
        <v>0</v>
      </c>
      <c r="AB450" s="408"/>
      <c r="AC450" s="408"/>
      <c r="AD450" s="408"/>
      <c r="AE450" s="408"/>
      <c r="AF450" s="408"/>
      <c r="AG450" s="408"/>
      <c r="AH450" s="408"/>
      <c r="AI450" s="408"/>
      <c r="AJ450" s="408"/>
      <c r="AK450" s="408"/>
      <c r="AL450" s="408"/>
      <c r="AM450" s="408"/>
      <c r="AN450" s="408"/>
      <c r="AO450" s="408"/>
      <c r="AP450" s="408"/>
      <c r="AQ450" s="408"/>
      <c r="AR450" s="408"/>
      <c r="AS450" s="408"/>
      <c r="AT450" s="408"/>
      <c r="AU450" s="408"/>
      <c r="AV450" s="408"/>
      <c r="AW450" s="408"/>
      <c r="AX450" s="408"/>
      <c r="AY450" s="408"/>
      <c r="AZ450" s="408">
        <v>0</v>
      </c>
      <c r="BA450" s="408"/>
      <c r="BB450" s="408"/>
      <c r="BC450" s="408"/>
      <c r="BD450" s="408"/>
      <c r="BE450" s="408"/>
      <c r="BF450" s="408"/>
      <c r="BG450" s="408"/>
      <c r="BH450" s="408"/>
      <c r="BI450" s="408">
        <v>65.319999999999993</v>
      </c>
      <c r="BJ450" s="408">
        <v>301.06</v>
      </c>
      <c r="BK450" s="408">
        <v>307.39999999999998</v>
      </c>
      <c r="BL450" s="408">
        <v>31</v>
      </c>
      <c r="BM450" s="408"/>
      <c r="BN450" s="408"/>
      <c r="BO450" s="408"/>
      <c r="BP450" s="408"/>
      <c r="BQ450" s="408"/>
      <c r="BR450" s="408"/>
      <c r="BS450" s="408"/>
      <c r="BT450" s="408"/>
      <c r="BU450" s="408"/>
      <c r="BV450" s="408"/>
      <c r="BW450" s="408"/>
      <c r="BX450" s="408"/>
      <c r="BY450" s="408"/>
      <c r="BZ450" s="408"/>
      <c r="CA450" s="408"/>
      <c r="CB450" s="408"/>
      <c r="CC450" s="408"/>
      <c r="CD450" s="408"/>
      <c r="CE450" s="408"/>
      <c r="CF450" s="408"/>
      <c r="CG450" s="408"/>
      <c r="CH450" s="408"/>
      <c r="CI450" s="408"/>
      <c r="CJ450" s="408">
        <v>-0.03</v>
      </c>
      <c r="CK450" s="408"/>
      <c r="CL450" s="408"/>
      <c r="CM450" s="408"/>
      <c r="CN450" s="408"/>
      <c r="CO450" s="408">
        <v>0</v>
      </c>
      <c r="CP450" s="408">
        <v>0</v>
      </c>
      <c r="CQ450" s="408">
        <v>29</v>
      </c>
      <c r="CR450" s="408"/>
      <c r="CS450" s="408"/>
      <c r="CT450" s="408"/>
      <c r="CU450" s="408"/>
      <c r="CV450" s="408"/>
      <c r="CW450" s="408"/>
      <c r="CX450" s="408"/>
      <c r="CY450" s="408"/>
      <c r="CZ450" s="408"/>
      <c r="DA450" s="408"/>
      <c r="DB450" s="408"/>
      <c r="DC450" s="408"/>
      <c r="DD450" s="408"/>
      <c r="DE450" s="408"/>
      <c r="DF450" s="408"/>
      <c r="DG450" s="408"/>
      <c r="DH450" s="408"/>
      <c r="DI450" s="408"/>
      <c r="DJ450" s="408"/>
      <c r="DK450" s="408">
        <v>0</v>
      </c>
      <c r="DL450" s="408"/>
      <c r="DM450" s="408"/>
      <c r="DN450" s="408"/>
      <c r="DO450" s="408"/>
      <c r="DP450" s="408"/>
      <c r="DQ450" s="408"/>
      <c r="DR450" s="408"/>
      <c r="DS450" s="408"/>
      <c r="DT450" s="408"/>
      <c r="DU450" s="408"/>
      <c r="DV450" s="408"/>
      <c r="DW450" s="408"/>
      <c r="DX450" s="408"/>
      <c r="DY450" s="408"/>
      <c r="DZ450" s="408"/>
      <c r="EA450" s="408"/>
      <c r="EB450" s="408"/>
      <c r="EC450" s="408"/>
      <c r="ED450" s="408"/>
      <c r="EE450" s="408"/>
      <c r="EF450" s="408"/>
      <c r="EG450" s="408"/>
      <c r="EH450" s="408"/>
      <c r="EI450" s="408"/>
      <c r="EJ450" s="408"/>
      <c r="EK450" s="408"/>
      <c r="EL450" s="408"/>
      <c r="EM450" s="408"/>
      <c r="EN450" s="408"/>
      <c r="EO450" s="408"/>
      <c r="EP450" s="408"/>
      <c r="EQ450" s="408"/>
      <c r="ER450" s="408"/>
      <c r="ES450" s="408"/>
      <c r="ET450" s="408"/>
      <c r="EU450" s="408"/>
      <c r="EV450" s="408">
        <v>238</v>
      </c>
      <c r="EW450" s="408"/>
      <c r="EX450" s="408"/>
      <c r="EY450" s="408"/>
      <c r="EZ450" s="408"/>
      <c r="FA450" s="408">
        <v>0</v>
      </c>
      <c r="FB450" s="408"/>
      <c r="FC450" s="408"/>
      <c r="FD450" s="408"/>
      <c r="FE450" s="408"/>
      <c r="FF450" s="408">
        <v>0</v>
      </c>
      <c r="FG450" s="408">
        <v>0</v>
      </c>
      <c r="FH450" s="408">
        <v>0</v>
      </c>
      <c r="FI450" s="408">
        <v>0</v>
      </c>
    </row>
    <row r="451" spans="1:165">
      <c r="A451" s="408">
        <v>455</v>
      </c>
      <c r="B451" s="408" t="s">
        <v>1036</v>
      </c>
      <c r="C451" s="408" t="s">
        <v>2235</v>
      </c>
      <c r="D451" s="408" t="s">
        <v>2245</v>
      </c>
      <c r="E451" s="408" t="s">
        <v>974</v>
      </c>
      <c r="F451" s="408" t="s">
        <v>2252</v>
      </c>
      <c r="G451" s="408" t="s">
        <v>2253</v>
      </c>
      <c r="H451" s="408" t="s">
        <v>1322</v>
      </c>
      <c r="I451" s="408" t="s">
        <v>1322</v>
      </c>
      <c r="J451" s="408" t="s">
        <v>2236</v>
      </c>
      <c r="K451" s="824">
        <v>44593</v>
      </c>
      <c r="L451" s="408">
        <v>0</v>
      </c>
      <c r="M451" s="408">
        <v>0</v>
      </c>
      <c r="N451" s="408">
        <v>256.887</v>
      </c>
      <c r="O451" s="408">
        <v>256.887</v>
      </c>
      <c r="P451" s="408">
        <v>256.887</v>
      </c>
      <c r="Q451" s="408">
        <v>256.887</v>
      </c>
      <c r="R451" s="408"/>
      <c r="S451" s="408">
        <v>581.32000000000005</v>
      </c>
      <c r="T451" s="408">
        <v>209.4</v>
      </c>
      <c r="U451" s="408"/>
      <c r="V451" s="408">
        <v>203125.68864000001</v>
      </c>
      <c r="W451" s="408">
        <v>203125.68864000001</v>
      </c>
      <c r="X451" s="408">
        <v>155177.73009</v>
      </c>
      <c r="Y451" s="408">
        <v>0</v>
      </c>
      <c r="Z451" s="408">
        <v>15808.288437961175</v>
      </c>
      <c r="AA451" s="408">
        <v>0</v>
      </c>
      <c r="AB451" s="408">
        <v>0</v>
      </c>
      <c r="AC451" s="408">
        <v>0</v>
      </c>
      <c r="AD451" s="408">
        <v>19058.740613162397</v>
      </c>
      <c r="AE451" s="408">
        <v>99005.614355435304</v>
      </c>
      <c r="AF451" s="408">
        <v>53085.890134019042</v>
      </c>
      <c r="AG451" s="408">
        <v>707.20091075534742</v>
      </c>
      <c r="AH451" s="408">
        <v>0</v>
      </c>
      <c r="AI451" s="408">
        <v>0</v>
      </c>
      <c r="AJ451" s="408">
        <v>0</v>
      </c>
      <c r="AK451" s="408">
        <v>0</v>
      </c>
      <c r="AL451" s="408">
        <v>2442.8930378111286</v>
      </c>
      <c r="AM451" s="408"/>
      <c r="AN451" s="408">
        <v>468.29583420033094</v>
      </c>
      <c r="AO451" s="408">
        <v>1464.1225178628897</v>
      </c>
      <c r="AP451" s="408">
        <v>2205.4236959506929</v>
      </c>
      <c r="AQ451" s="408">
        <v>0</v>
      </c>
      <c r="AR451" s="408">
        <v>0</v>
      </c>
      <c r="AS451" s="408">
        <v>0</v>
      </c>
      <c r="AT451" s="408">
        <v>0</v>
      </c>
      <c r="AU451" s="408">
        <v>0</v>
      </c>
      <c r="AV451" s="408">
        <v>0</v>
      </c>
      <c r="AW451" s="408">
        <v>0</v>
      </c>
      <c r="AX451" s="408">
        <v>0</v>
      </c>
      <c r="AY451" s="408">
        <v>0</v>
      </c>
      <c r="AZ451" s="408">
        <v>0</v>
      </c>
      <c r="BA451" s="408"/>
      <c r="BB451" s="408">
        <v>0</v>
      </c>
      <c r="BC451" s="408">
        <v>0</v>
      </c>
      <c r="BD451" s="408">
        <v>0</v>
      </c>
      <c r="BE451" s="408">
        <v>0</v>
      </c>
      <c r="BF451" s="408">
        <v>0</v>
      </c>
      <c r="BG451" s="408">
        <v>8881.1701805311059</v>
      </c>
      <c r="BH451" s="408">
        <v>0</v>
      </c>
      <c r="BI451" s="408">
        <v>0</v>
      </c>
      <c r="BJ451" s="408">
        <v>0</v>
      </c>
      <c r="BK451" s="408">
        <v>0</v>
      </c>
      <c r="BL451" s="408">
        <v>0</v>
      </c>
      <c r="BM451" s="408"/>
      <c r="BN451" s="408"/>
      <c r="BO451" s="408"/>
      <c r="BP451" s="408"/>
      <c r="BQ451" s="408"/>
      <c r="BR451" s="408">
        <v>18621.738629999978</v>
      </c>
      <c r="BS451" s="408"/>
      <c r="BT451" s="408"/>
      <c r="BU451" s="408"/>
      <c r="BV451" s="408">
        <v>61967.060314550152</v>
      </c>
      <c r="BW451" s="408"/>
      <c r="BX451" s="408"/>
      <c r="BY451" s="408"/>
      <c r="BZ451" s="408"/>
      <c r="CA451" s="408"/>
      <c r="CB451" s="408"/>
      <c r="CC451" s="408"/>
      <c r="CD451" s="408"/>
      <c r="CE451" s="408"/>
      <c r="CF451" s="408"/>
      <c r="CG451" s="408"/>
      <c r="CH451" s="408"/>
      <c r="CI451" s="408">
        <v>136557.58620000002</v>
      </c>
      <c r="CJ451" s="408">
        <v>-42197.262750000024</v>
      </c>
      <c r="CK451" s="408"/>
      <c r="CL451" s="408"/>
      <c r="CM451" s="408"/>
      <c r="CN451" s="408"/>
      <c r="CO451" s="408">
        <v>-53812.688760000019</v>
      </c>
      <c r="CP451" s="408">
        <v>5864.7302099999961</v>
      </c>
      <c r="CQ451" s="408">
        <v>29</v>
      </c>
      <c r="CR451" s="408">
        <v>7589.4363148484263</v>
      </c>
      <c r="CS451" s="408">
        <v>176.76648448372021</v>
      </c>
      <c r="CT451" s="408">
        <v>266.265280926988</v>
      </c>
      <c r="CU451" s="408">
        <v>0</v>
      </c>
      <c r="CV451" s="408">
        <v>0</v>
      </c>
      <c r="CW451" s="408">
        <v>0</v>
      </c>
      <c r="CX451" s="408">
        <v>0</v>
      </c>
      <c r="CY451" s="408">
        <v>0</v>
      </c>
      <c r="CZ451" s="408">
        <v>624.79197698328426</v>
      </c>
      <c r="DA451" s="408">
        <v>0</v>
      </c>
      <c r="DB451" s="408">
        <v>0</v>
      </c>
      <c r="DC451" s="408">
        <v>5862.953611968238</v>
      </c>
      <c r="DD451" s="408">
        <v>0</v>
      </c>
      <c r="DE451" s="408">
        <v>0</v>
      </c>
      <c r="DF451" s="408">
        <v>0</v>
      </c>
      <c r="DG451" s="408">
        <v>980.86117906271102</v>
      </c>
      <c r="DH451" s="408">
        <v>0</v>
      </c>
      <c r="DI451" s="408">
        <v>-275.57202586092717</v>
      </c>
      <c r="DJ451" s="408"/>
      <c r="DK451" s="408">
        <v>0</v>
      </c>
      <c r="DL451" s="408">
        <v>0</v>
      </c>
      <c r="DM451" s="408">
        <v>0</v>
      </c>
      <c r="DN451" s="408">
        <v>0</v>
      </c>
      <c r="DO451" s="408">
        <v>-35.802972111380313</v>
      </c>
      <c r="DP451" s="408">
        <v>-10.827220604210595</v>
      </c>
      <c r="DQ451" s="408">
        <v>0</v>
      </c>
      <c r="DR451" s="408">
        <v>0</v>
      </c>
      <c r="DS451" s="408"/>
      <c r="DT451" s="408"/>
      <c r="DU451" s="408"/>
      <c r="DV451" s="408">
        <v>99005.614355435304</v>
      </c>
      <c r="DW451" s="408">
        <v>0</v>
      </c>
      <c r="DX451" s="408">
        <v>0</v>
      </c>
      <c r="DY451" s="408">
        <v>-53812.688760000019</v>
      </c>
      <c r="DZ451" s="408">
        <v>5864.7302099999943</v>
      </c>
      <c r="EA451" s="408">
        <v>0</v>
      </c>
      <c r="EB451" s="408">
        <v>0</v>
      </c>
      <c r="EC451" s="408">
        <v>-55541.129815902488</v>
      </c>
      <c r="ED451" s="408">
        <v>0</v>
      </c>
      <c r="EE451" s="408">
        <v>0</v>
      </c>
      <c r="EF451" s="408">
        <v>0</v>
      </c>
      <c r="EG451" s="408">
        <v>0</v>
      </c>
      <c r="EH451" s="408">
        <v>0</v>
      </c>
      <c r="EI451" s="408">
        <v>0</v>
      </c>
      <c r="EJ451" s="408">
        <v>0</v>
      </c>
      <c r="EK451" s="408">
        <v>0</v>
      </c>
      <c r="EL451" s="408">
        <v>0</v>
      </c>
      <c r="EM451" s="408">
        <v>0</v>
      </c>
      <c r="EN451" s="408">
        <v>0</v>
      </c>
      <c r="EO451" s="408">
        <v>0</v>
      </c>
      <c r="EP451" s="408">
        <v>0</v>
      </c>
      <c r="EQ451" s="408">
        <v>0</v>
      </c>
      <c r="ER451" s="408">
        <v>0</v>
      </c>
      <c r="ES451" s="408">
        <v>0</v>
      </c>
      <c r="ET451" s="408">
        <v>0</v>
      </c>
      <c r="EU451" s="408">
        <v>0</v>
      </c>
      <c r="EV451" s="408">
        <v>238</v>
      </c>
      <c r="EW451" s="408">
        <v>0</v>
      </c>
      <c r="EX451" s="408">
        <v>0</v>
      </c>
      <c r="EY451" s="408">
        <v>0</v>
      </c>
      <c r="EZ451" s="408"/>
      <c r="FA451" s="408">
        <v>0</v>
      </c>
      <c r="FB451" s="408"/>
      <c r="FC451" s="408"/>
      <c r="FD451" s="408"/>
      <c r="FE451" s="408"/>
      <c r="FF451" s="408">
        <v>0</v>
      </c>
      <c r="FG451" s="408">
        <v>0</v>
      </c>
      <c r="FH451" s="408">
        <v>0</v>
      </c>
      <c r="FI451" s="408">
        <v>0</v>
      </c>
    </row>
    <row r="452" spans="1:165">
      <c r="A452" s="408">
        <v>456</v>
      </c>
      <c r="B452" s="408" t="s">
        <v>2237</v>
      </c>
      <c r="C452" s="408" t="s">
        <v>2235</v>
      </c>
      <c r="D452" s="408" t="s">
        <v>2245</v>
      </c>
      <c r="E452" s="408" t="s">
        <v>974</v>
      </c>
      <c r="F452" s="408" t="s">
        <v>2252</v>
      </c>
      <c r="G452" s="408" t="s">
        <v>2253</v>
      </c>
      <c r="H452" s="408" t="s">
        <v>1322</v>
      </c>
      <c r="I452" s="408" t="s">
        <v>1322</v>
      </c>
      <c r="J452" s="408" t="s">
        <v>2236</v>
      </c>
      <c r="K452" s="824">
        <v>44593</v>
      </c>
      <c r="L452" s="408">
        <v>0</v>
      </c>
      <c r="M452" s="408">
        <v>0</v>
      </c>
      <c r="N452" s="408">
        <v>97.988</v>
      </c>
      <c r="O452" s="408">
        <v>97.988</v>
      </c>
      <c r="P452" s="408">
        <v>97.988</v>
      </c>
      <c r="Q452" s="408">
        <v>97.988</v>
      </c>
      <c r="R452" s="408"/>
      <c r="S452" s="408">
        <v>581.32000000000005</v>
      </c>
      <c r="T452" s="408">
        <v>209.4</v>
      </c>
      <c r="U452" s="408"/>
      <c r="V452" s="408">
        <v>77481.071360000002</v>
      </c>
      <c r="W452" s="408">
        <v>77481.071360000002</v>
      </c>
      <c r="X452" s="408">
        <v>59191.611159999993</v>
      </c>
      <c r="Y452" s="408">
        <v>0</v>
      </c>
      <c r="Z452" s="408">
        <v>6029.9764778246454</v>
      </c>
      <c r="AA452" s="408">
        <v>0</v>
      </c>
      <c r="AB452" s="408">
        <v>0</v>
      </c>
      <c r="AC452" s="408">
        <v>0</v>
      </c>
      <c r="AD452" s="408">
        <v>7269.841896252271</v>
      </c>
      <c r="AE452" s="408">
        <v>37765.095701457823</v>
      </c>
      <c r="AF452" s="408">
        <v>20249.293278570956</v>
      </c>
      <c r="AG452" s="408">
        <v>269.75753091084789</v>
      </c>
      <c r="AH452" s="408">
        <v>0</v>
      </c>
      <c r="AI452" s="408">
        <v>0</v>
      </c>
      <c r="AJ452" s="408">
        <v>0</v>
      </c>
      <c r="AK452" s="408">
        <v>0</v>
      </c>
      <c r="AL452" s="408">
        <v>931.82684600247126</v>
      </c>
      <c r="AM452" s="408"/>
      <c r="AN452" s="408">
        <v>178.62862737943931</v>
      </c>
      <c r="AO452" s="408">
        <v>558.48072218659888</v>
      </c>
      <c r="AP452" s="408">
        <v>841.2455948289188</v>
      </c>
      <c r="AQ452" s="408">
        <v>0</v>
      </c>
      <c r="AR452" s="408">
        <v>0</v>
      </c>
      <c r="AS452" s="408">
        <v>0</v>
      </c>
      <c r="AT452" s="408">
        <v>0</v>
      </c>
      <c r="AU452" s="408">
        <v>0</v>
      </c>
      <c r="AV452" s="408">
        <v>0</v>
      </c>
      <c r="AW452" s="408">
        <v>0</v>
      </c>
      <c r="AX452" s="408">
        <v>0</v>
      </c>
      <c r="AY452" s="408">
        <v>0</v>
      </c>
      <c r="AZ452" s="408">
        <v>0</v>
      </c>
      <c r="BA452" s="408"/>
      <c r="BB452" s="408">
        <v>0</v>
      </c>
      <c r="BC452" s="408">
        <v>0</v>
      </c>
      <c r="BD452" s="408">
        <v>0</v>
      </c>
      <c r="BE452" s="408">
        <v>0</v>
      </c>
      <c r="BF452" s="408">
        <v>0</v>
      </c>
      <c r="BG452" s="408">
        <v>3387.6689114275227</v>
      </c>
      <c r="BH452" s="408">
        <v>0</v>
      </c>
      <c r="BI452" s="408">
        <v>0</v>
      </c>
      <c r="BJ452" s="408">
        <v>0</v>
      </c>
      <c r="BK452" s="408">
        <v>0</v>
      </c>
      <c r="BL452" s="408">
        <v>0</v>
      </c>
      <c r="BM452" s="408"/>
      <c r="BN452" s="408"/>
      <c r="BO452" s="408"/>
      <c r="BP452" s="408"/>
      <c r="BQ452" s="408"/>
      <c r="BR452" s="408">
        <v>7103.150119999993</v>
      </c>
      <c r="BS452" s="408"/>
      <c r="BT452" s="408"/>
      <c r="BU452" s="408"/>
      <c r="BV452" s="408">
        <v>23636.962189998478</v>
      </c>
      <c r="BW452" s="408"/>
      <c r="BX452" s="408"/>
      <c r="BY452" s="408"/>
      <c r="BZ452" s="408"/>
      <c r="CA452" s="408"/>
      <c r="CB452" s="408"/>
      <c r="CC452" s="408"/>
      <c r="CD452" s="408"/>
      <c r="CE452" s="408"/>
      <c r="CF452" s="408"/>
      <c r="CG452" s="408"/>
      <c r="CH452" s="408"/>
      <c r="CI452" s="408">
        <v>52089.5242</v>
      </c>
      <c r="CJ452" s="408">
        <v>-16095.455600000001</v>
      </c>
      <c r="CK452" s="408"/>
      <c r="CL452" s="408"/>
      <c r="CM452" s="408"/>
      <c r="CN452" s="408"/>
      <c r="CO452" s="408">
        <v>-20526.526240000007</v>
      </c>
      <c r="CP452" s="408">
        <v>2237.0660399999983</v>
      </c>
      <c r="CQ452" s="408">
        <v>29</v>
      </c>
      <c r="CR452" s="408">
        <v>2894.9448030432395</v>
      </c>
      <c r="CS452" s="408">
        <v>67.426511585213689</v>
      </c>
      <c r="CT452" s="408">
        <v>101.56528881365637</v>
      </c>
      <c r="CU452" s="408">
        <v>0</v>
      </c>
      <c r="CV452" s="408">
        <v>0</v>
      </c>
      <c r="CW452" s="408">
        <v>0</v>
      </c>
      <c r="CX452" s="408">
        <v>0</v>
      </c>
      <c r="CY452" s="408">
        <v>0</v>
      </c>
      <c r="CZ452" s="408">
        <v>238.32313912591053</v>
      </c>
      <c r="DA452" s="408">
        <v>0</v>
      </c>
      <c r="DB452" s="408">
        <v>0</v>
      </c>
      <c r="DC452" s="408">
        <v>2236.3883673737655</v>
      </c>
      <c r="DD452" s="408">
        <v>0</v>
      </c>
      <c r="DE452" s="408">
        <v>0</v>
      </c>
      <c r="DF452" s="408">
        <v>0</v>
      </c>
      <c r="DG452" s="408">
        <v>374.14359315184083</v>
      </c>
      <c r="DH452" s="408">
        <v>0</v>
      </c>
      <c r="DI452" s="408">
        <v>-105.11529065332525</v>
      </c>
      <c r="DJ452" s="408"/>
      <c r="DK452" s="408">
        <v>0</v>
      </c>
      <c r="DL452" s="408">
        <v>0</v>
      </c>
      <c r="DM452" s="408">
        <v>0</v>
      </c>
      <c r="DN452" s="408">
        <v>0</v>
      </c>
      <c r="DO452" s="408">
        <v>-13.656828221162982</v>
      </c>
      <c r="DP452" s="408">
        <v>-4.1299781326629557</v>
      </c>
      <c r="DQ452" s="408">
        <v>0</v>
      </c>
      <c r="DR452" s="408">
        <v>0</v>
      </c>
      <c r="DS452" s="408"/>
      <c r="DT452" s="408"/>
      <c r="DU452" s="408"/>
      <c r="DV452" s="408">
        <v>37765.095701457823</v>
      </c>
      <c r="DW452" s="408">
        <v>0</v>
      </c>
      <c r="DX452" s="408">
        <v>0</v>
      </c>
      <c r="DY452" s="408">
        <v>-20526.526240000007</v>
      </c>
      <c r="DZ452" s="408">
        <v>2237.0660399999979</v>
      </c>
      <c r="EA452" s="408">
        <v>0</v>
      </c>
      <c r="EB452" s="408">
        <v>0</v>
      </c>
      <c r="EC452" s="408">
        <v>-21185.829677642909</v>
      </c>
      <c r="ED452" s="408">
        <v>0</v>
      </c>
      <c r="EE452" s="408">
        <v>0</v>
      </c>
      <c r="EF452" s="408">
        <v>0</v>
      </c>
      <c r="EG452" s="408">
        <v>0</v>
      </c>
      <c r="EH452" s="408">
        <v>0</v>
      </c>
      <c r="EI452" s="408">
        <v>0</v>
      </c>
      <c r="EJ452" s="408">
        <v>0</v>
      </c>
      <c r="EK452" s="408">
        <v>0</v>
      </c>
      <c r="EL452" s="408">
        <v>0</v>
      </c>
      <c r="EM452" s="408">
        <v>0</v>
      </c>
      <c r="EN452" s="408">
        <v>0</v>
      </c>
      <c r="EO452" s="408">
        <v>0</v>
      </c>
      <c r="EP452" s="408">
        <v>0</v>
      </c>
      <c r="EQ452" s="408">
        <v>0</v>
      </c>
      <c r="ER452" s="408">
        <v>0</v>
      </c>
      <c r="ES452" s="408">
        <v>0</v>
      </c>
      <c r="ET452" s="408">
        <v>0</v>
      </c>
      <c r="EU452" s="408">
        <v>0</v>
      </c>
      <c r="EV452" s="408">
        <v>238</v>
      </c>
      <c r="EW452" s="408">
        <v>0</v>
      </c>
      <c r="EX452" s="408">
        <v>0</v>
      </c>
      <c r="EY452" s="408">
        <v>0</v>
      </c>
      <c r="EZ452" s="408"/>
      <c r="FA452" s="408">
        <v>0</v>
      </c>
      <c r="FB452" s="408"/>
      <c r="FC452" s="408"/>
      <c r="FD452" s="408"/>
      <c r="FE452" s="408"/>
      <c r="FF452" s="408">
        <v>0</v>
      </c>
      <c r="FG452" s="408">
        <v>0</v>
      </c>
      <c r="FH452" s="408">
        <v>0</v>
      </c>
      <c r="FI452" s="408">
        <v>0</v>
      </c>
    </row>
    <row r="453" spans="1:165">
      <c r="A453" s="408">
        <v>457</v>
      </c>
      <c r="B453" s="408" t="s">
        <v>2238</v>
      </c>
      <c r="C453" s="408" t="s">
        <v>2235</v>
      </c>
      <c r="D453" s="408" t="s">
        <v>2245</v>
      </c>
      <c r="E453" s="408" t="s">
        <v>974</v>
      </c>
      <c r="F453" s="408" t="s">
        <v>2252</v>
      </c>
      <c r="G453" s="408" t="s">
        <v>2253</v>
      </c>
      <c r="H453" s="408" t="s">
        <v>1322</v>
      </c>
      <c r="I453" s="408" t="s">
        <v>1322</v>
      </c>
      <c r="J453" s="408" t="s">
        <v>2236</v>
      </c>
      <c r="K453" s="824">
        <v>44593</v>
      </c>
      <c r="L453" s="408">
        <v>0</v>
      </c>
      <c r="M453" s="408">
        <v>0</v>
      </c>
      <c r="N453" s="408">
        <v>21.326000000000001</v>
      </c>
      <c r="O453" s="408">
        <v>21.326000000000001</v>
      </c>
      <c r="P453" s="408">
        <v>21.326000000000001</v>
      </c>
      <c r="Q453" s="408">
        <v>21.326000000000001</v>
      </c>
      <c r="R453" s="408"/>
      <c r="S453" s="408">
        <v>581.32000000000005</v>
      </c>
      <c r="T453" s="408">
        <v>209.4</v>
      </c>
      <c r="U453" s="408"/>
      <c r="V453" s="408">
        <v>16862.89472</v>
      </c>
      <c r="W453" s="408">
        <v>16862.89472</v>
      </c>
      <c r="X453" s="408">
        <v>12882.39682</v>
      </c>
      <c r="Y453" s="408">
        <v>0</v>
      </c>
      <c r="Z453" s="408">
        <v>1312.357414847618</v>
      </c>
      <c r="AA453" s="408">
        <v>0</v>
      </c>
      <c r="AB453" s="408">
        <v>0</v>
      </c>
      <c r="AC453" s="408">
        <v>0</v>
      </c>
      <c r="AD453" s="408">
        <v>1582.2003539155401</v>
      </c>
      <c r="AE453" s="408">
        <v>8219.1536813618968</v>
      </c>
      <c r="AF453" s="408">
        <v>4407.0338047393989</v>
      </c>
      <c r="AG453" s="408">
        <v>58.709730826272015</v>
      </c>
      <c r="AH453" s="408">
        <v>0</v>
      </c>
      <c r="AI453" s="408">
        <v>0</v>
      </c>
      <c r="AJ453" s="408">
        <v>0</v>
      </c>
      <c r="AK453" s="408">
        <v>0</v>
      </c>
      <c r="AL453" s="408">
        <v>202.80176468392767</v>
      </c>
      <c r="AM453" s="408"/>
      <c r="AN453" s="408">
        <v>38.876536999366479</v>
      </c>
      <c r="AO453" s="408">
        <v>121.54712700893384</v>
      </c>
      <c r="AP453" s="408">
        <v>183.0877613107883</v>
      </c>
      <c r="AQ453" s="408">
        <v>0</v>
      </c>
      <c r="AR453" s="408">
        <v>0</v>
      </c>
      <c r="AS453" s="408">
        <v>0</v>
      </c>
      <c r="AT453" s="408">
        <v>0</v>
      </c>
      <c r="AU453" s="408">
        <v>0</v>
      </c>
      <c r="AV453" s="408">
        <v>0</v>
      </c>
      <c r="AW453" s="408">
        <v>0</v>
      </c>
      <c r="AX453" s="408">
        <v>0</v>
      </c>
      <c r="AY453" s="408">
        <v>0</v>
      </c>
      <c r="AZ453" s="408">
        <v>0</v>
      </c>
      <c r="BA453" s="408"/>
      <c r="BB453" s="408">
        <v>0</v>
      </c>
      <c r="BC453" s="408">
        <v>0</v>
      </c>
      <c r="BD453" s="408">
        <v>0</v>
      </c>
      <c r="BE453" s="408">
        <v>0</v>
      </c>
      <c r="BF453" s="408">
        <v>0</v>
      </c>
      <c r="BG453" s="408">
        <v>737.28851701334202</v>
      </c>
      <c r="BH453" s="408">
        <v>0</v>
      </c>
      <c r="BI453" s="408">
        <v>0</v>
      </c>
      <c r="BJ453" s="408">
        <v>0</v>
      </c>
      <c r="BK453" s="408">
        <v>0</v>
      </c>
      <c r="BL453" s="408">
        <v>0</v>
      </c>
      <c r="BM453" s="408"/>
      <c r="BN453" s="408"/>
      <c r="BO453" s="408"/>
      <c r="BP453" s="408"/>
      <c r="BQ453" s="408"/>
      <c r="BR453" s="408">
        <v>1545.9217399999984</v>
      </c>
      <c r="BS453" s="408"/>
      <c r="BT453" s="408"/>
      <c r="BU453" s="408"/>
      <c r="BV453" s="408">
        <v>5144.3223217527411</v>
      </c>
      <c r="BW453" s="408"/>
      <c r="BX453" s="408"/>
      <c r="BY453" s="408"/>
      <c r="BZ453" s="408"/>
      <c r="CA453" s="408"/>
      <c r="CB453" s="408"/>
      <c r="CC453" s="408"/>
      <c r="CD453" s="408"/>
      <c r="CE453" s="408"/>
      <c r="CF453" s="408"/>
      <c r="CG453" s="408"/>
      <c r="CH453" s="408"/>
      <c r="CI453" s="408">
        <v>11338.6014</v>
      </c>
      <c r="CJ453" s="408">
        <v>-3501.1257000000005</v>
      </c>
      <c r="CK453" s="408"/>
      <c r="CL453" s="408"/>
      <c r="CM453" s="408"/>
      <c r="CN453" s="408"/>
      <c r="CO453" s="408">
        <v>-4467.3704800000014</v>
      </c>
      <c r="CP453" s="408">
        <v>486.87257999999969</v>
      </c>
      <c r="CQ453" s="408">
        <v>29</v>
      </c>
      <c r="CR453" s="408">
        <v>630.05258674225479</v>
      </c>
      <c r="CS453" s="408">
        <v>14.674631445342953</v>
      </c>
      <c r="CT453" s="408">
        <v>22.104557182920701</v>
      </c>
      <c r="CU453" s="408">
        <v>0</v>
      </c>
      <c r="CV453" s="408">
        <v>0</v>
      </c>
      <c r="CW453" s="408">
        <v>0</v>
      </c>
      <c r="CX453" s="408">
        <v>0</v>
      </c>
      <c r="CY453" s="408">
        <v>0</v>
      </c>
      <c r="CZ453" s="408">
        <v>51.868384547078904</v>
      </c>
      <c r="DA453" s="408">
        <v>0</v>
      </c>
      <c r="DB453" s="408">
        <v>0</v>
      </c>
      <c r="DC453" s="408">
        <v>486.72509207875373</v>
      </c>
      <c r="DD453" s="408">
        <v>0</v>
      </c>
      <c r="DE453" s="408">
        <v>0</v>
      </c>
      <c r="DF453" s="408">
        <v>0</v>
      </c>
      <c r="DG453" s="408">
        <v>81.428198019718252</v>
      </c>
      <c r="DH453" s="408">
        <v>0</v>
      </c>
      <c r="DI453" s="408">
        <v>-22.877175658986971</v>
      </c>
      <c r="DJ453" s="408"/>
      <c r="DK453" s="408">
        <v>0</v>
      </c>
      <c r="DL453" s="408">
        <v>0</v>
      </c>
      <c r="DM453" s="408">
        <v>0</v>
      </c>
      <c r="DN453" s="408">
        <v>0</v>
      </c>
      <c r="DO453" s="408">
        <v>-2.9722569972294934</v>
      </c>
      <c r="DP453" s="408">
        <v>-0.89884387534360854</v>
      </c>
      <c r="DQ453" s="408">
        <v>0</v>
      </c>
      <c r="DR453" s="408">
        <v>0</v>
      </c>
      <c r="DS453" s="408"/>
      <c r="DT453" s="408"/>
      <c r="DU453" s="408"/>
      <c r="DV453" s="408">
        <v>8219.1536813618968</v>
      </c>
      <c r="DW453" s="408">
        <v>0</v>
      </c>
      <c r="DX453" s="408">
        <v>0</v>
      </c>
      <c r="DY453" s="408">
        <v>-4467.3704800000005</v>
      </c>
      <c r="DZ453" s="408">
        <v>486.87257999999929</v>
      </c>
      <c r="EA453" s="408">
        <v>0</v>
      </c>
      <c r="EB453" s="408">
        <v>0</v>
      </c>
      <c r="EC453" s="408">
        <v>-4610.860551347233</v>
      </c>
      <c r="ED453" s="408">
        <v>0</v>
      </c>
      <c r="EE453" s="408">
        <v>0</v>
      </c>
      <c r="EF453" s="408">
        <v>0</v>
      </c>
      <c r="EG453" s="408">
        <v>0</v>
      </c>
      <c r="EH453" s="408">
        <v>0</v>
      </c>
      <c r="EI453" s="408">
        <v>0</v>
      </c>
      <c r="EJ453" s="408">
        <v>0</v>
      </c>
      <c r="EK453" s="408">
        <v>0</v>
      </c>
      <c r="EL453" s="408">
        <v>0</v>
      </c>
      <c r="EM453" s="408">
        <v>0</v>
      </c>
      <c r="EN453" s="408">
        <v>0</v>
      </c>
      <c r="EO453" s="408">
        <v>0</v>
      </c>
      <c r="EP453" s="408">
        <v>0</v>
      </c>
      <c r="EQ453" s="408">
        <v>0</v>
      </c>
      <c r="ER453" s="408">
        <v>0</v>
      </c>
      <c r="ES453" s="408">
        <v>0</v>
      </c>
      <c r="ET453" s="408">
        <v>0</v>
      </c>
      <c r="EU453" s="408">
        <v>0</v>
      </c>
      <c r="EV453" s="408">
        <v>238</v>
      </c>
      <c r="EW453" s="408">
        <v>0</v>
      </c>
      <c r="EX453" s="408">
        <v>0</v>
      </c>
      <c r="EY453" s="408">
        <v>0</v>
      </c>
      <c r="EZ453" s="408"/>
      <c r="FA453" s="408">
        <v>0</v>
      </c>
      <c r="FB453" s="408"/>
      <c r="FC453" s="408"/>
      <c r="FD453" s="408"/>
      <c r="FE453" s="408"/>
      <c r="FF453" s="408">
        <v>0</v>
      </c>
      <c r="FG453" s="408">
        <v>0</v>
      </c>
      <c r="FH453" s="408">
        <v>0</v>
      </c>
      <c r="FI453" s="408">
        <v>0</v>
      </c>
    </row>
    <row r="454" spans="1:165">
      <c r="A454" s="408">
        <v>458</v>
      </c>
      <c r="B454" s="408" t="s">
        <v>1036</v>
      </c>
      <c r="C454" s="408" t="s">
        <v>2235</v>
      </c>
      <c r="D454" s="408" t="s">
        <v>2245</v>
      </c>
      <c r="E454" s="408" t="s">
        <v>974</v>
      </c>
      <c r="F454" s="408" t="s">
        <v>2252</v>
      </c>
      <c r="G454" s="408" t="s">
        <v>2254</v>
      </c>
      <c r="H454" s="408" t="s">
        <v>1322</v>
      </c>
      <c r="I454" s="408" t="s">
        <v>1322</v>
      </c>
      <c r="J454" s="408" t="s">
        <v>2236</v>
      </c>
      <c r="K454" s="824">
        <v>44593</v>
      </c>
      <c r="L454" s="408">
        <v>0</v>
      </c>
      <c r="M454" s="408">
        <v>0</v>
      </c>
      <c r="N454" s="408">
        <v>292.58199999999999</v>
      </c>
      <c r="O454" s="408">
        <v>117.03279999999999</v>
      </c>
      <c r="P454" s="408">
        <v>292.58199999999999</v>
      </c>
      <c r="Q454" s="408">
        <v>117.03279999999999</v>
      </c>
      <c r="R454" s="408"/>
      <c r="S454" s="408">
        <v>581.32000000000005</v>
      </c>
      <c r="T454" s="408">
        <v>209.4</v>
      </c>
      <c r="U454" s="408"/>
      <c r="V454" s="408">
        <v>231350.43904</v>
      </c>
      <c r="W454" s="408">
        <v>231350.43904</v>
      </c>
      <c r="X454" s="408">
        <v>176740.00873999999</v>
      </c>
      <c r="Y454" s="408">
        <v>0</v>
      </c>
      <c r="Z454" s="408">
        <v>18004.884045341169</v>
      </c>
      <c r="AA454" s="408">
        <v>0</v>
      </c>
      <c r="AB454" s="408">
        <v>0</v>
      </c>
      <c r="AC454" s="408">
        <v>0</v>
      </c>
      <c r="AD454" s="408">
        <v>21706.993526648996</v>
      </c>
      <c r="AE454" s="408">
        <v>112762.65696334175</v>
      </c>
      <c r="AF454" s="408">
        <v>60462.288505029675</v>
      </c>
      <c r="AG454" s="408">
        <v>805.46799515203588</v>
      </c>
      <c r="AH454" s="408">
        <v>0</v>
      </c>
      <c r="AI454" s="408">
        <v>0</v>
      </c>
      <c r="AJ454" s="408">
        <v>0</v>
      </c>
      <c r="AK454" s="408">
        <v>0</v>
      </c>
      <c r="AL454" s="408">
        <v>2782.3382685338515</v>
      </c>
      <c r="AM454" s="408"/>
      <c r="AN454" s="408">
        <v>533.36654545384238</v>
      </c>
      <c r="AO454" s="408">
        <v>1667.5654841286635</v>
      </c>
      <c r="AP454" s="408">
        <v>2511.8720519475319</v>
      </c>
      <c r="AQ454" s="408">
        <v>0</v>
      </c>
      <c r="AR454" s="408">
        <v>0</v>
      </c>
      <c r="AS454" s="408">
        <v>0</v>
      </c>
      <c r="AT454" s="408">
        <v>0</v>
      </c>
      <c r="AU454" s="408">
        <v>0</v>
      </c>
      <c r="AV454" s="408">
        <v>0</v>
      </c>
      <c r="AW454" s="408">
        <v>0</v>
      </c>
      <c r="AX454" s="408">
        <v>0</v>
      </c>
      <c r="AY454" s="408">
        <v>0</v>
      </c>
      <c r="AZ454" s="408">
        <v>0</v>
      </c>
      <c r="BA454" s="408"/>
      <c r="BB454" s="408">
        <v>0</v>
      </c>
      <c r="BC454" s="408">
        <v>0</v>
      </c>
      <c r="BD454" s="408">
        <v>0</v>
      </c>
      <c r="BE454" s="408">
        <v>0</v>
      </c>
      <c r="BF454" s="408">
        <v>0</v>
      </c>
      <c r="BG454" s="408">
        <v>10115.227838544388</v>
      </c>
      <c r="BH454" s="408">
        <v>0</v>
      </c>
      <c r="BI454" s="408">
        <v>0</v>
      </c>
      <c r="BJ454" s="408">
        <v>0</v>
      </c>
      <c r="BK454" s="408">
        <v>0</v>
      </c>
      <c r="BL454" s="408">
        <v>0</v>
      </c>
      <c r="BM454" s="408"/>
      <c r="BN454" s="408"/>
      <c r="BO454" s="408"/>
      <c r="BP454" s="408"/>
      <c r="BQ454" s="408"/>
      <c r="BR454" s="408"/>
      <c r="BS454" s="408">
        <v>114527.71291599997</v>
      </c>
      <c r="BT454" s="408"/>
      <c r="BU454" s="408"/>
      <c r="BV454" s="408">
        <v>70577.516343574069</v>
      </c>
      <c r="BW454" s="408"/>
      <c r="BX454" s="408"/>
      <c r="BY454" s="408"/>
      <c r="BZ454" s="408"/>
      <c r="CA454" s="408"/>
      <c r="CB454" s="408"/>
      <c r="CC454" s="408"/>
      <c r="CD454" s="408"/>
      <c r="CE454" s="408"/>
      <c r="CF454" s="408"/>
      <c r="CG454" s="408"/>
      <c r="CH454" s="408"/>
      <c r="CI454" s="408">
        <v>62210.807400000005</v>
      </c>
      <c r="CJ454" s="408">
        <v>-19226.496479999987</v>
      </c>
      <c r="CK454" s="408"/>
      <c r="CL454" s="408"/>
      <c r="CM454" s="408"/>
      <c r="CN454" s="408"/>
      <c r="CO454" s="408">
        <v>-61290.077360000018</v>
      </c>
      <c r="CP454" s="408">
        <v>6679.6470599999948</v>
      </c>
      <c r="CQ454" s="408">
        <v>29</v>
      </c>
      <c r="CR454" s="408">
        <v>8644.0047798097221</v>
      </c>
      <c r="CS454" s="408">
        <v>201.3285668921194</v>
      </c>
      <c r="CT454" s="408">
        <v>303.26341319015773</v>
      </c>
      <c r="CU454" s="408">
        <v>0</v>
      </c>
      <c r="CV454" s="408">
        <v>0</v>
      </c>
      <c r="CW454" s="408">
        <v>0</v>
      </c>
      <c r="CX454" s="408">
        <v>0</v>
      </c>
      <c r="CY454" s="408">
        <v>0</v>
      </c>
      <c r="CZ454" s="408">
        <v>711.60816316015553</v>
      </c>
      <c r="DA454" s="408">
        <v>0</v>
      </c>
      <c r="DB454" s="408">
        <v>0</v>
      </c>
      <c r="DC454" s="408">
        <v>6677.6235998586635</v>
      </c>
      <c r="DD454" s="408">
        <v>0</v>
      </c>
      <c r="DE454" s="408">
        <v>0</v>
      </c>
      <c r="DF454" s="408">
        <v>0</v>
      </c>
      <c r="DG454" s="408">
        <v>1117.1539450907439</v>
      </c>
      <c r="DH454" s="408">
        <v>0</v>
      </c>
      <c r="DI454" s="408">
        <v>-313.86335030749979</v>
      </c>
      <c r="DJ454" s="408"/>
      <c r="DK454" s="408">
        <v>0</v>
      </c>
      <c r="DL454" s="408">
        <v>0</v>
      </c>
      <c r="DM454" s="408">
        <v>0</v>
      </c>
      <c r="DN454" s="408">
        <v>0</v>
      </c>
      <c r="DO454" s="408">
        <v>-40.777871929259618</v>
      </c>
      <c r="DP454" s="408">
        <v>-12.331686145352364</v>
      </c>
      <c r="DQ454" s="408">
        <v>0</v>
      </c>
      <c r="DR454" s="408">
        <v>0</v>
      </c>
      <c r="DS454" s="408"/>
      <c r="DT454" s="408"/>
      <c r="DU454" s="408"/>
      <c r="DV454" s="408">
        <v>112762.65696334175</v>
      </c>
      <c r="DW454" s="408">
        <v>0</v>
      </c>
      <c r="DX454" s="408">
        <v>0</v>
      </c>
      <c r="DY454" s="408">
        <v>-61290.07736000001</v>
      </c>
      <c r="DZ454" s="408">
        <v>6679.6470599999957</v>
      </c>
      <c r="EA454" s="408">
        <v>0</v>
      </c>
      <c r="EB454" s="408">
        <v>0</v>
      </c>
      <c r="EC454" s="408">
        <v>-63258.689010328984</v>
      </c>
      <c r="ED454" s="408">
        <v>0</v>
      </c>
      <c r="EE454" s="408">
        <v>0</v>
      </c>
      <c r="EF454" s="408">
        <v>0</v>
      </c>
      <c r="EG454" s="408">
        <v>0</v>
      </c>
      <c r="EH454" s="408">
        <v>0</v>
      </c>
      <c r="EI454" s="408">
        <v>0</v>
      </c>
      <c r="EJ454" s="408">
        <v>0</v>
      </c>
      <c r="EK454" s="408">
        <v>0</v>
      </c>
      <c r="EL454" s="408">
        <v>0</v>
      </c>
      <c r="EM454" s="408">
        <v>0</v>
      </c>
      <c r="EN454" s="408">
        <v>0</v>
      </c>
      <c r="EO454" s="408">
        <v>0</v>
      </c>
      <c r="EP454" s="408">
        <v>0</v>
      </c>
      <c r="EQ454" s="408">
        <v>0</v>
      </c>
      <c r="ER454" s="408">
        <v>0</v>
      </c>
      <c r="ES454" s="408">
        <v>0</v>
      </c>
      <c r="ET454" s="408">
        <v>0</v>
      </c>
      <c r="EU454" s="408">
        <v>0</v>
      </c>
      <c r="EV454" s="408">
        <v>238</v>
      </c>
      <c r="EW454" s="408">
        <v>0</v>
      </c>
      <c r="EX454" s="408">
        <v>0</v>
      </c>
      <c r="EY454" s="408">
        <v>0</v>
      </c>
      <c r="EZ454" s="408"/>
      <c r="FA454" s="408">
        <v>0</v>
      </c>
      <c r="FB454" s="408"/>
      <c r="FC454" s="408"/>
      <c r="FD454" s="408"/>
      <c r="FE454" s="408"/>
      <c r="FF454" s="408">
        <v>0</v>
      </c>
      <c r="FG454" s="408">
        <v>0</v>
      </c>
      <c r="FH454" s="408">
        <v>0</v>
      </c>
      <c r="FI454" s="408">
        <v>0</v>
      </c>
    </row>
    <row r="455" spans="1:165">
      <c r="A455" s="408">
        <v>459</v>
      </c>
      <c r="B455" s="408" t="s">
        <v>2237</v>
      </c>
      <c r="C455" s="408" t="s">
        <v>2235</v>
      </c>
      <c r="D455" s="408" t="s">
        <v>2245</v>
      </c>
      <c r="E455" s="408" t="s">
        <v>974</v>
      </c>
      <c r="F455" s="408" t="s">
        <v>2252</v>
      </c>
      <c r="G455" s="408" t="s">
        <v>2254</v>
      </c>
      <c r="H455" s="408" t="s">
        <v>1322</v>
      </c>
      <c r="I455" s="408" t="s">
        <v>1322</v>
      </c>
      <c r="J455" s="408" t="s">
        <v>2236</v>
      </c>
      <c r="K455" s="824">
        <v>44593</v>
      </c>
      <c r="L455" s="408">
        <v>0</v>
      </c>
      <c r="M455" s="408">
        <v>0</v>
      </c>
      <c r="N455" s="408">
        <v>1.19</v>
      </c>
      <c r="O455" s="408">
        <v>0.47599999999999998</v>
      </c>
      <c r="P455" s="408">
        <v>1.19</v>
      </c>
      <c r="Q455" s="408">
        <v>0.47599999999999998</v>
      </c>
      <c r="R455" s="408"/>
      <c r="S455" s="408">
        <v>581.32000000000005</v>
      </c>
      <c r="T455" s="408">
        <v>209.4</v>
      </c>
      <c r="U455" s="408"/>
      <c r="V455" s="408">
        <v>940.95680000000004</v>
      </c>
      <c r="W455" s="408">
        <v>940.95680000000004</v>
      </c>
      <c r="X455" s="408">
        <v>718.8433</v>
      </c>
      <c r="Y455" s="408">
        <v>0</v>
      </c>
      <c r="Z455" s="408">
        <v>73.230109897245868</v>
      </c>
      <c r="AA455" s="408">
        <v>0</v>
      </c>
      <c r="AB455" s="408">
        <v>0</v>
      </c>
      <c r="AC455" s="408">
        <v>0</v>
      </c>
      <c r="AD455" s="408">
        <v>88.28746230701924</v>
      </c>
      <c r="AE455" s="408">
        <v>458.63232114886318</v>
      </c>
      <c r="AF455" s="408">
        <v>245.91438749131973</v>
      </c>
      <c r="AG455" s="408">
        <v>3.2760283073836485</v>
      </c>
      <c r="AH455" s="408">
        <v>0</v>
      </c>
      <c r="AI455" s="408">
        <v>0</v>
      </c>
      <c r="AJ455" s="408">
        <v>0</v>
      </c>
      <c r="AK455" s="408">
        <v>0</v>
      </c>
      <c r="AL455" s="408">
        <v>11.316425957698298</v>
      </c>
      <c r="AM455" s="408"/>
      <c r="AN455" s="408">
        <v>2.1693275358363553</v>
      </c>
      <c r="AO455" s="408">
        <v>6.7823821223216383</v>
      </c>
      <c r="AP455" s="408">
        <v>10.216376064889715</v>
      </c>
      <c r="AQ455" s="408">
        <v>0</v>
      </c>
      <c r="AR455" s="408">
        <v>0</v>
      </c>
      <c r="AS455" s="408">
        <v>0</v>
      </c>
      <c r="AT455" s="408">
        <v>0</v>
      </c>
      <c r="AU455" s="408">
        <v>0</v>
      </c>
      <c r="AV455" s="408">
        <v>0</v>
      </c>
      <c r="AW455" s="408">
        <v>0</v>
      </c>
      <c r="AX455" s="408">
        <v>0</v>
      </c>
      <c r="AY455" s="408">
        <v>0</v>
      </c>
      <c r="AZ455" s="408">
        <v>0</v>
      </c>
      <c r="BA455" s="408"/>
      <c r="BB455" s="408">
        <v>0</v>
      </c>
      <c r="BC455" s="408">
        <v>0</v>
      </c>
      <c r="BD455" s="408">
        <v>0</v>
      </c>
      <c r="BE455" s="408">
        <v>0</v>
      </c>
      <c r="BF455" s="408">
        <v>0</v>
      </c>
      <c r="BG455" s="408">
        <v>41.14101731435229</v>
      </c>
      <c r="BH455" s="408">
        <v>0</v>
      </c>
      <c r="BI455" s="408">
        <v>0</v>
      </c>
      <c r="BJ455" s="408">
        <v>0</v>
      </c>
      <c r="BK455" s="408">
        <v>0</v>
      </c>
      <c r="BL455" s="408">
        <v>0</v>
      </c>
      <c r="BM455" s="408"/>
      <c r="BN455" s="408"/>
      <c r="BO455" s="408"/>
      <c r="BP455" s="408"/>
      <c r="BQ455" s="408"/>
      <c r="BR455" s="408"/>
      <c r="BS455" s="408">
        <v>465.81121999999993</v>
      </c>
      <c r="BT455" s="408"/>
      <c r="BU455" s="408"/>
      <c r="BV455" s="408">
        <v>287.05540480567203</v>
      </c>
      <c r="BW455" s="408"/>
      <c r="BX455" s="408"/>
      <c r="BY455" s="408"/>
      <c r="BZ455" s="408"/>
      <c r="CA455" s="408"/>
      <c r="CB455" s="408"/>
      <c r="CC455" s="408"/>
      <c r="CD455" s="408"/>
      <c r="CE455" s="408"/>
      <c r="CF455" s="408"/>
      <c r="CG455" s="408"/>
      <c r="CH455" s="408"/>
      <c r="CI455" s="408">
        <v>255.15840000000003</v>
      </c>
      <c r="CJ455" s="408">
        <v>-76.096199999999953</v>
      </c>
      <c r="CK455" s="408"/>
      <c r="CL455" s="408"/>
      <c r="CM455" s="408"/>
      <c r="CN455" s="408"/>
      <c r="CO455" s="408">
        <v>-249.28120000000007</v>
      </c>
      <c r="CP455" s="408">
        <v>27.167699999999979</v>
      </c>
      <c r="CQ455" s="408">
        <v>29</v>
      </c>
      <c r="CR455" s="408">
        <v>35.157206143828375</v>
      </c>
      <c r="CS455" s="408">
        <v>0.81885076526109568</v>
      </c>
      <c r="CT455" s="408">
        <v>1.2334438266752148</v>
      </c>
      <c r="CU455" s="408">
        <v>0</v>
      </c>
      <c r="CV455" s="408">
        <v>0</v>
      </c>
      <c r="CW455" s="408">
        <v>0</v>
      </c>
      <c r="CX455" s="408">
        <v>0</v>
      </c>
      <c r="CY455" s="408">
        <v>0</v>
      </c>
      <c r="CZ455" s="408">
        <v>2.8942782336595769</v>
      </c>
      <c r="DA455" s="408">
        <v>0</v>
      </c>
      <c r="DB455" s="408">
        <v>0</v>
      </c>
      <c r="DC455" s="408">
        <v>27.159470110368403</v>
      </c>
      <c r="DD455" s="408">
        <v>0</v>
      </c>
      <c r="DE455" s="408">
        <v>0</v>
      </c>
      <c r="DF455" s="408">
        <v>0</v>
      </c>
      <c r="DG455" s="408">
        <v>4.543728577485922</v>
      </c>
      <c r="DH455" s="408">
        <v>0</v>
      </c>
      <c r="DI455" s="408">
        <v>-1.2765562709460028</v>
      </c>
      <c r="DJ455" s="408"/>
      <c r="DK455" s="408">
        <v>0</v>
      </c>
      <c r="DL455" s="408">
        <v>0</v>
      </c>
      <c r="DM455" s="408">
        <v>0</v>
      </c>
      <c r="DN455" s="408">
        <v>0</v>
      </c>
      <c r="DO455" s="408">
        <v>-0.1658532226720002</v>
      </c>
      <c r="DP455" s="408">
        <v>-5.0155876003887379E-2</v>
      </c>
      <c r="DQ455" s="408">
        <v>0</v>
      </c>
      <c r="DR455" s="408">
        <v>0</v>
      </c>
      <c r="DS455" s="408"/>
      <c r="DT455" s="408"/>
      <c r="DU455" s="408"/>
      <c r="DV455" s="408">
        <v>458.63232114886318</v>
      </c>
      <c r="DW455" s="408">
        <v>0</v>
      </c>
      <c r="DX455" s="408">
        <v>0</v>
      </c>
      <c r="DY455" s="408">
        <v>-249.28120000000007</v>
      </c>
      <c r="DZ455" s="408">
        <v>27.167699999999996</v>
      </c>
      <c r="EA455" s="408">
        <v>0</v>
      </c>
      <c r="EB455" s="408">
        <v>0</v>
      </c>
      <c r="EC455" s="408">
        <v>-257.28800788254745</v>
      </c>
      <c r="ED455" s="408">
        <v>0</v>
      </c>
      <c r="EE455" s="408">
        <v>0</v>
      </c>
      <c r="EF455" s="408">
        <v>0</v>
      </c>
      <c r="EG455" s="408">
        <v>0</v>
      </c>
      <c r="EH455" s="408">
        <v>0</v>
      </c>
      <c r="EI455" s="408">
        <v>0</v>
      </c>
      <c r="EJ455" s="408">
        <v>0</v>
      </c>
      <c r="EK455" s="408">
        <v>0</v>
      </c>
      <c r="EL455" s="408">
        <v>0</v>
      </c>
      <c r="EM455" s="408">
        <v>0</v>
      </c>
      <c r="EN455" s="408">
        <v>0</v>
      </c>
      <c r="EO455" s="408">
        <v>0</v>
      </c>
      <c r="EP455" s="408">
        <v>0</v>
      </c>
      <c r="EQ455" s="408">
        <v>0</v>
      </c>
      <c r="ER455" s="408">
        <v>0</v>
      </c>
      <c r="ES455" s="408">
        <v>0</v>
      </c>
      <c r="ET455" s="408">
        <v>0</v>
      </c>
      <c r="EU455" s="408">
        <v>0</v>
      </c>
      <c r="EV455" s="408">
        <v>238</v>
      </c>
      <c r="EW455" s="408">
        <v>0</v>
      </c>
      <c r="EX455" s="408">
        <v>0</v>
      </c>
      <c r="EY455" s="408">
        <v>0</v>
      </c>
      <c r="EZ455" s="408"/>
      <c r="FA455" s="408">
        <v>0</v>
      </c>
      <c r="FB455" s="408"/>
      <c r="FC455" s="408"/>
      <c r="FD455" s="408"/>
      <c r="FE455" s="408"/>
      <c r="FF455" s="408">
        <v>0</v>
      </c>
      <c r="FG455" s="408">
        <v>0</v>
      </c>
      <c r="FH455" s="408">
        <v>0</v>
      </c>
      <c r="FI455" s="408">
        <v>0</v>
      </c>
    </row>
    <row r="456" spans="1:165">
      <c r="A456" s="408">
        <v>460</v>
      </c>
      <c r="B456" s="408" t="s">
        <v>2238</v>
      </c>
      <c r="C456" s="408" t="s">
        <v>2235</v>
      </c>
      <c r="D456" s="408" t="s">
        <v>2245</v>
      </c>
      <c r="E456" s="408" t="s">
        <v>974</v>
      </c>
      <c r="F456" s="408" t="s">
        <v>2252</v>
      </c>
      <c r="G456" s="408" t="s">
        <v>2254</v>
      </c>
      <c r="H456" s="408" t="s">
        <v>1322</v>
      </c>
      <c r="I456" s="408" t="s">
        <v>1322</v>
      </c>
      <c r="J456" s="408" t="s">
        <v>2236</v>
      </c>
      <c r="K456" s="824">
        <v>44593</v>
      </c>
      <c r="L456" s="408">
        <v>0</v>
      </c>
      <c r="M456" s="408">
        <v>0</v>
      </c>
      <c r="N456" s="408">
        <v>36.558</v>
      </c>
      <c r="O456" s="408">
        <v>14.623200000000001</v>
      </c>
      <c r="P456" s="408">
        <v>36.558</v>
      </c>
      <c r="Q456" s="408">
        <v>14.623200000000001</v>
      </c>
      <c r="R456" s="408"/>
      <c r="S456" s="408">
        <v>581.32000000000005</v>
      </c>
      <c r="T456" s="408">
        <v>209.4</v>
      </c>
      <c r="U456" s="408"/>
      <c r="V456" s="408">
        <v>28907.141760000002</v>
      </c>
      <c r="W456" s="408">
        <v>28907.141760000002</v>
      </c>
      <c r="X456" s="408">
        <v>22083.591059999999</v>
      </c>
      <c r="Y456" s="408">
        <v>0</v>
      </c>
      <c r="Z456" s="408">
        <v>2249.7028215323649</v>
      </c>
      <c r="AA456" s="408">
        <v>0</v>
      </c>
      <c r="AB456" s="408">
        <v>0</v>
      </c>
      <c r="AC456" s="408">
        <v>0</v>
      </c>
      <c r="AD456" s="408">
        <v>2712.2798714453861</v>
      </c>
      <c r="AE456" s="408">
        <v>14089.647392067345</v>
      </c>
      <c r="AF456" s="408">
        <v>7554.7379646282916</v>
      </c>
      <c r="AG456" s="408">
        <v>100.64289316078272</v>
      </c>
      <c r="AH456" s="408">
        <v>0</v>
      </c>
      <c r="AI456" s="408">
        <v>0</v>
      </c>
      <c r="AJ456" s="408">
        <v>0</v>
      </c>
      <c r="AK456" s="408">
        <v>0</v>
      </c>
      <c r="AL456" s="408">
        <v>347.65201694246588</v>
      </c>
      <c r="AM456" s="408"/>
      <c r="AN456" s="408">
        <v>66.643929458071824</v>
      </c>
      <c r="AO456" s="408">
        <v>208.3616181746508</v>
      </c>
      <c r="AP456" s="408">
        <v>313.85737494137663</v>
      </c>
      <c r="AQ456" s="408">
        <v>0</v>
      </c>
      <c r="AR456" s="408">
        <v>0</v>
      </c>
      <c r="AS456" s="408">
        <v>0</v>
      </c>
      <c r="AT456" s="408">
        <v>0</v>
      </c>
      <c r="AU456" s="408">
        <v>0</v>
      </c>
      <c r="AV456" s="408">
        <v>0</v>
      </c>
      <c r="AW456" s="408">
        <v>0</v>
      </c>
      <c r="AX456" s="408">
        <v>0</v>
      </c>
      <c r="AY456" s="408">
        <v>0</v>
      </c>
      <c r="AZ456" s="408">
        <v>0</v>
      </c>
      <c r="BA456" s="408"/>
      <c r="BB456" s="408">
        <v>0</v>
      </c>
      <c r="BC456" s="408">
        <v>0</v>
      </c>
      <c r="BD456" s="408">
        <v>0</v>
      </c>
      <c r="BE456" s="408">
        <v>0</v>
      </c>
      <c r="BF456" s="408">
        <v>0</v>
      </c>
      <c r="BG456" s="408">
        <v>1263.8935386370513</v>
      </c>
      <c r="BH456" s="408">
        <v>0</v>
      </c>
      <c r="BI456" s="408">
        <v>0</v>
      </c>
      <c r="BJ456" s="408">
        <v>0</v>
      </c>
      <c r="BK456" s="408">
        <v>0</v>
      </c>
      <c r="BL456" s="408">
        <v>0</v>
      </c>
      <c r="BM456" s="408"/>
      <c r="BN456" s="408"/>
      <c r="BO456" s="408"/>
      <c r="BP456" s="408"/>
      <c r="BQ456" s="408"/>
      <c r="BR456" s="408"/>
      <c r="BS456" s="408">
        <v>14310.190403999997</v>
      </c>
      <c r="BT456" s="408"/>
      <c r="BU456" s="408"/>
      <c r="BV456" s="408">
        <v>8818.6315032653438</v>
      </c>
      <c r="BW456" s="408"/>
      <c r="BX456" s="408"/>
      <c r="BY456" s="408"/>
      <c r="BZ456" s="408"/>
      <c r="CA456" s="408"/>
      <c r="CB456" s="408"/>
      <c r="CC456" s="408"/>
      <c r="CD456" s="408"/>
      <c r="CE456" s="408"/>
      <c r="CF456" s="408"/>
      <c r="CG456" s="408"/>
      <c r="CH456" s="408"/>
      <c r="CI456" s="408">
        <v>7771.6995999999999</v>
      </c>
      <c r="CJ456" s="408">
        <v>-2403.8841200000006</v>
      </c>
      <c r="CK456" s="408"/>
      <c r="CL456" s="408"/>
      <c r="CM456" s="408"/>
      <c r="CN456" s="408"/>
      <c r="CO456" s="408">
        <v>-7658.1698400000023</v>
      </c>
      <c r="CP456" s="408">
        <v>834.61913999999945</v>
      </c>
      <c r="CQ456" s="408">
        <v>29</v>
      </c>
      <c r="CR456" s="408">
        <v>1080.0648253832587</v>
      </c>
      <c r="CS456" s="408">
        <v>25.155921240684989</v>
      </c>
      <c r="CT456" s="408">
        <v>37.892638164363461</v>
      </c>
      <c r="CU456" s="408">
        <v>0</v>
      </c>
      <c r="CV456" s="408">
        <v>0</v>
      </c>
      <c r="CW456" s="408">
        <v>0</v>
      </c>
      <c r="CX456" s="408">
        <v>0</v>
      </c>
      <c r="CY456" s="408">
        <v>0</v>
      </c>
      <c r="CZ456" s="408">
        <v>88.915145937921807</v>
      </c>
      <c r="DA456" s="408">
        <v>0</v>
      </c>
      <c r="DB456" s="408">
        <v>0</v>
      </c>
      <c r="DC456" s="408">
        <v>834.3663094914682</v>
      </c>
      <c r="DD456" s="408">
        <v>0</v>
      </c>
      <c r="DE456" s="408">
        <v>0</v>
      </c>
      <c r="DF456" s="408">
        <v>0</v>
      </c>
      <c r="DG456" s="408">
        <v>139.58792381153808</v>
      </c>
      <c r="DH456" s="408">
        <v>0</v>
      </c>
      <c r="DI456" s="408">
        <v>-39.21709592709567</v>
      </c>
      <c r="DJ456" s="408"/>
      <c r="DK456" s="408">
        <v>0</v>
      </c>
      <c r="DL456" s="408">
        <v>0</v>
      </c>
      <c r="DM456" s="408">
        <v>0</v>
      </c>
      <c r="DN456" s="408">
        <v>0</v>
      </c>
      <c r="DO456" s="408">
        <v>-5.0951782474310789</v>
      </c>
      <c r="DP456" s="408">
        <v>-1.5408390881933656</v>
      </c>
      <c r="DQ456" s="408">
        <v>0</v>
      </c>
      <c r="DR456" s="408">
        <v>0</v>
      </c>
      <c r="DS456" s="408"/>
      <c r="DT456" s="408"/>
      <c r="DU456" s="408"/>
      <c r="DV456" s="408">
        <v>14089.647392067345</v>
      </c>
      <c r="DW456" s="408">
        <v>0</v>
      </c>
      <c r="DX456" s="408">
        <v>0</v>
      </c>
      <c r="DY456" s="408">
        <v>-7658.1698400000023</v>
      </c>
      <c r="DZ456" s="408">
        <v>834.61913999999979</v>
      </c>
      <c r="EA456" s="408">
        <v>0</v>
      </c>
      <c r="EB456" s="408">
        <v>0</v>
      </c>
      <c r="EC456" s="408">
        <v>-7904.1470522438403</v>
      </c>
      <c r="ED456" s="408">
        <v>0</v>
      </c>
      <c r="EE456" s="408">
        <v>0</v>
      </c>
      <c r="EF456" s="408">
        <v>0</v>
      </c>
      <c r="EG456" s="408">
        <v>0</v>
      </c>
      <c r="EH456" s="408">
        <v>0</v>
      </c>
      <c r="EI456" s="408">
        <v>0</v>
      </c>
      <c r="EJ456" s="408">
        <v>0</v>
      </c>
      <c r="EK456" s="408">
        <v>0</v>
      </c>
      <c r="EL456" s="408">
        <v>0</v>
      </c>
      <c r="EM456" s="408">
        <v>0</v>
      </c>
      <c r="EN456" s="408">
        <v>0</v>
      </c>
      <c r="EO456" s="408">
        <v>0</v>
      </c>
      <c r="EP456" s="408">
        <v>0</v>
      </c>
      <c r="EQ456" s="408">
        <v>0</v>
      </c>
      <c r="ER456" s="408">
        <v>0</v>
      </c>
      <c r="ES456" s="408">
        <v>0</v>
      </c>
      <c r="ET456" s="408">
        <v>0</v>
      </c>
      <c r="EU456" s="408">
        <v>0</v>
      </c>
      <c r="EV456" s="408">
        <v>238</v>
      </c>
      <c r="EW456" s="408">
        <v>0</v>
      </c>
      <c r="EX456" s="408">
        <v>0</v>
      </c>
      <c r="EY456" s="408">
        <v>0</v>
      </c>
      <c r="EZ456" s="408"/>
      <c r="FA456" s="408">
        <v>0</v>
      </c>
      <c r="FB456" s="408"/>
      <c r="FC456" s="408"/>
      <c r="FD456" s="408"/>
      <c r="FE456" s="408"/>
      <c r="FF456" s="408">
        <v>0</v>
      </c>
      <c r="FG456" s="408">
        <v>0</v>
      </c>
      <c r="FH456" s="408">
        <v>0</v>
      </c>
      <c r="FI456" s="408">
        <v>0</v>
      </c>
    </row>
    <row r="457" spans="1:165">
      <c r="A457" s="408">
        <v>461</v>
      </c>
      <c r="B457" s="408" t="s">
        <v>1036</v>
      </c>
      <c r="C457" s="408" t="s">
        <v>2243</v>
      </c>
      <c r="D457" s="408" t="s">
        <v>597</v>
      </c>
      <c r="E457" s="408" t="s">
        <v>974</v>
      </c>
      <c r="F457" s="408" t="s">
        <v>2252</v>
      </c>
      <c r="G457" s="408" t="s">
        <v>1322</v>
      </c>
      <c r="H457" s="408" t="s">
        <v>1322</v>
      </c>
      <c r="I457" s="408" t="s">
        <v>973</v>
      </c>
      <c r="J457" s="408" t="s">
        <v>2236</v>
      </c>
      <c r="K457" s="824">
        <v>44593</v>
      </c>
      <c r="L457" s="408">
        <v>0</v>
      </c>
      <c r="M457" s="408">
        <v>0</v>
      </c>
      <c r="N457" s="408">
        <v>33.893999999999998</v>
      </c>
      <c r="O457" s="408">
        <v>32.538240000000002</v>
      </c>
      <c r="P457" s="408">
        <v>33.893999999999998</v>
      </c>
      <c r="Q457" s="408">
        <v>32.538240000000002</v>
      </c>
      <c r="R457" s="408"/>
      <c r="S457" s="408">
        <v>1614.19</v>
      </c>
      <c r="T457" s="408">
        <v>209.4</v>
      </c>
      <c r="U457" s="408"/>
      <c r="V457" s="408">
        <v>61808.759459999994</v>
      </c>
      <c r="W457" s="408">
        <v>61808.759459999994</v>
      </c>
      <c r="X457" s="408">
        <v>41084.612099999998</v>
      </c>
      <c r="Y457" s="408">
        <v>0</v>
      </c>
      <c r="Z457" s="408">
        <v>1814.6162773326134</v>
      </c>
      <c r="AA457" s="408">
        <v>0</v>
      </c>
      <c r="AB457" s="408">
        <v>0</v>
      </c>
      <c r="AC457" s="408">
        <v>0</v>
      </c>
      <c r="AD457" s="408">
        <v>10555.201364719434</v>
      </c>
      <c r="AE457" s="408">
        <v>39413.184267529148</v>
      </c>
      <c r="AF457" s="408">
        <v>7004.2203778410012</v>
      </c>
      <c r="AG457" s="408">
        <v>93.308994496186031</v>
      </c>
      <c r="AH457" s="408">
        <v>0</v>
      </c>
      <c r="AI457" s="408">
        <v>0</v>
      </c>
      <c r="AJ457" s="408">
        <v>0</v>
      </c>
      <c r="AK457" s="408">
        <v>0</v>
      </c>
      <c r="AL457" s="408">
        <v>322.31843815985388</v>
      </c>
      <c r="AM457" s="408"/>
      <c r="AN457" s="408">
        <v>45.005954992574217</v>
      </c>
      <c r="AO457" s="408">
        <v>820.06280058443929</v>
      </c>
      <c r="AP457" s="408">
        <v>1221.4958277609776</v>
      </c>
      <c r="AQ457" s="408">
        <v>0</v>
      </c>
      <c r="AR457" s="408">
        <v>0</v>
      </c>
      <c r="AS457" s="408">
        <v>0</v>
      </c>
      <c r="AT457" s="408">
        <v>0</v>
      </c>
      <c r="AU457" s="408">
        <v>0</v>
      </c>
      <c r="AV457" s="408">
        <v>0</v>
      </c>
      <c r="AW457" s="408">
        <v>0</v>
      </c>
      <c r="AX457" s="408">
        <v>0</v>
      </c>
      <c r="AY457" s="408">
        <v>0</v>
      </c>
      <c r="AZ457" s="408">
        <v>0</v>
      </c>
      <c r="BA457" s="408"/>
      <c r="BB457" s="408">
        <v>0</v>
      </c>
      <c r="BC457" s="408">
        <v>0</v>
      </c>
      <c r="BD457" s="408">
        <v>0</v>
      </c>
      <c r="BE457" s="408">
        <v>0</v>
      </c>
      <c r="BF457" s="408">
        <v>0</v>
      </c>
      <c r="BG457" s="408">
        <v>519.40644602721102</v>
      </c>
      <c r="BH457" s="408">
        <v>0</v>
      </c>
      <c r="BI457" s="408">
        <v>0</v>
      </c>
      <c r="BJ457" s="408">
        <v>0</v>
      </c>
      <c r="BK457" s="408">
        <v>0</v>
      </c>
      <c r="BL457" s="408">
        <v>0</v>
      </c>
      <c r="BM457" s="408"/>
      <c r="BN457" s="408"/>
      <c r="BO457" s="408"/>
      <c r="BP457" s="408"/>
      <c r="BQ457" s="408"/>
      <c r="BR457" s="408">
        <v>1643.3844839999956</v>
      </c>
      <c r="BS457" s="408"/>
      <c r="BT457" s="408"/>
      <c r="BU457" s="408"/>
      <c r="BV457" s="408">
        <v>7523.6268238682123</v>
      </c>
      <c r="BW457" s="408"/>
      <c r="BX457" s="408"/>
      <c r="BY457" s="408"/>
      <c r="BZ457" s="408"/>
      <c r="CA457" s="408"/>
      <c r="CB457" s="408"/>
      <c r="CC457" s="408"/>
      <c r="CD457" s="408"/>
      <c r="CE457" s="408"/>
      <c r="CF457" s="408"/>
      <c r="CG457" s="408"/>
      <c r="CH457" s="408"/>
      <c r="CI457" s="408">
        <v>39443.360999999997</v>
      </c>
      <c r="CJ457" s="408">
        <v>-19893.078081600012</v>
      </c>
      <c r="CK457" s="408"/>
      <c r="CL457" s="408"/>
      <c r="CM457" s="408"/>
      <c r="CN457" s="408"/>
      <c r="CO457" s="408">
        <v>-21497.947380000001</v>
      </c>
      <c r="CP457" s="408">
        <v>773.80001999999945</v>
      </c>
      <c r="CQ457" s="408">
        <v>29</v>
      </c>
      <c r="CR457" s="408">
        <v>1386.0399954881505</v>
      </c>
      <c r="CS457" s="408">
        <v>99.0078470528357</v>
      </c>
      <c r="CT457" s="408">
        <v>147.47367153399659</v>
      </c>
      <c r="CU457" s="408">
        <v>0</v>
      </c>
      <c r="CV457" s="408">
        <v>0</v>
      </c>
      <c r="CW457" s="408">
        <v>0</v>
      </c>
      <c r="CX457" s="408">
        <v>0</v>
      </c>
      <c r="CY457" s="408">
        <v>0</v>
      </c>
      <c r="CZ457" s="408">
        <v>346.02523125611697</v>
      </c>
      <c r="DA457" s="408">
        <v>0</v>
      </c>
      <c r="DB457" s="408">
        <v>0</v>
      </c>
      <c r="DC457" s="408">
        <v>773.56561337884523</v>
      </c>
      <c r="DD457" s="408">
        <v>0</v>
      </c>
      <c r="DE457" s="408">
        <v>0</v>
      </c>
      <c r="DF457" s="408">
        <v>0</v>
      </c>
      <c r="DG457" s="408">
        <v>57.364695046589873</v>
      </c>
      <c r="DH457" s="408">
        <v>0</v>
      </c>
      <c r="DI457" s="408">
        <v>-31.632613844770958</v>
      </c>
      <c r="DJ457" s="408"/>
      <c r="DK457" s="408">
        <v>0</v>
      </c>
      <c r="DL457" s="408">
        <v>0</v>
      </c>
      <c r="DM457" s="408">
        <v>0</v>
      </c>
      <c r="DN457" s="408">
        <v>0</v>
      </c>
      <c r="DO457" s="408">
        <v>-4.7238900245754394</v>
      </c>
      <c r="DP457" s="408">
        <v>-1.0405589108858919</v>
      </c>
      <c r="DQ457" s="408">
        <v>0</v>
      </c>
      <c r="DR457" s="408">
        <v>0</v>
      </c>
      <c r="DS457" s="408"/>
      <c r="DT457" s="408"/>
      <c r="DU457" s="408"/>
      <c r="DV457" s="408">
        <v>39413.184267529148</v>
      </c>
      <c r="DW457" s="408">
        <v>0</v>
      </c>
      <c r="DX457" s="408">
        <v>0</v>
      </c>
      <c r="DY457" s="408">
        <v>-21497.947379999998</v>
      </c>
      <c r="DZ457" s="408">
        <v>773.80001999999968</v>
      </c>
      <c r="EA457" s="408">
        <v>0</v>
      </c>
      <c r="EB457" s="408">
        <v>0</v>
      </c>
      <c r="EC457" s="408">
        <v>-22110.39038657058</v>
      </c>
      <c r="ED457" s="408">
        <v>0</v>
      </c>
      <c r="EE457" s="408">
        <v>0</v>
      </c>
      <c r="EF457" s="408">
        <v>0</v>
      </c>
      <c r="EG457" s="408">
        <v>0</v>
      </c>
      <c r="EH457" s="408">
        <v>0</v>
      </c>
      <c r="EI457" s="408">
        <v>0</v>
      </c>
      <c r="EJ457" s="408">
        <v>0</v>
      </c>
      <c r="EK457" s="408">
        <v>0</v>
      </c>
      <c r="EL457" s="408">
        <v>0</v>
      </c>
      <c r="EM457" s="408">
        <v>0</v>
      </c>
      <c r="EN457" s="408">
        <v>0</v>
      </c>
      <c r="EO457" s="408">
        <v>0</v>
      </c>
      <c r="EP457" s="408">
        <v>0</v>
      </c>
      <c r="EQ457" s="408">
        <v>0</v>
      </c>
      <c r="ER457" s="408">
        <v>0</v>
      </c>
      <c r="ES457" s="408">
        <v>0</v>
      </c>
      <c r="ET457" s="408">
        <v>0</v>
      </c>
      <c r="EU457" s="408">
        <v>0</v>
      </c>
      <c r="EV457" s="408">
        <v>238</v>
      </c>
      <c r="EW457" s="408">
        <v>0</v>
      </c>
      <c r="EX457" s="408">
        <v>0</v>
      </c>
      <c r="EY457" s="408">
        <v>0</v>
      </c>
      <c r="EZ457" s="408"/>
      <c r="FA457" s="408">
        <v>0</v>
      </c>
      <c r="FB457" s="408"/>
      <c r="FC457" s="408"/>
      <c r="FD457" s="408"/>
      <c r="FE457" s="408"/>
      <c r="FF457" s="408">
        <v>0</v>
      </c>
      <c r="FG457" s="408">
        <v>0</v>
      </c>
      <c r="FH457" s="408">
        <v>0</v>
      </c>
      <c r="FI457" s="408">
        <v>0</v>
      </c>
    </row>
    <row r="458" spans="1:165">
      <c r="A458" s="408">
        <v>462</v>
      </c>
      <c r="B458" s="408" t="s">
        <v>2237</v>
      </c>
      <c r="C458" s="408" t="s">
        <v>2243</v>
      </c>
      <c r="D458" s="408" t="s">
        <v>597</v>
      </c>
      <c r="E458" s="408" t="s">
        <v>974</v>
      </c>
      <c r="F458" s="408" t="s">
        <v>2252</v>
      </c>
      <c r="G458" s="408" t="s">
        <v>1322</v>
      </c>
      <c r="H458" s="408" t="s">
        <v>1322</v>
      </c>
      <c r="I458" s="408" t="s">
        <v>973</v>
      </c>
      <c r="J458" s="408" t="s">
        <v>2236</v>
      </c>
      <c r="K458" s="824">
        <v>44593</v>
      </c>
      <c r="L458" s="408">
        <v>0</v>
      </c>
      <c r="M458" s="408">
        <v>0</v>
      </c>
      <c r="N458" s="408">
        <v>1.6E-2</v>
      </c>
      <c r="O458" s="408">
        <v>1.536E-2</v>
      </c>
      <c r="P458" s="408">
        <v>1.6E-2</v>
      </c>
      <c r="Q458" s="408">
        <v>1.536E-2</v>
      </c>
      <c r="R458" s="408"/>
      <c r="S458" s="408">
        <v>1614.19</v>
      </c>
      <c r="T458" s="408">
        <v>209.4</v>
      </c>
      <c r="U458" s="408"/>
      <c r="V458" s="408">
        <v>29.177440000000001</v>
      </c>
      <c r="W458" s="408">
        <v>29.177440000000001</v>
      </c>
      <c r="X458" s="408">
        <v>19.394400000000001</v>
      </c>
      <c r="Y458" s="408">
        <v>0</v>
      </c>
      <c r="Z458" s="408">
        <v>0.85660767207534716</v>
      </c>
      <c r="AA458" s="408">
        <v>0</v>
      </c>
      <c r="AB458" s="408">
        <v>0</v>
      </c>
      <c r="AC458" s="408">
        <v>0</v>
      </c>
      <c r="AD458" s="408">
        <v>4.9826878455039525</v>
      </c>
      <c r="AE458" s="408">
        <v>18.60538585827776</v>
      </c>
      <c r="AF458" s="408">
        <v>3.3064119326564003</v>
      </c>
      <c r="AG458" s="408">
        <v>4.4047439427007042E-2</v>
      </c>
      <c r="AH458" s="408">
        <v>0</v>
      </c>
      <c r="AI458" s="408">
        <v>0</v>
      </c>
      <c r="AJ458" s="408">
        <v>0</v>
      </c>
      <c r="AK458" s="408">
        <v>0</v>
      </c>
      <c r="AL458" s="408">
        <v>0.15215362632199392</v>
      </c>
      <c r="AM458" s="408"/>
      <c r="AN458" s="408">
        <v>2.124550893612992E-2</v>
      </c>
      <c r="AO458" s="408">
        <v>0.38711880596421283</v>
      </c>
      <c r="AP458" s="408">
        <v>0.5766192613493728</v>
      </c>
      <c r="AQ458" s="408">
        <v>0</v>
      </c>
      <c r="AR458" s="408">
        <v>0</v>
      </c>
      <c r="AS458" s="408">
        <v>0</v>
      </c>
      <c r="AT458" s="408">
        <v>0</v>
      </c>
      <c r="AU458" s="408">
        <v>0</v>
      </c>
      <c r="AV458" s="408">
        <v>0</v>
      </c>
      <c r="AW458" s="408">
        <v>0</v>
      </c>
      <c r="AX458" s="408">
        <v>0</v>
      </c>
      <c r="AY458" s="408">
        <v>0</v>
      </c>
      <c r="AZ458" s="408">
        <v>0</v>
      </c>
      <c r="BA458" s="408"/>
      <c r="BB458" s="408">
        <v>0</v>
      </c>
      <c r="BC458" s="408">
        <v>0</v>
      </c>
      <c r="BD458" s="408">
        <v>0</v>
      </c>
      <c r="BE458" s="408">
        <v>0</v>
      </c>
      <c r="BF458" s="408">
        <v>0</v>
      </c>
      <c r="BG458" s="408">
        <v>0.24519098177952961</v>
      </c>
      <c r="BH458" s="408">
        <v>0</v>
      </c>
      <c r="BI458" s="408">
        <v>0</v>
      </c>
      <c r="BJ458" s="408">
        <v>0</v>
      </c>
      <c r="BK458" s="408">
        <v>0</v>
      </c>
      <c r="BL458" s="408">
        <v>0</v>
      </c>
      <c r="BM458" s="408"/>
      <c r="BN458" s="408"/>
      <c r="BO458" s="408"/>
      <c r="BP458" s="408"/>
      <c r="BQ458" s="408"/>
      <c r="BR458" s="408">
        <v>0.77577599999999991</v>
      </c>
      <c r="BS458" s="408"/>
      <c r="BT458" s="408"/>
      <c r="BU458" s="408"/>
      <c r="BV458" s="408">
        <v>3.55160291443593</v>
      </c>
      <c r="BW458" s="408"/>
      <c r="BX458" s="408"/>
      <c r="BY458" s="408"/>
      <c r="BZ458" s="408"/>
      <c r="CA458" s="408"/>
      <c r="CB458" s="408"/>
      <c r="CC458" s="408"/>
      <c r="CD458" s="408"/>
      <c r="CE458" s="408"/>
      <c r="CF458" s="408"/>
      <c r="CG458" s="408"/>
      <c r="CH458" s="408"/>
      <c r="CI458" s="408">
        <v>24.242999999999999</v>
      </c>
      <c r="CJ458" s="408">
        <v>-3.7973424000000087</v>
      </c>
      <c r="CK458" s="408"/>
      <c r="CL458" s="408"/>
      <c r="CM458" s="408"/>
      <c r="CN458" s="408"/>
      <c r="CO458" s="408">
        <v>-10.148320000000002</v>
      </c>
      <c r="CP458" s="408">
        <v>0.36527999999999977</v>
      </c>
      <c r="CQ458" s="408">
        <v>29</v>
      </c>
      <c r="CR458" s="408">
        <v>0.65429397320500371</v>
      </c>
      <c r="CS458" s="408">
        <v>4.6737639489153604E-2</v>
      </c>
      <c r="CT458" s="408">
        <v>6.9616414248656056E-2</v>
      </c>
      <c r="CU458" s="408">
        <v>0</v>
      </c>
      <c r="CV458" s="408">
        <v>0</v>
      </c>
      <c r="CW458" s="408">
        <v>0</v>
      </c>
      <c r="CX458" s="408">
        <v>0</v>
      </c>
      <c r="CY458" s="408">
        <v>0</v>
      </c>
      <c r="CZ458" s="408">
        <v>0.16334465392393582</v>
      </c>
      <c r="DA458" s="408">
        <v>0</v>
      </c>
      <c r="DB458" s="408">
        <v>0</v>
      </c>
      <c r="DC458" s="408">
        <v>0.36516934602175954</v>
      </c>
      <c r="DD458" s="408">
        <v>0</v>
      </c>
      <c r="DE458" s="408">
        <v>0</v>
      </c>
      <c r="DF458" s="408">
        <v>0</v>
      </c>
      <c r="DG458" s="408">
        <v>2.7079575168036746E-2</v>
      </c>
      <c r="DH458" s="408">
        <v>0</v>
      </c>
      <c r="DI458" s="408">
        <v>-1.4932490160982415E-2</v>
      </c>
      <c r="DJ458" s="408"/>
      <c r="DK458" s="408">
        <v>0</v>
      </c>
      <c r="DL458" s="408">
        <v>0</v>
      </c>
      <c r="DM458" s="408">
        <v>0</v>
      </c>
      <c r="DN458" s="408">
        <v>0</v>
      </c>
      <c r="DO458" s="408">
        <v>-2.229959296430245E-3</v>
      </c>
      <c r="DP458" s="408">
        <v>-4.9120618912415828E-4</v>
      </c>
      <c r="DQ458" s="408">
        <v>0</v>
      </c>
      <c r="DR458" s="408">
        <v>0</v>
      </c>
      <c r="DS458" s="408"/>
      <c r="DT458" s="408"/>
      <c r="DU458" s="408"/>
      <c r="DV458" s="408">
        <v>18.60538585827776</v>
      </c>
      <c r="DW458" s="408">
        <v>0</v>
      </c>
      <c r="DX458" s="408">
        <v>0</v>
      </c>
      <c r="DY458" s="408">
        <v>-10.14832</v>
      </c>
      <c r="DZ458" s="408">
        <v>0.36527999999999983</v>
      </c>
      <c r="EA458" s="408">
        <v>0</v>
      </c>
      <c r="EB458" s="408">
        <v>0</v>
      </c>
      <c r="EC458" s="408">
        <v>-10.437429816047951</v>
      </c>
      <c r="ED458" s="408">
        <v>0</v>
      </c>
      <c r="EE458" s="408">
        <v>0</v>
      </c>
      <c r="EF458" s="408">
        <v>0</v>
      </c>
      <c r="EG458" s="408">
        <v>0</v>
      </c>
      <c r="EH458" s="408">
        <v>0</v>
      </c>
      <c r="EI458" s="408">
        <v>0</v>
      </c>
      <c r="EJ458" s="408">
        <v>0</v>
      </c>
      <c r="EK458" s="408">
        <v>0</v>
      </c>
      <c r="EL458" s="408">
        <v>0</v>
      </c>
      <c r="EM458" s="408">
        <v>0</v>
      </c>
      <c r="EN458" s="408">
        <v>0</v>
      </c>
      <c r="EO458" s="408">
        <v>0</v>
      </c>
      <c r="EP458" s="408">
        <v>0</v>
      </c>
      <c r="EQ458" s="408">
        <v>0</v>
      </c>
      <c r="ER458" s="408">
        <v>0</v>
      </c>
      <c r="ES458" s="408">
        <v>0</v>
      </c>
      <c r="ET458" s="408">
        <v>0</v>
      </c>
      <c r="EU458" s="408">
        <v>0</v>
      </c>
      <c r="EV458" s="408">
        <v>238</v>
      </c>
      <c r="EW458" s="408">
        <v>0</v>
      </c>
      <c r="EX458" s="408">
        <v>0</v>
      </c>
      <c r="EY458" s="408">
        <v>0</v>
      </c>
      <c r="EZ458" s="408"/>
      <c r="FA458" s="408">
        <v>0</v>
      </c>
      <c r="FB458" s="408"/>
      <c r="FC458" s="408"/>
      <c r="FD458" s="408"/>
      <c r="FE458" s="408"/>
      <c r="FF458" s="408">
        <v>0</v>
      </c>
      <c r="FG458" s="408">
        <v>0</v>
      </c>
      <c r="FH458" s="408">
        <v>0</v>
      </c>
      <c r="FI458" s="408">
        <v>0</v>
      </c>
    </row>
    <row r="459" spans="1:165">
      <c r="A459" s="408">
        <v>463</v>
      </c>
      <c r="B459" s="408" t="s">
        <v>2238</v>
      </c>
      <c r="C459" s="408" t="s">
        <v>2243</v>
      </c>
      <c r="D459" s="408" t="s">
        <v>597</v>
      </c>
      <c r="E459" s="408" t="s">
        <v>974</v>
      </c>
      <c r="F459" s="408" t="s">
        <v>2252</v>
      </c>
      <c r="G459" s="408" t="s">
        <v>1322</v>
      </c>
      <c r="H459" s="408" t="s">
        <v>1322</v>
      </c>
      <c r="I459" s="408" t="s">
        <v>973</v>
      </c>
      <c r="J459" s="408" t="s">
        <v>2236</v>
      </c>
      <c r="K459" s="824">
        <v>44593</v>
      </c>
      <c r="L459" s="408">
        <v>0</v>
      </c>
      <c r="M459" s="408">
        <v>0</v>
      </c>
      <c r="N459" s="408">
        <v>1.159</v>
      </c>
      <c r="O459" s="408">
        <v>1.1126400000000001</v>
      </c>
      <c r="P459" s="408">
        <v>1.159</v>
      </c>
      <c r="Q459" s="408">
        <v>1.1126400000000001</v>
      </c>
      <c r="R459" s="408"/>
      <c r="S459" s="408">
        <v>1614.19</v>
      </c>
      <c r="T459" s="408">
        <v>209.4</v>
      </c>
      <c r="U459" s="408"/>
      <c r="V459" s="408">
        <v>2113.54081</v>
      </c>
      <c r="W459" s="408">
        <v>2113.54081</v>
      </c>
      <c r="X459" s="408">
        <v>1404.88185</v>
      </c>
      <c r="Y459" s="408">
        <v>0</v>
      </c>
      <c r="Z459" s="408">
        <v>62.05051824595796</v>
      </c>
      <c r="AA459" s="408">
        <v>0</v>
      </c>
      <c r="AB459" s="408">
        <v>0</v>
      </c>
      <c r="AC459" s="408">
        <v>0</v>
      </c>
      <c r="AD459" s="408">
        <v>360.93345080869256</v>
      </c>
      <c r="AE459" s="408">
        <v>1347.7276381089953</v>
      </c>
      <c r="AF459" s="408">
        <v>239.50821437179798</v>
      </c>
      <c r="AG459" s="408">
        <v>3.1906863934938228</v>
      </c>
      <c r="AH459" s="408">
        <v>0</v>
      </c>
      <c r="AI459" s="408">
        <v>0</v>
      </c>
      <c r="AJ459" s="408">
        <v>0</v>
      </c>
      <c r="AK459" s="408">
        <v>0</v>
      </c>
      <c r="AL459" s="408">
        <v>11.021628306699435</v>
      </c>
      <c r="AM459" s="408"/>
      <c r="AN459" s="408">
        <v>1.538971553560911</v>
      </c>
      <c r="AO459" s="408">
        <v>28.041918507032666</v>
      </c>
      <c r="AP459" s="408">
        <v>41.768857743995191</v>
      </c>
      <c r="AQ459" s="408">
        <v>0</v>
      </c>
      <c r="AR459" s="408">
        <v>0</v>
      </c>
      <c r="AS459" s="408">
        <v>0</v>
      </c>
      <c r="AT459" s="408">
        <v>0</v>
      </c>
      <c r="AU459" s="408">
        <v>0</v>
      </c>
      <c r="AV459" s="408">
        <v>0</v>
      </c>
      <c r="AW459" s="408">
        <v>0</v>
      </c>
      <c r="AX459" s="408">
        <v>0</v>
      </c>
      <c r="AY459" s="408">
        <v>0</v>
      </c>
      <c r="AZ459" s="408">
        <v>0</v>
      </c>
      <c r="BA459" s="408"/>
      <c r="BB459" s="408">
        <v>0</v>
      </c>
      <c r="BC459" s="408">
        <v>0</v>
      </c>
      <c r="BD459" s="408">
        <v>0</v>
      </c>
      <c r="BE459" s="408">
        <v>0</v>
      </c>
      <c r="BF459" s="408">
        <v>0</v>
      </c>
      <c r="BG459" s="408">
        <v>17.761021742654677</v>
      </c>
      <c r="BH459" s="408">
        <v>0</v>
      </c>
      <c r="BI459" s="408">
        <v>0</v>
      </c>
      <c r="BJ459" s="408">
        <v>0</v>
      </c>
      <c r="BK459" s="408">
        <v>0</v>
      </c>
      <c r="BL459" s="408">
        <v>0</v>
      </c>
      <c r="BM459" s="408"/>
      <c r="BN459" s="408"/>
      <c r="BO459" s="408"/>
      <c r="BP459" s="408"/>
      <c r="BQ459" s="408"/>
      <c r="BR459" s="408">
        <v>56.195273999999941</v>
      </c>
      <c r="BS459" s="408"/>
      <c r="BT459" s="408"/>
      <c r="BU459" s="408"/>
      <c r="BV459" s="408">
        <v>257.26923611445267</v>
      </c>
      <c r="BW459" s="408"/>
      <c r="BX459" s="408"/>
      <c r="BY459" s="408"/>
      <c r="BZ459" s="408"/>
      <c r="CA459" s="408"/>
      <c r="CB459" s="408"/>
      <c r="CC459" s="408"/>
      <c r="CD459" s="408"/>
      <c r="CE459" s="408"/>
      <c r="CF459" s="408"/>
      <c r="CG459" s="408"/>
      <c r="CH459" s="408"/>
      <c r="CI459" s="408">
        <v>1345.4865</v>
      </c>
      <c r="CJ459" s="408">
        <v>-683.54267760000016</v>
      </c>
      <c r="CK459" s="408"/>
      <c r="CL459" s="408"/>
      <c r="CM459" s="408"/>
      <c r="CN459" s="408"/>
      <c r="CO459" s="408">
        <v>-735.11893000000009</v>
      </c>
      <c r="CP459" s="408">
        <v>26.459969999999981</v>
      </c>
      <c r="CQ459" s="408">
        <v>29</v>
      </c>
      <c r="CR459" s="408">
        <v>47.39541968403762</v>
      </c>
      <c r="CS459" s="408">
        <v>3.3855577604955656</v>
      </c>
      <c r="CT459" s="408">
        <v>5.0428390071370259</v>
      </c>
      <c r="CU459" s="408">
        <v>0</v>
      </c>
      <c r="CV459" s="408">
        <v>0</v>
      </c>
      <c r="CW459" s="408">
        <v>0</v>
      </c>
      <c r="CX459" s="408">
        <v>0</v>
      </c>
      <c r="CY459" s="408">
        <v>0</v>
      </c>
      <c r="CZ459" s="408">
        <v>11.832278368615107</v>
      </c>
      <c r="DA459" s="408">
        <v>0</v>
      </c>
      <c r="DB459" s="408">
        <v>0</v>
      </c>
      <c r="DC459" s="408">
        <v>26.451954502451258</v>
      </c>
      <c r="DD459" s="408">
        <v>0</v>
      </c>
      <c r="DE459" s="408">
        <v>0</v>
      </c>
      <c r="DF459" s="408">
        <v>0</v>
      </c>
      <c r="DG459" s="408">
        <v>1.9615767262346644</v>
      </c>
      <c r="DH459" s="408">
        <v>0</v>
      </c>
      <c r="DI459" s="408">
        <v>-1.0816722560361569</v>
      </c>
      <c r="DJ459" s="408"/>
      <c r="DK459" s="408">
        <v>0</v>
      </c>
      <c r="DL459" s="408">
        <v>0</v>
      </c>
      <c r="DM459" s="408">
        <v>0</v>
      </c>
      <c r="DN459" s="408">
        <v>0</v>
      </c>
      <c r="DO459" s="408">
        <v>-0.16153267653516679</v>
      </c>
      <c r="DP459" s="408">
        <v>-3.5581748324681195E-2</v>
      </c>
      <c r="DQ459" s="408">
        <v>0</v>
      </c>
      <c r="DR459" s="408">
        <v>0</v>
      </c>
      <c r="DS459" s="408"/>
      <c r="DT459" s="408"/>
      <c r="DU459" s="408"/>
      <c r="DV459" s="408">
        <v>1347.7276381089953</v>
      </c>
      <c r="DW459" s="408">
        <v>0</v>
      </c>
      <c r="DX459" s="408">
        <v>0</v>
      </c>
      <c r="DY459" s="408">
        <v>-735.11893000000009</v>
      </c>
      <c r="DZ459" s="408">
        <v>26.45996999999997</v>
      </c>
      <c r="EA459" s="408">
        <v>0</v>
      </c>
      <c r="EB459" s="408">
        <v>0</v>
      </c>
      <c r="EC459" s="408">
        <v>-756.06132229997354</v>
      </c>
      <c r="ED459" s="408">
        <v>0</v>
      </c>
      <c r="EE459" s="408">
        <v>0</v>
      </c>
      <c r="EF459" s="408">
        <v>0</v>
      </c>
      <c r="EG459" s="408">
        <v>0</v>
      </c>
      <c r="EH459" s="408">
        <v>0</v>
      </c>
      <c r="EI459" s="408">
        <v>0</v>
      </c>
      <c r="EJ459" s="408">
        <v>0</v>
      </c>
      <c r="EK459" s="408">
        <v>0</v>
      </c>
      <c r="EL459" s="408">
        <v>0</v>
      </c>
      <c r="EM459" s="408">
        <v>0</v>
      </c>
      <c r="EN459" s="408">
        <v>0</v>
      </c>
      <c r="EO459" s="408">
        <v>0</v>
      </c>
      <c r="EP459" s="408">
        <v>0</v>
      </c>
      <c r="EQ459" s="408">
        <v>0</v>
      </c>
      <c r="ER459" s="408">
        <v>0</v>
      </c>
      <c r="ES459" s="408">
        <v>0</v>
      </c>
      <c r="ET459" s="408">
        <v>0</v>
      </c>
      <c r="EU459" s="408">
        <v>0</v>
      </c>
      <c r="EV459" s="408">
        <v>238</v>
      </c>
      <c r="EW459" s="408">
        <v>0</v>
      </c>
      <c r="EX459" s="408">
        <v>0</v>
      </c>
      <c r="EY459" s="408">
        <v>0</v>
      </c>
      <c r="EZ459" s="408"/>
      <c r="FA459" s="408">
        <v>0</v>
      </c>
      <c r="FB459" s="408"/>
      <c r="FC459" s="408"/>
      <c r="FD459" s="408"/>
      <c r="FE459" s="408"/>
      <c r="FF459" s="408">
        <v>0</v>
      </c>
      <c r="FG459" s="408">
        <v>0</v>
      </c>
      <c r="FH459" s="408">
        <v>0</v>
      </c>
      <c r="FI459" s="408">
        <v>0</v>
      </c>
    </row>
    <row r="460" spans="1:165">
      <c r="A460" s="408">
        <v>464</v>
      </c>
      <c r="B460" s="408" t="s">
        <v>1036</v>
      </c>
      <c r="C460" s="408" t="s">
        <v>2243</v>
      </c>
      <c r="D460" s="408" t="s">
        <v>597</v>
      </c>
      <c r="E460" s="408" t="s">
        <v>974</v>
      </c>
      <c r="F460" s="408" t="s">
        <v>2252</v>
      </c>
      <c r="G460" s="408" t="s">
        <v>1322</v>
      </c>
      <c r="H460" s="408" t="s">
        <v>1322</v>
      </c>
      <c r="I460" s="408" t="s">
        <v>2244</v>
      </c>
      <c r="J460" s="408" t="s">
        <v>2236</v>
      </c>
      <c r="K460" s="824">
        <v>44593</v>
      </c>
      <c r="L460" s="408">
        <v>0</v>
      </c>
      <c r="M460" s="408">
        <v>0</v>
      </c>
      <c r="N460" s="408">
        <v>2172.1579999999999</v>
      </c>
      <c r="O460" s="408">
        <v>2085.2716799999998</v>
      </c>
      <c r="P460" s="408">
        <v>2172.1579999999999</v>
      </c>
      <c r="Q460" s="408">
        <v>2085.2716799999998</v>
      </c>
      <c r="R460" s="408"/>
      <c r="S460" s="408">
        <v>79.7</v>
      </c>
      <c r="T460" s="408">
        <v>209.4</v>
      </c>
      <c r="U460" s="408"/>
      <c r="V460" s="408">
        <v>627970.87780000002</v>
      </c>
      <c r="W460" s="408">
        <v>627970.87780000002</v>
      </c>
      <c r="X460" s="408">
        <v>678842.81816000002</v>
      </c>
      <c r="Y460" s="408">
        <v>0</v>
      </c>
      <c r="Z460" s="408">
        <v>116292.95048499011</v>
      </c>
      <c r="AA460" s="408">
        <v>0</v>
      </c>
      <c r="AB460" s="408">
        <v>0</v>
      </c>
      <c r="AC460" s="408">
        <v>0</v>
      </c>
      <c r="AD460" s="408">
        <v>0</v>
      </c>
      <c r="AE460" s="408">
        <v>0</v>
      </c>
      <c r="AF460" s="408">
        <v>448878.07067594124</v>
      </c>
      <c r="AG460" s="408">
        <v>5979.8748706805472</v>
      </c>
      <c r="AH460" s="408">
        <v>0</v>
      </c>
      <c r="AI460" s="408">
        <v>0</v>
      </c>
      <c r="AJ460" s="408">
        <v>0</v>
      </c>
      <c r="AK460" s="408">
        <v>0</v>
      </c>
      <c r="AL460" s="408">
        <v>20656.357290270604</v>
      </c>
      <c r="AM460" s="408"/>
      <c r="AN460" s="408">
        <v>2884.2876374803809</v>
      </c>
      <c r="AO460" s="408">
        <v>0</v>
      </c>
      <c r="AP460" s="408">
        <v>0</v>
      </c>
      <c r="AQ460" s="408">
        <v>0</v>
      </c>
      <c r="AR460" s="408">
        <v>0</v>
      </c>
      <c r="AS460" s="408">
        <v>0</v>
      </c>
      <c r="AT460" s="408">
        <v>0</v>
      </c>
      <c r="AU460" s="408">
        <v>0</v>
      </c>
      <c r="AV460" s="408">
        <v>0</v>
      </c>
      <c r="AW460" s="408">
        <v>0</v>
      </c>
      <c r="AX460" s="408">
        <v>0</v>
      </c>
      <c r="AY460" s="408">
        <v>0</v>
      </c>
      <c r="AZ460" s="408">
        <v>0</v>
      </c>
      <c r="BA460" s="408"/>
      <c r="BB460" s="408">
        <v>0</v>
      </c>
      <c r="BC460" s="408">
        <v>0</v>
      </c>
      <c r="BD460" s="408">
        <v>0</v>
      </c>
      <c r="BE460" s="408">
        <v>0</v>
      </c>
      <c r="BF460" s="408">
        <v>0</v>
      </c>
      <c r="BG460" s="408">
        <v>33287.097037516214</v>
      </c>
      <c r="BH460" s="408">
        <v>0</v>
      </c>
      <c r="BI460" s="408">
        <v>0</v>
      </c>
      <c r="BJ460" s="408">
        <v>0</v>
      </c>
      <c r="BK460" s="408">
        <v>0</v>
      </c>
      <c r="BL460" s="408">
        <v>0</v>
      </c>
      <c r="BM460" s="408"/>
      <c r="BN460" s="408"/>
      <c r="BO460" s="408"/>
      <c r="BP460" s="408"/>
      <c r="BQ460" s="408"/>
      <c r="BR460" s="408">
        <v>27153.712726400023</v>
      </c>
      <c r="BS460" s="408"/>
      <c r="BT460" s="408"/>
      <c r="BU460" s="408"/>
      <c r="BV460" s="408">
        <v>482165.16771345749</v>
      </c>
      <c r="BW460" s="408"/>
      <c r="BX460" s="408"/>
      <c r="BY460" s="408"/>
      <c r="BZ460" s="408"/>
      <c r="CA460" s="408"/>
      <c r="CB460" s="408"/>
      <c r="CC460" s="408"/>
      <c r="CD460" s="408"/>
      <c r="CE460" s="408"/>
      <c r="CF460" s="408"/>
      <c r="CG460" s="408"/>
      <c r="CH460" s="408"/>
      <c r="CI460" s="408">
        <v>651688.58039999998</v>
      </c>
      <c r="CJ460" s="408">
        <v>48836.507711999933</v>
      </c>
      <c r="CK460" s="408"/>
      <c r="CL460" s="408"/>
      <c r="CM460" s="408"/>
      <c r="CN460" s="408"/>
      <c r="CO460" s="408">
        <v>1281.5732200000073</v>
      </c>
      <c r="CP460" s="408">
        <v>49590.367139999966</v>
      </c>
      <c r="CQ460" s="408">
        <v>29</v>
      </c>
      <c r="CR460" s="408">
        <v>50855.006425744854</v>
      </c>
      <c r="CS460" s="408">
        <v>0</v>
      </c>
      <c r="CT460" s="408">
        <v>0</v>
      </c>
      <c r="CU460" s="408">
        <v>0</v>
      </c>
      <c r="CV460" s="408">
        <v>0</v>
      </c>
      <c r="CW460" s="408">
        <v>0</v>
      </c>
      <c r="CX460" s="408">
        <v>0</v>
      </c>
      <c r="CY460" s="408">
        <v>0</v>
      </c>
      <c r="CZ460" s="408">
        <v>0</v>
      </c>
      <c r="DA460" s="408">
        <v>0</v>
      </c>
      <c r="DB460" s="408">
        <v>0</v>
      </c>
      <c r="DC460" s="408">
        <v>49575.344769745891</v>
      </c>
      <c r="DD460" s="408">
        <v>0</v>
      </c>
      <c r="DE460" s="408">
        <v>0</v>
      </c>
      <c r="DF460" s="408">
        <v>0</v>
      </c>
      <c r="DG460" s="408">
        <v>3676.3197398657794</v>
      </c>
      <c r="DH460" s="408">
        <v>0</v>
      </c>
      <c r="DI460" s="408">
        <v>-2027.2329976937035</v>
      </c>
      <c r="DJ460" s="408"/>
      <c r="DK460" s="408">
        <v>0</v>
      </c>
      <c r="DL460" s="408">
        <v>0</v>
      </c>
      <c r="DM460" s="408">
        <v>0</v>
      </c>
      <c r="DN460" s="408">
        <v>0</v>
      </c>
      <c r="DO460" s="408">
        <v>-302.73899533845906</v>
      </c>
      <c r="DP460" s="408">
        <v>-66.686090834722563</v>
      </c>
      <c r="DQ460" s="408">
        <v>0</v>
      </c>
      <c r="DR460" s="408">
        <v>0</v>
      </c>
      <c r="DS460" s="408"/>
      <c r="DT460" s="408"/>
      <c r="DU460" s="408"/>
      <c r="DV460" s="408">
        <v>0</v>
      </c>
      <c r="DW460" s="408">
        <v>0</v>
      </c>
      <c r="DX460" s="408">
        <v>0</v>
      </c>
      <c r="DY460" s="408">
        <v>1281.5732200000202</v>
      </c>
      <c r="DZ460" s="408">
        <v>49590.367139999929</v>
      </c>
      <c r="EA460" s="408">
        <v>0</v>
      </c>
      <c r="EB460" s="408">
        <v>0</v>
      </c>
      <c r="EC460" s="408">
        <v>0</v>
      </c>
      <c r="ED460" s="408">
        <v>0</v>
      </c>
      <c r="EE460" s="408">
        <v>0</v>
      </c>
      <c r="EF460" s="408">
        <v>0</v>
      </c>
      <c r="EG460" s="408">
        <v>0</v>
      </c>
      <c r="EH460" s="408">
        <v>0</v>
      </c>
      <c r="EI460" s="408">
        <v>0</v>
      </c>
      <c r="EJ460" s="408">
        <v>0</v>
      </c>
      <c r="EK460" s="408">
        <v>0</v>
      </c>
      <c r="EL460" s="408">
        <v>0</v>
      </c>
      <c r="EM460" s="408">
        <v>0</v>
      </c>
      <c r="EN460" s="408">
        <v>0</v>
      </c>
      <c r="EO460" s="408">
        <v>0</v>
      </c>
      <c r="EP460" s="408">
        <v>0</v>
      </c>
      <c r="EQ460" s="408">
        <v>0</v>
      </c>
      <c r="ER460" s="408">
        <v>0</v>
      </c>
      <c r="ES460" s="408">
        <v>0</v>
      </c>
      <c r="ET460" s="408">
        <v>0</v>
      </c>
      <c r="EU460" s="408">
        <v>0</v>
      </c>
      <c r="EV460" s="408">
        <v>238</v>
      </c>
      <c r="EW460" s="408">
        <v>0</v>
      </c>
      <c r="EX460" s="408">
        <v>0</v>
      </c>
      <c r="EY460" s="408">
        <v>0</v>
      </c>
      <c r="EZ460" s="408"/>
      <c r="FA460" s="408">
        <v>0</v>
      </c>
      <c r="FB460" s="408"/>
      <c r="FC460" s="408"/>
      <c r="FD460" s="408"/>
      <c r="FE460" s="408"/>
      <c r="FF460" s="408">
        <v>0</v>
      </c>
      <c r="FG460" s="408">
        <v>0</v>
      </c>
      <c r="FH460" s="408">
        <v>0</v>
      </c>
      <c r="FI460" s="408">
        <v>0</v>
      </c>
    </row>
    <row r="461" spans="1:165">
      <c r="A461" s="408">
        <v>465</v>
      </c>
      <c r="B461" s="408" t="s">
        <v>2237</v>
      </c>
      <c r="C461" s="408" t="s">
        <v>2243</v>
      </c>
      <c r="D461" s="408" t="s">
        <v>597</v>
      </c>
      <c r="E461" s="408" t="s">
        <v>974</v>
      </c>
      <c r="F461" s="408" t="s">
        <v>2252</v>
      </c>
      <c r="G461" s="408" t="s">
        <v>1322</v>
      </c>
      <c r="H461" s="408" t="s">
        <v>1322</v>
      </c>
      <c r="I461" s="408" t="s">
        <v>2244</v>
      </c>
      <c r="J461" s="408" t="s">
        <v>2236</v>
      </c>
      <c r="K461" s="824">
        <v>44593</v>
      </c>
      <c r="L461" s="408">
        <v>0</v>
      </c>
      <c r="M461" s="408">
        <v>0</v>
      </c>
      <c r="N461" s="408">
        <v>21.54</v>
      </c>
      <c r="O461" s="408">
        <v>20.6784</v>
      </c>
      <c r="P461" s="408">
        <v>21.54</v>
      </c>
      <c r="Q461" s="408">
        <v>20.6784</v>
      </c>
      <c r="R461" s="408"/>
      <c r="S461" s="408">
        <v>79.7</v>
      </c>
      <c r="T461" s="408">
        <v>209.4</v>
      </c>
      <c r="U461" s="408"/>
      <c r="V461" s="408">
        <v>6227.2139999999999</v>
      </c>
      <c r="W461" s="408">
        <v>6227.2139999999999</v>
      </c>
      <c r="X461" s="408">
        <v>6731.6808000000001</v>
      </c>
      <c r="Y461" s="408">
        <v>0</v>
      </c>
      <c r="Z461" s="408">
        <v>1153.2080785314361</v>
      </c>
      <c r="AA461" s="408">
        <v>0</v>
      </c>
      <c r="AB461" s="408">
        <v>0</v>
      </c>
      <c r="AC461" s="408">
        <v>0</v>
      </c>
      <c r="AD461" s="408">
        <v>0</v>
      </c>
      <c r="AE461" s="408">
        <v>0</v>
      </c>
      <c r="AF461" s="408">
        <v>4451.257064338678</v>
      </c>
      <c r="AG461" s="408">
        <v>59.29886532860823</v>
      </c>
      <c r="AH461" s="408">
        <v>0</v>
      </c>
      <c r="AI461" s="408">
        <v>0</v>
      </c>
      <c r="AJ461" s="408">
        <v>0</v>
      </c>
      <c r="AK461" s="408">
        <v>0</v>
      </c>
      <c r="AL461" s="408">
        <v>204.83681943598432</v>
      </c>
      <c r="AM461" s="408"/>
      <c r="AN461" s="408">
        <v>28.601766405264904</v>
      </c>
      <c r="AO461" s="408">
        <v>0</v>
      </c>
      <c r="AP461" s="408">
        <v>0</v>
      </c>
      <c r="AQ461" s="408">
        <v>0</v>
      </c>
      <c r="AR461" s="408">
        <v>0</v>
      </c>
      <c r="AS461" s="408">
        <v>0</v>
      </c>
      <c r="AT461" s="408">
        <v>0</v>
      </c>
      <c r="AU461" s="408">
        <v>0</v>
      </c>
      <c r="AV461" s="408">
        <v>0</v>
      </c>
      <c r="AW461" s="408">
        <v>0</v>
      </c>
      <c r="AX461" s="408">
        <v>0</v>
      </c>
      <c r="AY461" s="408">
        <v>0</v>
      </c>
      <c r="AZ461" s="408">
        <v>0</v>
      </c>
      <c r="BA461" s="408"/>
      <c r="BB461" s="408">
        <v>0</v>
      </c>
      <c r="BC461" s="408">
        <v>0</v>
      </c>
      <c r="BD461" s="408">
        <v>0</v>
      </c>
      <c r="BE461" s="408">
        <v>0</v>
      </c>
      <c r="BF461" s="408">
        <v>0</v>
      </c>
      <c r="BG461" s="408">
        <v>330.0883592206917</v>
      </c>
      <c r="BH461" s="408">
        <v>0</v>
      </c>
      <c r="BI461" s="408">
        <v>0</v>
      </c>
      <c r="BJ461" s="408">
        <v>0</v>
      </c>
      <c r="BK461" s="408">
        <v>0</v>
      </c>
      <c r="BL461" s="408">
        <v>0</v>
      </c>
      <c r="BM461" s="408"/>
      <c r="BN461" s="408"/>
      <c r="BO461" s="408"/>
      <c r="BP461" s="408"/>
      <c r="BQ461" s="408"/>
      <c r="BR461" s="408">
        <v>269.26723199999975</v>
      </c>
      <c r="BS461" s="408"/>
      <c r="BT461" s="408"/>
      <c r="BU461" s="408"/>
      <c r="BV461" s="408">
        <v>4781.3454235593699</v>
      </c>
      <c r="BW461" s="408"/>
      <c r="BX461" s="408"/>
      <c r="BY461" s="408"/>
      <c r="BZ461" s="408"/>
      <c r="CA461" s="408"/>
      <c r="CB461" s="408"/>
      <c r="CC461" s="408"/>
      <c r="CD461" s="408"/>
      <c r="CE461" s="408"/>
      <c r="CF461" s="408"/>
      <c r="CG461" s="408"/>
      <c r="CH461" s="408"/>
      <c r="CI461" s="408">
        <v>6462.9135999999999</v>
      </c>
      <c r="CJ461" s="408">
        <v>484.75815999999941</v>
      </c>
      <c r="CK461" s="408"/>
      <c r="CL461" s="408"/>
      <c r="CM461" s="408"/>
      <c r="CN461" s="408"/>
      <c r="CO461" s="408">
        <v>12.708600000000073</v>
      </c>
      <c r="CP461" s="408">
        <v>491.75819999999965</v>
      </c>
      <c r="CQ461" s="408">
        <v>29</v>
      </c>
      <c r="CR461" s="408">
        <v>504.2988762376126</v>
      </c>
      <c r="CS461" s="408">
        <v>0</v>
      </c>
      <c r="CT461" s="408">
        <v>0</v>
      </c>
      <c r="CU461" s="408">
        <v>0</v>
      </c>
      <c r="CV461" s="408">
        <v>0</v>
      </c>
      <c r="CW461" s="408">
        <v>0</v>
      </c>
      <c r="CX461" s="408">
        <v>0</v>
      </c>
      <c r="CY461" s="408">
        <v>0</v>
      </c>
      <c r="CZ461" s="408">
        <v>0</v>
      </c>
      <c r="DA461" s="408">
        <v>0</v>
      </c>
      <c r="DB461" s="408">
        <v>0</v>
      </c>
      <c r="DC461" s="408">
        <v>491.60923208179429</v>
      </c>
      <c r="DD461" s="408">
        <v>0</v>
      </c>
      <c r="DE461" s="408">
        <v>0</v>
      </c>
      <c r="DF461" s="408">
        <v>0</v>
      </c>
      <c r="DG461" s="408">
        <v>36.455878069969515</v>
      </c>
      <c r="DH461" s="408">
        <v>0</v>
      </c>
      <c r="DI461" s="408">
        <v>-20.102864879222579</v>
      </c>
      <c r="DJ461" s="408"/>
      <c r="DK461" s="408">
        <v>0</v>
      </c>
      <c r="DL461" s="408">
        <v>0</v>
      </c>
      <c r="DM461" s="408">
        <v>0</v>
      </c>
      <c r="DN461" s="408">
        <v>0</v>
      </c>
      <c r="DO461" s="408">
        <v>-3.002082702819223</v>
      </c>
      <c r="DP461" s="408">
        <v>-0.66128633210839993</v>
      </c>
      <c r="DQ461" s="408">
        <v>0</v>
      </c>
      <c r="DR461" s="408">
        <v>0</v>
      </c>
      <c r="DS461" s="408"/>
      <c r="DT461" s="408"/>
      <c r="DU461" s="408"/>
      <c r="DV461" s="408">
        <v>0</v>
      </c>
      <c r="DW461" s="408">
        <v>0</v>
      </c>
      <c r="DX461" s="408">
        <v>0</v>
      </c>
      <c r="DY461" s="408">
        <v>12.708599999999933</v>
      </c>
      <c r="DZ461" s="408">
        <v>491.75820000000022</v>
      </c>
      <c r="EA461" s="408">
        <v>0</v>
      </c>
      <c r="EB461" s="408">
        <v>0</v>
      </c>
      <c r="EC461" s="408">
        <v>0</v>
      </c>
      <c r="ED461" s="408">
        <v>0</v>
      </c>
      <c r="EE461" s="408">
        <v>0</v>
      </c>
      <c r="EF461" s="408">
        <v>0</v>
      </c>
      <c r="EG461" s="408">
        <v>0</v>
      </c>
      <c r="EH461" s="408">
        <v>0</v>
      </c>
      <c r="EI461" s="408">
        <v>0</v>
      </c>
      <c r="EJ461" s="408">
        <v>0</v>
      </c>
      <c r="EK461" s="408">
        <v>0</v>
      </c>
      <c r="EL461" s="408">
        <v>0</v>
      </c>
      <c r="EM461" s="408">
        <v>0</v>
      </c>
      <c r="EN461" s="408">
        <v>0</v>
      </c>
      <c r="EO461" s="408">
        <v>0</v>
      </c>
      <c r="EP461" s="408">
        <v>0</v>
      </c>
      <c r="EQ461" s="408">
        <v>0</v>
      </c>
      <c r="ER461" s="408">
        <v>0</v>
      </c>
      <c r="ES461" s="408">
        <v>0</v>
      </c>
      <c r="ET461" s="408">
        <v>0</v>
      </c>
      <c r="EU461" s="408">
        <v>0</v>
      </c>
      <c r="EV461" s="408">
        <v>238</v>
      </c>
      <c r="EW461" s="408">
        <v>0</v>
      </c>
      <c r="EX461" s="408">
        <v>0</v>
      </c>
      <c r="EY461" s="408">
        <v>0</v>
      </c>
      <c r="EZ461" s="408"/>
      <c r="FA461" s="408">
        <v>0</v>
      </c>
      <c r="FB461" s="408"/>
      <c r="FC461" s="408"/>
      <c r="FD461" s="408"/>
      <c r="FE461" s="408"/>
      <c r="FF461" s="408">
        <v>0</v>
      </c>
      <c r="FG461" s="408">
        <v>0</v>
      </c>
      <c r="FH461" s="408">
        <v>0</v>
      </c>
      <c r="FI461" s="408">
        <v>0</v>
      </c>
    </row>
    <row r="462" spans="1:165">
      <c r="A462" s="408">
        <v>466</v>
      </c>
      <c r="B462" s="408" t="s">
        <v>2238</v>
      </c>
      <c r="C462" s="408" t="s">
        <v>2243</v>
      </c>
      <c r="D462" s="408" t="s">
        <v>597</v>
      </c>
      <c r="E462" s="408" t="s">
        <v>974</v>
      </c>
      <c r="F462" s="408" t="s">
        <v>2252</v>
      </c>
      <c r="G462" s="408" t="s">
        <v>1322</v>
      </c>
      <c r="H462" s="408" t="s">
        <v>1322</v>
      </c>
      <c r="I462" s="408" t="s">
        <v>2244</v>
      </c>
      <c r="J462" s="408" t="s">
        <v>2236</v>
      </c>
      <c r="K462" s="824">
        <v>44593</v>
      </c>
      <c r="L462" s="408">
        <v>0</v>
      </c>
      <c r="M462" s="408">
        <v>0</v>
      </c>
      <c r="N462" s="408">
        <v>614.33500000000004</v>
      </c>
      <c r="O462" s="408">
        <v>589.76160000000004</v>
      </c>
      <c r="P462" s="408">
        <v>614.33500000000004</v>
      </c>
      <c r="Q462" s="408">
        <v>589.76160000000004</v>
      </c>
      <c r="R462" s="408"/>
      <c r="S462" s="408">
        <v>79.7</v>
      </c>
      <c r="T462" s="408">
        <v>209.4</v>
      </c>
      <c r="U462" s="408"/>
      <c r="V462" s="408">
        <v>177604.24850000002</v>
      </c>
      <c r="W462" s="408">
        <v>177604.24850000002</v>
      </c>
      <c r="X462" s="408">
        <v>191991.9742</v>
      </c>
      <c r="Y462" s="408">
        <v>0</v>
      </c>
      <c r="Z462" s="408">
        <v>32890.25463902553</v>
      </c>
      <c r="AA462" s="408">
        <v>0</v>
      </c>
      <c r="AB462" s="408">
        <v>0</v>
      </c>
      <c r="AC462" s="408">
        <v>0</v>
      </c>
      <c r="AD462" s="408">
        <v>0</v>
      </c>
      <c r="AE462" s="408">
        <v>0</v>
      </c>
      <c r="AF462" s="408">
        <v>126952.78591552936</v>
      </c>
      <c r="AG462" s="408">
        <v>1691.2427312743982</v>
      </c>
      <c r="AH462" s="408">
        <v>0</v>
      </c>
      <c r="AI462" s="408">
        <v>0</v>
      </c>
      <c r="AJ462" s="408">
        <v>0</v>
      </c>
      <c r="AK462" s="408">
        <v>0</v>
      </c>
      <c r="AL462" s="408">
        <v>5842.0811266576338</v>
      </c>
      <c r="AM462" s="408"/>
      <c r="AN462" s="408">
        <v>815.74123326733593</v>
      </c>
      <c r="AO462" s="408">
        <v>0</v>
      </c>
      <c r="AP462" s="408">
        <v>0</v>
      </c>
      <c r="AQ462" s="408">
        <v>0</v>
      </c>
      <c r="AR462" s="408">
        <v>0</v>
      </c>
      <c r="AS462" s="408">
        <v>0</v>
      </c>
      <c r="AT462" s="408">
        <v>0</v>
      </c>
      <c r="AU462" s="408">
        <v>0</v>
      </c>
      <c r="AV462" s="408">
        <v>0</v>
      </c>
      <c r="AW462" s="408">
        <v>0</v>
      </c>
      <c r="AX462" s="408">
        <v>0</v>
      </c>
      <c r="AY462" s="408">
        <v>0</v>
      </c>
      <c r="AZ462" s="408">
        <v>0</v>
      </c>
      <c r="BA462" s="408"/>
      <c r="BB462" s="408">
        <v>0</v>
      </c>
      <c r="BC462" s="408">
        <v>0</v>
      </c>
      <c r="BD462" s="408">
        <v>0</v>
      </c>
      <c r="BE462" s="408">
        <v>0</v>
      </c>
      <c r="BF462" s="408">
        <v>0</v>
      </c>
      <c r="BG462" s="408">
        <v>9414.337611970459</v>
      </c>
      <c r="BH462" s="408">
        <v>0</v>
      </c>
      <c r="BI462" s="408">
        <v>0</v>
      </c>
      <c r="BJ462" s="408">
        <v>0</v>
      </c>
      <c r="BK462" s="408">
        <v>0</v>
      </c>
      <c r="BL462" s="408">
        <v>0</v>
      </c>
      <c r="BM462" s="408"/>
      <c r="BN462" s="408"/>
      <c r="BO462" s="408"/>
      <c r="BP462" s="408"/>
      <c r="BQ462" s="408"/>
      <c r="BR462" s="408">
        <v>7679.6789679999983</v>
      </c>
      <c r="BS462" s="408"/>
      <c r="BT462" s="408"/>
      <c r="BU462" s="408"/>
      <c r="BV462" s="408">
        <v>136367.12352749982</v>
      </c>
      <c r="BW462" s="408"/>
      <c r="BX462" s="408"/>
      <c r="BY462" s="408"/>
      <c r="BZ462" s="408"/>
      <c r="CA462" s="408"/>
      <c r="CB462" s="408"/>
      <c r="CC462" s="408"/>
      <c r="CD462" s="408"/>
      <c r="CE462" s="408"/>
      <c r="CF462" s="408"/>
      <c r="CG462" s="408"/>
      <c r="CH462" s="408"/>
      <c r="CI462" s="408">
        <v>184311.79519999999</v>
      </c>
      <c r="CJ462" s="408">
        <v>13811.686639999971</v>
      </c>
      <c r="CK462" s="408"/>
      <c r="CL462" s="408"/>
      <c r="CM462" s="408"/>
      <c r="CN462" s="408"/>
      <c r="CO462" s="408">
        <v>362.4576500000021</v>
      </c>
      <c r="CP462" s="408">
        <v>14025.268049999991</v>
      </c>
      <c r="CQ462" s="408">
        <v>29</v>
      </c>
      <c r="CR462" s="408">
        <v>14382.936403594853</v>
      </c>
      <c r="CS462" s="408">
        <v>0</v>
      </c>
      <c r="CT462" s="408">
        <v>0</v>
      </c>
      <c r="CU462" s="408">
        <v>0</v>
      </c>
      <c r="CV462" s="408">
        <v>0</v>
      </c>
      <c r="CW462" s="408">
        <v>0</v>
      </c>
      <c r="CX462" s="408">
        <v>0</v>
      </c>
      <c r="CY462" s="408">
        <v>0</v>
      </c>
      <c r="CZ462" s="408">
        <v>0</v>
      </c>
      <c r="DA462" s="408">
        <v>0</v>
      </c>
      <c r="DB462" s="408">
        <v>0</v>
      </c>
      <c r="DC462" s="408">
        <v>14021.019386767352</v>
      </c>
      <c r="DD462" s="408">
        <v>0</v>
      </c>
      <c r="DE462" s="408">
        <v>0</v>
      </c>
      <c r="DF462" s="408">
        <v>0</v>
      </c>
      <c r="DG462" s="408">
        <v>1039.7456756784904</v>
      </c>
      <c r="DH462" s="408">
        <v>0</v>
      </c>
      <c r="DI462" s="408">
        <v>-573.34695894044853</v>
      </c>
      <c r="DJ462" s="408"/>
      <c r="DK462" s="408">
        <v>0</v>
      </c>
      <c r="DL462" s="408">
        <v>0</v>
      </c>
      <c r="DM462" s="408">
        <v>0</v>
      </c>
      <c r="DN462" s="408">
        <v>0</v>
      </c>
      <c r="DO462" s="408">
        <v>-85.621377773280074</v>
      </c>
      <c r="DP462" s="408">
        <v>-18.860322137224443</v>
      </c>
      <c r="DQ462" s="408">
        <v>0</v>
      </c>
      <c r="DR462" s="408">
        <v>0</v>
      </c>
      <c r="DS462" s="408"/>
      <c r="DT462" s="408"/>
      <c r="DU462" s="408"/>
      <c r="DV462" s="408">
        <v>0</v>
      </c>
      <c r="DW462" s="408">
        <v>0</v>
      </c>
      <c r="DX462" s="408">
        <v>0</v>
      </c>
      <c r="DY462" s="408">
        <v>362.45765000000392</v>
      </c>
      <c r="DZ462" s="408">
        <v>14025.268049999984</v>
      </c>
      <c r="EA462" s="408">
        <v>0</v>
      </c>
      <c r="EB462" s="408">
        <v>0</v>
      </c>
      <c r="EC462" s="408">
        <v>0</v>
      </c>
      <c r="ED462" s="408">
        <v>0</v>
      </c>
      <c r="EE462" s="408">
        <v>0</v>
      </c>
      <c r="EF462" s="408">
        <v>0</v>
      </c>
      <c r="EG462" s="408">
        <v>0</v>
      </c>
      <c r="EH462" s="408">
        <v>0</v>
      </c>
      <c r="EI462" s="408">
        <v>0</v>
      </c>
      <c r="EJ462" s="408">
        <v>0</v>
      </c>
      <c r="EK462" s="408">
        <v>0</v>
      </c>
      <c r="EL462" s="408">
        <v>0</v>
      </c>
      <c r="EM462" s="408">
        <v>0</v>
      </c>
      <c r="EN462" s="408">
        <v>0</v>
      </c>
      <c r="EO462" s="408">
        <v>0</v>
      </c>
      <c r="EP462" s="408">
        <v>0</v>
      </c>
      <c r="EQ462" s="408">
        <v>0</v>
      </c>
      <c r="ER462" s="408">
        <v>0</v>
      </c>
      <c r="ES462" s="408">
        <v>0</v>
      </c>
      <c r="ET462" s="408">
        <v>0</v>
      </c>
      <c r="EU462" s="408">
        <v>0</v>
      </c>
      <c r="EV462" s="408">
        <v>238</v>
      </c>
      <c r="EW462" s="408">
        <v>0</v>
      </c>
      <c r="EX462" s="408">
        <v>0</v>
      </c>
      <c r="EY462" s="408">
        <v>0</v>
      </c>
      <c r="EZ462" s="408"/>
      <c r="FA462" s="408">
        <v>0</v>
      </c>
      <c r="FB462" s="408"/>
      <c r="FC462" s="408"/>
      <c r="FD462" s="408"/>
      <c r="FE462" s="408"/>
      <c r="FF462" s="408">
        <v>0</v>
      </c>
      <c r="FG462" s="408">
        <v>0</v>
      </c>
      <c r="FH462" s="408">
        <v>0</v>
      </c>
      <c r="FI462" s="408">
        <v>0</v>
      </c>
    </row>
    <row r="463" spans="1:165">
      <c r="A463" s="408">
        <v>467</v>
      </c>
      <c r="B463" s="408" t="s">
        <v>1036</v>
      </c>
      <c r="C463" s="408" t="s">
        <v>2243</v>
      </c>
      <c r="D463" s="408" t="s">
        <v>597</v>
      </c>
      <c r="E463" s="408" t="s">
        <v>974</v>
      </c>
      <c r="F463" s="408" t="s">
        <v>2252</v>
      </c>
      <c r="G463" s="408" t="s">
        <v>1322</v>
      </c>
      <c r="H463" s="408" t="s">
        <v>1322</v>
      </c>
      <c r="I463" s="408" t="s">
        <v>1322</v>
      </c>
      <c r="J463" s="408" t="s">
        <v>2236</v>
      </c>
      <c r="K463" s="824">
        <v>44593</v>
      </c>
      <c r="L463" s="408">
        <v>29706</v>
      </c>
      <c r="M463" s="408">
        <v>28517.759999999998</v>
      </c>
      <c r="N463" s="408">
        <v>0</v>
      </c>
      <c r="O463" s="408">
        <v>0</v>
      </c>
      <c r="P463" s="408">
        <v>0</v>
      </c>
      <c r="Q463" s="408">
        <v>0</v>
      </c>
      <c r="R463" s="408">
        <v>44.35</v>
      </c>
      <c r="S463" s="408"/>
      <c r="T463" s="408"/>
      <c r="U463" s="408">
        <v>1317461.1000000001</v>
      </c>
      <c r="V463" s="408"/>
      <c r="W463" s="408">
        <v>1317461.1000000001</v>
      </c>
      <c r="X463" s="408">
        <v>860582.82</v>
      </c>
      <c r="Y463" s="408">
        <v>0</v>
      </c>
      <c r="Z463" s="408">
        <v>0</v>
      </c>
      <c r="AA463" s="408">
        <v>0</v>
      </c>
      <c r="AB463" s="408">
        <v>0</v>
      </c>
      <c r="AC463" s="408">
        <v>0</v>
      </c>
      <c r="AD463" s="408">
        <v>389804.02391826193</v>
      </c>
      <c r="AE463" s="408">
        <v>853092.34176437068</v>
      </c>
      <c r="AF463" s="408"/>
      <c r="AG463" s="408"/>
      <c r="AH463" s="408"/>
      <c r="AI463" s="408">
        <v>0</v>
      </c>
      <c r="AJ463" s="408">
        <v>0</v>
      </c>
      <c r="AK463" s="408">
        <v>0</v>
      </c>
      <c r="AL463" s="408">
        <v>0</v>
      </c>
      <c r="AM463" s="408"/>
      <c r="AN463" s="408">
        <v>0</v>
      </c>
      <c r="AO463" s="408">
        <v>29460.054866480685</v>
      </c>
      <c r="AP463" s="408">
        <v>45072.658132582503</v>
      </c>
      <c r="AQ463" s="408">
        <v>0</v>
      </c>
      <c r="AR463" s="408">
        <v>0</v>
      </c>
      <c r="AS463" s="408"/>
      <c r="AT463" s="408"/>
      <c r="AU463" s="408">
        <v>0</v>
      </c>
      <c r="AV463" s="408">
        <v>0</v>
      </c>
      <c r="AW463" s="408">
        <v>0</v>
      </c>
      <c r="AX463" s="408"/>
      <c r="AY463" s="408"/>
      <c r="AZ463" s="408">
        <v>0</v>
      </c>
      <c r="BA463" s="408"/>
      <c r="BB463" s="408">
        <v>0</v>
      </c>
      <c r="BC463" s="408">
        <v>0</v>
      </c>
      <c r="BD463" s="408">
        <v>0</v>
      </c>
      <c r="BE463" s="408">
        <v>0</v>
      </c>
      <c r="BF463" s="408"/>
      <c r="BG463" s="408">
        <v>0</v>
      </c>
      <c r="BH463" s="408">
        <v>0</v>
      </c>
      <c r="BI463" s="408">
        <v>5684.85</v>
      </c>
      <c r="BJ463" s="408">
        <v>26153.11</v>
      </c>
      <c r="BK463" s="408">
        <v>713.93</v>
      </c>
      <c r="BL463" s="408">
        <v>125</v>
      </c>
      <c r="BM463" s="408"/>
      <c r="BN463" s="408"/>
      <c r="BO463" s="408"/>
      <c r="BP463" s="408"/>
      <c r="BQ463" s="408"/>
      <c r="BR463" s="408">
        <v>34423.312800000043</v>
      </c>
      <c r="BS463" s="408"/>
      <c r="BT463" s="408"/>
      <c r="BU463" s="408"/>
      <c r="BV463" s="408">
        <v>0</v>
      </c>
      <c r="BW463" s="408"/>
      <c r="BX463" s="408"/>
      <c r="BY463" s="408"/>
      <c r="BZ463" s="408"/>
      <c r="CA463" s="408"/>
      <c r="CB463" s="408"/>
      <c r="CC463" s="408"/>
      <c r="CD463" s="408"/>
      <c r="CE463" s="408"/>
      <c r="CF463" s="408"/>
      <c r="CG463" s="408"/>
      <c r="CH463" s="408"/>
      <c r="CI463" s="408">
        <v>826159.50719999988</v>
      </c>
      <c r="CJ463" s="408">
        <v>-438603.17880000011</v>
      </c>
      <c r="CK463" s="408"/>
      <c r="CL463" s="408"/>
      <c r="CM463" s="408"/>
      <c r="CN463" s="408"/>
      <c r="CO463" s="408">
        <v>-456878.28000000009</v>
      </c>
      <c r="CP463" s="408">
        <v>0</v>
      </c>
      <c r="CQ463" s="408">
        <v>29</v>
      </c>
      <c r="CR463" s="408">
        <v>21777.211912354047</v>
      </c>
      <c r="CS463" s="408">
        <v>3556.7722426989494</v>
      </c>
      <c r="CT463" s="408">
        <v>5441.7135364209025</v>
      </c>
      <c r="CU463" s="408">
        <v>0</v>
      </c>
      <c r="CV463" s="408">
        <v>0</v>
      </c>
      <c r="CW463" s="408"/>
      <c r="CX463" s="408"/>
      <c r="CY463" s="408"/>
      <c r="CZ463" s="408">
        <v>12778.726133234217</v>
      </c>
      <c r="DA463" s="408">
        <v>0</v>
      </c>
      <c r="DB463" s="408">
        <v>0</v>
      </c>
      <c r="DC463" s="408"/>
      <c r="DD463" s="408"/>
      <c r="DE463" s="408">
        <v>0</v>
      </c>
      <c r="DF463" s="408">
        <v>0</v>
      </c>
      <c r="DG463" s="408">
        <v>0</v>
      </c>
      <c r="DH463" s="408">
        <v>0</v>
      </c>
      <c r="DI463" s="408">
        <v>0</v>
      </c>
      <c r="DJ463" s="408"/>
      <c r="DK463" s="408">
        <v>0</v>
      </c>
      <c r="DL463" s="408">
        <v>0</v>
      </c>
      <c r="DM463" s="408"/>
      <c r="DN463" s="408">
        <v>0</v>
      </c>
      <c r="DO463" s="408">
        <v>0</v>
      </c>
      <c r="DP463" s="408">
        <v>0</v>
      </c>
      <c r="DQ463" s="408">
        <v>0</v>
      </c>
      <c r="DR463" s="408">
        <v>0</v>
      </c>
      <c r="DS463" s="408"/>
      <c r="DT463" s="408"/>
      <c r="DU463" s="408">
        <v>853092.34176437068</v>
      </c>
      <c r="DV463" s="408"/>
      <c r="DW463" s="408">
        <v>0</v>
      </c>
      <c r="DX463" s="408">
        <v>0</v>
      </c>
      <c r="DY463" s="408">
        <v>-456878.28000000014</v>
      </c>
      <c r="DZ463" s="408"/>
      <c r="EA463" s="408">
        <v>0</v>
      </c>
      <c r="EB463" s="408"/>
      <c r="EC463" s="408">
        <v>-478576.01619221695</v>
      </c>
      <c r="ED463" s="408"/>
      <c r="EE463" s="408">
        <v>0</v>
      </c>
      <c r="EF463" s="408">
        <v>0</v>
      </c>
      <c r="EG463" s="408"/>
      <c r="EH463" s="408">
        <v>0</v>
      </c>
      <c r="EI463" s="408">
        <v>0</v>
      </c>
      <c r="EJ463" s="408">
        <v>0</v>
      </c>
      <c r="EK463" s="408">
        <v>0</v>
      </c>
      <c r="EL463" s="408">
        <v>0</v>
      </c>
      <c r="EM463" s="408"/>
      <c r="EN463" s="408"/>
      <c r="EO463" s="408">
        <v>0</v>
      </c>
      <c r="EP463" s="408">
        <v>0</v>
      </c>
      <c r="EQ463" s="408"/>
      <c r="ER463" s="408">
        <v>0</v>
      </c>
      <c r="ES463" s="408"/>
      <c r="ET463" s="408">
        <v>0</v>
      </c>
      <c r="EU463" s="408"/>
      <c r="EV463" s="408">
        <v>238</v>
      </c>
      <c r="EW463" s="408"/>
      <c r="EX463" s="408"/>
      <c r="EY463" s="408"/>
      <c r="EZ463" s="408"/>
      <c r="FA463" s="408">
        <v>0</v>
      </c>
      <c r="FB463" s="408"/>
      <c r="FC463" s="408"/>
      <c r="FD463" s="408"/>
      <c r="FE463" s="408"/>
      <c r="FF463" s="408">
        <v>0</v>
      </c>
      <c r="FG463" s="408">
        <v>0</v>
      </c>
      <c r="FH463" s="408">
        <v>0</v>
      </c>
      <c r="FI463" s="408">
        <v>0</v>
      </c>
    </row>
    <row r="464" spans="1:165">
      <c r="A464" s="408">
        <v>468</v>
      </c>
      <c r="B464" s="408" t="s">
        <v>2237</v>
      </c>
      <c r="C464" s="408" t="s">
        <v>2243</v>
      </c>
      <c r="D464" s="408" t="s">
        <v>597</v>
      </c>
      <c r="E464" s="408" t="s">
        <v>974</v>
      </c>
      <c r="F464" s="408" t="s">
        <v>2252</v>
      </c>
      <c r="G464" s="408" t="s">
        <v>1322</v>
      </c>
      <c r="H464" s="408" t="s">
        <v>1322</v>
      </c>
      <c r="I464" s="408" t="s">
        <v>1322</v>
      </c>
      <c r="J464" s="408" t="s">
        <v>2236</v>
      </c>
      <c r="K464" s="824">
        <v>44593</v>
      </c>
      <c r="L464" s="408">
        <v>149</v>
      </c>
      <c r="M464" s="408">
        <v>143.04</v>
      </c>
      <c r="N464" s="408">
        <v>0</v>
      </c>
      <c r="O464" s="408">
        <v>0</v>
      </c>
      <c r="P464" s="408">
        <v>0</v>
      </c>
      <c r="Q464" s="408">
        <v>0</v>
      </c>
      <c r="R464" s="408">
        <v>44.35</v>
      </c>
      <c r="S464" s="408"/>
      <c r="T464" s="408"/>
      <c r="U464" s="408">
        <v>6608.1500000000005</v>
      </c>
      <c r="V464" s="408"/>
      <c r="W464" s="408">
        <v>6608.1500000000005</v>
      </c>
      <c r="X464" s="408">
        <v>4316.53</v>
      </c>
      <c r="Y464" s="408">
        <v>0</v>
      </c>
      <c r="Z464" s="408">
        <v>0</v>
      </c>
      <c r="AA464" s="408">
        <v>0</v>
      </c>
      <c r="AB464" s="408">
        <v>0</v>
      </c>
      <c r="AC464" s="408">
        <v>0</v>
      </c>
      <c r="AD464" s="408">
        <v>1955.1874895247097</v>
      </c>
      <c r="AE464" s="408">
        <v>4278.9590965761536</v>
      </c>
      <c r="AF464" s="408"/>
      <c r="AG464" s="408"/>
      <c r="AH464" s="408"/>
      <c r="AI464" s="408">
        <v>0</v>
      </c>
      <c r="AJ464" s="408">
        <v>0</v>
      </c>
      <c r="AK464" s="408">
        <v>0</v>
      </c>
      <c r="AL464" s="408">
        <v>0</v>
      </c>
      <c r="AM464" s="408"/>
      <c r="AN464" s="408">
        <v>0</v>
      </c>
      <c r="AO464" s="408">
        <v>147.76638305748409</v>
      </c>
      <c r="AP464" s="408">
        <v>226.07641761781434</v>
      </c>
      <c r="AQ464" s="408">
        <v>0</v>
      </c>
      <c r="AR464" s="408">
        <v>0</v>
      </c>
      <c r="AS464" s="408"/>
      <c r="AT464" s="408"/>
      <c r="AU464" s="408">
        <v>0</v>
      </c>
      <c r="AV464" s="408">
        <v>0</v>
      </c>
      <c r="AW464" s="408">
        <v>0</v>
      </c>
      <c r="AX464" s="408"/>
      <c r="AY464" s="408"/>
      <c r="AZ464" s="408">
        <v>0</v>
      </c>
      <c r="BA464" s="408"/>
      <c r="BB464" s="408">
        <v>0</v>
      </c>
      <c r="BC464" s="408">
        <v>0</v>
      </c>
      <c r="BD464" s="408">
        <v>0</v>
      </c>
      <c r="BE464" s="408">
        <v>0</v>
      </c>
      <c r="BF464" s="408"/>
      <c r="BG464" s="408">
        <v>0</v>
      </c>
      <c r="BH464" s="408">
        <v>0</v>
      </c>
      <c r="BI464" s="408">
        <v>48.91</v>
      </c>
      <c r="BJ464" s="408">
        <v>223.45</v>
      </c>
      <c r="BK464" s="408">
        <v>4.28</v>
      </c>
      <c r="BL464" s="408">
        <v>0</v>
      </c>
      <c r="BM464" s="408"/>
      <c r="BN464" s="408"/>
      <c r="BO464" s="408"/>
      <c r="BP464" s="408"/>
      <c r="BQ464" s="408"/>
      <c r="BR464" s="408">
        <v>172.66120000000024</v>
      </c>
      <c r="BS464" s="408"/>
      <c r="BT464" s="408"/>
      <c r="BU464" s="408"/>
      <c r="BV464" s="408">
        <v>0</v>
      </c>
      <c r="BW464" s="408"/>
      <c r="BX464" s="408"/>
      <c r="BY464" s="408"/>
      <c r="BZ464" s="408"/>
      <c r="CA464" s="408"/>
      <c r="CB464" s="408"/>
      <c r="CC464" s="408"/>
      <c r="CD464" s="408"/>
      <c r="CE464" s="408"/>
      <c r="CF464" s="408"/>
      <c r="CG464" s="408"/>
      <c r="CH464" s="408"/>
      <c r="CI464" s="408">
        <v>4143.8687999999993</v>
      </c>
      <c r="CJ464" s="408">
        <v>-2199.985200000001</v>
      </c>
      <c r="CK464" s="408"/>
      <c r="CL464" s="408"/>
      <c r="CM464" s="408"/>
      <c r="CN464" s="408"/>
      <c r="CO464" s="408">
        <v>-2291.6200000000003</v>
      </c>
      <c r="CP464" s="408">
        <v>0</v>
      </c>
      <c r="CQ464" s="408">
        <v>29</v>
      </c>
      <c r="CR464" s="408">
        <v>109.23061250053024</v>
      </c>
      <c r="CS464" s="408">
        <v>17.840135466307942</v>
      </c>
      <c r="CT464" s="408">
        <v>27.294664947374741</v>
      </c>
      <c r="CU464" s="408">
        <v>0</v>
      </c>
      <c r="CV464" s="408">
        <v>0</v>
      </c>
      <c r="CW464" s="408"/>
      <c r="CX464" s="408"/>
      <c r="CY464" s="408"/>
      <c r="CZ464" s="408">
        <v>64.0958120868479</v>
      </c>
      <c r="DA464" s="408">
        <v>0</v>
      </c>
      <c r="DB464" s="408">
        <v>0</v>
      </c>
      <c r="DC464" s="408"/>
      <c r="DD464" s="408"/>
      <c r="DE464" s="408">
        <v>0</v>
      </c>
      <c r="DF464" s="408">
        <v>0</v>
      </c>
      <c r="DG464" s="408">
        <v>0</v>
      </c>
      <c r="DH464" s="408">
        <v>0</v>
      </c>
      <c r="DI464" s="408">
        <v>0</v>
      </c>
      <c r="DJ464" s="408"/>
      <c r="DK464" s="408">
        <v>0</v>
      </c>
      <c r="DL464" s="408">
        <v>0</v>
      </c>
      <c r="DM464" s="408"/>
      <c r="DN464" s="408">
        <v>0</v>
      </c>
      <c r="DO464" s="408">
        <v>0</v>
      </c>
      <c r="DP464" s="408">
        <v>0</v>
      </c>
      <c r="DQ464" s="408">
        <v>0</v>
      </c>
      <c r="DR464" s="408">
        <v>0</v>
      </c>
      <c r="DS464" s="408"/>
      <c r="DT464" s="408"/>
      <c r="DU464" s="408">
        <v>4278.9590965761536</v>
      </c>
      <c r="DV464" s="408"/>
      <c r="DW464" s="408">
        <v>0</v>
      </c>
      <c r="DX464" s="408">
        <v>0</v>
      </c>
      <c r="DY464" s="408">
        <v>-2291.6200000000008</v>
      </c>
      <c r="DZ464" s="408"/>
      <c r="EA464" s="408">
        <v>0</v>
      </c>
      <c r="EB464" s="408"/>
      <c r="EC464" s="408">
        <v>-2400.4519764572915</v>
      </c>
      <c r="ED464" s="408"/>
      <c r="EE464" s="408">
        <v>0</v>
      </c>
      <c r="EF464" s="408">
        <v>0</v>
      </c>
      <c r="EG464" s="408"/>
      <c r="EH464" s="408">
        <v>0</v>
      </c>
      <c r="EI464" s="408">
        <v>0</v>
      </c>
      <c r="EJ464" s="408">
        <v>0</v>
      </c>
      <c r="EK464" s="408">
        <v>0</v>
      </c>
      <c r="EL464" s="408">
        <v>0</v>
      </c>
      <c r="EM464" s="408"/>
      <c r="EN464" s="408"/>
      <c r="EO464" s="408">
        <v>0</v>
      </c>
      <c r="EP464" s="408">
        <v>0</v>
      </c>
      <c r="EQ464" s="408"/>
      <c r="ER464" s="408">
        <v>0</v>
      </c>
      <c r="ES464" s="408"/>
      <c r="ET464" s="408">
        <v>0</v>
      </c>
      <c r="EU464" s="408"/>
      <c r="EV464" s="408">
        <v>238</v>
      </c>
      <c r="EW464" s="408"/>
      <c r="EX464" s="408"/>
      <c r="EY464" s="408"/>
      <c r="EZ464" s="408"/>
      <c r="FA464" s="408">
        <v>0</v>
      </c>
      <c r="FB464" s="408"/>
      <c r="FC464" s="408"/>
      <c r="FD464" s="408"/>
      <c r="FE464" s="408"/>
      <c r="FF464" s="408">
        <v>0</v>
      </c>
      <c r="FG464" s="408">
        <v>0</v>
      </c>
      <c r="FH464" s="408">
        <v>0</v>
      </c>
      <c r="FI464" s="408">
        <v>0</v>
      </c>
    </row>
    <row r="465" spans="1:165">
      <c r="A465" s="408">
        <v>469</v>
      </c>
      <c r="B465" s="408" t="s">
        <v>2238</v>
      </c>
      <c r="C465" s="408" t="s">
        <v>2243</v>
      </c>
      <c r="D465" s="408" t="s">
        <v>597</v>
      </c>
      <c r="E465" s="408" t="s">
        <v>974</v>
      </c>
      <c r="F465" s="408" t="s">
        <v>2252</v>
      </c>
      <c r="G465" s="408" t="s">
        <v>1322</v>
      </c>
      <c r="H465" s="408" t="s">
        <v>1322</v>
      </c>
      <c r="I465" s="408" t="s">
        <v>1322</v>
      </c>
      <c r="J465" s="408" t="s">
        <v>2236</v>
      </c>
      <c r="K465" s="824">
        <v>44593</v>
      </c>
      <c r="L465" s="408">
        <v>4747</v>
      </c>
      <c r="M465" s="408">
        <v>4557.12</v>
      </c>
      <c r="N465" s="408">
        <v>0</v>
      </c>
      <c r="O465" s="408">
        <v>0</v>
      </c>
      <c r="P465" s="408">
        <v>0</v>
      </c>
      <c r="Q465" s="408">
        <v>0</v>
      </c>
      <c r="R465" s="408">
        <v>44.35</v>
      </c>
      <c r="S465" s="408"/>
      <c r="T465" s="408"/>
      <c r="U465" s="408">
        <v>210529.45</v>
      </c>
      <c r="V465" s="408"/>
      <c r="W465" s="408">
        <v>210529.45</v>
      </c>
      <c r="X465" s="408">
        <v>137520.59</v>
      </c>
      <c r="Y465" s="408">
        <v>0</v>
      </c>
      <c r="Z465" s="408">
        <v>0</v>
      </c>
      <c r="AA465" s="408">
        <v>0</v>
      </c>
      <c r="AB465" s="408">
        <v>0</v>
      </c>
      <c r="AC465" s="408">
        <v>0</v>
      </c>
      <c r="AD465" s="408">
        <v>62290.436327340918</v>
      </c>
      <c r="AE465" s="408">
        <v>136323.61631843625</v>
      </c>
      <c r="AF465" s="408"/>
      <c r="AG465" s="408"/>
      <c r="AH465" s="408"/>
      <c r="AI465" s="408">
        <v>0</v>
      </c>
      <c r="AJ465" s="408">
        <v>0</v>
      </c>
      <c r="AK465" s="408">
        <v>0</v>
      </c>
      <c r="AL465" s="408">
        <v>0</v>
      </c>
      <c r="AM465" s="408"/>
      <c r="AN465" s="408">
        <v>0</v>
      </c>
      <c r="AO465" s="408">
        <v>4707.6981233146107</v>
      </c>
      <c r="AP465" s="408">
        <v>7202.5822445084877</v>
      </c>
      <c r="AQ465" s="408">
        <v>0</v>
      </c>
      <c r="AR465" s="408">
        <v>0</v>
      </c>
      <c r="AS465" s="408"/>
      <c r="AT465" s="408"/>
      <c r="AU465" s="408">
        <v>0</v>
      </c>
      <c r="AV465" s="408">
        <v>0</v>
      </c>
      <c r="AW465" s="408">
        <v>0</v>
      </c>
      <c r="AX465" s="408"/>
      <c r="AY465" s="408"/>
      <c r="AZ465" s="408">
        <v>0</v>
      </c>
      <c r="BA465" s="408"/>
      <c r="BB465" s="408">
        <v>0</v>
      </c>
      <c r="BC465" s="408">
        <v>0</v>
      </c>
      <c r="BD465" s="408">
        <v>0</v>
      </c>
      <c r="BE465" s="408">
        <v>0</v>
      </c>
      <c r="BF465" s="408"/>
      <c r="BG465" s="408">
        <v>0</v>
      </c>
      <c r="BH465" s="408">
        <v>0</v>
      </c>
      <c r="BI465" s="408">
        <v>761.58</v>
      </c>
      <c r="BJ465" s="408">
        <v>3503.69</v>
      </c>
      <c r="BK465" s="408">
        <v>5375.32</v>
      </c>
      <c r="BL465" s="408">
        <v>18</v>
      </c>
      <c r="BM465" s="408"/>
      <c r="BN465" s="408"/>
      <c r="BO465" s="408"/>
      <c r="BP465" s="408"/>
      <c r="BQ465" s="408"/>
      <c r="BR465" s="408">
        <v>5500.8236000000034</v>
      </c>
      <c r="BS465" s="408"/>
      <c r="BT465" s="408"/>
      <c r="BU465" s="408"/>
      <c r="BV465" s="408">
        <v>0</v>
      </c>
      <c r="BW465" s="408"/>
      <c r="BX465" s="408"/>
      <c r="BY465" s="408"/>
      <c r="BZ465" s="408"/>
      <c r="CA465" s="408"/>
      <c r="CB465" s="408"/>
      <c r="CC465" s="408"/>
      <c r="CD465" s="408"/>
      <c r="CE465" s="408"/>
      <c r="CF465" s="408"/>
      <c r="CG465" s="408"/>
      <c r="CH465" s="408"/>
      <c r="CI465" s="408">
        <v>132019.76639999999</v>
      </c>
      <c r="CJ465" s="408">
        <v>-70088.535600000032</v>
      </c>
      <c r="CK465" s="408"/>
      <c r="CL465" s="408"/>
      <c r="CM465" s="408"/>
      <c r="CN465" s="408"/>
      <c r="CO465" s="408">
        <v>-73008.860000000015</v>
      </c>
      <c r="CP465" s="408">
        <v>0</v>
      </c>
      <c r="CQ465" s="408">
        <v>29</v>
      </c>
      <c r="CR465" s="408">
        <v>3479.9846814766206</v>
      </c>
      <c r="CS465" s="408">
        <v>568.36995341317925</v>
      </c>
      <c r="CT465" s="408">
        <v>869.58237922944954</v>
      </c>
      <c r="CU465" s="408">
        <v>0</v>
      </c>
      <c r="CV465" s="408">
        <v>0</v>
      </c>
      <c r="CW465" s="408"/>
      <c r="CX465" s="408"/>
      <c r="CY465" s="408"/>
      <c r="CZ465" s="408">
        <v>2042.0323488340073</v>
      </c>
      <c r="DA465" s="408">
        <v>0</v>
      </c>
      <c r="DB465" s="408">
        <v>0</v>
      </c>
      <c r="DC465" s="408"/>
      <c r="DD465" s="408"/>
      <c r="DE465" s="408">
        <v>0</v>
      </c>
      <c r="DF465" s="408">
        <v>0</v>
      </c>
      <c r="DG465" s="408">
        <v>0</v>
      </c>
      <c r="DH465" s="408">
        <v>0</v>
      </c>
      <c r="DI465" s="408">
        <v>0</v>
      </c>
      <c r="DJ465" s="408"/>
      <c r="DK465" s="408">
        <v>0</v>
      </c>
      <c r="DL465" s="408">
        <v>0</v>
      </c>
      <c r="DM465" s="408"/>
      <c r="DN465" s="408">
        <v>0</v>
      </c>
      <c r="DO465" s="408">
        <v>0</v>
      </c>
      <c r="DP465" s="408">
        <v>0</v>
      </c>
      <c r="DQ465" s="408">
        <v>0</v>
      </c>
      <c r="DR465" s="408">
        <v>0</v>
      </c>
      <c r="DS465" s="408"/>
      <c r="DT465" s="408"/>
      <c r="DU465" s="408">
        <v>136323.61631843625</v>
      </c>
      <c r="DV465" s="408"/>
      <c r="DW465" s="408">
        <v>0</v>
      </c>
      <c r="DX465" s="408">
        <v>0</v>
      </c>
      <c r="DY465" s="408">
        <v>-73008.860000000015</v>
      </c>
      <c r="DZ465" s="408"/>
      <c r="EA465" s="408">
        <v>0</v>
      </c>
      <c r="EB465" s="408"/>
      <c r="EC465" s="408">
        <v>-76476.144511696417</v>
      </c>
      <c r="ED465" s="408"/>
      <c r="EE465" s="408">
        <v>0</v>
      </c>
      <c r="EF465" s="408">
        <v>0</v>
      </c>
      <c r="EG465" s="408"/>
      <c r="EH465" s="408">
        <v>0</v>
      </c>
      <c r="EI465" s="408">
        <v>0</v>
      </c>
      <c r="EJ465" s="408">
        <v>0</v>
      </c>
      <c r="EK465" s="408">
        <v>0</v>
      </c>
      <c r="EL465" s="408">
        <v>0</v>
      </c>
      <c r="EM465" s="408"/>
      <c r="EN465" s="408"/>
      <c r="EO465" s="408">
        <v>0</v>
      </c>
      <c r="EP465" s="408">
        <v>0</v>
      </c>
      <c r="EQ465" s="408"/>
      <c r="ER465" s="408">
        <v>0</v>
      </c>
      <c r="ES465" s="408"/>
      <c r="ET465" s="408">
        <v>0</v>
      </c>
      <c r="EU465" s="408"/>
      <c r="EV465" s="408">
        <v>238</v>
      </c>
      <c r="EW465" s="408"/>
      <c r="EX465" s="408"/>
      <c r="EY465" s="408"/>
      <c r="EZ465" s="408"/>
      <c r="FA465" s="408">
        <v>0</v>
      </c>
      <c r="FB465" s="408"/>
      <c r="FC465" s="408"/>
      <c r="FD465" s="408"/>
      <c r="FE465" s="408"/>
      <c r="FF465" s="408">
        <v>0</v>
      </c>
      <c r="FG465" s="408">
        <v>0</v>
      </c>
      <c r="FH465" s="408">
        <v>0</v>
      </c>
      <c r="FI465" s="408">
        <v>0</v>
      </c>
    </row>
    <row r="466" spans="1:165">
      <c r="A466" s="408">
        <v>470</v>
      </c>
      <c r="B466" s="408" t="s">
        <v>1036</v>
      </c>
      <c r="C466" s="408" t="s">
        <v>2243</v>
      </c>
      <c r="D466" s="408" t="s">
        <v>597</v>
      </c>
      <c r="E466" s="408" t="s">
        <v>974</v>
      </c>
      <c r="F466" s="408" t="s">
        <v>2252</v>
      </c>
      <c r="G466" s="408" t="s">
        <v>2254</v>
      </c>
      <c r="H466" s="408" t="s">
        <v>1322</v>
      </c>
      <c r="I466" s="408" t="s">
        <v>2244</v>
      </c>
      <c r="J466" s="408" t="s">
        <v>2236</v>
      </c>
      <c r="K466" s="824">
        <v>44593</v>
      </c>
      <c r="L466" s="408">
        <v>0</v>
      </c>
      <c r="M466" s="408">
        <v>0</v>
      </c>
      <c r="N466" s="408">
        <v>2656.578</v>
      </c>
      <c r="O466" s="408">
        <v>796.97339999999997</v>
      </c>
      <c r="P466" s="408">
        <v>2656.578</v>
      </c>
      <c r="Q466" s="408">
        <v>796.97339999999997</v>
      </c>
      <c r="R466" s="408"/>
      <c r="S466" s="408">
        <v>79.7</v>
      </c>
      <c r="T466" s="408">
        <v>209.4</v>
      </c>
      <c r="U466" s="408"/>
      <c r="V466" s="408">
        <v>768016.69979999994</v>
      </c>
      <c r="W466" s="408">
        <v>768016.69979999994</v>
      </c>
      <c r="X466" s="408">
        <v>830233.75655999989</v>
      </c>
      <c r="Y466" s="408">
        <v>0</v>
      </c>
      <c r="Z466" s="408">
        <v>142227.81851666135</v>
      </c>
      <c r="AA466" s="408">
        <v>0</v>
      </c>
      <c r="AB466" s="408">
        <v>0</v>
      </c>
      <c r="AC466" s="408">
        <v>0</v>
      </c>
      <c r="AD466" s="408">
        <v>0</v>
      </c>
      <c r="AE466" s="408">
        <v>0</v>
      </c>
      <c r="AF466" s="408">
        <v>548983.82495202962</v>
      </c>
      <c r="AG466" s="408">
        <v>7313.4661586324692</v>
      </c>
      <c r="AH466" s="408">
        <v>0</v>
      </c>
      <c r="AI466" s="408">
        <v>0</v>
      </c>
      <c r="AJ466" s="408">
        <v>0</v>
      </c>
      <c r="AK466" s="408">
        <v>0</v>
      </c>
      <c r="AL466" s="408">
        <v>25262.998519201872</v>
      </c>
      <c r="AM466" s="408"/>
      <c r="AN466" s="408">
        <v>3527.5219774078842</v>
      </c>
      <c r="AO466" s="408">
        <v>0</v>
      </c>
      <c r="AP466" s="408">
        <v>0</v>
      </c>
      <c r="AQ466" s="408">
        <v>0</v>
      </c>
      <c r="AR466" s="408">
        <v>0</v>
      </c>
      <c r="AS466" s="408">
        <v>0</v>
      </c>
      <c r="AT466" s="408">
        <v>0</v>
      </c>
      <c r="AU466" s="408">
        <v>0</v>
      </c>
      <c r="AV466" s="408">
        <v>0</v>
      </c>
      <c r="AW466" s="408">
        <v>0</v>
      </c>
      <c r="AX466" s="408">
        <v>0</v>
      </c>
      <c r="AY466" s="408">
        <v>0</v>
      </c>
      <c r="AZ466" s="408">
        <v>0</v>
      </c>
      <c r="BA466" s="408"/>
      <c r="BB466" s="408">
        <v>0</v>
      </c>
      <c r="BC466" s="408">
        <v>0</v>
      </c>
      <c r="BD466" s="408">
        <v>0</v>
      </c>
      <c r="BE466" s="408">
        <v>0</v>
      </c>
      <c r="BF466" s="408">
        <v>0</v>
      </c>
      <c r="BG466" s="408">
        <v>40710.560499618703</v>
      </c>
      <c r="BH466" s="408">
        <v>0</v>
      </c>
      <c r="BI466" s="408">
        <v>0</v>
      </c>
      <c r="BJ466" s="408">
        <v>0</v>
      </c>
      <c r="BK466" s="408">
        <v>0</v>
      </c>
      <c r="BL466" s="408">
        <v>0</v>
      </c>
      <c r="BM466" s="408"/>
      <c r="BN466" s="408"/>
      <c r="BO466" s="408"/>
      <c r="BP466" s="408"/>
      <c r="BQ466" s="408"/>
      <c r="BR466" s="408"/>
      <c r="BS466" s="408">
        <v>581163.62959200004</v>
      </c>
      <c r="BT466" s="408"/>
      <c r="BU466" s="408"/>
      <c r="BV466" s="408">
        <v>589694.38545164838</v>
      </c>
      <c r="BW466" s="408"/>
      <c r="BX466" s="408"/>
      <c r="BY466" s="408"/>
      <c r="BZ466" s="408"/>
      <c r="CA466" s="408"/>
      <c r="CB466" s="408"/>
      <c r="CC466" s="408"/>
      <c r="CD466" s="408"/>
      <c r="CE466" s="408"/>
      <c r="CF466" s="408"/>
      <c r="CG466" s="408"/>
      <c r="CH466" s="408"/>
      <c r="CI466" s="408">
        <v>249069.0644</v>
      </c>
      <c r="CJ466" s="408">
        <v>18664.024459999986</v>
      </c>
      <c r="CK466" s="408"/>
      <c r="CL466" s="408"/>
      <c r="CM466" s="408"/>
      <c r="CN466" s="408"/>
      <c r="CO466" s="408">
        <v>1567.3810200000091</v>
      </c>
      <c r="CP466" s="408">
        <v>60649.675739999955</v>
      </c>
      <c r="CQ466" s="408">
        <v>29</v>
      </c>
      <c r="CR466" s="408">
        <v>62196.34633414878</v>
      </c>
      <c r="CS466" s="408">
        <v>0</v>
      </c>
      <c r="CT466" s="408">
        <v>0</v>
      </c>
      <c r="CU466" s="408">
        <v>0</v>
      </c>
      <c r="CV466" s="408">
        <v>0</v>
      </c>
      <c r="CW466" s="408">
        <v>0</v>
      </c>
      <c r="CX466" s="408">
        <v>0</v>
      </c>
      <c r="CY466" s="408">
        <v>0</v>
      </c>
      <c r="CZ466" s="408">
        <v>0</v>
      </c>
      <c r="DA466" s="408">
        <v>0</v>
      </c>
      <c r="DB466" s="408">
        <v>0</v>
      </c>
      <c r="DC466" s="408">
        <v>60631.3031822372</v>
      </c>
      <c r="DD466" s="408">
        <v>0</v>
      </c>
      <c r="DE466" s="408">
        <v>0</v>
      </c>
      <c r="DF466" s="408">
        <v>0</v>
      </c>
      <c r="DG466" s="408">
        <v>4496.187727547047</v>
      </c>
      <c r="DH466" s="408">
        <v>0</v>
      </c>
      <c r="DI466" s="408">
        <v>-2479.3328029301483</v>
      </c>
      <c r="DJ466" s="408"/>
      <c r="DK466" s="408">
        <v>0</v>
      </c>
      <c r="DL466" s="408">
        <v>0</v>
      </c>
      <c r="DM466" s="408">
        <v>0</v>
      </c>
      <c r="DN466" s="408">
        <v>0</v>
      </c>
      <c r="DO466" s="408">
        <v>-370.2538004870039</v>
      </c>
      <c r="DP466" s="408">
        <v>-81.55797221819239</v>
      </c>
      <c r="DQ466" s="408">
        <v>0</v>
      </c>
      <c r="DR466" s="408">
        <v>0</v>
      </c>
      <c r="DS466" s="408"/>
      <c r="DT466" s="408"/>
      <c r="DU466" s="408"/>
      <c r="DV466" s="408">
        <v>0</v>
      </c>
      <c r="DW466" s="408">
        <v>0</v>
      </c>
      <c r="DX466" s="408">
        <v>0</v>
      </c>
      <c r="DY466" s="408">
        <v>1567.3810200000007</v>
      </c>
      <c r="DZ466" s="408">
        <v>60649.675739999977</v>
      </c>
      <c r="EA466" s="408">
        <v>0</v>
      </c>
      <c r="EB466" s="408">
        <v>0</v>
      </c>
      <c r="EC466" s="408">
        <v>0</v>
      </c>
      <c r="ED466" s="408">
        <v>0</v>
      </c>
      <c r="EE466" s="408">
        <v>0</v>
      </c>
      <c r="EF466" s="408">
        <v>0</v>
      </c>
      <c r="EG466" s="408">
        <v>0</v>
      </c>
      <c r="EH466" s="408">
        <v>0</v>
      </c>
      <c r="EI466" s="408">
        <v>0</v>
      </c>
      <c r="EJ466" s="408">
        <v>0</v>
      </c>
      <c r="EK466" s="408">
        <v>0</v>
      </c>
      <c r="EL466" s="408">
        <v>0</v>
      </c>
      <c r="EM466" s="408">
        <v>0</v>
      </c>
      <c r="EN466" s="408">
        <v>0</v>
      </c>
      <c r="EO466" s="408">
        <v>0</v>
      </c>
      <c r="EP466" s="408">
        <v>0</v>
      </c>
      <c r="EQ466" s="408">
        <v>0</v>
      </c>
      <c r="ER466" s="408">
        <v>0</v>
      </c>
      <c r="ES466" s="408">
        <v>0</v>
      </c>
      <c r="ET466" s="408">
        <v>0</v>
      </c>
      <c r="EU466" s="408">
        <v>0</v>
      </c>
      <c r="EV466" s="408">
        <v>238</v>
      </c>
      <c r="EW466" s="408">
        <v>0</v>
      </c>
      <c r="EX466" s="408">
        <v>0</v>
      </c>
      <c r="EY466" s="408">
        <v>0</v>
      </c>
      <c r="EZ466" s="408"/>
      <c r="FA466" s="408">
        <v>0</v>
      </c>
      <c r="FB466" s="408"/>
      <c r="FC466" s="408"/>
      <c r="FD466" s="408"/>
      <c r="FE466" s="408"/>
      <c r="FF466" s="408">
        <v>0</v>
      </c>
      <c r="FG466" s="408">
        <v>0</v>
      </c>
      <c r="FH466" s="408">
        <v>0</v>
      </c>
      <c r="FI466" s="408">
        <v>0</v>
      </c>
    </row>
    <row r="467" spans="1:165">
      <c r="A467" s="408">
        <v>471</v>
      </c>
      <c r="B467" s="408" t="s">
        <v>2237</v>
      </c>
      <c r="C467" s="408" t="s">
        <v>2243</v>
      </c>
      <c r="D467" s="408" t="s">
        <v>597</v>
      </c>
      <c r="E467" s="408" t="s">
        <v>974</v>
      </c>
      <c r="F467" s="408" t="s">
        <v>2252</v>
      </c>
      <c r="G467" s="408" t="s">
        <v>2254</v>
      </c>
      <c r="H467" s="408" t="s">
        <v>1322</v>
      </c>
      <c r="I467" s="408" t="s">
        <v>2244</v>
      </c>
      <c r="J467" s="408" t="s">
        <v>2236</v>
      </c>
      <c r="K467" s="824">
        <v>44593</v>
      </c>
      <c r="L467" s="408">
        <v>0</v>
      </c>
      <c r="M467" s="408">
        <v>0</v>
      </c>
      <c r="N467" s="408">
        <v>21.184000000000001</v>
      </c>
      <c r="O467" s="408">
        <v>6.3552</v>
      </c>
      <c r="P467" s="408">
        <v>21.184000000000001</v>
      </c>
      <c r="Q467" s="408">
        <v>6.3552</v>
      </c>
      <c r="R467" s="408"/>
      <c r="S467" s="408">
        <v>79.7</v>
      </c>
      <c r="T467" s="408">
        <v>209.4</v>
      </c>
      <c r="U467" s="408"/>
      <c r="V467" s="408">
        <v>6124.2944000000007</v>
      </c>
      <c r="W467" s="408">
        <v>6124.2944000000007</v>
      </c>
      <c r="X467" s="408">
        <v>6620.4236799999999</v>
      </c>
      <c r="Y467" s="408">
        <v>0</v>
      </c>
      <c r="Z467" s="408">
        <v>1134.1485578277598</v>
      </c>
      <c r="AA467" s="408">
        <v>0</v>
      </c>
      <c r="AB467" s="408">
        <v>0</v>
      </c>
      <c r="AC467" s="408">
        <v>0</v>
      </c>
      <c r="AD467" s="408">
        <v>0</v>
      </c>
      <c r="AE467" s="408">
        <v>0</v>
      </c>
      <c r="AF467" s="408">
        <v>4377.6893988370739</v>
      </c>
      <c r="AG467" s="408">
        <v>58.318809801357325</v>
      </c>
      <c r="AH467" s="408">
        <v>0</v>
      </c>
      <c r="AI467" s="408">
        <v>0</v>
      </c>
      <c r="AJ467" s="408">
        <v>0</v>
      </c>
      <c r="AK467" s="408">
        <v>0</v>
      </c>
      <c r="AL467" s="408">
        <v>201.45140125031998</v>
      </c>
      <c r="AM467" s="408"/>
      <c r="AN467" s="408">
        <v>28.129053831436014</v>
      </c>
      <c r="AO467" s="408">
        <v>0</v>
      </c>
      <c r="AP467" s="408">
        <v>0</v>
      </c>
      <c r="AQ467" s="408">
        <v>0</v>
      </c>
      <c r="AR467" s="408">
        <v>0</v>
      </c>
      <c r="AS467" s="408">
        <v>0</v>
      </c>
      <c r="AT467" s="408">
        <v>0</v>
      </c>
      <c r="AU467" s="408">
        <v>0</v>
      </c>
      <c r="AV467" s="408">
        <v>0</v>
      </c>
      <c r="AW467" s="408">
        <v>0</v>
      </c>
      <c r="AX467" s="408">
        <v>0</v>
      </c>
      <c r="AY467" s="408">
        <v>0</v>
      </c>
      <c r="AZ467" s="408">
        <v>0</v>
      </c>
      <c r="BA467" s="408"/>
      <c r="BB467" s="408">
        <v>0</v>
      </c>
      <c r="BC467" s="408">
        <v>0</v>
      </c>
      <c r="BD467" s="408">
        <v>0</v>
      </c>
      <c r="BE467" s="408">
        <v>0</v>
      </c>
      <c r="BF467" s="408">
        <v>0</v>
      </c>
      <c r="BG467" s="408">
        <v>324.6328598760972</v>
      </c>
      <c r="BH467" s="408">
        <v>0</v>
      </c>
      <c r="BI467" s="408">
        <v>0</v>
      </c>
      <c r="BJ467" s="408">
        <v>0</v>
      </c>
      <c r="BK467" s="408">
        <v>0</v>
      </c>
      <c r="BL467" s="408">
        <v>0</v>
      </c>
      <c r="BM467" s="408"/>
      <c r="BN467" s="408"/>
      <c r="BO467" s="408"/>
      <c r="BP467" s="408"/>
      <c r="BQ467" s="408"/>
      <c r="BR467" s="408"/>
      <c r="BS467" s="408">
        <v>4634.2965760000006</v>
      </c>
      <c r="BT467" s="408"/>
      <c r="BU467" s="408"/>
      <c r="BV467" s="408">
        <v>4702.3222587131713</v>
      </c>
      <c r="BW467" s="408"/>
      <c r="BX467" s="408"/>
      <c r="BY467" s="408"/>
      <c r="BZ467" s="408"/>
      <c r="CA467" s="408"/>
      <c r="CB467" s="408"/>
      <c r="CC467" s="408"/>
      <c r="CD467" s="408"/>
      <c r="CE467" s="408"/>
      <c r="CF467" s="408"/>
      <c r="CG467" s="408"/>
      <c r="CH467" s="408"/>
      <c r="CI467" s="408">
        <v>1987.6272000000001</v>
      </c>
      <c r="CJ467" s="408">
        <v>150.30888000000004</v>
      </c>
      <c r="CK467" s="408"/>
      <c r="CL467" s="408"/>
      <c r="CM467" s="408"/>
      <c r="CN467" s="408"/>
      <c r="CO467" s="408">
        <v>12.498560000000072</v>
      </c>
      <c r="CP467" s="408">
        <v>483.63071999999971</v>
      </c>
      <c r="CQ467" s="408">
        <v>29</v>
      </c>
      <c r="CR467" s="408">
        <v>495.96413157927509</v>
      </c>
      <c r="CS467" s="408">
        <v>0</v>
      </c>
      <c r="CT467" s="408">
        <v>0</v>
      </c>
      <c r="CU467" s="408">
        <v>0</v>
      </c>
      <c r="CV467" s="408">
        <v>0</v>
      </c>
      <c r="CW467" s="408">
        <v>0</v>
      </c>
      <c r="CX467" s="408">
        <v>0</v>
      </c>
      <c r="CY467" s="408">
        <v>0</v>
      </c>
      <c r="CZ467" s="408">
        <v>0</v>
      </c>
      <c r="DA467" s="408">
        <v>0</v>
      </c>
      <c r="DB467" s="408">
        <v>0</v>
      </c>
      <c r="DC467" s="408">
        <v>483.48421413280994</v>
      </c>
      <c r="DD467" s="408">
        <v>0</v>
      </c>
      <c r="DE467" s="408">
        <v>0</v>
      </c>
      <c r="DF467" s="408">
        <v>0</v>
      </c>
      <c r="DG467" s="408">
        <v>35.853357522480678</v>
      </c>
      <c r="DH467" s="408">
        <v>0</v>
      </c>
      <c r="DI467" s="408">
        <v>-19.770616973140704</v>
      </c>
      <c r="DJ467" s="408"/>
      <c r="DK467" s="408">
        <v>0</v>
      </c>
      <c r="DL467" s="408">
        <v>0</v>
      </c>
      <c r="DM467" s="408">
        <v>0</v>
      </c>
      <c r="DN467" s="408">
        <v>0</v>
      </c>
      <c r="DO467" s="408">
        <v>-2.9524661084736579</v>
      </c>
      <c r="DP467" s="408">
        <v>-0.65035699440038641</v>
      </c>
      <c r="DQ467" s="408">
        <v>0</v>
      </c>
      <c r="DR467" s="408">
        <v>0</v>
      </c>
      <c r="DS467" s="408"/>
      <c r="DT467" s="408"/>
      <c r="DU467" s="408"/>
      <c r="DV467" s="408">
        <v>0</v>
      </c>
      <c r="DW467" s="408">
        <v>0</v>
      </c>
      <c r="DX467" s="408">
        <v>0</v>
      </c>
      <c r="DY467" s="408">
        <v>12.498560000000225</v>
      </c>
      <c r="DZ467" s="408">
        <v>483.6307199999992</v>
      </c>
      <c r="EA467" s="408">
        <v>0</v>
      </c>
      <c r="EB467" s="408">
        <v>0</v>
      </c>
      <c r="EC467" s="408">
        <v>0</v>
      </c>
      <c r="ED467" s="408">
        <v>0</v>
      </c>
      <c r="EE467" s="408">
        <v>0</v>
      </c>
      <c r="EF467" s="408">
        <v>0</v>
      </c>
      <c r="EG467" s="408">
        <v>0</v>
      </c>
      <c r="EH467" s="408">
        <v>0</v>
      </c>
      <c r="EI467" s="408">
        <v>0</v>
      </c>
      <c r="EJ467" s="408">
        <v>0</v>
      </c>
      <c r="EK467" s="408">
        <v>0</v>
      </c>
      <c r="EL467" s="408">
        <v>0</v>
      </c>
      <c r="EM467" s="408">
        <v>0</v>
      </c>
      <c r="EN467" s="408">
        <v>0</v>
      </c>
      <c r="EO467" s="408">
        <v>0</v>
      </c>
      <c r="EP467" s="408">
        <v>0</v>
      </c>
      <c r="EQ467" s="408">
        <v>0</v>
      </c>
      <c r="ER467" s="408">
        <v>0</v>
      </c>
      <c r="ES467" s="408">
        <v>0</v>
      </c>
      <c r="ET467" s="408">
        <v>0</v>
      </c>
      <c r="EU467" s="408">
        <v>0</v>
      </c>
      <c r="EV467" s="408">
        <v>238</v>
      </c>
      <c r="EW467" s="408">
        <v>0</v>
      </c>
      <c r="EX467" s="408">
        <v>0</v>
      </c>
      <c r="EY467" s="408">
        <v>0</v>
      </c>
      <c r="EZ467" s="408"/>
      <c r="FA467" s="408">
        <v>0</v>
      </c>
      <c r="FB467" s="408"/>
      <c r="FC467" s="408"/>
      <c r="FD467" s="408"/>
      <c r="FE467" s="408"/>
      <c r="FF467" s="408">
        <v>0</v>
      </c>
      <c r="FG467" s="408">
        <v>0</v>
      </c>
      <c r="FH467" s="408">
        <v>0</v>
      </c>
      <c r="FI467" s="408">
        <v>0</v>
      </c>
    </row>
    <row r="468" spans="1:165">
      <c r="A468" s="408">
        <v>472</v>
      </c>
      <c r="B468" s="408" t="s">
        <v>1036</v>
      </c>
      <c r="C468" s="408" t="s">
        <v>2235</v>
      </c>
      <c r="D468" s="408" t="s">
        <v>1955</v>
      </c>
      <c r="E468" s="408" t="s">
        <v>969</v>
      </c>
      <c r="F468" s="408" t="s">
        <v>969</v>
      </c>
      <c r="G468" s="408" t="s">
        <v>1322</v>
      </c>
      <c r="H468" s="408" t="s">
        <v>1322</v>
      </c>
      <c r="I468" s="408" t="s">
        <v>1322</v>
      </c>
      <c r="J468" s="408" t="s">
        <v>2236</v>
      </c>
      <c r="K468" s="824">
        <v>44621</v>
      </c>
      <c r="L468" s="408">
        <v>0</v>
      </c>
      <c r="M468" s="408">
        <v>0</v>
      </c>
      <c r="N468" s="408">
        <v>1729.8489999999999</v>
      </c>
      <c r="O468" s="408">
        <v>1729.8489999999999</v>
      </c>
      <c r="P468" s="408">
        <v>1729.8489999999999</v>
      </c>
      <c r="Q468" s="408">
        <v>1729.8489999999999</v>
      </c>
      <c r="R468" s="408"/>
      <c r="S468" s="408">
        <v>581.32000000000005</v>
      </c>
      <c r="T468" s="408">
        <v>209.4</v>
      </c>
      <c r="U468" s="408"/>
      <c r="V468" s="408">
        <v>1367826.2012799999</v>
      </c>
      <c r="W468" s="408">
        <v>1367826.2012799999</v>
      </c>
      <c r="X468" s="408">
        <v>1044949.8854299999</v>
      </c>
      <c r="Y468" s="408">
        <v>0</v>
      </c>
      <c r="Z468" s="408">
        <v>106451.28771062256</v>
      </c>
      <c r="AA468" s="408">
        <v>0</v>
      </c>
      <c r="AB468" s="408">
        <v>0</v>
      </c>
      <c r="AC468" s="408">
        <v>0</v>
      </c>
      <c r="AD468" s="408">
        <v>128339.4776338949</v>
      </c>
      <c r="AE468" s="408">
        <v>666692.99336726032</v>
      </c>
      <c r="AF468" s="408">
        <v>357474.58595585881</v>
      </c>
      <c r="AG468" s="408">
        <v>4762.213690335544</v>
      </c>
      <c r="AH468" s="408">
        <v>0</v>
      </c>
      <c r="AI468" s="408">
        <v>0</v>
      </c>
      <c r="AJ468" s="408">
        <v>0</v>
      </c>
      <c r="AK468" s="408">
        <v>0</v>
      </c>
      <c r="AL468" s="408">
        <v>16450.174896217181</v>
      </c>
      <c r="AM468" s="408"/>
      <c r="AN468" s="408">
        <v>3153.4529987722549</v>
      </c>
      <c r="AO468" s="408">
        <v>9859.2411192571126</v>
      </c>
      <c r="AP468" s="408">
        <v>14851.082285271772</v>
      </c>
      <c r="AQ468" s="408">
        <v>0</v>
      </c>
      <c r="AR468" s="408">
        <v>0</v>
      </c>
      <c r="AS468" s="408">
        <v>0</v>
      </c>
      <c r="AT468" s="408">
        <v>0</v>
      </c>
      <c r="AU468" s="408">
        <v>0</v>
      </c>
      <c r="AV468" s="408">
        <v>0</v>
      </c>
      <c r="AW468" s="408">
        <v>0</v>
      </c>
      <c r="AX468" s="408">
        <v>0</v>
      </c>
      <c r="AY468" s="408">
        <v>0</v>
      </c>
      <c r="AZ468" s="408">
        <v>0</v>
      </c>
      <c r="BA468" s="408"/>
      <c r="BB468" s="408">
        <v>0</v>
      </c>
      <c r="BC468" s="408">
        <v>0</v>
      </c>
      <c r="BD468" s="408">
        <v>0</v>
      </c>
      <c r="BE468" s="408">
        <v>0</v>
      </c>
      <c r="BF468" s="408">
        <v>0</v>
      </c>
      <c r="BG468" s="408">
        <v>59804.829966567224</v>
      </c>
      <c r="BH468" s="408">
        <v>0</v>
      </c>
      <c r="BI468" s="408">
        <v>2672.81</v>
      </c>
      <c r="BJ468" s="408">
        <v>1257.9100000000001</v>
      </c>
      <c r="BK468" s="408">
        <v>424222.18</v>
      </c>
      <c r="BL468" s="408">
        <v>8683</v>
      </c>
      <c r="BM468" s="408"/>
      <c r="BN468" s="408"/>
      <c r="BO468" s="408"/>
      <c r="BP468" s="408"/>
      <c r="BQ468" s="408"/>
      <c r="BR468" s="408"/>
      <c r="BS468" s="408"/>
      <c r="BT468" s="408"/>
      <c r="BU468" s="408"/>
      <c r="BV468" s="408">
        <v>417279.41592242604</v>
      </c>
      <c r="BW468" s="408"/>
      <c r="BX468" s="408"/>
      <c r="BY468" s="408"/>
      <c r="BZ468" s="408"/>
      <c r="CA468" s="408"/>
      <c r="CB468" s="408"/>
      <c r="CC468" s="408"/>
      <c r="CD468" s="408"/>
      <c r="CE468" s="408"/>
      <c r="CF468" s="408"/>
      <c r="CG468" s="408"/>
      <c r="CH468" s="408"/>
      <c r="CI468" s="408">
        <v>1044950.4894999999</v>
      </c>
      <c r="CJ468" s="408">
        <v>-322875.74178000004</v>
      </c>
      <c r="CK468" s="408"/>
      <c r="CL468" s="408"/>
      <c r="CM468" s="408"/>
      <c r="CN468" s="408"/>
      <c r="CO468" s="408">
        <v>-362368.7685200001</v>
      </c>
      <c r="CP468" s="408">
        <v>39492.45266999997</v>
      </c>
      <c r="CQ468" s="408">
        <v>31</v>
      </c>
      <c r="CR468" s="408">
        <v>51106.435202265042</v>
      </c>
      <c r="CS468" s="408">
        <v>1190.3261995261691</v>
      </c>
      <c r="CT468" s="408">
        <v>1793.0013194372223</v>
      </c>
      <c r="CU468" s="408">
        <v>0</v>
      </c>
      <c r="CV468" s="408">
        <v>0</v>
      </c>
      <c r="CW468" s="408">
        <v>0</v>
      </c>
      <c r="CX468" s="408">
        <v>0</v>
      </c>
      <c r="CY468" s="408">
        <v>0</v>
      </c>
      <c r="CZ468" s="408">
        <v>4207.2809312754398</v>
      </c>
      <c r="DA468" s="408">
        <v>0</v>
      </c>
      <c r="DB468" s="408">
        <v>0</v>
      </c>
      <c r="DC468" s="408">
        <v>39480.489252899657</v>
      </c>
      <c r="DD468" s="408">
        <v>0</v>
      </c>
      <c r="DE468" s="408">
        <v>0</v>
      </c>
      <c r="DF468" s="408">
        <v>0</v>
      </c>
      <c r="DG468" s="408">
        <v>6605.0120470886031</v>
      </c>
      <c r="DH468" s="408">
        <v>0</v>
      </c>
      <c r="DI468" s="408">
        <v>-1855.6719233106414</v>
      </c>
      <c r="DJ468" s="408"/>
      <c r="DK468" s="408">
        <v>0</v>
      </c>
      <c r="DL468" s="408">
        <v>0</v>
      </c>
      <c r="DM468" s="408">
        <v>0</v>
      </c>
      <c r="DN468" s="408">
        <v>0</v>
      </c>
      <c r="DO468" s="408">
        <v>-241.09330368566225</v>
      </c>
      <c r="DP468" s="408">
        <v>-72.909320965923143</v>
      </c>
      <c r="DQ468" s="408">
        <v>0</v>
      </c>
      <c r="DR468" s="408">
        <v>0</v>
      </c>
      <c r="DS468" s="408"/>
      <c r="DT468" s="408"/>
      <c r="DU468" s="408"/>
      <c r="DV468" s="408">
        <v>666692.99336726032</v>
      </c>
      <c r="DW468" s="408">
        <v>0</v>
      </c>
      <c r="DX468" s="408">
        <v>0</v>
      </c>
      <c r="DY468" s="408">
        <v>-362368.76852000004</v>
      </c>
      <c r="DZ468" s="408">
        <v>39492.45266999997</v>
      </c>
      <c r="EA468" s="408">
        <v>0</v>
      </c>
      <c r="EB468" s="408">
        <v>0</v>
      </c>
      <c r="EC468" s="408">
        <v>-374007.90180471999</v>
      </c>
      <c r="ED468" s="408">
        <v>0</v>
      </c>
      <c r="EE468" s="408">
        <v>0</v>
      </c>
      <c r="EF468" s="408">
        <v>0</v>
      </c>
      <c r="EG468" s="408">
        <v>0</v>
      </c>
      <c r="EH468" s="408">
        <v>0</v>
      </c>
      <c r="EI468" s="408">
        <v>0</v>
      </c>
      <c r="EJ468" s="408">
        <v>0</v>
      </c>
      <c r="EK468" s="408">
        <v>0</v>
      </c>
      <c r="EL468" s="408">
        <v>0</v>
      </c>
      <c r="EM468" s="408">
        <v>0</v>
      </c>
      <c r="EN468" s="408">
        <v>0</v>
      </c>
      <c r="EO468" s="408">
        <v>0</v>
      </c>
      <c r="EP468" s="408">
        <v>0</v>
      </c>
      <c r="EQ468" s="408">
        <v>0</v>
      </c>
      <c r="ER468" s="408">
        <v>0</v>
      </c>
      <c r="ES468" s="408">
        <v>0</v>
      </c>
      <c r="ET468" s="408">
        <v>0</v>
      </c>
      <c r="EU468" s="408">
        <v>0</v>
      </c>
      <c r="EV468" s="408">
        <v>238</v>
      </c>
      <c r="EW468" s="408">
        <v>0</v>
      </c>
      <c r="EX468" s="408">
        <v>0</v>
      </c>
      <c r="EY468" s="408">
        <v>0</v>
      </c>
      <c r="EZ468" s="408"/>
      <c r="FA468" s="408">
        <v>0</v>
      </c>
      <c r="FB468" s="408"/>
      <c r="FC468" s="408"/>
      <c r="FD468" s="408"/>
      <c r="FE468" s="408"/>
      <c r="FF468" s="408">
        <v>0</v>
      </c>
      <c r="FG468" s="408">
        <v>0</v>
      </c>
      <c r="FH468" s="408">
        <v>0</v>
      </c>
      <c r="FI468" s="408">
        <v>0</v>
      </c>
    </row>
    <row r="469" spans="1:165">
      <c r="A469" s="408">
        <v>473</v>
      </c>
      <c r="B469" s="408" t="s">
        <v>2237</v>
      </c>
      <c r="C469" s="408" t="s">
        <v>2235</v>
      </c>
      <c r="D469" s="408" t="s">
        <v>1955</v>
      </c>
      <c r="E469" s="408" t="s">
        <v>969</v>
      </c>
      <c r="F469" s="408" t="s">
        <v>969</v>
      </c>
      <c r="G469" s="408" t="s">
        <v>1322</v>
      </c>
      <c r="H469" s="408" t="s">
        <v>1322</v>
      </c>
      <c r="I469" s="408" t="s">
        <v>1322</v>
      </c>
      <c r="J469" s="408" t="s">
        <v>2236</v>
      </c>
      <c r="K469" s="824">
        <v>44621</v>
      </c>
      <c r="L469" s="408">
        <v>0</v>
      </c>
      <c r="M469" s="408">
        <v>0</v>
      </c>
      <c r="N469" s="408">
        <v>-3.5939999999999999</v>
      </c>
      <c r="O469" s="408">
        <v>-3.5939999999999999</v>
      </c>
      <c r="P469" s="408">
        <v>-3.5939999999999999</v>
      </c>
      <c r="Q469" s="408">
        <v>-3.5939999999999999</v>
      </c>
      <c r="R469" s="408"/>
      <c r="S469" s="408">
        <v>581.32000000000005</v>
      </c>
      <c r="T469" s="408">
        <v>209.4</v>
      </c>
      <c r="U469" s="408"/>
      <c r="V469" s="408">
        <v>-2841.8476799999999</v>
      </c>
      <c r="W469" s="408">
        <v>-2841.8476799999999</v>
      </c>
      <c r="X469" s="408">
        <v>-2171.0275799999999</v>
      </c>
      <c r="Y469" s="408">
        <v>0</v>
      </c>
      <c r="Z469" s="408">
        <v>-221.16723947117785</v>
      </c>
      <c r="AA469" s="408">
        <v>0</v>
      </c>
      <c r="AB469" s="408">
        <v>0</v>
      </c>
      <c r="AC469" s="408">
        <v>0</v>
      </c>
      <c r="AD469" s="408">
        <v>-266.64297439615729</v>
      </c>
      <c r="AE469" s="408">
        <v>-1385.1466909319447</v>
      </c>
      <c r="AF469" s="408">
        <v>-742.70278037294383</v>
      </c>
      <c r="AG469" s="408">
        <v>-9.894156081291456</v>
      </c>
      <c r="AH469" s="408">
        <v>0</v>
      </c>
      <c r="AI469" s="408">
        <v>0</v>
      </c>
      <c r="AJ469" s="408">
        <v>0</v>
      </c>
      <c r="AK469" s="408">
        <v>0</v>
      </c>
      <c r="AL469" s="408">
        <v>-34.177508312577885</v>
      </c>
      <c r="AM469" s="408"/>
      <c r="AN469" s="408">
        <v>-6.5517337510889586</v>
      </c>
      <c r="AO469" s="408">
        <v>-20.48393390556636</v>
      </c>
      <c r="AP469" s="408">
        <v>-30.855172753961039</v>
      </c>
      <c r="AQ469" s="408">
        <v>0</v>
      </c>
      <c r="AR469" s="408">
        <v>0</v>
      </c>
      <c r="AS469" s="408">
        <v>0</v>
      </c>
      <c r="AT469" s="408">
        <v>0</v>
      </c>
      <c r="AU469" s="408">
        <v>0</v>
      </c>
      <c r="AV469" s="408">
        <v>0</v>
      </c>
      <c r="AW469" s="408">
        <v>0</v>
      </c>
      <c r="AX469" s="408">
        <v>0</v>
      </c>
      <c r="AY469" s="408">
        <v>0</v>
      </c>
      <c r="AZ469" s="408">
        <v>0</v>
      </c>
      <c r="BA469" s="408"/>
      <c r="BB469" s="408">
        <v>0</v>
      </c>
      <c r="BC469" s="408">
        <v>0</v>
      </c>
      <c r="BD469" s="408">
        <v>0</v>
      </c>
      <c r="BE469" s="408">
        <v>0</v>
      </c>
      <c r="BF469" s="408">
        <v>0</v>
      </c>
      <c r="BG469" s="408">
        <v>-124.2527867460354</v>
      </c>
      <c r="BH469" s="408">
        <v>0</v>
      </c>
      <c r="BI469" s="408">
        <v>-6.92</v>
      </c>
      <c r="BJ469" s="408">
        <v>-31.73</v>
      </c>
      <c r="BK469" s="408">
        <v>-920.1</v>
      </c>
      <c r="BL469" s="408">
        <v>0</v>
      </c>
      <c r="BM469" s="408"/>
      <c r="BN469" s="408"/>
      <c r="BO469" s="408"/>
      <c r="BP469" s="408"/>
      <c r="BQ469" s="408"/>
      <c r="BR469" s="408"/>
      <c r="BS469" s="408"/>
      <c r="BT469" s="408"/>
      <c r="BU469" s="408"/>
      <c r="BV469" s="408">
        <v>-866.95556711897927</v>
      </c>
      <c r="BW469" s="408"/>
      <c r="BX469" s="408"/>
      <c r="BY469" s="408"/>
      <c r="BZ469" s="408"/>
      <c r="CA469" s="408"/>
      <c r="CB469" s="408"/>
      <c r="CC469" s="408"/>
      <c r="CD469" s="408"/>
      <c r="CE469" s="408"/>
      <c r="CF469" s="408"/>
      <c r="CG469" s="408"/>
      <c r="CH469" s="408"/>
      <c r="CI469" s="408">
        <v>-2168.6112999999996</v>
      </c>
      <c r="CJ469" s="408">
        <v>673.20637999999963</v>
      </c>
      <c r="CK469" s="408"/>
      <c r="CL469" s="408"/>
      <c r="CM469" s="408"/>
      <c r="CN469" s="408"/>
      <c r="CO469" s="408">
        <v>752.87112000000025</v>
      </c>
      <c r="CP469" s="408">
        <v>-82.051019999999937</v>
      </c>
      <c r="CQ469" s="408">
        <v>31</v>
      </c>
      <c r="CR469" s="408">
        <v>-106.18067132850297</v>
      </c>
      <c r="CS469" s="408">
        <v>-2.4730669330658621</v>
      </c>
      <c r="CT469" s="408">
        <v>-3.7252076580426241</v>
      </c>
      <c r="CU469" s="408">
        <v>0</v>
      </c>
      <c r="CV469" s="408">
        <v>0</v>
      </c>
      <c r="CW469" s="408">
        <v>0</v>
      </c>
      <c r="CX469" s="408">
        <v>0</v>
      </c>
      <c r="CY469" s="408">
        <v>0</v>
      </c>
      <c r="CZ469" s="408">
        <v>-8.7412066989684831</v>
      </c>
      <c r="DA469" s="408">
        <v>0</v>
      </c>
      <c r="DB469" s="408">
        <v>0</v>
      </c>
      <c r="DC469" s="408">
        <v>-82.026164350137833</v>
      </c>
      <c r="DD469" s="408">
        <v>0</v>
      </c>
      <c r="DE469" s="408">
        <v>0</v>
      </c>
      <c r="DF469" s="408">
        <v>0</v>
      </c>
      <c r="DG469" s="408">
        <v>-13.722823955869231</v>
      </c>
      <c r="DH469" s="408">
        <v>0</v>
      </c>
      <c r="DI469" s="408">
        <v>3.8554144855293657</v>
      </c>
      <c r="DJ469" s="408"/>
      <c r="DK469" s="408">
        <v>0</v>
      </c>
      <c r="DL469" s="408">
        <v>0</v>
      </c>
      <c r="DM469" s="408">
        <v>0</v>
      </c>
      <c r="DN469" s="408">
        <v>0</v>
      </c>
      <c r="DO469" s="408">
        <v>0.50090460696064554</v>
      </c>
      <c r="DP469" s="408">
        <v>0.15147917509073228</v>
      </c>
      <c r="DQ469" s="408">
        <v>0</v>
      </c>
      <c r="DR469" s="408">
        <v>0</v>
      </c>
      <c r="DS469" s="408"/>
      <c r="DT469" s="408"/>
      <c r="DU469" s="408"/>
      <c r="DV469" s="408">
        <v>-1385.1466909319447</v>
      </c>
      <c r="DW469" s="408">
        <v>0</v>
      </c>
      <c r="DX469" s="408">
        <v>0</v>
      </c>
      <c r="DY469" s="408">
        <v>752.87112000000002</v>
      </c>
      <c r="DZ469" s="408">
        <v>-82.05101999999988</v>
      </c>
      <c r="EA469" s="408">
        <v>0</v>
      </c>
      <c r="EB469" s="408">
        <v>0</v>
      </c>
      <c r="EC469" s="408">
        <v>777.05302548729026</v>
      </c>
      <c r="ED469" s="408">
        <v>0</v>
      </c>
      <c r="EE469" s="408">
        <v>0</v>
      </c>
      <c r="EF469" s="408">
        <v>0</v>
      </c>
      <c r="EG469" s="408">
        <v>0</v>
      </c>
      <c r="EH469" s="408">
        <v>0</v>
      </c>
      <c r="EI469" s="408">
        <v>0</v>
      </c>
      <c r="EJ469" s="408">
        <v>0</v>
      </c>
      <c r="EK469" s="408">
        <v>0</v>
      </c>
      <c r="EL469" s="408">
        <v>0</v>
      </c>
      <c r="EM469" s="408">
        <v>0</v>
      </c>
      <c r="EN469" s="408">
        <v>0</v>
      </c>
      <c r="EO469" s="408">
        <v>0</v>
      </c>
      <c r="EP469" s="408">
        <v>0</v>
      </c>
      <c r="EQ469" s="408">
        <v>0</v>
      </c>
      <c r="ER469" s="408">
        <v>0</v>
      </c>
      <c r="ES469" s="408">
        <v>0</v>
      </c>
      <c r="ET469" s="408">
        <v>0</v>
      </c>
      <c r="EU469" s="408">
        <v>0</v>
      </c>
      <c r="EV469" s="408">
        <v>238</v>
      </c>
      <c r="EW469" s="408">
        <v>0</v>
      </c>
      <c r="EX469" s="408">
        <v>0</v>
      </c>
      <c r="EY469" s="408">
        <v>0</v>
      </c>
      <c r="EZ469" s="408"/>
      <c r="FA469" s="408">
        <v>0</v>
      </c>
      <c r="FB469" s="408"/>
      <c r="FC469" s="408"/>
      <c r="FD469" s="408"/>
      <c r="FE469" s="408"/>
      <c r="FF469" s="408">
        <v>0</v>
      </c>
      <c r="FG469" s="408">
        <v>0</v>
      </c>
      <c r="FH469" s="408">
        <v>0</v>
      </c>
      <c r="FI469" s="408">
        <v>0</v>
      </c>
    </row>
    <row r="470" spans="1:165">
      <c r="A470" s="408">
        <v>474</v>
      </c>
      <c r="B470" s="408" t="s">
        <v>2238</v>
      </c>
      <c r="C470" s="408" t="s">
        <v>2235</v>
      </c>
      <c r="D470" s="408" t="s">
        <v>1955</v>
      </c>
      <c r="E470" s="408" t="s">
        <v>969</v>
      </c>
      <c r="F470" s="408" t="s">
        <v>969</v>
      </c>
      <c r="G470" s="408" t="s">
        <v>1322</v>
      </c>
      <c r="H470" s="408" t="s">
        <v>1322</v>
      </c>
      <c r="I470" s="408" t="s">
        <v>1322</v>
      </c>
      <c r="J470" s="408" t="s">
        <v>2236</v>
      </c>
      <c r="K470" s="824">
        <v>44621</v>
      </c>
      <c r="L470" s="408">
        <v>0</v>
      </c>
      <c r="M470" s="408">
        <v>0</v>
      </c>
      <c r="N470" s="408">
        <v>101.075</v>
      </c>
      <c r="O470" s="408">
        <v>101.075</v>
      </c>
      <c r="P470" s="408">
        <v>101.075</v>
      </c>
      <c r="Q470" s="408">
        <v>101.075</v>
      </c>
      <c r="R470" s="408"/>
      <c r="S470" s="408">
        <v>581.32000000000005</v>
      </c>
      <c r="T470" s="408">
        <v>209.4</v>
      </c>
      <c r="U470" s="408"/>
      <c r="V470" s="408">
        <v>79922.024000000005</v>
      </c>
      <c r="W470" s="408">
        <v>79922.024000000005</v>
      </c>
      <c r="X470" s="408">
        <v>61056.375249999997</v>
      </c>
      <c r="Y470" s="408">
        <v>0</v>
      </c>
      <c r="Z470" s="408">
        <v>6219.9439982051481</v>
      </c>
      <c r="AA470" s="408">
        <v>0</v>
      </c>
      <c r="AB470" s="408">
        <v>0</v>
      </c>
      <c r="AC470" s="408">
        <v>0</v>
      </c>
      <c r="AD470" s="408">
        <v>7498.8699602369506</v>
      </c>
      <c r="AE470" s="408">
        <v>38954.841899261635</v>
      </c>
      <c r="AF470" s="408">
        <v>20887.224130827854</v>
      </c>
      <c r="AG470" s="408">
        <v>278.25593375529604</v>
      </c>
      <c r="AH470" s="408">
        <v>0</v>
      </c>
      <c r="AI470" s="408">
        <v>0</v>
      </c>
      <c r="AJ470" s="408">
        <v>0</v>
      </c>
      <c r="AK470" s="408">
        <v>0</v>
      </c>
      <c r="AL470" s="408">
        <v>961.18298628097102</v>
      </c>
      <c r="AM470" s="408"/>
      <c r="AN470" s="408">
        <v>184.25611822240305</v>
      </c>
      <c r="AO470" s="408">
        <v>576.0750193392098</v>
      </c>
      <c r="AP470" s="408">
        <v>867.74807626783866</v>
      </c>
      <c r="AQ470" s="408">
        <v>0</v>
      </c>
      <c r="AR470" s="408">
        <v>0</v>
      </c>
      <c r="AS470" s="408">
        <v>0</v>
      </c>
      <c r="AT470" s="408">
        <v>0</v>
      </c>
      <c r="AU470" s="408">
        <v>0</v>
      </c>
      <c r="AV470" s="408">
        <v>0</v>
      </c>
      <c r="AW470" s="408">
        <v>0</v>
      </c>
      <c r="AX470" s="408">
        <v>0</v>
      </c>
      <c r="AY470" s="408">
        <v>0</v>
      </c>
      <c r="AZ470" s="408">
        <v>0</v>
      </c>
      <c r="BA470" s="408"/>
      <c r="BB470" s="408">
        <v>0</v>
      </c>
      <c r="BC470" s="408">
        <v>0</v>
      </c>
      <c r="BD470" s="408">
        <v>0</v>
      </c>
      <c r="BE470" s="408">
        <v>0</v>
      </c>
      <c r="BF470" s="408">
        <v>0</v>
      </c>
      <c r="BG470" s="408">
        <v>3494.393550460637</v>
      </c>
      <c r="BH470" s="408">
        <v>0</v>
      </c>
      <c r="BI470" s="408">
        <v>153.69</v>
      </c>
      <c r="BJ470" s="408">
        <v>72.97</v>
      </c>
      <c r="BK470" s="408">
        <v>60609.78</v>
      </c>
      <c r="BL470" s="408">
        <v>871</v>
      </c>
      <c r="BM470" s="408"/>
      <c r="BN470" s="408"/>
      <c r="BO470" s="408"/>
      <c r="BP470" s="408"/>
      <c r="BQ470" s="408"/>
      <c r="BR470" s="408"/>
      <c r="BS470" s="408"/>
      <c r="BT470" s="408"/>
      <c r="BU470" s="408"/>
      <c r="BV470" s="408">
        <v>24381.617681288491</v>
      </c>
      <c r="BW470" s="408"/>
      <c r="BX470" s="408"/>
      <c r="BY470" s="408"/>
      <c r="BZ470" s="408"/>
      <c r="CA470" s="408"/>
      <c r="CB470" s="408"/>
      <c r="CC470" s="408"/>
      <c r="CD470" s="408"/>
      <c r="CE470" s="408"/>
      <c r="CF470" s="408"/>
      <c r="CG470" s="408"/>
      <c r="CH470" s="408"/>
      <c r="CI470" s="408">
        <v>61059.395599999989</v>
      </c>
      <c r="CJ470" s="408">
        <v>-18862.658400000015</v>
      </c>
      <c r="CK470" s="408"/>
      <c r="CL470" s="408"/>
      <c r="CM470" s="408"/>
      <c r="CN470" s="408"/>
      <c r="CO470" s="408">
        <v>-21173.19100000001</v>
      </c>
      <c r="CP470" s="408">
        <v>2307.5422499999986</v>
      </c>
      <c r="CQ470" s="408">
        <v>31</v>
      </c>
      <c r="CR470" s="408">
        <v>2986.1467319222211</v>
      </c>
      <c r="CS470" s="408">
        <v>69.550706805685081</v>
      </c>
      <c r="CT470" s="408">
        <v>104.76498721109022</v>
      </c>
      <c r="CU470" s="408">
        <v>0</v>
      </c>
      <c r="CV470" s="408">
        <v>0</v>
      </c>
      <c r="CW470" s="408">
        <v>0</v>
      </c>
      <c r="CX470" s="408">
        <v>0</v>
      </c>
      <c r="CY470" s="408">
        <v>0</v>
      </c>
      <c r="CZ470" s="408">
        <v>245.83123736734524</v>
      </c>
      <c r="DA470" s="408">
        <v>0</v>
      </c>
      <c r="DB470" s="408">
        <v>0</v>
      </c>
      <c r="DC470" s="408">
        <v>2306.8432280718334</v>
      </c>
      <c r="DD470" s="408">
        <v>0</v>
      </c>
      <c r="DE470" s="408">
        <v>0</v>
      </c>
      <c r="DF470" s="408">
        <v>0</v>
      </c>
      <c r="DG470" s="408">
        <v>385.93055963814231</v>
      </c>
      <c r="DH470" s="408">
        <v>0</v>
      </c>
      <c r="DI470" s="408">
        <v>-108.42682780324958</v>
      </c>
      <c r="DJ470" s="408"/>
      <c r="DK470" s="408">
        <v>0</v>
      </c>
      <c r="DL470" s="408">
        <v>0</v>
      </c>
      <c r="DM470" s="408">
        <v>0</v>
      </c>
      <c r="DN470" s="408">
        <v>0</v>
      </c>
      <c r="DO470" s="408">
        <v>-14.087070992918029</v>
      </c>
      <c r="DP470" s="408">
        <v>-4.2600883757083352</v>
      </c>
      <c r="DQ470" s="408">
        <v>0</v>
      </c>
      <c r="DR470" s="408">
        <v>0</v>
      </c>
      <c r="DS470" s="408"/>
      <c r="DT470" s="408"/>
      <c r="DU470" s="408"/>
      <c r="DV470" s="408">
        <v>38954.841899261635</v>
      </c>
      <c r="DW470" s="408">
        <v>0</v>
      </c>
      <c r="DX470" s="408">
        <v>0</v>
      </c>
      <c r="DY470" s="408">
        <v>-21173.191000000013</v>
      </c>
      <c r="DZ470" s="408">
        <v>2307.5422499999986</v>
      </c>
      <c r="EA470" s="408">
        <v>0</v>
      </c>
      <c r="EB470" s="408">
        <v>0</v>
      </c>
      <c r="EC470" s="408">
        <v>-21853.265039267633</v>
      </c>
      <c r="ED470" s="408">
        <v>0</v>
      </c>
      <c r="EE470" s="408">
        <v>0</v>
      </c>
      <c r="EF470" s="408">
        <v>0</v>
      </c>
      <c r="EG470" s="408">
        <v>0</v>
      </c>
      <c r="EH470" s="408">
        <v>0</v>
      </c>
      <c r="EI470" s="408">
        <v>0</v>
      </c>
      <c r="EJ470" s="408">
        <v>0</v>
      </c>
      <c r="EK470" s="408">
        <v>0</v>
      </c>
      <c r="EL470" s="408">
        <v>0</v>
      </c>
      <c r="EM470" s="408">
        <v>0</v>
      </c>
      <c r="EN470" s="408">
        <v>0</v>
      </c>
      <c r="EO470" s="408">
        <v>0</v>
      </c>
      <c r="EP470" s="408">
        <v>0</v>
      </c>
      <c r="EQ470" s="408">
        <v>0</v>
      </c>
      <c r="ER470" s="408">
        <v>0</v>
      </c>
      <c r="ES470" s="408">
        <v>0</v>
      </c>
      <c r="ET470" s="408">
        <v>0</v>
      </c>
      <c r="EU470" s="408">
        <v>0</v>
      </c>
      <c r="EV470" s="408">
        <v>238</v>
      </c>
      <c r="EW470" s="408">
        <v>0</v>
      </c>
      <c r="EX470" s="408">
        <v>0</v>
      </c>
      <c r="EY470" s="408">
        <v>0</v>
      </c>
      <c r="EZ470" s="408"/>
      <c r="FA470" s="408">
        <v>0</v>
      </c>
      <c r="FB470" s="408"/>
      <c r="FC470" s="408"/>
      <c r="FD470" s="408"/>
      <c r="FE470" s="408"/>
      <c r="FF470" s="408">
        <v>0</v>
      </c>
      <c r="FG470" s="408">
        <v>0</v>
      </c>
      <c r="FH470" s="408">
        <v>0</v>
      </c>
      <c r="FI470" s="408">
        <v>0</v>
      </c>
    </row>
    <row r="471" spans="1:165">
      <c r="A471" s="408">
        <v>475</v>
      </c>
      <c r="B471" s="408" t="s">
        <v>1036</v>
      </c>
      <c r="C471" s="408" t="s">
        <v>2235</v>
      </c>
      <c r="D471" s="408" t="s">
        <v>1955</v>
      </c>
      <c r="E471" s="408" t="s">
        <v>969</v>
      </c>
      <c r="F471" s="408" t="s">
        <v>2239</v>
      </c>
      <c r="G471" s="408" t="s">
        <v>1322</v>
      </c>
      <c r="H471" s="408" t="s">
        <v>1322</v>
      </c>
      <c r="I471" s="408" t="s">
        <v>1322</v>
      </c>
      <c r="J471" s="408" t="s">
        <v>2236</v>
      </c>
      <c r="K471" s="824">
        <v>44621</v>
      </c>
      <c r="L471" s="408">
        <v>0</v>
      </c>
      <c r="M471" s="408">
        <v>0</v>
      </c>
      <c r="N471" s="408">
        <v>56.97</v>
      </c>
      <c r="O471" s="408">
        <v>56.97</v>
      </c>
      <c r="P471" s="408">
        <v>56.97</v>
      </c>
      <c r="Q471" s="408">
        <v>56.97</v>
      </c>
      <c r="R471" s="408"/>
      <c r="S471" s="408">
        <v>510.28</v>
      </c>
      <c r="T471" s="408">
        <v>209.4</v>
      </c>
      <c r="U471" s="408"/>
      <c r="V471" s="408">
        <v>41000.169599999994</v>
      </c>
      <c r="W471" s="408">
        <v>41000.169599999994</v>
      </c>
      <c r="X471" s="408">
        <v>30435.083099999996</v>
      </c>
      <c r="Y471" s="408">
        <v>0</v>
      </c>
      <c r="Z471" s="408">
        <v>0</v>
      </c>
      <c r="AA471" s="408">
        <v>0</v>
      </c>
      <c r="AB471" s="408">
        <v>0</v>
      </c>
      <c r="AC471" s="408">
        <v>0</v>
      </c>
      <c r="AD471" s="408">
        <v>4226.6695190175515</v>
      </c>
      <c r="AE471" s="408">
        <v>21956.540618361963</v>
      </c>
      <c r="AF471" s="408">
        <v>11772.892987714695</v>
      </c>
      <c r="AG471" s="408">
        <v>156.83641400978695</v>
      </c>
      <c r="AH471" s="408">
        <v>0</v>
      </c>
      <c r="AI471" s="408">
        <v>0</v>
      </c>
      <c r="AJ471" s="408">
        <v>0</v>
      </c>
      <c r="AK471" s="408">
        <v>0</v>
      </c>
      <c r="AL471" s="408">
        <v>0</v>
      </c>
      <c r="AM471" s="408"/>
      <c r="AN471" s="408">
        <v>103.85427707277071</v>
      </c>
      <c r="AO471" s="408">
        <v>324.69941975517963</v>
      </c>
      <c r="AP471" s="408">
        <v>489.09827261913199</v>
      </c>
      <c r="AQ471" s="408">
        <v>0</v>
      </c>
      <c r="AR471" s="408">
        <v>0</v>
      </c>
      <c r="AS471" s="408">
        <v>0</v>
      </c>
      <c r="AT471" s="408">
        <v>0</v>
      </c>
      <c r="AU471" s="408">
        <v>0</v>
      </c>
      <c r="AV471" s="408">
        <v>0</v>
      </c>
      <c r="AW471" s="408">
        <v>0</v>
      </c>
      <c r="AX471" s="408">
        <v>0</v>
      </c>
      <c r="AY471" s="408">
        <v>0</v>
      </c>
      <c r="AZ471" s="408">
        <v>0</v>
      </c>
      <c r="BA471" s="408"/>
      <c r="BB471" s="408">
        <v>0</v>
      </c>
      <c r="BC471" s="408">
        <v>0</v>
      </c>
      <c r="BD471" s="408">
        <v>0</v>
      </c>
      <c r="BE471" s="408">
        <v>0</v>
      </c>
      <c r="BF471" s="408">
        <v>0</v>
      </c>
      <c r="BG471" s="408">
        <v>1969.582988570294</v>
      </c>
      <c r="BH471" s="408">
        <v>0</v>
      </c>
      <c r="BI471" s="408">
        <v>18.989999999999998</v>
      </c>
      <c r="BJ471" s="408">
        <v>0.02</v>
      </c>
      <c r="BK471" s="408">
        <v>3362.02</v>
      </c>
      <c r="BL471" s="408">
        <v>102</v>
      </c>
      <c r="BM471" s="408"/>
      <c r="BN471" s="408"/>
      <c r="BO471" s="408"/>
      <c r="BP471" s="408"/>
      <c r="BQ471" s="408"/>
      <c r="BR471" s="408"/>
      <c r="BS471" s="408"/>
      <c r="BT471" s="408">
        <v>19782.8325</v>
      </c>
      <c r="BU471" s="408"/>
      <c r="BV471" s="408">
        <v>13742.475976284988</v>
      </c>
      <c r="BW471" s="408"/>
      <c r="BX471" s="408"/>
      <c r="BY471" s="408"/>
      <c r="BZ471" s="408"/>
      <c r="CA471" s="408"/>
      <c r="CB471" s="408"/>
      <c r="CC471" s="408"/>
      <c r="CD471" s="408"/>
      <c r="CE471" s="408"/>
      <c r="CF471" s="408"/>
      <c r="CG471" s="408"/>
      <c r="CH471" s="408"/>
      <c r="CI471" s="408">
        <v>10652.250599999999</v>
      </c>
      <c r="CJ471" s="408">
        <v>-3697.9526999999998</v>
      </c>
      <c r="CK471" s="408"/>
      <c r="CL471" s="408"/>
      <c r="CM471" s="408"/>
      <c r="CN471" s="408"/>
      <c r="CO471" s="408">
        <v>-11865.711599999999</v>
      </c>
      <c r="CP471" s="408">
        <v>1300.6250999999991</v>
      </c>
      <c r="CQ471" s="408">
        <v>31</v>
      </c>
      <c r="CR471" s="408">
        <v>1752.1681536683391</v>
      </c>
      <c r="CS471" s="408">
        <v>39.201620249516452</v>
      </c>
      <c r="CT471" s="408">
        <v>59.049827567804186</v>
      </c>
      <c r="CU471" s="408">
        <v>0</v>
      </c>
      <c r="CV471" s="408">
        <v>0</v>
      </c>
      <c r="CW471" s="408">
        <v>0</v>
      </c>
      <c r="CX471" s="408">
        <v>0</v>
      </c>
      <c r="CY471" s="408">
        <v>0</v>
      </c>
      <c r="CZ471" s="408">
        <v>138.5605302282238</v>
      </c>
      <c r="DA471" s="408">
        <v>0</v>
      </c>
      <c r="DB471" s="408">
        <v>0</v>
      </c>
      <c r="DC471" s="408">
        <v>1300.2311026787283</v>
      </c>
      <c r="DD471" s="408">
        <v>0</v>
      </c>
      <c r="DE471" s="408">
        <v>0</v>
      </c>
      <c r="DF471" s="408">
        <v>0</v>
      </c>
      <c r="DG471" s="408">
        <v>217.5262328230026</v>
      </c>
      <c r="DH471" s="408">
        <v>0</v>
      </c>
      <c r="DI471" s="408">
        <v>0</v>
      </c>
      <c r="DJ471" s="408"/>
      <c r="DK471" s="408">
        <v>0</v>
      </c>
      <c r="DL471" s="408">
        <v>0</v>
      </c>
      <c r="DM471" s="408">
        <v>0</v>
      </c>
      <c r="DN471" s="408">
        <v>0</v>
      </c>
      <c r="DO471" s="408">
        <v>0</v>
      </c>
      <c r="DP471" s="408">
        <v>-2.4011598789423942</v>
      </c>
      <c r="DQ471" s="408">
        <v>0</v>
      </c>
      <c r="DR471" s="408">
        <v>0</v>
      </c>
      <c r="DS471" s="408"/>
      <c r="DT471" s="408"/>
      <c r="DU471" s="408"/>
      <c r="DV471" s="408">
        <v>21956.540618361963</v>
      </c>
      <c r="DW471" s="408">
        <v>0</v>
      </c>
      <c r="DX471" s="408">
        <v>0</v>
      </c>
      <c r="DY471" s="408">
        <v>-11865.711599999999</v>
      </c>
      <c r="DZ471" s="408">
        <v>1300.6250999999993</v>
      </c>
      <c r="EA471" s="408">
        <v>0</v>
      </c>
      <c r="EB471" s="408">
        <v>0</v>
      </c>
      <c r="EC471" s="408">
        <v>-12317.393116864478</v>
      </c>
      <c r="ED471" s="408">
        <v>0</v>
      </c>
      <c r="EE471" s="408">
        <v>0</v>
      </c>
      <c r="EF471" s="408">
        <v>0</v>
      </c>
      <c r="EG471" s="408">
        <v>0</v>
      </c>
      <c r="EH471" s="408">
        <v>0</v>
      </c>
      <c r="EI471" s="408">
        <v>0</v>
      </c>
      <c r="EJ471" s="408">
        <v>0</v>
      </c>
      <c r="EK471" s="408">
        <v>0</v>
      </c>
      <c r="EL471" s="408">
        <v>0</v>
      </c>
      <c r="EM471" s="408">
        <v>0</v>
      </c>
      <c r="EN471" s="408">
        <v>0</v>
      </c>
      <c r="EO471" s="408">
        <v>0</v>
      </c>
      <c r="EP471" s="408">
        <v>0</v>
      </c>
      <c r="EQ471" s="408">
        <v>0</v>
      </c>
      <c r="ER471" s="408">
        <v>0</v>
      </c>
      <c r="ES471" s="408">
        <v>0</v>
      </c>
      <c r="ET471" s="408">
        <v>0</v>
      </c>
      <c r="EU471" s="408">
        <v>0</v>
      </c>
      <c r="EV471" s="408">
        <v>238</v>
      </c>
      <c r="EW471" s="408">
        <v>0</v>
      </c>
      <c r="EX471" s="408">
        <v>0</v>
      </c>
      <c r="EY471" s="408">
        <v>0</v>
      </c>
      <c r="EZ471" s="408"/>
      <c r="FA471" s="408">
        <v>0</v>
      </c>
      <c r="FB471" s="408"/>
      <c r="FC471" s="408"/>
      <c r="FD471" s="408"/>
      <c r="FE471" s="408"/>
      <c r="FF471" s="408">
        <v>0</v>
      </c>
      <c r="FG471" s="408">
        <v>0</v>
      </c>
      <c r="FH471" s="408">
        <v>0</v>
      </c>
      <c r="FI471" s="408">
        <v>0</v>
      </c>
    </row>
    <row r="472" spans="1:165">
      <c r="A472" s="408">
        <v>476</v>
      </c>
      <c r="B472" s="408" t="s">
        <v>2238</v>
      </c>
      <c r="C472" s="408" t="s">
        <v>2235</v>
      </c>
      <c r="D472" s="408" t="s">
        <v>1955</v>
      </c>
      <c r="E472" s="408" t="s">
        <v>969</v>
      </c>
      <c r="F472" s="408" t="s">
        <v>2239</v>
      </c>
      <c r="G472" s="408" t="s">
        <v>1322</v>
      </c>
      <c r="H472" s="408" t="s">
        <v>1322</v>
      </c>
      <c r="I472" s="408" t="s">
        <v>1322</v>
      </c>
      <c r="J472" s="408" t="s">
        <v>2236</v>
      </c>
      <c r="K472" s="824">
        <v>44621</v>
      </c>
      <c r="L472" s="408">
        <v>0</v>
      </c>
      <c r="M472" s="408">
        <v>0</v>
      </c>
      <c r="N472" s="408">
        <v>0.15</v>
      </c>
      <c r="O472" s="408">
        <v>-0.82499999999999996</v>
      </c>
      <c r="P472" s="408">
        <v>0.15</v>
      </c>
      <c r="Q472" s="408">
        <v>-0.82499999999999996</v>
      </c>
      <c r="R472" s="408"/>
      <c r="S472" s="408">
        <v>510.28</v>
      </c>
      <c r="T472" s="408">
        <v>209.4</v>
      </c>
      <c r="U472" s="408"/>
      <c r="V472" s="408">
        <v>107.95199999999998</v>
      </c>
      <c r="W472" s="408">
        <v>107.95199999999998</v>
      </c>
      <c r="X472" s="408">
        <v>80.134500000000003</v>
      </c>
      <c r="Y472" s="408">
        <v>0</v>
      </c>
      <c r="Z472" s="408">
        <v>0</v>
      </c>
      <c r="AA472" s="408">
        <v>0</v>
      </c>
      <c r="AB472" s="408">
        <v>0</v>
      </c>
      <c r="AC472" s="408">
        <v>0</v>
      </c>
      <c r="AD472" s="408">
        <v>11.128671719372173</v>
      </c>
      <c r="AE472" s="408">
        <v>57.810796783470145</v>
      </c>
      <c r="AF472" s="408">
        <v>30.997611868653749</v>
      </c>
      <c r="AG472" s="408">
        <v>0.41294474462819103</v>
      </c>
      <c r="AH472" s="408">
        <v>0</v>
      </c>
      <c r="AI472" s="408">
        <v>0</v>
      </c>
      <c r="AJ472" s="408">
        <v>0</v>
      </c>
      <c r="AK472" s="408">
        <v>0</v>
      </c>
      <c r="AL472" s="408">
        <v>0</v>
      </c>
      <c r="AM472" s="408"/>
      <c r="AN472" s="408">
        <v>0.2734446473743305</v>
      </c>
      <c r="AO472" s="408">
        <v>0.85492211625903003</v>
      </c>
      <c r="AP472" s="408">
        <v>1.2877784955743339</v>
      </c>
      <c r="AQ472" s="408">
        <v>0</v>
      </c>
      <c r="AR472" s="408">
        <v>0</v>
      </c>
      <c r="AS472" s="408">
        <v>0</v>
      </c>
      <c r="AT472" s="408">
        <v>0</v>
      </c>
      <c r="AU472" s="408">
        <v>0</v>
      </c>
      <c r="AV472" s="408">
        <v>0</v>
      </c>
      <c r="AW472" s="408">
        <v>0</v>
      </c>
      <c r="AX472" s="408">
        <v>0</v>
      </c>
      <c r="AY472" s="408">
        <v>0</v>
      </c>
      <c r="AZ472" s="408">
        <v>0</v>
      </c>
      <c r="BA472" s="408"/>
      <c r="BB472" s="408">
        <v>0</v>
      </c>
      <c r="BC472" s="408">
        <v>0</v>
      </c>
      <c r="BD472" s="408">
        <v>0</v>
      </c>
      <c r="BE472" s="408">
        <v>0</v>
      </c>
      <c r="BF472" s="408">
        <v>0</v>
      </c>
      <c r="BG472" s="408">
        <v>5.1858425186158348</v>
      </c>
      <c r="BH472" s="408">
        <v>0</v>
      </c>
      <c r="BI472" s="408">
        <v>0.05</v>
      </c>
      <c r="BJ472" s="408">
        <v>0</v>
      </c>
      <c r="BK472" s="408">
        <v>14.6</v>
      </c>
      <c r="BL472" s="408">
        <v>0</v>
      </c>
      <c r="BM472" s="408"/>
      <c r="BN472" s="408"/>
      <c r="BO472" s="408"/>
      <c r="BP472" s="408"/>
      <c r="BQ472" s="408"/>
      <c r="BR472" s="408"/>
      <c r="BS472" s="408"/>
      <c r="BT472" s="408">
        <v>234.39299999999997</v>
      </c>
      <c r="BU472" s="408"/>
      <c r="BV472" s="408">
        <v>36.183454387269585</v>
      </c>
      <c r="BW472" s="408"/>
      <c r="BX472" s="408"/>
      <c r="BY472" s="408"/>
      <c r="BZ472" s="408"/>
      <c r="CA472" s="408"/>
      <c r="CB472" s="408"/>
      <c r="CC472" s="408"/>
      <c r="CD472" s="408"/>
      <c r="CE472" s="408"/>
      <c r="CF472" s="408"/>
      <c r="CG472" s="408"/>
      <c r="CH472" s="408"/>
      <c r="CI472" s="408">
        <v>-155.1934</v>
      </c>
      <c r="CJ472" s="408">
        <v>52.585850000000022</v>
      </c>
      <c r="CK472" s="408"/>
      <c r="CL472" s="408"/>
      <c r="CM472" s="408"/>
      <c r="CN472" s="408"/>
      <c r="CO472" s="408">
        <v>-31.241999999999994</v>
      </c>
      <c r="CP472" s="408">
        <v>3.4244999999999974</v>
      </c>
      <c r="CQ472" s="408">
        <v>31</v>
      </c>
      <c r="CR472" s="408">
        <v>4.6133969290898591</v>
      </c>
      <c r="CS472" s="408">
        <v>0.10321648301610453</v>
      </c>
      <c r="CT472" s="408">
        <v>0.15547611260611949</v>
      </c>
      <c r="CU472" s="408">
        <v>0</v>
      </c>
      <c r="CV472" s="408">
        <v>0</v>
      </c>
      <c r="CW472" s="408">
        <v>0</v>
      </c>
      <c r="CX472" s="408">
        <v>0</v>
      </c>
      <c r="CY472" s="408">
        <v>0</v>
      </c>
      <c r="CZ472" s="408">
        <v>0.36482498743608005</v>
      </c>
      <c r="DA472" s="408">
        <v>0</v>
      </c>
      <c r="DB472" s="408">
        <v>0</v>
      </c>
      <c r="DC472" s="408">
        <v>3.4234626189539981</v>
      </c>
      <c r="DD472" s="408">
        <v>0</v>
      </c>
      <c r="DE472" s="408">
        <v>0</v>
      </c>
      <c r="DF472" s="408">
        <v>0</v>
      </c>
      <c r="DG472" s="408">
        <v>0.57273889632175479</v>
      </c>
      <c r="DH472" s="408">
        <v>0</v>
      </c>
      <c r="DI472" s="408">
        <v>0</v>
      </c>
      <c r="DJ472" s="408"/>
      <c r="DK472" s="408">
        <v>0</v>
      </c>
      <c r="DL472" s="408">
        <v>0</v>
      </c>
      <c r="DM472" s="408">
        <v>0</v>
      </c>
      <c r="DN472" s="408">
        <v>0</v>
      </c>
      <c r="DO472" s="408">
        <v>0</v>
      </c>
      <c r="DP472" s="408">
        <v>-6.3221692441874922E-3</v>
      </c>
      <c r="DQ472" s="408">
        <v>0</v>
      </c>
      <c r="DR472" s="408">
        <v>0</v>
      </c>
      <c r="DS472" s="408"/>
      <c r="DT472" s="408"/>
      <c r="DU472" s="408"/>
      <c r="DV472" s="408">
        <v>57.810796783470145</v>
      </c>
      <c r="DW472" s="408">
        <v>0</v>
      </c>
      <c r="DX472" s="408">
        <v>0</v>
      </c>
      <c r="DY472" s="408">
        <v>-31.24199999999999</v>
      </c>
      <c r="DZ472" s="408">
        <v>3.4244999999999983</v>
      </c>
      <c r="EA472" s="408">
        <v>0</v>
      </c>
      <c r="EB472" s="408">
        <v>0</v>
      </c>
      <c r="EC472" s="408">
        <v>-32.431261497800094</v>
      </c>
      <c r="ED472" s="408">
        <v>0</v>
      </c>
      <c r="EE472" s="408">
        <v>0</v>
      </c>
      <c r="EF472" s="408">
        <v>0</v>
      </c>
      <c r="EG472" s="408">
        <v>0</v>
      </c>
      <c r="EH472" s="408">
        <v>0</v>
      </c>
      <c r="EI472" s="408">
        <v>0</v>
      </c>
      <c r="EJ472" s="408">
        <v>0</v>
      </c>
      <c r="EK472" s="408">
        <v>0</v>
      </c>
      <c r="EL472" s="408">
        <v>0</v>
      </c>
      <c r="EM472" s="408">
        <v>0</v>
      </c>
      <c r="EN472" s="408">
        <v>0</v>
      </c>
      <c r="EO472" s="408">
        <v>0</v>
      </c>
      <c r="EP472" s="408">
        <v>0</v>
      </c>
      <c r="EQ472" s="408">
        <v>0</v>
      </c>
      <c r="ER472" s="408">
        <v>0</v>
      </c>
      <c r="ES472" s="408">
        <v>0</v>
      </c>
      <c r="ET472" s="408">
        <v>0</v>
      </c>
      <c r="EU472" s="408">
        <v>0</v>
      </c>
      <c r="EV472" s="408">
        <v>238</v>
      </c>
      <c r="EW472" s="408">
        <v>0</v>
      </c>
      <c r="EX472" s="408">
        <v>0</v>
      </c>
      <c r="EY472" s="408">
        <v>0</v>
      </c>
      <c r="EZ472" s="408"/>
      <c r="FA472" s="408">
        <v>0</v>
      </c>
      <c r="FB472" s="408"/>
      <c r="FC472" s="408"/>
      <c r="FD472" s="408"/>
      <c r="FE472" s="408"/>
      <c r="FF472" s="408">
        <v>0</v>
      </c>
      <c r="FG472" s="408">
        <v>0</v>
      </c>
      <c r="FH472" s="408">
        <v>0</v>
      </c>
      <c r="FI472" s="408">
        <v>0</v>
      </c>
    </row>
    <row r="473" spans="1:165">
      <c r="A473" s="408">
        <v>477</v>
      </c>
      <c r="B473" s="408" t="s">
        <v>1036</v>
      </c>
      <c r="C473" s="408" t="s">
        <v>2235</v>
      </c>
      <c r="D473" s="408" t="s">
        <v>1955</v>
      </c>
      <c r="E473" s="408" t="s">
        <v>969</v>
      </c>
      <c r="F473" s="408" t="s">
        <v>2240</v>
      </c>
      <c r="G473" s="408" t="s">
        <v>1322</v>
      </c>
      <c r="H473" s="408" t="s">
        <v>1322</v>
      </c>
      <c r="I473" s="408" t="s">
        <v>1322</v>
      </c>
      <c r="J473" s="408" t="s">
        <v>2236</v>
      </c>
      <c r="K473" s="824">
        <v>44621</v>
      </c>
      <c r="L473" s="408">
        <v>0</v>
      </c>
      <c r="M473" s="408">
        <v>0</v>
      </c>
      <c r="N473" s="408">
        <v>115.798</v>
      </c>
      <c r="O473" s="408">
        <v>115.798</v>
      </c>
      <c r="P473" s="408">
        <v>115.798</v>
      </c>
      <c r="Q473" s="408">
        <v>115.798</v>
      </c>
      <c r="R473" s="408"/>
      <c r="S473" s="408">
        <v>510.28</v>
      </c>
      <c r="T473" s="408">
        <v>209.4</v>
      </c>
      <c r="U473" s="408"/>
      <c r="V473" s="408">
        <v>83337.504639999999</v>
      </c>
      <c r="W473" s="408">
        <v>83337.504639999999</v>
      </c>
      <c r="X473" s="408">
        <v>61862.765539999993</v>
      </c>
      <c r="Y473" s="408">
        <v>0</v>
      </c>
      <c r="Z473" s="408">
        <v>0</v>
      </c>
      <c r="AA473" s="408">
        <v>0</v>
      </c>
      <c r="AB473" s="408">
        <v>0</v>
      </c>
      <c r="AC473" s="408">
        <v>0</v>
      </c>
      <c r="AD473" s="408">
        <v>8591.1861850657278</v>
      </c>
      <c r="AE473" s="408">
        <v>44629.164306215178</v>
      </c>
      <c r="AF473" s="408">
        <v>23929.743061109115</v>
      </c>
      <c r="AG473" s="408">
        <v>318.78783692303512</v>
      </c>
      <c r="AH473" s="408">
        <v>0</v>
      </c>
      <c r="AI473" s="408">
        <v>0</v>
      </c>
      <c r="AJ473" s="408">
        <v>0</v>
      </c>
      <c r="AK473" s="408">
        <v>0</v>
      </c>
      <c r="AL473" s="408">
        <v>0</v>
      </c>
      <c r="AM473" s="408"/>
      <c r="AN473" s="408">
        <v>211.09562184435148</v>
      </c>
      <c r="AO473" s="408">
        <v>659.98847479042104</v>
      </c>
      <c r="AP473" s="408">
        <v>994.14782820344476</v>
      </c>
      <c r="AQ473" s="408">
        <v>0</v>
      </c>
      <c r="AR473" s="408">
        <v>0</v>
      </c>
      <c r="AS473" s="408">
        <v>0</v>
      </c>
      <c r="AT473" s="408">
        <v>0</v>
      </c>
      <c r="AU473" s="408">
        <v>0</v>
      </c>
      <c r="AV473" s="408">
        <v>0</v>
      </c>
      <c r="AW473" s="408">
        <v>0</v>
      </c>
      <c r="AX473" s="408">
        <v>0</v>
      </c>
      <c r="AY473" s="408">
        <v>0</v>
      </c>
      <c r="AZ473" s="408">
        <v>0</v>
      </c>
      <c r="BA473" s="408"/>
      <c r="BB473" s="408">
        <v>0</v>
      </c>
      <c r="BC473" s="408">
        <v>0</v>
      </c>
      <c r="BD473" s="408">
        <v>0</v>
      </c>
      <c r="BE473" s="408">
        <v>0</v>
      </c>
      <c r="BF473" s="408">
        <v>0</v>
      </c>
      <c r="BG473" s="408">
        <v>4003.4012798045096</v>
      </c>
      <c r="BH473" s="408">
        <v>0</v>
      </c>
      <c r="BI473" s="408">
        <v>80.25</v>
      </c>
      <c r="BJ473" s="408">
        <v>36.18</v>
      </c>
      <c r="BK473" s="408">
        <v>12347.11</v>
      </c>
      <c r="BL473" s="408">
        <v>356</v>
      </c>
      <c r="BM473" s="408"/>
      <c r="BN473" s="408"/>
      <c r="BO473" s="408"/>
      <c r="BP473" s="408"/>
      <c r="BQ473" s="408"/>
      <c r="BR473" s="408"/>
      <c r="BS473" s="408"/>
      <c r="BT473" s="408">
        <v>24744.874620000002</v>
      </c>
      <c r="BU473" s="408"/>
      <c r="BV473" s="408">
        <v>27933.144340913626</v>
      </c>
      <c r="BW473" s="408"/>
      <c r="BX473" s="408"/>
      <c r="BY473" s="408"/>
      <c r="BZ473" s="408"/>
      <c r="CA473" s="408"/>
      <c r="CB473" s="408"/>
      <c r="CC473" s="408"/>
      <c r="CD473" s="408"/>
      <c r="CE473" s="408"/>
      <c r="CF473" s="408"/>
      <c r="CG473" s="408"/>
      <c r="CH473" s="408"/>
      <c r="CI473" s="408">
        <v>37118.531999999999</v>
      </c>
      <c r="CJ473" s="408">
        <v>-12884.232380000016</v>
      </c>
      <c r="CK473" s="408"/>
      <c r="CL473" s="408"/>
      <c r="CM473" s="408"/>
      <c r="CN473" s="408"/>
      <c r="CO473" s="408">
        <v>-24118.407439999995</v>
      </c>
      <c r="CP473" s="408">
        <v>2643.6683399999984</v>
      </c>
      <c r="CQ473" s="408">
        <v>31</v>
      </c>
      <c r="CR473" s="408">
        <v>3561.480917298315</v>
      </c>
      <c r="CS473" s="408">
        <v>79.681748668659225</v>
      </c>
      <c r="CT473" s="408">
        <v>120.02548591708955</v>
      </c>
      <c r="CU473" s="408">
        <v>0</v>
      </c>
      <c r="CV473" s="408">
        <v>0</v>
      </c>
      <c r="CW473" s="408">
        <v>0</v>
      </c>
      <c r="CX473" s="408">
        <v>0</v>
      </c>
      <c r="CY473" s="408">
        <v>0</v>
      </c>
      <c r="CZ473" s="408">
        <v>281.64002596748651</v>
      </c>
      <c r="DA473" s="408">
        <v>0</v>
      </c>
      <c r="DB473" s="408">
        <v>0</v>
      </c>
      <c r="DC473" s="408">
        <v>2642.8674956642317</v>
      </c>
      <c r="DD473" s="408">
        <v>0</v>
      </c>
      <c r="DE473" s="408">
        <v>0</v>
      </c>
      <c r="DF473" s="408">
        <v>0</v>
      </c>
      <c r="DG473" s="408">
        <v>442.14679144177717</v>
      </c>
      <c r="DH473" s="408">
        <v>0</v>
      </c>
      <c r="DI473" s="408">
        <v>0</v>
      </c>
      <c r="DJ473" s="408"/>
      <c r="DK473" s="408">
        <v>0</v>
      </c>
      <c r="DL473" s="408">
        <v>0</v>
      </c>
      <c r="DM473" s="408">
        <v>0</v>
      </c>
      <c r="DN473" s="408">
        <v>0</v>
      </c>
      <c r="DO473" s="408">
        <v>0</v>
      </c>
      <c r="DP473" s="408">
        <v>-4.8806303609228223</v>
      </c>
      <c r="DQ473" s="408">
        <v>0</v>
      </c>
      <c r="DR473" s="408">
        <v>0</v>
      </c>
      <c r="DS473" s="408"/>
      <c r="DT473" s="408"/>
      <c r="DU473" s="408"/>
      <c r="DV473" s="408">
        <v>44629.164306215178</v>
      </c>
      <c r="DW473" s="408">
        <v>0</v>
      </c>
      <c r="DX473" s="408">
        <v>0</v>
      </c>
      <c r="DY473" s="408">
        <v>-24118.407439999995</v>
      </c>
      <c r="DZ473" s="408">
        <v>2643.6683399999965</v>
      </c>
      <c r="EA473" s="408">
        <v>0</v>
      </c>
      <c r="EB473" s="408">
        <v>0</v>
      </c>
      <c r="EC473" s="408">
        <v>-25036.501459481708</v>
      </c>
      <c r="ED473" s="408">
        <v>0</v>
      </c>
      <c r="EE473" s="408">
        <v>0</v>
      </c>
      <c r="EF473" s="408">
        <v>0</v>
      </c>
      <c r="EG473" s="408">
        <v>0</v>
      </c>
      <c r="EH473" s="408">
        <v>0</v>
      </c>
      <c r="EI473" s="408">
        <v>0</v>
      </c>
      <c r="EJ473" s="408">
        <v>0</v>
      </c>
      <c r="EK473" s="408">
        <v>0</v>
      </c>
      <c r="EL473" s="408">
        <v>0</v>
      </c>
      <c r="EM473" s="408">
        <v>0</v>
      </c>
      <c r="EN473" s="408">
        <v>0</v>
      </c>
      <c r="EO473" s="408">
        <v>0</v>
      </c>
      <c r="EP473" s="408">
        <v>0</v>
      </c>
      <c r="EQ473" s="408">
        <v>0</v>
      </c>
      <c r="ER473" s="408">
        <v>0</v>
      </c>
      <c r="ES473" s="408">
        <v>0</v>
      </c>
      <c r="ET473" s="408">
        <v>0</v>
      </c>
      <c r="EU473" s="408">
        <v>0</v>
      </c>
      <c r="EV473" s="408">
        <v>238</v>
      </c>
      <c r="EW473" s="408">
        <v>0</v>
      </c>
      <c r="EX473" s="408">
        <v>0</v>
      </c>
      <c r="EY473" s="408">
        <v>0</v>
      </c>
      <c r="EZ473" s="408"/>
      <c r="FA473" s="408">
        <v>0</v>
      </c>
      <c r="FB473" s="408"/>
      <c r="FC473" s="408"/>
      <c r="FD473" s="408"/>
      <c r="FE473" s="408"/>
      <c r="FF473" s="408">
        <v>0</v>
      </c>
      <c r="FG473" s="408">
        <v>0</v>
      </c>
      <c r="FH473" s="408">
        <v>0</v>
      </c>
      <c r="FI473" s="408">
        <v>0</v>
      </c>
    </row>
    <row r="474" spans="1:165">
      <c r="A474" s="408">
        <v>478</v>
      </c>
      <c r="B474" s="408" t="s">
        <v>2238</v>
      </c>
      <c r="C474" s="408" t="s">
        <v>2235</v>
      </c>
      <c r="D474" s="408" t="s">
        <v>1955</v>
      </c>
      <c r="E474" s="408" t="s">
        <v>969</v>
      </c>
      <c r="F474" s="408" t="s">
        <v>2240</v>
      </c>
      <c r="G474" s="408" t="s">
        <v>1322</v>
      </c>
      <c r="H474" s="408" t="s">
        <v>1322</v>
      </c>
      <c r="I474" s="408" t="s">
        <v>1322</v>
      </c>
      <c r="J474" s="408" t="s">
        <v>2236</v>
      </c>
      <c r="K474" s="824">
        <v>44621</v>
      </c>
      <c r="L474" s="408">
        <v>0</v>
      </c>
      <c r="M474" s="408">
        <v>0</v>
      </c>
      <c r="N474" s="408">
        <v>0.11899999999999999</v>
      </c>
      <c r="O474" s="408">
        <v>-0.35699999999999998</v>
      </c>
      <c r="P474" s="408">
        <v>0.11899999999999999</v>
      </c>
      <c r="Q474" s="408">
        <v>-0.35699999999999998</v>
      </c>
      <c r="R474" s="408"/>
      <c r="S474" s="408">
        <v>510.28</v>
      </c>
      <c r="T474" s="408">
        <v>209.4</v>
      </c>
      <c r="U474" s="408"/>
      <c r="V474" s="408">
        <v>85.641919999999999</v>
      </c>
      <c r="W474" s="408">
        <v>85.641919999999999</v>
      </c>
      <c r="X474" s="408">
        <v>63.573369999999997</v>
      </c>
      <c r="Y474" s="408">
        <v>0</v>
      </c>
      <c r="Z474" s="408">
        <v>0</v>
      </c>
      <c r="AA474" s="408">
        <v>0</v>
      </c>
      <c r="AB474" s="408">
        <v>0</v>
      </c>
      <c r="AC474" s="408">
        <v>0</v>
      </c>
      <c r="AD474" s="408">
        <v>8.828746230701924</v>
      </c>
      <c r="AE474" s="408">
        <v>45.863232114886316</v>
      </c>
      <c r="AF474" s="408">
        <v>24.591438749131974</v>
      </c>
      <c r="AG474" s="408">
        <v>0.32760283073836488</v>
      </c>
      <c r="AH474" s="408">
        <v>0</v>
      </c>
      <c r="AI474" s="408">
        <v>0</v>
      </c>
      <c r="AJ474" s="408">
        <v>0</v>
      </c>
      <c r="AK474" s="408">
        <v>0</v>
      </c>
      <c r="AL474" s="408">
        <v>0</v>
      </c>
      <c r="AM474" s="408"/>
      <c r="AN474" s="408">
        <v>0.21693275358363551</v>
      </c>
      <c r="AO474" s="408">
        <v>0.67823821223216385</v>
      </c>
      <c r="AP474" s="408">
        <v>1.0216376064889714</v>
      </c>
      <c r="AQ474" s="408">
        <v>0</v>
      </c>
      <c r="AR474" s="408">
        <v>0</v>
      </c>
      <c r="AS474" s="408">
        <v>0</v>
      </c>
      <c r="AT474" s="408">
        <v>0</v>
      </c>
      <c r="AU474" s="408">
        <v>0</v>
      </c>
      <c r="AV474" s="408">
        <v>0</v>
      </c>
      <c r="AW474" s="408">
        <v>0</v>
      </c>
      <c r="AX474" s="408">
        <v>0</v>
      </c>
      <c r="AY474" s="408">
        <v>0</v>
      </c>
      <c r="AZ474" s="408">
        <v>0</v>
      </c>
      <c r="BA474" s="408"/>
      <c r="BB474" s="408">
        <v>0</v>
      </c>
      <c r="BC474" s="408">
        <v>0</v>
      </c>
      <c r="BD474" s="408">
        <v>0</v>
      </c>
      <c r="BE474" s="408">
        <v>0</v>
      </c>
      <c r="BF474" s="408">
        <v>0</v>
      </c>
      <c r="BG474" s="408">
        <v>4.1141017314352286</v>
      </c>
      <c r="BH474" s="408">
        <v>0</v>
      </c>
      <c r="BI474" s="408">
        <v>0.08</v>
      </c>
      <c r="BJ474" s="408">
        <v>0.04</v>
      </c>
      <c r="BK474" s="408">
        <v>46.3</v>
      </c>
      <c r="BL474" s="408">
        <v>0</v>
      </c>
      <c r="BM474" s="408"/>
      <c r="BN474" s="408"/>
      <c r="BO474" s="408"/>
      <c r="BP474" s="408"/>
      <c r="BQ474" s="408"/>
      <c r="BR474" s="408"/>
      <c r="BS474" s="408"/>
      <c r="BT474" s="408">
        <v>178.00615000000002</v>
      </c>
      <c r="BU474" s="408"/>
      <c r="BV474" s="408">
        <v>28.705540480567201</v>
      </c>
      <c r="BW474" s="408"/>
      <c r="BX474" s="408"/>
      <c r="BY474" s="408"/>
      <c r="BZ474" s="408"/>
      <c r="CA474" s="408"/>
      <c r="CB474" s="408"/>
      <c r="CC474" s="408"/>
      <c r="CD474" s="408"/>
      <c r="CE474" s="408"/>
      <c r="CF474" s="408"/>
      <c r="CG474" s="408"/>
      <c r="CH474" s="408"/>
      <c r="CI474" s="408">
        <v>-115.39439999999999</v>
      </c>
      <c r="CJ474" s="408">
        <v>38.731770000000012</v>
      </c>
      <c r="CK474" s="408"/>
      <c r="CL474" s="408"/>
      <c r="CM474" s="408"/>
      <c r="CN474" s="408"/>
      <c r="CO474" s="408">
        <v>-24.785319999999995</v>
      </c>
      <c r="CP474" s="408">
        <v>2.7167699999999981</v>
      </c>
      <c r="CQ474" s="408">
        <v>31</v>
      </c>
      <c r="CR474" s="408">
        <v>3.6599615637446234</v>
      </c>
      <c r="CS474" s="408">
        <v>8.1885076526109546E-2</v>
      </c>
      <c r="CT474" s="408">
        <v>0.12334438266752157</v>
      </c>
      <c r="CU474" s="408">
        <v>0</v>
      </c>
      <c r="CV474" s="408">
        <v>0</v>
      </c>
      <c r="CW474" s="408">
        <v>0</v>
      </c>
      <c r="CX474" s="408">
        <v>0</v>
      </c>
      <c r="CY474" s="408">
        <v>0</v>
      </c>
      <c r="CZ474" s="408">
        <v>0.28942782336595663</v>
      </c>
      <c r="DA474" s="408">
        <v>0</v>
      </c>
      <c r="DB474" s="408">
        <v>0</v>
      </c>
      <c r="DC474" s="408">
        <v>2.7159470110368389</v>
      </c>
      <c r="DD474" s="408">
        <v>0</v>
      </c>
      <c r="DE474" s="408">
        <v>0</v>
      </c>
      <c r="DF474" s="408">
        <v>0</v>
      </c>
      <c r="DG474" s="408">
        <v>0.45437285774859237</v>
      </c>
      <c r="DH474" s="408">
        <v>0</v>
      </c>
      <c r="DI474" s="408">
        <v>0</v>
      </c>
      <c r="DJ474" s="408"/>
      <c r="DK474" s="408">
        <v>0</v>
      </c>
      <c r="DL474" s="408">
        <v>0</v>
      </c>
      <c r="DM474" s="408">
        <v>0</v>
      </c>
      <c r="DN474" s="408">
        <v>0</v>
      </c>
      <c r="DO474" s="408">
        <v>0</v>
      </c>
      <c r="DP474" s="408">
        <v>-5.0155876003887268E-3</v>
      </c>
      <c r="DQ474" s="408">
        <v>0</v>
      </c>
      <c r="DR474" s="408">
        <v>0</v>
      </c>
      <c r="DS474" s="408"/>
      <c r="DT474" s="408"/>
      <c r="DU474" s="408"/>
      <c r="DV474" s="408">
        <v>45.863232114886316</v>
      </c>
      <c r="DW474" s="408">
        <v>0</v>
      </c>
      <c r="DX474" s="408">
        <v>0</v>
      </c>
      <c r="DY474" s="408">
        <v>-24.785319999999999</v>
      </c>
      <c r="DZ474" s="408">
        <v>2.7167700000000004</v>
      </c>
      <c r="EA474" s="408">
        <v>0</v>
      </c>
      <c r="EB474" s="408">
        <v>0</v>
      </c>
      <c r="EC474" s="408">
        <v>-25.728800788254741</v>
      </c>
      <c r="ED474" s="408">
        <v>0</v>
      </c>
      <c r="EE474" s="408">
        <v>0</v>
      </c>
      <c r="EF474" s="408">
        <v>0</v>
      </c>
      <c r="EG474" s="408">
        <v>0</v>
      </c>
      <c r="EH474" s="408">
        <v>0</v>
      </c>
      <c r="EI474" s="408">
        <v>0</v>
      </c>
      <c r="EJ474" s="408">
        <v>0</v>
      </c>
      <c r="EK474" s="408">
        <v>0</v>
      </c>
      <c r="EL474" s="408">
        <v>0</v>
      </c>
      <c r="EM474" s="408">
        <v>0</v>
      </c>
      <c r="EN474" s="408">
        <v>0</v>
      </c>
      <c r="EO474" s="408">
        <v>0</v>
      </c>
      <c r="EP474" s="408">
        <v>0</v>
      </c>
      <c r="EQ474" s="408">
        <v>0</v>
      </c>
      <c r="ER474" s="408">
        <v>0</v>
      </c>
      <c r="ES474" s="408">
        <v>0</v>
      </c>
      <c r="ET474" s="408">
        <v>0</v>
      </c>
      <c r="EU474" s="408">
        <v>0</v>
      </c>
      <c r="EV474" s="408">
        <v>238</v>
      </c>
      <c r="EW474" s="408">
        <v>0</v>
      </c>
      <c r="EX474" s="408">
        <v>0</v>
      </c>
      <c r="EY474" s="408">
        <v>0</v>
      </c>
      <c r="EZ474" s="408"/>
      <c r="FA474" s="408">
        <v>0</v>
      </c>
      <c r="FB474" s="408"/>
      <c r="FC474" s="408"/>
      <c r="FD474" s="408"/>
      <c r="FE474" s="408"/>
      <c r="FF474" s="408">
        <v>0</v>
      </c>
      <c r="FG474" s="408">
        <v>0</v>
      </c>
      <c r="FH474" s="408">
        <v>0</v>
      </c>
      <c r="FI474" s="408">
        <v>0</v>
      </c>
    </row>
    <row r="475" spans="1:165">
      <c r="A475" s="408">
        <v>479</v>
      </c>
      <c r="B475" s="408" t="s">
        <v>1036</v>
      </c>
      <c r="C475" s="408" t="s">
        <v>2235</v>
      </c>
      <c r="D475" s="408" t="s">
        <v>1955</v>
      </c>
      <c r="E475" s="408" t="s">
        <v>969</v>
      </c>
      <c r="F475" s="408" t="s">
        <v>2241</v>
      </c>
      <c r="G475" s="408" t="s">
        <v>1322</v>
      </c>
      <c r="H475" s="408" t="s">
        <v>1322</v>
      </c>
      <c r="I475" s="408" t="s">
        <v>1322</v>
      </c>
      <c r="J475" s="408" t="s">
        <v>2236</v>
      </c>
      <c r="K475" s="824">
        <v>44621</v>
      </c>
      <c r="L475" s="408">
        <v>0</v>
      </c>
      <c r="M475" s="408">
        <v>0</v>
      </c>
      <c r="N475" s="408">
        <v>113.736</v>
      </c>
      <c r="O475" s="408">
        <v>113.736</v>
      </c>
      <c r="P475" s="408">
        <v>113.736</v>
      </c>
      <c r="Q475" s="408">
        <v>113.736</v>
      </c>
      <c r="R475" s="408"/>
      <c r="S475" s="408">
        <v>510.28</v>
      </c>
      <c r="T475" s="408">
        <v>209.4</v>
      </c>
      <c r="U475" s="408"/>
      <c r="V475" s="408">
        <v>81853.524479999993</v>
      </c>
      <c r="W475" s="408">
        <v>81853.524479999993</v>
      </c>
      <c r="X475" s="408">
        <v>60761.183280000005</v>
      </c>
      <c r="Y475" s="408">
        <v>0</v>
      </c>
      <c r="Z475" s="408">
        <v>0</v>
      </c>
      <c r="AA475" s="408">
        <v>0</v>
      </c>
      <c r="AB475" s="408">
        <v>0</v>
      </c>
      <c r="AC475" s="408">
        <v>0</v>
      </c>
      <c r="AD475" s="408">
        <v>8438.204044496757</v>
      </c>
      <c r="AE475" s="408">
        <v>43834.458553098411</v>
      </c>
      <c r="AF475" s="408">
        <v>23503.629223288022</v>
      </c>
      <c r="AG475" s="408">
        <v>313.1112231668796</v>
      </c>
      <c r="AH475" s="408">
        <v>0</v>
      </c>
      <c r="AI475" s="408">
        <v>0</v>
      </c>
      <c r="AJ475" s="408">
        <v>0</v>
      </c>
      <c r="AK475" s="408">
        <v>0</v>
      </c>
      <c r="AL475" s="408">
        <v>0</v>
      </c>
      <c r="AM475" s="408"/>
      <c r="AN475" s="408">
        <v>207.33666942511238</v>
      </c>
      <c r="AO475" s="408">
        <v>648.23614543224699</v>
      </c>
      <c r="AP475" s="408">
        <v>976.44516648428294</v>
      </c>
      <c r="AQ475" s="408">
        <v>0</v>
      </c>
      <c r="AR475" s="408">
        <v>0</v>
      </c>
      <c r="AS475" s="408">
        <v>0</v>
      </c>
      <c r="AT475" s="408">
        <v>0</v>
      </c>
      <c r="AU475" s="408">
        <v>0</v>
      </c>
      <c r="AV475" s="408">
        <v>0</v>
      </c>
      <c r="AW475" s="408">
        <v>0</v>
      </c>
      <c r="AX475" s="408">
        <v>0</v>
      </c>
      <c r="AY475" s="408">
        <v>0</v>
      </c>
      <c r="AZ475" s="408">
        <v>0</v>
      </c>
      <c r="BA475" s="408"/>
      <c r="BB475" s="408">
        <v>0</v>
      </c>
      <c r="BC475" s="408">
        <v>0</v>
      </c>
      <c r="BD475" s="408">
        <v>0</v>
      </c>
      <c r="BE475" s="408">
        <v>0</v>
      </c>
      <c r="BF475" s="408">
        <v>0</v>
      </c>
      <c r="BG475" s="408">
        <v>3932.1132313152707</v>
      </c>
      <c r="BH475" s="408">
        <v>0</v>
      </c>
      <c r="BI475" s="408">
        <v>110.1</v>
      </c>
      <c r="BJ475" s="408">
        <v>60.65</v>
      </c>
      <c r="BK475" s="408">
        <v>18266.689999999999</v>
      </c>
      <c r="BL475" s="408">
        <v>924</v>
      </c>
      <c r="BM475" s="408"/>
      <c r="BN475" s="408"/>
      <c r="BO475" s="408"/>
      <c r="BP475" s="408"/>
      <c r="BQ475" s="408"/>
      <c r="BR475" s="408"/>
      <c r="BS475" s="408"/>
      <c r="BT475" s="408">
        <v>6076.9144799999976</v>
      </c>
      <c r="BU475" s="408"/>
      <c r="BV475" s="408">
        <v>27435.742454603293</v>
      </c>
      <c r="BW475" s="408"/>
      <c r="BX475" s="408"/>
      <c r="BY475" s="408"/>
      <c r="BZ475" s="408"/>
      <c r="CA475" s="408"/>
      <c r="CB475" s="408"/>
      <c r="CC475" s="408"/>
      <c r="CD475" s="408"/>
      <c r="CE475" s="408"/>
      <c r="CF475" s="408"/>
      <c r="CG475" s="408"/>
      <c r="CH475" s="408"/>
      <c r="CI475" s="408">
        <v>54686.191999999995</v>
      </c>
      <c r="CJ475" s="408">
        <v>-18981.782560000007</v>
      </c>
      <c r="CK475" s="408"/>
      <c r="CL475" s="408"/>
      <c r="CM475" s="408"/>
      <c r="CN475" s="408"/>
      <c r="CO475" s="408">
        <v>-23688.934079999999</v>
      </c>
      <c r="CP475" s="408">
        <v>2596.5928799999983</v>
      </c>
      <c r="CQ475" s="408">
        <v>31</v>
      </c>
      <c r="CR475" s="408">
        <v>3498.0620875131062</v>
      </c>
      <c r="CS475" s="408">
        <v>78.26286608213104</v>
      </c>
      <c r="CT475" s="408">
        <v>117.88820762246405</v>
      </c>
      <c r="CU475" s="408">
        <v>0</v>
      </c>
      <c r="CV475" s="408">
        <v>0</v>
      </c>
      <c r="CW475" s="408">
        <v>0</v>
      </c>
      <c r="CX475" s="408">
        <v>0</v>
      </c>
      <c r="CY475" s="408">
        <v>0</v>
      </c>
      <c r="CZ475" s="408">
        <v>276.6248984735339</v>
      </c>
      <c r="DA475" s="408">
        <v>0</v>
      </c>
      <c r="DB475" s="408">
        <v>0</v>
      </c>
      <c r="DC475" s="408">
        <v>2595.8062961956784</v>
      </c>
      <c r="DD475" s="408">
        <v>0</v>
      </c>
      <c r="DE475" s="408">
        <v>0</v>
      </c>
      <c r="DF475" s="408">
        <v>0</v>
      </c>
      <c r="DG475" s="408">
        <v>434.2735407470077</v>
      </c>
      <c r="DH475" s="408">
        <v>0</v>
      </c>
      <c r="DI475" s="408">
        <v>0</v>
      </c>
      <c r="DJ475" s="408"/>
      <c r="DK475" s="408">
        <v>0</v>
      </c>
      <c r="DL475" s="408">
        <v>0</v>
      </c>
      <c r="DM475" s="408">
        <v>0</v>
      </c>
      <c r="DN475" s="408">
        <v>0</v>
      </c>
      <c r="DO475" s="408">
        <v>0</v>
      </c>
      <c r="DP475" s="408">
        <v>-4.7937216077127403</v>
      </c>
      <c r="DQ475" s="408">
        <v>0</v>
      </c>
      <c r="DR475" s="408">
        <v>0</v>
      </c>
      <c r="DS475" s="408"/>
      <c r="DT475" s="408"/>
      <c r="DU475" s="408"/>
      <c r="DV475" s="408">
        <v>43834.458553098411</v>
      </c>
      <c r="DW475" s="408">
        <v>0</v>
      </c>
      <c r="DX475" s="408">
        <v>0</v>
      </c>
      <c r="DY475" s="408">
        <v>-23688.934079999992</v>
      </c>
      <c r="DZ475" s="408">
        <v>2596.5928800000002</v>
      </c>
      <c r="EA475" s="408">
        <v>0</v>
      </c>
      <c r="EB475" s="408">
        <v>0</v>
      </c>
      <c r="EC475" s="408">
        <v>-24590.679718091949</v>
      </c>
      <c r="ED475" s="408">
        <v>0</v>
      </c>
      <c r="EE475" s="408">
        <v>0</v>
      </c>
      <c r="EF475" s="408">
        <v>0</v>
      </c>
      <c r="EG475" s="408">
        <v>0</v>
      </c>
      <c r="EH475" s="408">
        <v>0</v>
      </c>
      <c r="EI475" s="408">
        <v>0</v>
      </c>
      <c r="EJ475" s="408">
        <v>0</v>
      </c>
      <c r="EK475" s="408">
        <v>0</v>
      </c>
      <c r="EL475" s="408">
        <v>0</v>
      </c>
      <c r="EM475" s="408">
        <v>0</v>
      </c>
      <c r="EN475" s="408">
        <v>0</v>
      </c>
      <c r="EO475" s="408">
        <v>0</v>
      </c>
      <c r="EP475" s="408">
        <v>0</v>
      </c>
      <c r="EQ475" s="408">
        <v>0</v>
      </c>
      <c r="ER475" s="408">
        <v>0</v>
      </c>
      <c r="ES475" s="408">
        <v>0</v>
      </c>
      <c r="ET475" s="408">
        <v>0</v>
      </c>
      <c r="EU475" s="408">
        <v>0</v>
      </c>
      <c r="EV475" s="408">
        <v>238</v>
      </c>
      <c r="EW475" s="408">
        <v>0</v>
      </c>
      <c r="EX475" s="408">
        <v>0</v>
      </c>
      <c r="EY475" s="408">
        <v>0</v>
      </c>
      <c r="EZ475" s="408"/>
      <c r="FA475" s="408">
        <v>0</v>
      </c>
      <c r="FB475" s="408"/>
      <c r="FC475" s="408"/>
      <c r="FD475" s="408"/>
      <c r="FE475" s="408"/>
      <c r="FF475" s="408">
        <v>0</v>
      </c>
      <c r="FG475" s="408">
        <v>0</v>
      </c>
      <c r="FH475" s="408">
        <v>0</v>
      </c>
      <c r="FI475" s="408">
        <v>0</v>
      </c>
    </row>
    <row r="476" spans="1:165">
      <c r="A476" s="408">
        <v>480</v>
      </c>
      <c r="B476" s="408" t="s">
        <v>2238</v>
      </c>
      <c r="C476" s="408" t="s">
        <v>2235</v>
      </c>
      <c r="D476" s="408" t="s">
        <v>1955</v>
      </c>
      <c r="E476" s="408" t="s">
        <v>969</v>
      </c>
      <c r="F476" s="408" t="s">
        <v>2241</v>
      </c>
      <c r="G476" s="408" t="s">
        <v>1322</v>
      </c>
      <c r="H476" s="408" t="s">
        <v>1322</v>
      </c>
      <c r="I476" s="408" t="s">
        <v>1322</v>
      </c>
      <c r="J476" s="408" t="s">
        <v>2236</v>
      </c>
      <c r="K476" s="824">
        <v>44621</v>
      </c>
      <c r="L476" s="408">
        <v>0</v>
      </c>
      <c r="M476" s="408">
        <v>0</v>
      </c>
      <c r="N476" s="408">
        <v>0.12</v>
      </c>
      <c r="O476" s="408">
        <v>0</v>
      </c>
      <c r="P476" s="408">
        <v>0.12</v>
      </c>
      <c r="Q476" s="408">
        <v>0</v>
      </c>
      <c r="R476" s="408"/>
      <c r="S476" s="408">
        <v>510.28</v>
      </c>
      <c r="T476" s="408">
        <v>209.4</v>
      </c>
      <c r="U476" s="408"/>
      <c r="V476" s="408">
        <v>86.361599999999996</v>
      </c>
      <c r="W476" s="408">
        <v>86.361599999999996</v>
      </c>
      <c r="X476" s="408">
        <v>64.107600000000005</v>
      </c>
      <c r="Y476" s="408">
        <v>0</v>
      </c>
      <c r="Z476" s="408">
        <v>0</v>
      </c>
      <c r="AA476" s="408">
        <v>0</v>
      </c>
      <c r="AB476" s="408">
        <v>0</v>
      </c>
      <c r="AC476" s="408">
        <v>0</v>
      </c>
      <c r="AD476" s="408">
        <v>8.9029373754977392</v>
      </c>
      <c r="AE476" s="408">
        <v>46.248637426776121</v>
      </c>
      <c r="AF476" s="408">
        <v>24.798089494922998</v>
      </c>
      <c r="AG476" s="408">
        <v>0.3303557957025528</v>
      </c>
      <c r="AH476" s="408">
        <v>0</v>
      </c>
      <c r="AI476" s="408">
        <v>0</v>
      </c>
      <c r="AJ476" s="408">
        <v>0</v>
      </c>
      <c r="AK476" s="408">
        <v>0</v>
      </c>
      <c r="AL476" s="408">
        <v>0</v>
      </c>
      <c r="AM476" s="408"/>
      <c r="AN476" s="408">
        <v>0.21875571789946438</v>
      </c>
      <c r="AO476" s="408">
        <v>0.68393769300722407</v>
      </c>
      <c r="AP476" s="408">
        <v>1.030222796459467</v>
      </c>
      <c r="AQ476" s="408">
        <v>0</v>
      </c>
      <c r="AR476" s="408">
        <v>0</v>
      </c>
      <c r="AS476" s="408">
        <v>0</v>
      </c>
      <c r="AT476" s="408">
        <v>0</v>
      </c>
      <c r="AU476" s="408">
        <v>0</v>
      </c>
      <c r="AV476" s="408">
        <v>0</v>
      </c>
      <c r="AW476" s="408">
        <v>0</v>
      </c>
      <c r="AX476" s="408">
        <v>0</v>
      </c>
      <c r="AY476" s="408">
        <v>0</v>
      </c>
      <c r="AZ476" s="408">
        <v>0</v>
      </c>
      <c r="BA476" s="408"/>
      <c r="BB476" s="408">
        <v>0</v>
      </c>
      <c r="BC476" s="408">
        <v>0</v>
      </c>
      <c r="BD476" s="408">
        <v>0</v>
      </c>
      <c r="BE476" s="408">
        <v>0</v>
      </c>
      <c r="BF476" s="408">
        <v>0</v>
      </c>
      <c r="BG476" s="408">
        <v>4.1486740148926682</v>
      </c>
      <c r="BH476" s="408">
        <v>0</v>
      </c>
      <c r="BI476" s="408">
        <v>0.12</v>
      </c>
      <c r="BJ476" s="408">
        <v>0.06</v>
      </c>
      <c r="BK476" s="408">
        <v>115.58</v>
      </c>
      <c r="BL476" s="408">
        <v>1</v>
      </c>
      <c r="BM476" s="408"/>
      <c r="BN476" s="408"/>
      <c r="BO476" s="408"/>
      <c r="BP476" s="408"/>
      <c r="BQ476" s="408"/>
      <c r="BR476" s="408"/>
      <c r="BS476" s="408"/>
      <c r="BT476" s="408">
        <v>64.107599999999991</v>
      </c>
      <c r="BU476" s="408"/>
      <c r="BV476" s="408">
        <v>28.946763509815668</v>
      </c>
      <c r="BW476" s="408"/>
      <c r="BX476" s="408"/>
      <c r="BY476" s="408"/>
      <c r="BZ476" s="408"/>
      <c r="CA476" s="408"/>
      <c r="CB476" s="408"/>
      <c r="CC476" s="408"/>
      <c r="CD476" s="408"/>
      <c r="CE476" s="408"/>
      <c r="CF476" s="408"/>
      <c r="CG476" s="408"/>
      <c r="CH476" s="408"/>
      <c r="CI476" s="408">
        <v>0</v>
      </c>
      <c r="CJ476" s="408">
        <v>-0.03</v>
      </c>
      <c r="CK476" s="408"/>
      <c r="CL476" s="408"/>
      <c r="CM476" s="408"/>
      <c r="CN476" s="408"/>
      <c r="CO476" s="408">
        <v>-24.993599999999997</v>
      </c>
      <c r="CP476" s="408">
        <v>2.739599999999998</v>
      </c>
      <c r="CQ476" s="408">
        <v>31</v>
      </c>
      <c r="CR476" s="408">
        <v>3.6907175432718944</v>
      </c>
      <c r="CS476" s="408">
        <v>8.2573186412883581E-2</v>
      </c>
      <c r="CT476" s="408">
        <v>0.12438089008489572</v>
      </c>
      <c r="CU476" s="408">
        <v>0</v>
      </c>
      <c r="CV476" s="408">
        <v>0</v>
      </c>
      <c r="CW476" s="408">
        <v>0</v>
      </c>
      <c r="CX476" s="408">
        <v>0</v>
      </c>
      <c r="CY476" s="408">
        <v>0</v>
      </c>
      <c r="CZ476" s="408">
        <v>0.29185998994886297</v>
      </c>
      <c r="DA476" s="408">
        <v>0</v>
      </c>
      <c r="DB476" s="408">
        <v>0</v>
      </c>
      <c r="DC476" s="408">
        <v>2.7387700951632006</v>
      </c>
      <c r="DD476" s="408">
        <v>0</v>
      </c>
      <c r="DE476" s="408">
        <v>0</v>
      </c>
      <c r="DF476" s="408">
        <v>0</v>
      </c>
      <c r="DG476" s="408">
        <v>0.45819111705740312</v>
      </c>
      <c r="DH476" s="408">
        <v>0</v>
      </c>
      <c r="DI476" s="408">
        <v>0</v>
      </c>
      <c r="DJ476" s="408"/>
      <c r="DK476" s="408">
        <v>0</v>
      </c>
      <c r="DL476" s="408">
        <v>0</v>
      </c>
      <c r="DM476" s="408">
        <v>0</v>
      </c>
      <c r="DN476" s="408">
        <v>0</v>
      </c>
      <c r="DO476" s="408">
        <v>0</v>
      </c>
      <c r="DP476" s="408">
        <v>-5.0577353953499826E-3</v>
      </c>
      <c r="DQ476" s="408">
        <v>0</v>
      </c>
      <c r="DR476" s="408">
        <v>0</v>
      </c>
      <c r="DS476" s="408"/>
      <c r="DT476" s="408"/>
      <c r="DU476" s="408"/>
      <c r="DV476" s="408">
        <v>46.248637426776121</v>
      </c>
      <c r="DW476" s="408">
        <v>0</v>
      </c>
      <c r="DX476" s="408">
        <v>0</v>
      </c>
      <c r="DY476" s="408">
        <v>-24.993599999999994</v>
      </c>
      <c r="DZ476" s="408">
        <v>2.7395999999999994</v>
      </c>
      <c r="EA476" s="408">
        <v>0</v>
      </c>
      <c r="EB476" s="408">
        <v>0</v>
      </c>
      <c r="EC476" s="408">
        <v>-25.945009198240079</v>
      </c>
      <c r="ED476" s="408">
        <v>0</v>
      </c>
      <c r="EE476" s="408">
        <v>0</v>
      </c>
      <c r="EF476" s="408">
        <v>0</v>
      </c>
      <c r="EG476" s="408">
        <v>0</v>
      </c>
      <c r="EH476" s="408">
        <v>0</v>
      </c>
      <c r="EI476" s="408">
        <v>0</v>
      </c>
      <c r="EJ476" s="408">
        <v>0</v>
      </c>
      <c r="EK476" s="408">
        <v>0</v>
      </c>
      <c r="EL476" s="408">
        <v>0</v>
      </c>
      <c r="EM476" s="408">
        <v>0</v>
      </c>
      <c r="EN476" s="408">
        <v>0</v>
      </c>
      <c r="EO476" s="408">
        <v>0</v>
      </c>
      <c r="EP476" s="408">
        <v>0</v>
      </c>
      <c r="EQ476" s="408">
        <v>0</v>
      </c>
      <c r="ER476" s="408">
        <v>0</v>
      </c>
      <c r="ES476" s="408">
        <v>0</v>
      </c>
      <c r="ET476" s="408">
        <v>0</v>
      </c>
      <c r="EU476" s="408">
        <v>0</v>
      </c>
      <c r="EV476" s="408">
        <v>238</v>
      </c>
      <c r="EW476" s="408">
        <v>0</v>
      </c>
      <c r="EX476" s="408">
        <v>0</v>
      </c>
      <c r="EY476" s="408">
        <v>0</v>
      </c>
      <c r="EZ476" s="408"/>
      <c r="FA476" s="408">
        <v>0</v>
      </c>
      <c r="FB476" s="408"/>
      <c r="FC476" s="408"/>
      <c r="FD476" s="408"/>
      <c r="FE476" s="408"/>
      <c r="FF476" s="408">
        <v>0</v>
      </c>
      <c r="FG476" s="408">
        <v>0</v>
      </c>
      <c r="FH476" s="408">
        <v>0</v>
      </c>
      <c r="FI476" s="408">
        <v>0</v>
      </c>
    </row>
    <row r="477" spans="1:165">
      <c r="A477" s="408">
        <v>481</v>
      </c>
      <c r="B477" s="408" t="s">
        <v>1036</v>
      </c>
      <c r="C477" s="408" t="s">
        <v>2235</v>
      </c>
      <c r="D477" s="408" t="s">
        <v>1955</v>
      </c>
      <c r="E477" s="408" t="s">
        <v>969</v>
      </c>
      <c r="F477" s="408" t="s">
        <v>2242</v>
      </c>
      <c r="G477" s="408" t="s">
        <v>1322</v>
      </c>
      <c r="H477" s="408" t="s">
        <v>1322</v>
      </c>
      <c r="I477" s="408" t="s">
        <v>1322</v>
      </c>
      <c r="J477" s="408" t="s">
        <v>2236</v>
      </c>
      <c r="K477" s="824">
        <v>44621</v>
      </c>
      <c r="L477" s="408">
        <v>0</v>
      </c>
      <c r="M477" s="408">
        <v>0</v>
      </c>
      <c r="N477" s="408">
        <v>50.764000000000003</v>
      </c>
      <c r="O477" s="408">
        <v>50.764000000000003</v>
      </c>
      <c r="P477" s="408">
        <v>50.764000000000003</v>
      </c>
      <c r="Q477" s="408">
        <v>50.764000000000003</v>
      </c>
      <c r="R477" s="408"/>
      <c r="S477" s="408">
        <v>510.28</v>
      </c>
      <c r="T477" s="408">
        <v>209.4</v>
      </c>
      <c r="U477" s="408"/>
      <c r="V477" s="408">
        <v>36533.835520000001</v>
      </c>
      <c r="W477" s="408">
        <v>36533.835520000001</v>
      </c>
      <c r="X477" s="408">
        <v>27119.651720000002</v>
      </c>
      <c r="Y477" s="408">
        <v>0</v>
      </c>
      <c r="Z477" s="408">
        <v>0</v>
      </c>
      <c r="AA477" s="408">
        <v>0</v>
      </c>
      <c r="AB477" s="408">
        <v>0</v>
      </c>
      <c r="AC477" s="408">
        <v>0</v>
      </c>
      <c r="AD477" s="408">
        <v>3766.2392744147273</v>
      </c>
      <c r="AE477" s="408">
        <v>19564.715252773858</v>
      </c>
      <c r="AF477" s="408">
        <v>10490.418459335593</v>
      </c>
      <c r="AG477" s="408">
        <v>139.75151344203661</v>
      </c>
      <c r="AH477" s="408">
        <v>0</v>
      </c>
      <c r="AI477" s="408">
        <v>0</v>
      </c>
      <c r="AJ477" s="408">
        <v>0</v>
      </c>
      <c r="AK477" s="408">
        <v>0</v>
      </c>
      <c r="AL477" s="408">
        <v>0</v>
      </c>
      <c r="AM477" s="408"/>
      <c r="AN477" s="408">
        <v>92.540960528736761</v>
      </c>
      <c r="AO477" s="408">
        <v>289.32844206515603</v>
      </c>
      <c r="AP477" s="408">
        <v>435.81858366223662</v>
      </c>
      <c r="AQ477" s="408">
        <v>0</v>
      </c>
      <c r="AR477" s="408">
        <v>0</v>
      </c>
      <c r="AS477" s="408">
        <v>0</v>
      </c>
      <c r="AT477" s="408">
        <v>0</v>
      </c>
      <c r="AU477" s="408">
        <v>0</v>
      </c>
      <c r="AV477" s="408">
        <v>0</v>
      </c>
      <c r="AW477" s="408">
        <v>0</v>
      </c>
      <c r="AX477" s="408">
        <v>0</v>
      </c>
      <c r="AY477" s="408">
        <v>0</v>
      </c>
      <c r="AZ477" s="408">
        <v>0</v>
      </c>
      <c r="BA477" s="408"/>
      <c r="BB477" s="408">
        <v>0</v>
      </c>
      <c r="BC477" s="408">
        <v>0</v>
      </c>
      <c r="BD477" s="408">
        <v>0</v>
      </c>
      <c r="BE477" s="408">
        <v>0</v>
      </c>
      <c r="BF477" s="408">
        <v>0</v>
      </c>
      <c r="BG477" s="408">
        <v>1755.0273974334284</v>
      </c>
      <c r="BH477" s="408">
        <v>0</v>
      </c>
      <c r="BI477" s="408">
        <v>54.41</v>
      </c>
      <c r="BJ477" s="408">
        <v>28.47</v>
      </c>
      <c r="BK477" s="408">
        <v>9064.8700000000008</v>
      </c>
      <c r="BL477" s="408">
        <v>516</v>
      </c>
      <c r="BM477" s="408"/>
      <c r="BN477" s="408"/>
      <c r="BO477" s="408"/>
      <c r="BP477" s="408"/>
      <c r="BQ477" s="408"/>
      <c r="BR477" s="408"/>
      <c r="BS477" s="408"/>
      <c r="BT477" s="408"/>
      <c r="BU477" s="408"/>
      <c r="BV477" s="408">
        <v>12245.445856769022</v>
      </c>
      <c r="BW477" s="408"/>
      <c r="BX477" s="408"/>
      <c r="BY477" s="408"/>
      <c r="BZ477" s="408"/>
      <c r="CA477" s="408"/>
      <c r="CB477" s="408"/>
      <c r="CC477" s="408"/>
      <c r="CD477" s="408"/>
      <c r="CE477" s="408"/>
      <c r="CF477" s="408"/>
      <c r="CG477" s="408"/>
      <c r="CH477" s="408"/>
      <c r="CI477" s="408">
        <v>27117.514799999997</v>
      </c>
      <c r="CJ477" s="408">
        <v>-9416.3507200000022</v>
      </c>
      <c r="CK477" s="408"/>
      <c r="CL477" s="408"/>
      <c r="CM477" s="408"/>
      <c r="CN477" s="408"/>
      <c r="CO477" s="408">
        <v>-10573.125919999999</v>
      </c>
      <c r="CP477" s="408">
        <v>1158.9421199999992</v>
      </c>
      <c r="CQ477" s="408">
        <v>31</v>
      </c>
      <c r="CR477" s="408">
        <v>1561.2965447221213</v>
      </c>
      <c r="CS477" s="408">
        <v>34.931210292196852</v>
      </c>
      <c r="CT477" s="408">
        <v>52.617262535580323</v>
      </c>
      <c r="CU477" s="408">
        <v>0</v>
      </c>
      <c r="CV477" s="408">
        <v>0</v>
      </c>
      <c r="CW477" s="408">
        <v>0</v>
      </c>
      <c r="CX477" s="408">
        <v>0</v>
      </c>
      <c r="CY477" s="408">
        <v>0</v>
      </c>
      <c r="CZ477" s="408">
        <v>123.46650441470092</v>
      </c>
      <c r="DA477" s="408">
        <v>0</v>
      </c>
      <c r="DB477" s="408">
        <v>0</v>
      </c>
      <c r="DC477" s="408">
        <v>1158.5910425905386</v>
      </c>
      <c r="DD477" s="408">
        <v>0</v>
      </c>
      <c r="DE477" s="408">
        <v>0</v>
      </c>
      <c r="DF477" s="408">
        <v>0</v>
      </c>
      <c r="DG477" s="408">
        <v>193.8301155525171</v>
      </c>
      <c r="DH477" s="408">
        <v>0</v>
      </c>
      <c r="DI477" s="408">
        <v>0</v>
      </c>
      <c r="DJ477" s="408"/>
      <c r="DK477" s="408">
        <v>0</v>
      </c>
      <c r="DL477" s="408">
        <v>0</v>
      </c>
      <c r="DM477" s="408">
        <v>0</v>
      </c>
      <c r="DN477" s="408">
        <v>0</v>
      </c>
      <c r="DO477" s="408">
        <v>0</v>
      </c>
      <c r="DP477" s="408">
        <v>-2.1395906634128892</v>
      </c>
      <c r="DQ477" s="408">
        <v>0</v>
      </c>
      <c r="DR477" s="408">
        <v>0</v>
      </c>
      <c r="DS477" s="408"/>
      <c r="DT477" s="408"/>
      <c r="DU477" s="408"/>
      <c r="DV477" s="408">
        <v>19564.715252773858</v>
      </c>
      <c r="DW477" s="408">
        <v>0</v>
      </c>
      <c r="DX477" s="408">
        <v>0</v>
      </c>
      <c r="DY477" s="408">
        <v>-10573.12592</v>
      </c>
      <c r="DZ477" s="408">
        <v>1158.9421199999997</v>
      </c>
      <c r="EA477" s="408">
        <v>0</v>
      </c>
      <c r="EB477" s="408">
        <v>0</v>
      </c>
      <c r="EC477" s="408">
        <v>-10975.603724495495</v>
      </c>
      <c r="ED477" s="408">
        <v>0</v>
      </c>
      <c r="EE477" s="408">
        <v>0</v>
      </c>
      <c r="EF477" s="408">
        <v>0</v>
      </c>
      <c r="EG477" s="408">
        <v>0</v>
      </c>
      <c r="EH477" s="408">
        <v>0</v>
      </c>
      <c r="EI477" s="408">
        <v>0</v>
      </c>
      <c r="EJ477" s="408">
        <v>0</v>
      </c>
      <c r="EK477" s="408">
        <v>0</v>
      </c>
      <c r="EL477" s="408">
        <v>0</v>
      </c>
      <c r="EM477" s="408">
        <v>0</v>
      </c>
      <c r="EN477" s="408">
        <v>0</v>
      </c>
      <c r="EO477" s="408">
        <v>0</v>
      </c>
      <c r="EP477" s="408">
        <v>0</v>
      </c>
      <c r="EQ477" s="408">
        <v>0</v>
      </c>
      <c r="ER477" s="408">
        <v>0</v>
      </c>
      <c r="ES477" s="408">
        <v>0</v>
      </c>
      <c r="ET477" s="408">
        <v>0</v>
      </c>
      <c r="EU477" s="408">
        <v>0</v>
      </c>
      <c r="EV477" s="408">
        <v>238</v>
      </c>
      <c r="EW477" s="408">
        <v>0</v>
      </c>
      <c r="EX477" s="408">
        <v>0</v>
      </c>
      <c r="EY477" s="408">
        <v>0</v>
      </c>
      <c r="EZ477" s="408"/>
      <c r="FA477" s="408">
        <v>0</v>
      </c>
      <c r="FB477" s="408"/>
      <c r="FC477" s="408"/>
      <c r="FD477" s="408"/>
      <c r="FE477" s="408"/>
      <c r="FF477" s="408">
        <v>0</v>
      </c>
      <c r="FG477" s="408">
        <v>0</v>
      </c>
      <c r="FH477" s="408">
        <v>0</v>
      </c>
      <c r="FI477" s="408">
        <v>0</v>
      </c>
    </row>
    <row r="478" spans="1:165">
      <c r="A478" s="408">
        <v>482</v>
      </c>
      <c r="B478" s="408" t="s">
        <v>2238</v>
      </c>
      <c r="C478" s="408" t="s">
        <v>2235</v>
      </c>
      <c r="D478" s="408" t="s">
        <v>1955</v>
      </c>
      <c r="E478" s="408" t="s">
        <v>969</v>
      </c>
      <c r="F478" s="408" t="s">
        <v>2242</v>
      </c>
      <c r="G478" s="408" t="s">
        <v>1322</v>
      </c>
      <c r="H478" s="408" t="s">
        <v>1322</v>
      </c>
      <c r="I478" s="408" t="s">
        <v>1322</v>
      </c>
      <c r="J478" s="408" t="s">
        <v>2236</v>
      </c>
      <c r="K478" s="824">
        <v>44621</v>
      </c>
      <c r="L478" s="408">
        <v>0</v>
      </c>
      <c r="M478" s="408">
        <v>0</v>
      </c>
      <c r="N478" s="408">
        <v>2.3E-2</v>
      </c>
      <c r="O478" s="408">
        <v>2.3E-2</v>
      </c>
      <c r="P478" s="408">
        <v>2.3E-2</v>
      </c>
      <c r="Q478" s="408">
        <v>2.3E-2</v>
      </c>
      <c r="R478" s="408"/>
      <c r="S478" s="408">
        <v>510.28</v>
      </c>
      <c r="T478" s="408">
        <v>209.4</v>
      </c>
      <c r="U478" s="408"/>
      <c r="V478" s="408">
        <v>16.55264</v>
      </c>
      <c r="W478" s="408">
        <v>16.55264</v>
      </c>
      <c r="X478" s="408">
        <v>12.287289999999999</v>
      </c>
      <c r="Y478" s="408">
        <v>0</v>
      </c>
      <c r="Z478" s="408">
        <v>0</v>
      </c>
      <c r="AA478" s="408">
        <v>0</v>
      </c>
      <c r="AB478" s="408">
        <v>0</v>
      </c>
      <c r="AC478" s="408">
        <v>0</v>
      </c>
      <c r="AD478" s="408">
        <v>1.7063963303037333</v>
      </c>
      <c r="AE478" s="408">
        <v>8.8643221734654229</v>
      </c>
      <c r="AF478" s="408">
        <v>4.7529671531935751</v>
      </c>
      <c r="AG478" s="408">
        <v>6.3318194176322617E-2</v>
      </c>
      <c r="AH478" s="408">
        <v>0</v>
      </c>
      <c r="AI478" s="408">
        <v>0</v>
      </c>
      <c r="AJ478" s="408">
        <v>0</v>
      </c>
      <c r="AK478" s="408">
        <v>0</v>
      </c>
      <c r="AL478" s="408">
        <v>0</v>
      </c>
      <c r="AM478" s="408"/>
      <c r="AN478" s="408">
        <v>4.192817926406401E-2</v>
      </c>
      <c r="AO478" s="408">
        <v>0.13108805782638461</v>
      </c>
      <c r="AP478" s="408">
        <v>0.19745936932139785</v>
      </c>
      <c r="AQ478" s="408">
        <v>0</v>
      </c>
      <c r="AR478" s="408">
        <v>0</v>
      </c>
      <c r="AS478" s="408">
        <v>0</v>
      </c>
      <c r="AT478" s="408">
        <v>0</v>
      </c>
      <c r="AU478" s="408">
        <v>0</v>
      </c>
      <c r="AV478" s="408">
        <v>0</v>
      </c>
      <c r="AW478" s="408">
        <v>0</v>
      </c>
      <c r="AX478" s="408">
        <v>0</v>
      </c>
      <c r="AY478" s="408">
        <v>0</v>
      </c>
      <c r="AZ478" s="408">
        <v>0</v>
      </c>
      <c r="BA478" s="408"/>
      <c r="BB478" s="408">
        <v>0</v>
      </c>
      <c r="BC478" s="408">
        <v>0</v>
      </c>
      <c r="BD478" s="408">
        <v>0</v>
      </c>
      <c r="BE478" s="408">
        <v>0</v>
      </c>
      <c r="BF478" s="408">
        <v>0</v>
      </c>
      <c r="BG478" s="408">
        <v>0.79516251952109473</v>
      </c>
      <c r="BH478" s="408">
        <v>0</v>
      </c>
      <c r="BI478" s="408">
        <v>0.03</v>
      </c>
      <c r="BJ478" s="408">
        <v>0.01</v>
      </c>
      <c r="BK478" s="408">
        <v>84.52</v>
      </c>
      <c r="BL478" s="408">
        <v>9</v>
      </c>
      <c r="BM478" s="408"/>
      <c r="BN478" s="408"/>
      <c r="BO478" s="408"/>
      <c r="BP478" s="408"/>
      <c r="BQ478" s="408"/>
      <c r="BR478" s="408"/>
      <c r="BS478" s="408"/>
      <c r="BT478" s="408"/>
      <c r="BU478" s="408"/>
      <c r="BV478" s="408">
        <v>5.5481296727146701</v>
      </c>
      <c r="BW478" s="408"/>
      <c r="BX478" s="408"/>
      <c r="BY478" s="408"/>
      <c r="BZ478" s="408"/>
      <c r="CA478" s="408"/>
      <c r="CB478" s="408"/>
      <c r="CC478" s="408"/>
      <c r="CD478" s="408"/>
      <c r="CE478" s="408"/>
      <c r="CF478" s="408"/>
      <c r="CG478" s="408"/>
      <c r="CH478" s="408"/>
      <c r="CI478" s="408">
        <v>10.6846</v>
      </c>
      <c r="CJ478" s="408">
        <v>-5.8980400000000017</v>
      </c>
      <c r="CK478" s="408"/>
      <c r="CL478" s="408"/>
      <c r="CM478" s="408"/>
      <c r="CN478" s="408"/>
      <c r="CO478" s="408">
        <v>-4.7904399999999994</v>
      </c>
      <c r="CP478" s="408">
        <v>0.52508999999999961</v>
      </c>
      <c r="CQ478" s="408">
        <v>31</v>
      </c>
      <c r="CR478" s="408">
        <v>0.70738752912711433</v>
      </c>
      <c r="CS478" s="408">
        <v>1.5826527395802703E-2</v>
      </c>
      <c r="CT478" s="408">
        <v>2.3839670599605012E-2</v>
      </c>
      <c r="CU478" s="408">
        <v>0</v>
      </c>
      <c r="CV478" s="408">
        <v>0</v>
      </c>
      <c r="CW478" s="408">
        <v>0</v>
      </c>
      <c r="CX478" s="408">
        <v>0</v>
      </c>
      <c r="CY478" s="408">
        <v>0</v>
      </c>
      <c r="CZ478" s="408">
        <v>5.5939831406865759E-2</v>
      </c>
      <c r="DA478" s="408">
        <v>0</v>
      </c>
      <c r="DB478" s="408">
        <v>0</v>
      </c>
      <c r="DC478" s="408">
        <v>0.52493093490627984</v>
      </c>
      <c r="DD478" s="408">
        <v>0</v>
      </c>
      <c r="DE478" s="408">
        <v>0</v>
      </c>
      <c r="DF478" s="408">
        <v>0</v>
      </c>
      <c r="DG478" s="408">
        <v>8.7819964102669013E-2</v>
      </c>
      <c r="DH478" s="408">
        <v>0</v>
      </c>
      <c r="DI478" s="408">
        <v>0</v>
      </c>
      <c r="DJ478" s="408"/>
      <c r="DK478" s="408">
        <v>0</v>
      </c>
      <c r="DL478" s="408">
        <v>0</v>
      </c>
      <c r="DM478" s="408">
        <v>0</v>
      </c>
      <c r="DN478" s="408">
        <v>0</v>
      </c>
      <c r="DO478" s="408">
        <v>0</v>
      </c>
      <c r="DP478" s="408">
        <v>-9.6939928410874621E-4</v>
      </c>
      <c r="DQ478" s="408">
        <v>0</v>
      </c>
      <c r="DR478" s="408">
        <v>0</v>
      </c>
      <c r="DS478" s="408"/>
      <c r="DT478" s="408"/>
      <c r="DU478" s="408"/>
      <c r="DV478" s="408">
        <v>8.8643221734654229</v>
      </c>
      <c r="DW478" s="408">
        <v>0</v>
      </c>
      <c r="DX478" s="408">
        <v>0</v>
      </c>
      <c r="DY478" s="408">
        <v>-4.7904400000000003</v>
      </c>
      <c r="DZ478" s="408">
        <v>0.52508999999999961</v>
      </c>
      <c r="EA478" s="408">
        <v>0</v>
      </c>
      <c r="EB478" s="408">
        <v>0</v>
      </c>
      <c r="EC478" s="408">
        <v>-4.9727934296626817</v>
      </c>
      <c r="ED478" s="408">
        <v>0</v>
      </c>
      <c r="EE478" s="408">
        <v>0</v>
      </c>
      <c r="EF478" s="408">
        <v>0</v>
      </c>
      <c r="EG478" s="408">
        <v>0</v>
      </c>
      <c r="EH478" s="408">
        <v>0</v>
      </c>
      <c r="EI478" s="408">
        <v>0</v>
      </c>
      <c r="EJ478" s="408">
        <v>0</v>
      </c>
      <c r="EK478" s="408">
        <v>0</v>
      </c>
      <c r="EL478" s="408">
        <v>0</v>
      </c>
      <c r="EM478" s="408">
        <v>0</v>
      </c>
      <c r="EN478" s="408">
        <v>0</v>
      </c>
      <c r="EO478" s="408">
        <v>0</v>
      </c>
      <c r="EP478" s="408">
        <v>0</v>
      </c>
      <c r="EQ478" s="408">
        <v>0</v>
      </c>
      <c r="ER478" s="408">
        <v>0</v>
      </c>
      <c r="ES478" s="408">
        <v>0</v>
      </c>
      <c r="ET478" s="408">
        <v>0</v>
      </c>
      <c r="EU478" s="408">
        <v>0</v>
      </c>
      <c r="EV478" s="408">
        <v>238</v>
      </c>
      <c r="EW478" s="408">
        <v>0</v>
      </c>
      <c r="EX478" s="408">
        <v>0</v>
      </c>
      <c r="EY478" s="408">
        <v>0</v>
      </c>
      <c r="EZ478" s="408"/>
      <c r="FA478" s="408">
        <v>0</v>
      </c>
      <c r="FB478" s="408"/>
      <c r="FC478" s="408"/>
      <c r="FD478" s="408"/>
      <c r="FE478" s="408"/>
      <c r="FF478" s="408">
        <v>0</v>
      </c>
      <c r="FG478" s="408">
        <v>0</v>
      </c>
      <c r="FH478" s="408">
        <v>0</v>
      </c>
      <c r="FI478" s="408">
        <v>0</v>
      </c>
    </row>
    <row r="479" spans="1:165">
      <c r="A479" s="408">
        <v>483</v>
      </c>
      <c r="B479" s="408" t="s">
        <v>1036</v>
      </c>
      <c r="C479" s="408" t="s">
        <v>2321</v>
      </c>
      <c r="D479" s="408" t="s">
        <v>1955</v>
      </c>
      <c r="E479" s="408" t="s">
        <v>969</v>
      </c>
      <c r="F479" s="408" t="s">
        <v>969</v>
      </c>
      <c r="G479" s="408" t="s">
        <v>1322</v>
      </c>
      <c r="H479" s="408" t="s">
        <v>1322</v>
      </c>
      <c r="I479" s="408" t="s">
        <v>973</v>
      </c>
      <c r="J479" s="408" t="s">
        <v>2236</v>
      </c>
      <c r="K479" s="824">
        <v>44621</v>
      </c>
      <c r="L479" s="408">
        <v>0</v>
      </c>
      <c r="M479" s="408">
        <v>0</v>
      </c>
      <c r="N479" s="408">
        <v>5.1999999999999998E-2</v>
      </c>
      <c r="O479" s="408">
        <v>5.1999999999999998E-2</v>
      </c>
      <c r="P479" s="408">
        <v>5.1999999999999998E-2</v>
      </c>
      <c r="Q479" s="408">
        <v>5.1999999999999998E-2</v>
      </c>
      <c r="R479" s="408"/>
      <c r="S479" s="408">
        <v>1292.1099999999999</v>
      </c>
      <c r="T479" s="408">
        <v>209.4</v>
      </c>
      <c r="U479" s="408"/>
      <c r="V479" s="408">
        <v>78.078519999999997</v>
      </c>
      <c r="W479" s="408">
        <v>78.078519999999997</v>
      </c>
      <c r="X479" s="408">
        <v>51.832560000000001</v>
      </c>
      <c r="Y479" s="408">
        <v>0</v>
      </c>
      <c r="Z479" s="408">
        <v>3.199971188787214</v>
      </c>
      <c r="AA479" s="408">
        <v>0</v>
      </c>
      <c r="AB479" s="408">
        <v>0</v>
      </c>
      <c r="AC479" s="408">
        <v>0</v>
      </c>
      <c r="AD479" s="408">
        <v>9.6431326581847916</v>
      </c>
      <c r="AE479" s="408">
        <v>50.102708260963226</v>
      </c>
      <c r="AF479" s="408">
        <v>10.745838781133299</v>
      </c>
      <c r="AG479" s="408">
        <v>0.14315417813777287</v>
      </c>
      <c r="AH479" s="408">
        <v>0</v>
      </c>
      <c r="AI479" s="408">
        <v>0</v>
      </c>
      <c r="AJ479" s="408">
        <v>0</v>
      </c>
      <c r="AK479" s="408">
        <v>0</v>
      </c>
      <c r="AL479" s="408">
        <v>0.49449928554648026</v>
      </c>
      <c r="AM479" s="408"/>
      <c r="AN479" s="408">
        <v>9.4794144423101231E-2</v>
      </c>
      <c r="AO479" s="408">
        <v>0.74093917417207478</v>
      </c>
      <c r="AP479" s="408">
        <v>1.1160746961644228</v>
      </c>
      <c r="AQ479" s="408">
        <v>0</v>
      </c>
      <c r="AR479" s="408">
        <v>0</v>
      </c>
      <c r="AS479" s="408">
        <v>0</v>
      </c>
      <c r="AT479" s="408">
        <v>0</v>
      </c>
      <c r="AU479" s="408">
        <v>0</v>
      </c>
      <c r="AV479" s="408">
        <v>0</v>
      </c>
      <c r="AW479" s="408">
        <v>0</v>
      </c>
      <c r="AX479" s="408">
        <v>0</v>
      </c>
      <c r="AY479" s="408">
        <v>0</v>
      </c>
      <c r="AZ479" s="408">
        <v>0</v>
      </c>
      <c r="BA479" s="408"/>
      <c r="BB479" s="408">
        <v>0</v>
      </c>
      <c r="BC479" s="408">
        <v>0</v>
      </c>
      <c r="BD479" s="408">
        <v>0</v>
      </c>
      <c r="BE479" s="408">
        <v>0</v>
      </c>
      <c r="BF479" s="408">
        <v>0</v>
      </c>
      <c r="BG479" s="408">
        <v>1.7977587397868227</v>
      </c>
      <c r="BH479" s="408">
        <v>0</v>
      </c>
      <c r="BI479" s="408">
        <v>0</v>
      </c>
      <c r="BJ479" s="408">
        <v>0</v>
      </c>
      <c r="BK479" s="408">
        <v>0</v>
      </c>
      <c r="BL479" s="408">
        <v>0</v>
      </c>
      <c r="BM479" s="408"/>
      <c r="BN479" s="408"/>
      <c r="BO479" s="408"/>
      <c r="BP479" s="408"/>
      <c r="BQ479" s="408"/>
      <c r="BR479" s="408"/>
      <c r="BS479" s="408"/>
      <c r="BT479" s="408"/>
      <c r="BU479" s="408"/>
      <c r="BV479" s="408">
        <v>12.543597520920121</v>
      </c>
      <c r="BW479" s="408"/>
      <c r="BX479" s="408"/>
      <c r="BY479" s="408"/>
      <c r="BZ479" s="408"/>
      <c r="CA479" s="408"/>
      <c r="CB479" s="408"/>
      <c r="CC479" s="408"/>
      <c r="CD479" s="408"/>
      <c r="CE479" s="408"/>
      <c r="CF479" s="408"/>
      <c r="CG479" s="408"/>
      <c r="CH479" s="408"/>
      <c r="CI479" s="408">
        <v>49.838999999999999</v>
      </c>
      <c r="CJ479" s="408">
        <v>-28.269520000000014</v>
      </c>
      <c r="CK479" s="408"/>
      <c r="CL479" s="408"/>
      <c r="CM479" s="408"/>
      <c r="CN479" s="408"/>
      <c r="CO479" s="408">
        <v>-27.433119999999995</v>
      </c>
      <c r="CP479" s="408">
        <v>1.1871599999999991</v>
      </c>
      <c r="CQ479" s="408">
        <v>31</v>
      </c>
      <c r="CR479" s="408">
        <v>1.860454965677274</v>
      </c>
      <c r="CS479" s="408">
        <v>8.9455090975478768E-2</v>
      </c>
      <c r="CT479" s="408">
        <v>0.13474596425863572</v>
      </c>
      <c r="CU479" s="408">
        <v>0</v>
      </c>
      <c r="CV479" s="408">
        <v>0</v>
      </c>
      <c r="CW479" s="408">
        <v>0</v>
      </c>
      <c r="CX479" s="408">
        <v>0</v>
      </c>
      <c r="CY479" s="408">
        <v>0</v>
      </c>
      <c r="CZ479" s="408">
        <v>0.31612539569686504</v>
      </c>
      <c r="DA479" s="408">
        <v>0</v>
      </c>
      <c r="DB479" s="408">
        <v>0</v>
      </c>
      <c r="DC479" s="408">
        <v>1.1868003745707192</v>
      </c>
      <c r="DD479" s="408">
        <v>0</v>
      </c>
      <c r="DE479" s="408">
        <v>0</v>
      </c>
      <c r="DF479" s="408">
        <v>0</v>
      </c>
      <c r="DG479" s="408">
        <v>0.19854948405820827</v>
      </c>
      <c r="DH479" s="408">
        <v>0</v>
      </c>
      <c r="DI479" s="408">
        <v>-5.5782290831253523E-2</v>
      </c>
      <c r="DJ479" s="408"/>
      <c r="DK479" s="408">
        <v>0</v>
      </c>
      <c r="DL479" s="408">
        <v>0</v>
      </c>
      <c r="DM479" s="408">
        <v>0</v>
      </c>
      <c r="DN479" s="408">
        <v>0</v>
      </c>
      <c r="DO479" s="408">
        <v>-7.247367713398345E-3</v>
      </c>
      <c r="DP479" s="408">
        <v>-2.191685337984986E-3</v>
      </c>
      <c r="DQ479" s="408">
        <v>0</v>
      </c>
      <c r="DR479" s="408">
        <v>0</v>
      </c>
      <c r="DS479" s="408"/>
      <c r="DT479" s="408"/>
      <c r="DU479" s="408"/>
      <c r="DV479" s="408">
        <v>50.102708260963226</v>
      </c>
      <c r="DW479" s="408">
        <v>0</v>
      </c>
      <c r="DX479" s="408">
        <v>0</v>
      </c>
      <c r="DY479" s="408">
        <v>-27.433119999999995</v>
      </c>
      <c r="DZ479" s="408">
        <v>1.1871599999999987</v>
      </c>
      <c r="EA479" s="408">
        <v>0</v>
      </c>
      <c r="EB479" s="408">
        <v>0</v>
      </c>
      <c r="EC479" s="408">
        <v>-28.107103236188131</v>
      </c>
      <c r="ED479" s="408">
        <v>0</v>
      </c>
      <c r="EE479" s="408">
        <v>0</v>
      </c>
      <c r="EF479" s="408">
        <v>0</v>
      </c>
      <c r="EG479" s="408">
        <v>0</v>
      </c>
      <c r="EH479" s="408">
        <v>0</v>
      </c>
      <c r="EI479" s="408">
        <v>0</v>
      </c>
      <c r="EJ479" s="408">
        <v>0</v>
      </c>
      <c r="EK479" s="408">
        <v>0</v>
      </c>
      <c r="EL479" s="408">
        <v>0</v>
      </c>
      <c r="EM479" s="408">
        <v>0</v>
      </c>
      <c r="EN479" s="408">
        <v>0</v>
      </c>
      <c r="EO479" s="408">
        <v>0</v>
      </c>
      <c r="EP479" s="408">
        <v>0</v>
      </c>
      <c r="EQ479" s="408">
        <v>0</v>
      </c>
      <c r="ER479" s="408">
        <v>0</v>
      </c>
      <c r="ES479" s="408">
        <v>0</v>
      </c>
      <c r="ET479" s="408">
        <v>0</v>
      </c>
      <c r="EU479" s="408">
        <v>0</v>
      </c>
      <c r="EV479" s="408">
        <v>238</v>
      </c>
      <c r="EW479" s="408">
        <v>0</v>
      </c>
      <c r="EX479" s="408">
        <v>0</v>
      </c>
      <c r="EY479" s="408">
        <v>0</v>
      </c>
      <c r="EZ479" s="408"/>
      <c r="FA479" s="408">
        <v>0</v>
      </c>
      <c r="FB479" s="408"/>
      <c r="FC479" s="408"/>
      <c r="FD479" s="408"/>
      <c r="FE479" s="408"/>
      <c r="FF479" s="408">
        <v>0</v>
      </c>
      <c r="FG479" s="408">
        <v>0</v>
      </c>
      <c r="FH479" s="408">
        <v>0</v>
      </c>
      <c r="FI479" s="408">
        <v>0</v>
      </c>
    </row>
    <row r="480" spans="1:165">
      <c r="A480" s="408">
        <v>484</v>
      </c>
      <c r="B480" s="408" t="s">
        <v>1036</v>
      </c>
      <c r="C480" s="408" t="s">
        <v>2321</v>
      </c>
      <c r="D480" s="408" t="s">
        <v>1955</v>
      </c>
      <c r="E480" s="408" t="s">
        <v>969</v>
      </c>
      <c r="F480" s="408" t="s">
        <v>969</v>
      </c>
      <c r="G480" s="408" t="s">
        <v>1322</v>
      </c>
      <c r="H480" s="408" t="s">
        <v>1322</v>
      </c>
      <c r="I480" s="408" t="s">
        <v>2244</v>
      </c>
      <c r="J480" s="408" t="s">
        <v>2236</v>
      </c>
      <c r="K480" s="824">
        <v>44621</v>
      </c>
      <c r="L480" s="408">
        <v>0</v>
      </c>
      <c r="M480" s="408">
        <v>0</v>
      </c>
      <c r="N480" s="408">
        <v>0.52600000000000002</v>
      </c>
      <c r="O480" s="408">
        <v>0.52600000000000002</v>
      </c>
      <c r="P480" s="408">
        <v>0.52600000000000002</v>
      </c>
      <c r="Q480" s="408">
        <v>0.52600000000000002</v>
      </c>
      <c r="R480" s="408"/>
      <c r="S480" s="408">
        <v>344.38</v>
      </c>
      <c r="T480" s="408">
        <v>209.4</v>
      </c>
      <c r="U480" s="408"/>
      <c r="V480" s="408">
        <v>291.28827999999999</v>
      </c>
      <c r="W480" s="408">
        <v>291.28827999999999</v>
      </c>
      <c r="X480" s="408">
        <v>248.87689999999998</v>
      </c>
      <c r="Y480" s="408">
        <v>0</v>
      </c>
      <c r="Z480" s="408">
        <v>32.368939332732211</v>
      </c>
      <c r="AA480" s="408">
        <v>0</v>
      </c>
      <c r="AB480" s="408">
        <v>0</v>
      </c>
      <c r="AC480" s="408">
        <v>0</v>
      </c>
      <c r="AD480" s="408">
        <v>19.512271081299239</v>
      </c>
      <c r="AE480" s="408">
        <v>101.36159702701794</v>
      </c>
      <c r="AF480" s="408">
        <v>108.69829228607915</v>
      </c>
      <c r="AG480" s="408">
        <v>1.4480595711628566</v>
      </c>
      <c r="AH480" s="408">
        <v>0</v>
      </c>
      <c r="AI480" s="408">
        <v>0</v>
      </c>
      <c r="AJ480" s="408">
        <v>0</v>
      </c>
      <c r="AK480" s="408">
        <v>0</v>
      </c>
      <c r="AL480" s="408">
        <v>5.0020504653355502</v>
      </c>
      <c r="AM480" s="408"/>
      <c r="AN480" s="408">
        <v>0.95887923012598564</v>
      </c>
      <c r="AO480" s="408">
        <v>1.4989634438408328</v>
      </c>
      <c r="AP480" s="408">
        <v>2.2579049622403322</v>
      </c>
      <c r="AQ480" s="408">
        <v>0</v>
      </c>
      <c r="AR480" s="408">
        <v>0</v>
      </c>
      <c r="AS480" s="408">
        <v>0</v>
      </c>
      <c r="AT480" s="408">
        <v>0</v>
      </c>
      <c r="AU480" s="408">
        <v>0</v>
      </c>
      <c r="AV480" s="408">
        <v>0</v>
      </c>
      <c r="AW480" s="408">
        <v>0</v>
      </c>
      <c r="AX480" s="408">
        <v>0</v>
      </c>
      <c r="AY480" s="408">
        <v>0</v>
      </c>
      <c r="AZ480" s="408">
        <v>0</v>
      </c>
      <c r="BA480" s="408"/>
      <c r="BB480" s="408">
        <v>0</v>
      </c>
      <c r="BC480" s="408">
        <v>0</v>
      </c>
      <c r="BD480" s="408">
        <v>0</v>
      </c>
      <c r="BE480" s="408">
        <v>0</v>
      </c>
      <c r="BF480" s="408">
        <v>0</v>
      </c>
      <c r="BG480" s="408">
        <v>18.185021098612861</v>
      </c>
      <c r="BH480" s="408">
        <v>0</v>
      </c>
      <c r="BI480" s="408">
        <v>0</v>
      </c>
      <c r="BJ480" s="408">
        <v>0</v>
      </c>
      <c r="BK480" s="408">
        <v>0</v>
      </c>
      <c r="BL480" s="408">
        <v>0</v>
      </c>
      <c r="BM480" s="408"/>
      <c r="BN480" s="408"/>
      <c r="BO480" s="408"/>
      <c r="BP480" s="408"/>
      <c r="BQ480" s="408"/>
      <c r="BR480" s="408"/>
      <c r="BS480" s="408"/>
      <c r="BT480" s="408"/>
      <c r="BU480" s="408"/>
      <c r="BV480" s="408">
        <v>126.88331338469202</v>
      </c>
      <c r="BW480" s="408"/>
      <c r="BX480" s="408"/>
      <c r="BY480" s="408"/>
      <c r="BZ480" s="408"/>
      <c r="CA480" s="408"/>
      <c r="CB480" s="408"/>
      <c r="CC480" s="408"/>
      <c r="CD480" s="408"/>
      <c r="CE480" s="408"/>
      <c r="CF480" s="408"/>
      <c r="CG480" s="408"/>
      <c r="CH480" s="408"/>
      <c r="CI480" s="408">
        <v>250.76949999999999</v>
      </c>
      <c r="CJ480" s="408">
        <v>-40.548779999999965</v>
      </c>
      <c r="CK480" s="408"/>
      <c r="CL480" s="408"/>
      <c r="CM480" s="408"/>
      <c r="CN480" s="408"/>
      <c r="CO480" s="408">
        <v>-54.419960000000003</v>
      </c>
      <c r="CP480" s="408">
        <v>12.008579999999991</v>
      </c>
      <c r="CQ480" s="408">
        <v>31</v>
      </c>
      <c r="CR480" s="408">
        <v>14.446841830690801</v>
      </c>
      <c r="CS480" s="408">
        <v>0.18097290022156698</v>
      </c>
      <c r="CT480" s="408">
        <v>0.27260145076939901</v>
      </c>
      <c r="CU480" s="408">
        <v>0</v>
      </c>
      <c r="CV480" s="408">
        <v>0</v>
      </c>
      <c r="CW480" s="408">
        <v>0</v>
      </c>
      <c r="CX480" s="408">
        <v>0</v>
      </c>
      <c r="CY480" s="408">
        <v>0</v>
      </c>
      <c r="CZ480" s="408">
        <v>0.63965981130459326</v>
      </c>
      <c r="DA480" s="408">
        <v>0</v>
      </c>
      <c r="DB480" s="408">
        <v>0</v>
      </c>
      <c r="DC480" s="408">
        <v>12.004942250465362</v>
      </c>
      <c r="DD480" s="408">
        <v>0</v>
      </c>
      <c r="DE480" s="408">
        <v>0</v>
      </c>
      <c r="DF480" s="408">
        <v>0</v>
      </c>
      <c r="DG480" s="408">
        <v>2.0084043964349547</v>
      </c>
      <c r="DH480" s="408">
        <v>0</v>
      </c>
      <c r="DI480" s="408">
        <v>-0.56425932648537724</v>
      </c>
      <c r="DJ480" s="408"/>
      <c r="DK480" s="408">
        <v>0</v>
      </c>
      <c r="DL480" s="408">
        <v>0</v>
      </c>
      <c r="DM480" s="408">
        <v>0</v>
      </c>
      <c r="DN480" s="408">
        <v>0</v>
      </c>
      <c r="DO480" s="408">
        <v>-7.3309911870143907E-2</v>
      </c>
      <c r="DP480" s="408">
        <v>-2.2169740149617478E-2</v>
      </c>
      <c r="DQ480" s="408">
        <v>0</v>
      </c>
      <c r="DR480" s="408">
        <v>0</v>
      </c>
      <c r="DS480" s="408"/>
      <c r="DT480" s="408"/>
      <c r="DU480" s="408"/>
      <c r="DV480" s="408">
        <v>101.36159702701794</v>
      </c>
      <c r="DW480" s="408">
        <v>0</v>
      </c>
      <c r="DX480" s="408">
        <v>0</v>
      </c>
      <c r="DY480" s="408">
        <v>-54.419960000000003</v>
      </c>
      <c r="DZ480" s="408">
        <v>12.008579999999995</v>
      </c>
      <c r="EA480" s="408">
        <v>0</v>
      </c>
      <c r="EB480" s="408">
        <v>0</v>
      </c>
      <c r="EC480" s="408">
        <v>-56.862811826143108</v>
      </c>
      <c r="ED480" s="408">
        <v>0</v>
      </c>
      <c r="EE480" s="408">
        <v>0</v>
      </c>
      <c r="EF480" s="408">
        <v>0</v>
      </c>
      <c r="EG480" s="408">
        <v>0</v>
      </c>
      <c r="EH480" s="408">
        <v>0</v>
      </c>
      <c r="EI480" s="408">
        <v>0</v>
      </c>
      <c r="EJ480" s="408">
        <v>0</v>
      </c>
      <c r="EK480" s="408">
        <v>0</v>
      </c>
      <c r="EL480" s="408">
        <v>0</v>
      </c>
      <c r="EM480" s="408">
        <v>0</v>
      </c>
      <c r="EN480" s="408">
        <v>0</v>
      </c>
      <c r="EO480" s="408">
        <v>0</v>
      </c>
      <c r="EP480" s="408">
        <v>0</v>
      </c>
      <c r="EQ480" s="408">
        <v>0</v>
      </c>
      <c r="ER480" s="408">
        <v>0</v>
      </c>
      <c r="ES480" s="408">
        <v>0</v>
      </c>
      <c r="ET480" s="408">
        <v>0</v>
      </c>
      <c r="EU480" s="408">
        <v>0</v>
      </c>
      <c r="EV480" s="408">
        <v>238</v>
      </c>
      <c r="EW480" s="408">
        <v>0</v>
      </c>
      <c r="EX480" s="408">
        <v>0</v>
      </c>
      <c r="EY480" s="408">
        <v>0</v>
      </c>
      <c r="EZ480" s="408"/>
      <c r="FA480" s="408">
        <v>0</v>
      </c>
      <c r="FB480" s="408"/>
      <c r="FC480" s="408"/>
      <c r="FD480" s="408"/>
      <c r="FE480" s="408"/>
      <c r="FF480" s="408">
        <v>0</v>
      </c>
      <c r="FG480" s="408">
        <v>0</v>
      </c>
      <c r="FH480" s="408">
        <v>0</v>
      </c>
      <c r="FI480" s="408">
        <v>0</v>
      </c>
    </row>
    <row r="481" spans="1:165">
      <c r="A481" s="408">
        <v>485</v>
      </c>
      <c r="B481" s="408" t="s">
        <v>1036</v>
      </c>
      <c r="C481" s="408" t="s">
        <v>2321</v>
      </c>
      <c r="D481" s="408" t="s">
        <v>1955</v>
      </c>
      <c r="E481" s="408" t="s">
        <v>969</v>
      </c>
      <c r="F481" s="408" t="s">
        <v>969</v>
      </c>
      <c r="G481" s="408" t="s">
        <v>1322</v>
      </c>
      <c r="H481" s="408" t="s">
        <v>1322</v>
      </c>
      <c r="I481" s="408" t="s">
        <v>1322</v>
      </c>
      <c r="J481" s="408" t="s">
        <v>2236</v>
      </c>
      <c r="K481" s="824">
        <v>44621</v>
      </c>
      <c r="L481" s="408">
        <v>0</v>
      </c>
      <c r="M481" s="408">
        <v>0</v>
      </c>
      <c r="N481" s="408">
        <v>0</v>
      </c>
      <c r="O481" s="408">
        <v>0</v>
      </c>
      <c r="P481" s="408">
        <v>0</v>
      </c>
      <c r="Q481" s="408">
        <v>0</v>
      </c>
      <c r="R481" s="408"/>
      <c r="S481" s="408"/>
      <c r="T481" s="408"/>
      <c r="U481" s="408"/>
      <c r="V481" s="408"/>
      <c r="W481" s="408"/>
      <c r="X481" s="408"/>
      <c r="Y481" s="408"/>
      <c r="Z481" s="408"/>
      <c r="AA481" s="408">
        <v>0</v>
      </c>
      <c r="AB481" s="408"/>
      <c r="AC481" s="408"/>
      <c r="AD481" s="408"/>
      <c r="AE481" s="408"/>
      <c r="AF481" s="408"/>
      <c r="AG481" s="408"/>
      <c r="AH481" s="408"/>
      <c r="AI481" s="408"/>
      <c r="AJ481" s="408"/>
      <c r="AK481" s="408"/>
      <c r="AL481" s="408"/>
      <c r="AM481" s="408"/>
      <c r="AN481" s="408"/>
      <c r="AO481" s="408"/>
      <c r="AP481" s="408"/>
      <c r="AQ481" s="408"/>
      <c r="AR481" s="408"/>
      <c r="AS481" s="408"/>
      <c r="AT481" s="408"/>
      <c r="AU481" s="408"/>
      <c r="AV481" s="408"/>
      <c r="AW481" s="408"/>
      <c r="AX481" s="408"/>
      <c r="AY481" s="408"/>
      <c r="AZ481" s="408">
        <v>0</v>
      </c>
      <c r="BA481" s="408"/>
      <c r="BB481" s="408"/>
      <c r="BC481" s="408"/>
      <c r="BD481" s="408"/>
      <c r="BE481" s="408"/>
      <c r="BF481" s="408"/>
      <c r="BG481" s="408"/>
      <c r="BH481" s="408"/>
      <c r="BI481" s="408">
        <v>0.87</v>
      </c>
      <c r="BJ481" s="408">
        <v>0.41</v>
      </c>
      <c r="BK481" s="408">
        <v>139.97999999999999</v>
      </c>
      <c r="BL481" s="408">
        <v>2</v>
      </c>
      <c r="BM481" s="408"/>
      <c r="BN481" s="408"/>
      <c r="BO481" s="408"/>
      <c r="BP481" s="408"/>
      <c r="BQ481" s="408"/>
      <c r="BR481" s="408"/>
      <c r="BS481" s="408"/>
      <c r="BT481" s="408"/>
      <c r="BU481" s="408"/>
      <c r="BV481" s="408"/>
      <c r="BW481" s="408"/>
      <c r="BX481" s="408"/>
      <c r="BY481" s="408"/>
      <c r="BZ481" s="408"/>
      <c r="CA481" s="408"/>
      <c r="CB481" s="408"/>
      <c r="CC481" s="408"/>
      <c r="CD481" s="408"/>
      <c r="CE481" s="408"/>
      <c r="CF481" s="408"/>
      <c r="CG481" s="408"/>
      <c r="CH481" s="408"/>
      <c r="CI481" s="408"/>
      <c r="CJ481" s="408">
        <v>-0.03</v>
      </c>
      <c r="CK481" s="408"/>
      <c r="CL481" s="408"/>
      <c r="CM481" s="408"/>
      <c r="CN481" s="408"/>
      <c r="CO481" s="408">
        <v>0</v>
      </c>
      <c r="CP481" s="408">
        <v>0</v>
      </c>
      <c r="CQ481" s="408">
        <v>31</v>
      </c>
      <c r="CR481" s="408"/>
      <c r="CS481" s="408"/>
      <c r="CT481" s="408"/>
      <c r="CU481" s="408"/>
      <c r="CV481" s="408"/>
      <c r="CW481" s="408"/>
      <c r="CX481" s="408"/>
      <c r="CY481" s="408"/>
      <c r="CZ481" s="408"/>
      <c r="DA481" s="408"/>
      <c r="DB481" s="408"/>
      <c r="DC481" s="408"/>
      <c r="DD481" s="408"/>
      <c r="DE481" s="408"/>
      <c r="DF481" s="408"/>
      <c r="DG481" s="408"/>
      <c r="DH481" s="408"/>
      <c r="DI481" s="408"/>
      <c r="DJ481" s="408"/>
      <c r="DK481" s="408">
        <v>0</v>
      </c>
      <c r="DL481" s="408"/>
      <c r="DM481" s="408"/>
      <c r="DN481" s="408"/>
      <c r="DO481" s="408"/>
      <c r="DP481" s="408"/>
      <c r="DQ481" s="408"/>
      <c r="DR481" s="408"/>
      <c r="DS481" s="408"/>
      <c r="DT481" s="408"/>
      <c r="DU481" s="408"/>
      <c r="DV481" s="408"/>
      <c r="DW481" s="408"/>
      <c r="DX481" s="408"/>
      <c r="DY481" s="408"/>
      <c r="DZ481" s="408"/>
      <c r="EA481" s="408"/>
      <c r="EB481" s="408"/>
      <c r="EC481" s="408"/>
      <c r="ED481" s="408"/>
      <c r="EE481" s="408"/>
      <c r="EF481" s="408"/>
      <c r="EG481" s="408"/>
      <c r="EH481" s="408"/>
      <c r="EI481" s="408"/>
      <c r="EJ481" s="408"/>
      <c r="EK481" s="408"/>
      <c r="EL481" s="408"/>
      <c r="EM481" s="408"/>
      <c r="EN481" s="408"/>
      <c r="EO481" s="408"/>
      <c r="EP481" s="408"/>
      <c r="EQ481" s="408"/>
      <c r="ER481" s="408"/>
      <c r="ES481" s="408"/>
      <c r="ET481" s="408"/>
      <c r="EU481" s="408"/>
      <c r="EV481" s="408">
        <v>238</v>
      </c>
      <c r="EW481" s="408"/>
      <c r="EX481" s="408"/>
      <c r="EY481" s="408"/>
      <c r="EZ481" s="408"/>
      <c r="FA481" s="408">
        <v>0</v>
      </c>
      <c r="FB481" s="408"/>
      <c r="FC481" s="408"/>
      <c r="FD481" s="408"/>
      <c r="FE481" s="408"/>
      <c r="FF481" s="408">
        <v>0</v>
      </c>
      <c r="FG481" s="408">
        <v>0</v>
      </c>
      <c r="FH481" s="408">
        <v>0</v>
      </c>
      <c r="FI481" s="408">
        <v>0</v>
      </c>
    </row>
    <row r="482" spans="1:165">
      <c r="A482" s="408">
        <v>486</v>
      </c>
      <c r="B482" s="408" t="s">
        <v>1036</v>
      </c>
      <c r="C482" s="408" t="s">
        <v>2321</v>
      </c>
      <c r="D482" s="408" t="s">
        <v>1955</v>
      </c>
      <c r="E482" s="408" t="s">
        <v>969</v>
      </c>
      <c r="F482" s="408" t="s">
        <v>969</v>
      </c>
      <c r="G482" s="408" t="s">
        <v>1322</v>
      </c>
      <c r="H482" s="408" t="s">
        <v>1322</v>
      </c>
      <c r="I482" s="408" t="s">
        <v>2322</v>
      </c>
      <c r="J482" s="408" t="s">
        <v>2236</v>
      </c>
      <c r="K482" s="824">
        <v>44621</v>
      </c>
      <c r="L482" s="408">
        <v>0</v>
      </c>
      <c r="M482" s="408">
        <v>0</v>
      </c>
      <c r="N482" s="408">
        <v>4.1000000000000002E-2</v>
      </c>
      <c r="O482" s="408">
        <v>4.1000000000000002E-2</v>
      </c>
      <c r="P482" s="408">
        <v>4.1000000000000002E-2</v>
      </c>
      <c r="Q482" s="408">
        <v>4.1000000000000002E-2</v>
      </c>
      <c r="R482" s="408"/>
      <c r="S482" s="408">
        <v>818.26</v>
      </c>
      <c r="T482" s="408">
        <v>209.4</v>
      </c>
      <c r="U482" s="408"/>
      <c r="V482" s="408">
        <v>42.134059999999998</v>
      </c>
      <c r="W482" s="408">
        <v>42.134059999999998</v>
      </c>
      <c r="X482" s="408">
        <v>30.134180000000001</v>
      </c>
      <c r="Y482" s="408">
        <v>0</v>
      </c>
      <c r="Z482" s="408">
        <v>2.5230542065437653</v>
      </c>
      <c r="AA482" s="408">
        <v>0</v>
      </c>
      <c r="AB482" s="408">
        <v>0</v>
      </c>
      <c r="AC482" s="408">
        <v>0</v>
      </c>
      <c r="AD482" s="408">
        <v>4.5627554049426022</v>
      </c>
      <c r="AE482" s="408">
        <v>23.70244064904686</v>
      </c>
      <c r="AF482" s="408">
        <v>8.4726805774320262</v>
      </c>
      <c r="AG482" s="408">
        <v>0.11287156353170555</v>
      </c>
      <c r="AH482" s="408">
        <v>0</v>
      </c>
      <c r="AI482" s="408">
        <v>0</v>
      </c>
      <c r="AJ482" s="408">
        <v>0</v>
      </c>
      <c r="AK482" s="408">
        <v>0</v>
      </c>
      <c r="AL482" s="408">
        <v>0.38989366745010945</v>
      </c>
      <c r="AM482" s="408"/>
      <c r="AN482" s="408">
        <v>7.4741536948983667E-2</v>
      </c>
      <c r="AO482" s="408">
        <v>0.35052332939666975</v>
      </c>
      <c r="AP482" s="408">
        <v>0.52798918318547527</v>
      </c>
      <c r="AQ482" s="408">
        <v>0</v>
      </c>
      <c r="AR482" s="408">
        <v>0</v>
      </c>
      <c r="AS482" s="408">
        <v>0</v>
      </c>
      <c r="AT482" s="408">
        <v>0</v>
      </c>
      <c r="AU482" s="408">
        <v>0</v>
      </c>
      <c r="AV482" s="408">
        <v>0</v>
      </c>
      <c r="AW482" s="408">
        <v>0</v>
      </c>
      <c r="AX482" s="408">
        <v>0</v>
      </c>
      <c r="AY482" s="408">
        <v>0</v>
      </c>
      <c r="AZ482" s="408">
        <v>0</v>
      </c>
      <c r="BA482" s="408"/>
      <c r="BB482" s="408">
        <v>0</v>
      </c>
      <c r="BC482" s="408">
        <v>0</v>
      </c>
      <c r="BD482" s="408">
        <v>0</v>
      </c>
      <c r="BE482" s="408">
        <v>0</v>
      </c>
      <c r="BF482" s="408">
        <v>0</v>
      </c>
      <c r="BG482" s="408">
        <v>1.417463621754995</v>
      </c>
      <c r="BH482" s="408">
        <v>0</v>
      </c>
      <c r="BI482" s="408">
        <v>0</v>
      </c>
      <c r="BJ482" s="408">
        <v>0</v>
      </c>
      <c r="BK482" s="408">
        <v>0</v>
      </c>
      <c r="BL482" s="408">
        <v>0</v>
      </c>
      <c r="BM482" s="408"/>
      <c r="BN482" s="408"/>
      <c r="BO482" s="408"/>
      <c r="BP482" s="408"/>
      <c r="BQ482" s="408"/>
      <c r="BR482" s="408"/>
      <c r="BS482" s="408"/>
      <c r="BT482" s="408"/>
      <c r="BU482" s="408"/>
      <c r="BV482" s="408">
        <v>9.8901441991870218</v>
      </c>
      <c r="BW482" s="408"/>
      <c r="BX482" s="408"/>
      <c r="BY482" s="408"/>
      <c r="BZ482" s="408"/>
      <c r="CA482" s="408"/>
      <c r="CB482" s="408"/>
      <c r="CC482" s="408"/>
      <c r="CD482" s="408"/>
      <c r="CE482" s="408"/>
      <c r="CF482" s="408"/>
      <c r="CG482" s="408"/>
      <c r="CH482" s="408"/>
      <c r="CI482" s="408">
        <v>29.3992</v>
      </c>
      <c r="CJ482" s="408">
        <v>-12.764859999999992</v>
      </c>
      <c r="CK482" s="408"/>
      <c r="CL482" s="408"/>
      <c r="CM482" s="408"/>
      <c r="CN482" s="408"/>
      <c r="CO482" s="408">
        <v>-12.93591</v>
      </c>
      <c r="CP482" s="408">
        <v>0.93602999999999936</v>
      </c>
      <c r="CQ482" s="408">
        <v>31</v>
      </c>
      <c r="CR482" s="408">
        <v>1.2965134040171193</v>
      </c>
      <c r="CS482" s="408">
        <v>4.2319393296005647E-2</v>
      </c>
      <c r="CT482" s="408">
        <v>6.3745206168509205E-2</v>
      </c>
      <c r="CU482" s="408">
        <v>0</v>
      </c>
      <c r="CV482" s="408">
        <v>0</v>
      </c>
      <c r="CW482" s="408">
        <v>0</v>
      </c>
      <c r="CX482" s="408">
        <v>0</v>
      </c>
      <c r="CY482" s="408">
        <v>0</v>
      </c>
      <c r="CZ482" s="408">
        <v>0.14957824484880078</v>
      </c>
      <c r="DA482" s="408">
        <v>0</v>
      </c>
      <c r="DB482" s="408">
        <v>0</v>
      </c>
      <c r="DC482" s="408">
        <v>0.93574644918075833</v>
      </c>
      <c r="DD482" s="408">
        <v>0</v>
      </c>
      <c r="DE482" s="408">
        <v>0</v>
      </c>
      <c r="DF482" s="408">
        <v>0</v>
      </c>
      <c r="DG482" s="408">
        <v>0.15654863166127964</v>
      </c>
      <c r="DH482" s="408">
        <v>0</v>
      </c>
      <c r="DI482" s="408">
        <v>-4.3982190847719593E-2</v>
      </c>
      <c r="DJ482" s="408"/>
      <c r="DK482" s="408">
        <v>0</v>
      </c>
      <c r="DL482" s="408">
        <v>0</v>
      </c>
      <c r="DM482" s="408">
        <v>0</v>
      </c>
      <c r="DN482" s="408">
        <v>0</v>
      </c>
      <c r="DO482" s="408">
        <v>-5.7142706971025081E-3</v>
      </c>
      <c r="DP482" s="408">
        <v>-1.7280595934112408E-3</v>
      </c>
      <c r="DQ482" s="408">
        <v>0</v>
      </c>
      <c r="DR482" s="408">
        <v>0</v>
      </c>
      <c r="DS482" s="408"/>
      <c r="DT482" s="408"/>
      <c r="DU482" s="408"/>
      <c r="DV482" s="408">
        <v>23.70244064904686</v>
      </c>
      <c r="DW482" s="408">
        <v>0</v>
      </c>
      <c r="DX482" s="408">
        <v>0</v>
      </c>
      <c r="DY482" s="408">
        <v>-12.935909999999996</v>
      </c>
      <c r="DZ482" s="408">
        <v>0.93603000000000058</v>
      </c>
      <c r="EA482" s="408">
        <v>0</v>
      </c>
      <c r="EB482" s="408">
        <v>0</v>
      </c>
      <c r="EC482" s="408">
        <v>-13.296825049903488</v>
      </c>
      <c r="ED482" s="408">
        <v>0</v>
      </c>
      <c r="EE482" s="408">
        <v>0</v>
      </c>
      <c r="EF482" s="408">
        <v>0</v>
      </c>
      <c r="EG482" s="408">
        <v>0</v>
      </c>
      <c r="EH482" s="408">
        <v>0</v>
      </c>
      <c r="EI482" s="408">
        <v>0</v>
      </c>
      <c r="EJ482" s="408">
        <v>0</v>
      </c>
      <c r="EK482" s="408">
        <v>0</v>
      </c>
      <c r="EL482" s="408">
        <v>0</v>
      </c>
      <c r="EM482" s="408">
        <v>0</v>
      </c>
      <c r="EN482" s="408">
        <v>0</v>
      </c>
      <c r="EO482" s="408">
        <v>0</v>
      </c>
      <c r="EP482" s="408">
        <v>0</v>
      </c>
      <c r="EQ482" s="408">
        <v>0</v>
      </c>
      <c r="ER482" s="408">
        <v>0</v>
      </c>
      <c r="ES482" s="408">
        <v>0</v>
      </c>
      <c r="ET482" s="408">
        <v>0</v>
      </c>
      <c r="EU482" s="408">
        <v>0</v>
      </c>
      <c r="EV482" s="408">
        <v>238</v>
      </c>
      <c r="EW482" s="408">
        <v>0</v>
      </c>
      <c r="EX482" s="408">
        <v>0</v>
      </c>
      <c r="EY482" s="408">
        <v>0</v>
      </c>
      <c r="EZ482" s="408"/>
      <c r="FA482" s="408">
        <v>0</v>
      </c>
      <c r="FB482" s="408"/>
      <c r="FC482" s="408"/>
      <c r="FD482" s="408"/>
      <c r="FE482" s="408"/>
      <c r="FF482" s="408">
        <v>0</v>
      </c>
      <c r="FG482" s="408">
        <v>0</v>
      </c>
      <c r="FH482" s="408">
        <v>0</v>
      </c>
      <c r="FI482" s="408">
        <v>0</v>
      </c>
    </row>
    <row r="483" spans="1:165">
      <c r="A483" s="408">
        <v>487</v>
      </c>
      <c r="B483" s="408" t="s">
        <v>1036</v>
      </c>
      <c r="C483" s="408" t="s">
        <v>2235</v>
      </c>
      <c r="D483" s="408" t="s">
        <v>1958</v>
      </c>
      <c r="E483" s="408" t="s">
        <v>970</v>
      </c>
      <c r="F483" s="408" t="s">
        <v>1322</v>
      </c>
      <c r="G483" s="408" t="s">
        <v>1322</v>
      </c>
      <c r="H483" s="408" t="s">
        <v>1322</v>
      </c>
      <c r="I483" s="408" t="s">
        <v>1322</v>
      </c>
      <c r="J483" s="408" t="s">
        <v>2236</v>
      </c>
      <c r="K483" s="824">
        <v>44621</v>
      </c>
      <c r="L483" s="408">
        <v>0</v>
      </c>
      <c r="M483" s="408">
        <v>0</v>
      </c>
      <c r="N483" s="408">
        <v>9.6419999999999995</v>
      </c>
      <c r="O483" s="408">
        <v>9.6419999999999995</v>
      </c>
      <c r="P483" s="408">
        <v>9.6419999999999995</v>
      </c>
      <c r="Q483" s="408">
        <v>9.6419999999999995</v>
      </c>
      <c r="R483" s="408"/>
      <c r="S483" s="408">
        <v>581.32000000000005</v>
      </c>
      <c r="T483" s="408">
        <v>209.4</v>
      </c>
      <c r="U483" s="408"/>
      <c r="V483" s="408">
        <v>7624.1222400000006</v>
      </c>
      <c r="W483" s="408">
        <v>7624.1222400000006</v>
      </c>
      <c r="X483" s="408">
        <v>5824.442939999999</v>
      </c>
      <c r="Y483" s="408">
        <v>0</v>
      </c>
      <c r="Z483" s="408">
        <v>593.34850389012149</v>
      </c>
      <c r="AA483" s="408">
        <v>0</v>
      </c>
      <c r="AB483" s="408">
        <v>0</v>
      </c>
      <c r="AC483" s="408">
        <v>0</v>
      </c>
      <c r="AD483" s="408">
        <v>715.35101812124333</v>
      </c>
      <c r="AE483" s="408">
        <v>3716.0780172414611</v>
      </c>
      <c r="AF483" s="408">
        <v>1992.526490917063</v>
      </c>
      <c r="AG483" s="408">
        <v>26.544088184700119</v>
      </c>
      <c r="AH483" s="408">
        <v>0</v>
      </c>
      <c r="AI483" s="408">
        <v>0</v>
      </c>
      <c r="AJ483" s="408">
        <v>0</v>
      </c>
      <c r="AK483" s="408">
        <v>0</v>
      </c>
      <c r="AL483" s="408">
        <v>91.691579062291581</v>
      </c>
      <c r="AM483" s="408"/>
      <c r="AN483" s="408">
        <v>17.577021933221964</v>
      </c>
      <c r="AO483" s="408">
        <v>54.954393633130451</v>
      </c>
      <c r="AP483" s="408">
        <v>82.778401695518184</v>
      </c>
      <c r="AQ483" s="408">
        <v>0</v>
      </c>
      <c r="AR483" s="408">
        <v>0</v>
      </c>
      <c r="AS483" s="408">
        <v>0</v>
      </c>
      <c r="AT483" s="408">
        <v>0</v>
      </c>
      <c r="AU483" s="408">
        <v>0</v>
      </c>
      <c r="AV483" s="408">
        <v>0</v>
      </c>
      <c r="AW483" s="408">
        <v>0</v>
      </c>
      <c r="AX483" s="408">
        <v>0</v>
      </c>
      <c r="AY483" s="408">
        <v>0</v>
      </c>
      <c r="AZ483" s="408">
        <v>0</v>
      </c>
      <c r="BA483" s="408"/>
      <c r="BB483" s="408">
        <v>0</v>
      </c>
      <c r="BC483" s="408">
        <v>0</v>
      </c>
      <c r="BD483" s="408">
        <v>0</v>
      </c>
      <c r="BE483" s="408">
        <v>0</v>
      </c>
      <c r="BF483" s="408">
        <v>0</v>
      </c>
      <c r="BG483" s="408">
        <v>333.34595709662585</v>
      </c>
      <c r="BH483" s="408">
        <v>0</v>
      </c>
      <c r="BI483" s="408">
        <v>15.11</v>
      </c>
      <c r="BJ483" s="408">
        <v>7</v>
      </c>
      <c r="BK483" s="408">
        <v>1477.87</v>
      </c>
      <c r="BL483" s="408">
        <v>7</v>
      </c>
      <c r="BM483" s="408"/>
      <c r="BN483" s="408"/>
      <c r="BO483" s="408"/>
      <c r="BP483" s="408"/>
      <c r="BQ483" s="408"/>
      <c r="BR483" s="408"/>
      <c r="BS483" s="408"/>
      <c r="BT483" s="408"/>
      <c r="BU483" s="408"/>
      <c r="BV483" s="408">
        <v>2325.8724480136889</v>
      </c>
      <c r="BW483" s="408"/>
      <c r="BX483" s="408"/>
      <c r="BY483" s="408"/>
      <c r="BZ483" s="408"/>
      <c r="CA483" s="408"/>
      <c r="CB483" s="408"/>
      <c r="CC483" s="408"/>
      <c r="CD483" s="408"/>
      <c r="CE483" s="408"/>
      <c r="CF483" s="408"/>
      <c r="CG483" s="408"/>
      <c r="CH483" s="408"/>
      <c r="CI483" s="408">
        <v>5823.2348000000002</v>
      </c>
      <c r="CJ483" s="408">
        <v>-1800.9174400000011</v>
      </c>
      <c r="CK483" s="408"/>
      <c r="CL483" s="408"/>
      <c r="CM483" s="408"/>
      <c r="CN483" s="408"/>
      <c r="CO483" s="408">
        <v>-2019.8061600000005</v>
      </c>
      <c r="CP483" s="408">
        <v>220.12685999999982</v>
      </c>
      <c r="CQ483" s="408">
        <v>31</v>
      </c>
      <c r="CR483" s="408">
        <v>284.86200137713558</v>
      </c>
      <c r="CS483" s="408">
        <v>6.6347555282751927</v>
      </c>
      <c r="CT483" s="408">
        <v>9.9940045183213613</v>
      </c>
      <c r="CU483" s="408">
        <v>0</v>
      </c>
      <c r="CV483" s="408">
        <v>0</v>
      </c>
      <c r="CW483" s="408">
        <v>0</v>
      </c>
      <c r="CX483" s="408">
        <v>0</v>
      </c>
      <c r="CY483" s="408">
        <v>0</v>
      </c>
      <c r="CZ483" s="408">
        <v>23.450950192391247</v>
      </c>
      <c r="DA483" s="408">
        <v>0</v>
      </c>
      <c r="DB483" s="408">
        <v>0</v>
      </c>
      <c r="DC483" s="408">
        <v>220.06017714636278</v>
      </c>
      <c r="DD483" s="408">
        <v>0</v>
      </c>
      <c r="DE483" s="408">
        <v>0</v>
      </c>
      <c r="DF483" s="408">
        <v>0</v>
      </c>
      <c r="DG483" s="408">
        <v>36.815656255562374</v>
      </c>
      <c r="DH483" s="408">
        <v>0</v>
      </c>
      <c r="DI483" s="408">
        <v>-10.34332400374899</v>
      </c>
      <c r="DJ483" s="408"/>
      <c r="DK483" s="408">
        <v>0</v>
      </c>
      <c r="DL483" s="408">
        <v>0</v>
      </c>
      <c r="DM483" s="408">
        <v>0</v>
      </c>
      <c r="DN483" s="408">
        <v>0</v>
      </c>
      <c r="DO483" s="408">
        <v>-1.3438292210112763</v>
      </c>
      <c r="DP483" s="408">
        <v>-0.40638903901637136</v>
      </c>
      <c r="DQ483" s="408">
        <v>0</v>
      </c>
      <c r="DR483" s="408">
        <v>0</v>
      </c>
      <c r="DS483" s="408"/>
      <c r="DT483" s="408"/>
      <c r="DU483" s="408"/>
      <c r="DV483" s="408">
        <v>3716.0780172414611</v>
      </c>
      <c r="DW483" s="408">
        <v>0</v>
      </c>
      <c r="DX483" s="408">
        <v>0</v>
      </c>
      <c r="DY483" s="408">
        <v>-2019.8061600000005</v>
      </c>
      <c r="DZ483" s="408">
        <v>220.12685999999985</v>
      </c>
      <c r="EA483" s="408">
        <v>0</v>
      </c>
      <c r="EB483" s="408">
        <v>0</v>
      </c>
      <c r="EC483" s="408">
        <v>-2084.6814890785899</v>
      </c>
      <c r="ED483" s="408">
        <v>0</v>
      </c>
      <c r="EE483" s="408">
        <v>0</v>
      </c>
      <c r="EF483" s="408">
        <v>0</v>
      </c>
      <c r="EG483" s="408">
        <v>0</v>
      </c>
      <c r="EH483" s="408">
        <v>0</v>
      </c>
      <c r="EI483" s="408">
        <v>0</v>
      </c>
      <c r="EJ483" s="408">
        <v>0</v>
      </c>
      <c r="EK483" s="408">
        <v>0</v>
      </c>
      <c r="EL483" s="408">
        <v>0</v>
      </c>
      <c r="EM483" s="408">
        <v>0</v>
      </c>
      <c r="EN483" s="408">
        <v>0</v>
      </c>
      <c r="EO483" s="408">
        <v>0</v>
      </c>
      <c r="EP483" s="408">
        <v>0</v>
      </c>
      <c r="EQ483" s="408">
        <v>0</v>
      </c>
      <c r="ER483" s="408">
        <v>0</v>
      </c>
      <c r="ES483" s="408">
        <v>0</v>
      </c>
      <c r="ET483" s="408">
        <v>0</v>
      </c>
      <c r="EU483" s="408">
        <v>0</v>
      </c>
      <c r="EV483" s="408">
        <v>238</v>
      </c>
      <c r="EW483" s="408">
        <v>0</v>
      </c>
      <c r="EX483" s="408">
        <v>0</v>
      </c>
      <c r="EY483" s="408">
        <v>0</v>
      </c>
      <c r="EZ483" s="408"/>
      <c r="FA483" s="408">
        <v>0</v>
      </c>
      <c r="FB483" s="408"/>
      <c r="FC483" s="408"/>
      <c r="FD483" s="408"/>
      <c r="FE483" s="408"/>
      <c r="FF483" s="408">
        <v>0</v>
      </c>
      <c r="FG483" s="408">
        <v>0</v>
      </c>
      <c r="FH483" s="408">
        <v>0</v>
      </c>
      <c r="FI483" s="408">
        <v>0</v>
      </c>
    </row>
    <row r="484" spans="1:165">
      <c r="A484" s="408">
        <v>488</v>
      </c>
      <c r="B484" s="408" t="s">
        <v>2238</v>
      </c>
      <c r="C484" s="408" t="s">
        <v>2235</v>
      </c>
      <c r="D484" s="408" t="s">
        <v>1958</v>
      </c>
      <c r="E484" s="408" t="s">
        <v>970</v>
      </c>
      <c r="F484" s="408" t="s">
        <v>1322</v>
      </c>
      <c r="G484" s="408" t="s">
        <v>1322</v>
      </c>
      <c r="H484" s="408" t="s">
        <v>1322</v>
      </c>
      <c r="I484" s="408" t="s">
        <v>1322</v>
      </c>
      <c r="J484" s="408" t="s">
        <v>2236</v>
      </c>
      <c r="K484" s="824">
        <v>44621</v>
      </c>
      <c r="L484" s="408">
        <v>0</v>
      </c>
      <c r="M484" s="408">
        <v>0</v>
      </c>
      <c r="N484" s="408">
        <v>2.4180000000000001</v>
      </c>
      <c r="O484" s="408">
        <v>2.4180000000000001</v>
      </c>
      <c r="P484" s="408">
        <v>2.4180000000000001</v>
      </c>
      <c r="Q484" s="408">
        <v>2.4180000000000001</v>
      </c>
      <c r="R484" s="408"/>
      <c r="S484" s="408">
        <v>581.32000000000005</v>
      </c>
      <c r="T484" s="408">
        <v>209.4</v>
      </c>
      <c r="U484" s="408"/>
      <c r="V484" s="408">
        <v>1911.9609600000003</v>
      </c>
      <c r="W484" s="408">
        <v>1911.9609600000003</v>
      </c>
      <c r="X484" s="408">
        <v>1460.6412599999999</v>
      </c>
      <c r="Y484" s="408">
        <v>0</v>
      </c>
      <c r="Z484" s="408">
        <v>148.79866027860547</v>
      </c>
      <c r="AA484" s="408">
        <v>0</v>
      </c>
      <c r="AB484" s="408">
        <v>0</v>
      </c>
      <c r="AC484" s="408">
        <v>0</v>
      </c>
      <c r="AD484" s="408">
        <v>179.39418811627945</v>
      </c>
      <c r="AE484" s="408">
        <v>931.91004414953886</v>
      </c>
      <c r="AF484" s="408">
        <v>499.68150332269846</v>
      </c>
      <c r="AG484" s="408">
        <v>6.6566692834064396</v>
      </c>
      <c r="AH484" s="408">
        <v>0</v>
      </c>
      <c r="AI484" s="408">
        <v>0</v>
      </c>
      <c r="AJ484" s="408">
        <v>0</v>
      </c>
      <c r="AK484" s="408">
        <v>0</v>
      </c>
      <c r="AL484" s="408">
        <v>22.994216777911333</v>
      </c>
      <c r="AM484" s="408"/>
      <c r="AN484" s="408">
        <v>4.4079277156742078</v>
      </c>
      <c r="AO484" s="408">
        <v>13.781344514095565</v>
      </c>
      <c r="AP484" s="408">
        <v>20.758989348658265</v>
      </c>
      <c r="AQ484" s="408">
        <v>0</v>
      </c>
      <c r="AR484" s="408">
        <v>0</v>
      </c>
      <c r="AS484" s="408">
        <v>0</v>
      </c>
      <c r="AT484" s="408">
        <v>0</v>
      </c>
      <c r="AU484" s="408">
        <v>0</v>
      </c>
      <c r="AV484" s="408">
        <v>0</v>
      </c>
      <c r="AW484" s="408">
        <v>0</v>
      </c>
      <c r="AX484" s="408">
        <v>0</v>
      </c>
      <c r="AY484" s="408">
        <v>0</v>
      </c>
      <c r="AZ484" s="408">
        <v>0</v>
      </c>
      <c r="BA484" s="408"/>
      <c r="BB484" s="408">
        <v>0</v>
      </c>
      <c r="BC484" s="408">
        <v>0</v>
      </c>
      <c r="BD484" s="408">
        <v>0</v>
      </c>
      <c r="BE484" s="408">
        <v>0</v>
      </c>
      <c r="BF484" s="408">
        <v>0</v>
      </c>
      <c r="BG484" s="408">
        <v>83.595781400087262</v>
      </c>
      <c r="BH484" s="408">
        <v>0</v>
      </c>
      <c r="BI484" s="408">
        <v>3.78</v>
      </c>
      <c r="BJ484" s="408">
        <v>1.75</v>
      </c>
      <c r="BK484" s="408">
        <v>460.01</v>
      </c>
      <c r="BL484" s="408">
        <v>3</v>
      </c>
      <c r="BM484" s="408"/>
      <c r="BN484" s="408"/>
      <c r="BO484" s="408"/>
      <c r="BP484" s="408"/>
      <c r="BQ484" s="408"/>
      <c r="BR484" s="408"/>
      <c r="BS484" s="408"/>
      <c r="BT484" s="408"/>
      <c r="BU484" s="408"/>
      <c r="BV484" s="408">
        <v>583.27728472278568</v>
      </c>
      <c r="BW484" s="408"/>
      <c r="BX484" s="408"/>
      <c r="BY484" s="408"/>
      <c r="BZ484" s="408"/>
      <c r="CA484" s="408"/>
      <c r="CB484" s="408"/>
      <c r="CC484" s="408"/>
      <c r="CD484" s="408"/>
      <c r="CE484" s="408"/>
      <c r="CF484" s="408"/>
      <c r="CG484" s="408"/>
      <c r="CH484" s="408"/>
      <c r="CI484" s="408">
        <v>1461.8493999999998</v>
      </c>
      <c r="CJ484" s="408">
        <v>-450.14156000000048</v>
      </c>
      <c r="CK484" s="408"/>
      <c r="CL484" s="408"/>
      <c r="CM484" s="408"/>
      <c r="CN484" s="408"/>
      <c r="CO484" s="408">
        <v>-506.52264000000019</v>
      </c>
      <c r="CP484" s="408">
        <v>55.202939999999963</v>
      </c>
      <c r="CQ484" s="408">
        <v>31</v>
      </c>
      <c r="CR484" s="408">
        <v>71.437079374602376</v>
      </c>
      <c r="CS484" s="408">
        <v>1.6638497062196045</v>
      </c>
      <c r="CT484" s="408">
        <v>2.5062749352106444</v>
      </c>
      <c r="CU484" s="408">
        <v>0</v>
      </c>
      <c r="CV484" s="408">
        <v>0</v>
      </c>
      <c r="CW484" s="408">
        <v>0</v>
      </c>
      <c r="CX484" s="408">
        <v>0</v>
      </c>
      <c r="CY484" s="408">
        <v>0</v>
      </c>
      <c r="CZ484" s="408">
        <v>5.8809787974696235</v>
      </c>
      <c r="DA484" s="408">
        <v>0</v>
      </c>
      <c r="DB484" s="408">
        <v>0</v>
      </c>
      <c r="DC484" s="408">
        <v>55.186217417538444</v>
      </c>
      <c r="DD484" s="408">
        <v>0</v>
      </c>
      <c r="DE484" s="408">
        <v>0</v>
      </c>
      <c r="DF484" s="408">
        <v>0</v>
      </c>
      <c r="DG484" s="408">
        <v>9.2325510087066931</v>
      </c>
      <c r="DH484" s="408">
        <v>0</v>
      </c>
      <c r="DI484" s="408">
        <v>-2.5938765236532788</v>
      </c>
      <c r="DJ484" s="408"/>
      <c r="DK484" s="408">
        <v>0</v>
      </c>
      <c r="DL484" s="408">
        <v>0</v>
      </c>
      <c r="DM484" s="408">
        <v>0</v>
      </c>
      <c r="DN484" s="408">
        <v>0</v>
      </c>
      <c r="DO484" s="408">
        <v>-0.33700259867302051</v>
      </c>
      <c r="DP484" s="408">
        <v>-0.10191336821630248</v>
      </c>
      <c r="DQ484" s="408">
        <v>0</v>
      </c>
      <c r="DR484" s="408">
        <v>0</v>
      </c>
      <c r="DS484" s="408"/>
      <c r="DT484" s="408"/>
      <c r="DU484" s="408"/>
      <c r="DV484" s="408">
        <v>931.91004414953886</v>
      </c>
      <c r="DW484" s="408">
        <v>0</v>
      </c>
      <c r="DX484" s="408">
        <v>0</v>
      </c>
      <c r="DY484" s="408">
        <v>-506.52264000000025</v>
      </c>
      <c r="DZ484" s="408">
        <v>55.202939999999955</v>
      </c>
      <c r="EA484" s="408">
        <v>0</v>
      </c>
      <c r="EB484" s="408">
        <v>0</v>
      </c>
      <c r="EC484" s="408">
        <v>-522.79193534453759</v>
      </c>
      <c r="ED484" s="408">
        <v>0</v>
      </c>
      <c r="EE484" s="408">
        <v>0</v>
      </c>
      <c r="EF484" s="408">
        <v>0</v>
      </c>
      <c r="EG484" s="408">
        <v>0</v>
      </c>
      <c r="EH484" s="408">
        <v>0</v>
      </c>
      <c r="EI484" s="408">
        <v>0</v>
      </c>
      <c r="EJ484" s="408">
        <v>0</v>
      </c>
      <c r="EK484" s="408">
        <v>0</v>
      </c>
      <c r="EL484" s="408">
        <v>0</v>
      </c>
      <c r="EM484" s="408">
        <v>0</v>
      </c>
      <c r="EN484" s="408">
        <v>0</v>
      </c>
      <c r="EO484" s="408">
        <v>0</v>
      </c>
      <c r="EP484" s="408">
        <v>0</v>
      </c>
      <c r="EQ484" s="408">
        <v>0</v>
      </c>
      <c r="ER484" s="408">
        <v>0</v>
      </c>
      <c r="ES484" s="408">
        <v>0</v>
      </c>
      <c r="ET484" s="408">
        <v>0</v>
      </c>
      <c r="EU484" s="408">
        <v>0</v>
      </c>
      <c r="EV484" s="408">
        <v>238</v>
      </c>
      <c r="EW484" s="408">
        <v>0</v>
      </c>
      <c r="EX484" s="408">
        <v>0</v>
      </c>
      <c r="EY484" s="408">
        <v>0</v>
      </c>
      <c r="EZ484" s="408"/>
      <c r="FA484" s="408">
        <v>0</v>
      </c>
      <c r="FB484" s="408"/>
      <c r="FC484" s="408"/>
      <c r="FD484" s="408"/>
      <c r="FE484" s="408"/>
      <c r="FF484" s="408">
        <v>0</v>
      </c>
      <c r="FG484" s="408">
        <v>0</v>
      </c>
      <c r="FH484" s="408">
        <v>0</v>
      </c>
      <c r="FI484" s="408">
        <v>0</v>
      </c>
    </row>
    <row r="485" spans="1:165">
      <c r="A485" s="408">
        <v>489</v>
      </c>
      <c r="B485" s="408" t="s">
        <v>1036</v>
      </c>
      <c r="C485" s="408" t="s">
        <v>2243</v>
      </c>
      <c r="D485" s="408" t="s">
        <v>597</v>
      </c>
      <c r="E485" s="408" t="s">
        <v>970</v>
      </c>
      <c r="F485" s="408" t="s">
        <v>1322</v>
      </c>
      <c r="G485" s="408" t="s">
        <v>1322</v>
      </c>
      <c r="H485" s="408" t="s">
        <v>1322</v>
      </c>
      <c r="I485" s="408" t="s">
        <v>973</v>
      </c>
      <c r="J485" s="408" t="s">
        <v>2236</v>
      </c>
      <c r="K485" s="824">
        <v>44621</v>
      </c>
      <c r="L485" s="408">
        <v>0</v>
      </c>
      <c r="M485" s="408">
        <v>0</v>
      </c>
      <c r="N485" s="408">
        <v>12.345000000000001</v>
      </c>
      <c r="O485" s="408">
        <v>12.345000000000001</v>
      </c>
      <c r="P485" s="408">
        <v>12.345000000000001</v>
      </c>
      <c r="Q485" s="408">
        <v>12.345000000000001</v>
      </c>
      <c r="R485" s="408"/>
      <c r="S485" s="408">
        <v>1614.19</v>
      </c>
      <c r="T485" s="408">
        <v>209.4</v>
      </c>
      <c r="U485" s="408"/>
      <c r="V485" s="408">
        <v>22512.218550000001</v>
      </c>
      <c r="W485" s="408">
        <v>22512.218550000001</v>
      </c>
      <c r="X485" s="408">
        <v>14963.991750000001</v>
      </c>
      <c r="Y485" s="408">
        <v>0</v>
      </c>
      <c r="Z485" s="408">
        <v>660.92635698563504</v>
      </c>
      <c r="AA485" s="408">
        <v>0</v>
      </c>
      <c r="AB485" s="408">
        <v>0</v>
      </c>
      <c r="AC485" s="408">
        <v>0</v>
      </c>
      <c r="AD485" s="408">
        <v>3844.4550907966436</v>
      </c>
      <c r="AE485" s="408">
        <v>14355.218026277436</v>
      </c>
      <c r="AF485" s="408">
        <v>2551.1034567902038</v>
      </c>
      <c r="AG485" s="408">
        <v>33.985352482900126</v>
      </c>
      <c r="AH485" s="408">
        <v>0</v>
      </c>
      <c r="AI485" s="408">
        <v>0</v>
      </c>
      <c r="AJ485" s="408">
        <v>0</v>
      </c>
      <c r="AK485" s="408">
        <v>0</v>
      </c>
      <c r="AL485" s="408">
        <v>117.39603230906344</v>
      </c>
      <c r="AM485" s="408"/>
      <c r="AN485" s="408">
        <v>16.392237988532742</v>
      </c>
      <c r="AO485" s="408">
        <v>298.68635372676295</v>
      </c>
      <c r="AP485" s="408">
        <v>444.89779883487546</v>
      </c>
      <c r="AQ485" s="408">
        <v>0</v>
      </c>
      <c r="AR485" s="408">
        <v>0</v>
      </c>
      <c r="AS485" s="408">
        <v>0</v>
      </c>
      <c r="AT485" s="408">
        <v>0</v>
      </c>
      <c r="AU485" s="408">
        <v>0</v>
      </c>
      <c r="AV485" s="408">
        <v>0</v>
      </c>
      <c r="AW485" s="408">
        <v>0</v>
      </c>
      <c r="AX485" s="408">
        <v>0</v>
      </c>
      <c r="AY485" s="408">
        <v>0</v>
      </c>
      <c r="AZ485" s="408">
        <v>0</v>
      </c>
      <c r="BA485" s="408"/>
      <c r="BB485" s="408">
        <v>0</v>
      </c>
      <c r="BC485" s="408">
        <v>0</v>
      </c>
      <c r="BD485" s="408">
        <v>0</v>
      </c>
      <c r="BE485" s="408">
        <v>0</v>
      </c>
      <c r="BF485" s="408">
        <v>0</v>
      </c>
      <c r="BG485" s="408">
        <v>189.18016687926831</v>
      </c>
      <c r="BH485" s="408">
        <v>0</v>
      </c>
      <c r="BI485" s="408">
        <v>0</v>
      </c>
      <c r="BJ485" s="408">
        <v>0</v>
      </c>
      <c r="BK485" s="408">
        <v>0</v>
      </c>
      <c r="BL485" s="408">
        <v>0</v>
      </c>
      <c r="BM485" s="408"/>
      <c r="BN485" s="408"/>
      <c r="BO485" s="408"/>
      <c r="BP485" s="408"/>
      <c r="BQ485" s="408"/>
      <c r="BR485" s="408"/>
      <c r="BS485" s="408"/>
      <c r="BT485" s="408"/>
      <c r="BU485" s="408"/>
      <c r="BV485" s="408">
        <v>2740.283623669472</v>
      </c>
      <c r="BW485" s="408"/>
      <c r="BX485" s="408"/>
      <c r="BY485" s="408"/>
      <c r="BZ485" s="408"/>
      <c r="CA485" s="408"/>
      <c r="CB485" s="408"/>
      <c r="CC485" s="408"/>
      <c r="CD485" s="408"/>
      <c r="CE485" s="408"/>
      <c r="CF485" s="408"/>
      <c r="CG485" s="408"/>
      <c r="CH485" s="408"/>
      <c r="CI485" s="408">
        <v>14970.052499999998</v>
      </c>
      <c r="CJ485" s="408">
        <v>-7542.1960499999986</v>
      </c>
      <c r="CK485" s="408"/>
      <c r="CL485" s="408"/>
      <c r="CM485" s="408"/>
      <c r="CN485" s="408"/>
      <c r="CO485" s="408">
        <v>-7830.0631500000018</v>
      </c>
      <c r="CP485" s="408">
        <v>281.83634999999981</v>
      </c>
      <c r="CQ485" s="408">
        <v>31</v>
      </c>
      <c r="CR485" s="408">
        <v>504.82869370098706</v>
      </c>
      <c r="CS485" s="408">
        <v>36.061009968350106</v>
      </c>
      <c r="CT485" s="408">
        <v>53.713414618728677</v>
      </c>
      <c r="CU485" s="408">
        <v>0</v>
      </c>
      <c r="CV485" s="408">
        <v>0</v>
      </c>
      <c r="CW485" s="408">
        <v>0</v>
      </c>
      <c r="CX485" s="408">
        <v>0</v>
      </c>
      <c r="CY485" s="408">
        <v>0</v>
      </c>
      <c r="CZ485" s="408">
        <v>126.03060954318653</v>
      </c>
      <c r="DA485" s="408">
        <v>0</v>
      </c>
      <c r="DB485" s="408">
        <v>0</v>
      </c>
      <c r="DC485" s="408">
        <v>281.75097353991396</v>
      </c>
      <c r="DD485" s="408">
        <v>0</v>
      </c>
      <c r="DE485" s="408">
        <v>0</v>
      </c>
      <c r="DF485" s="408">
        <v>0</v>
      </c>
      <c r="DG485" s="408">
        <v>20.893584715588389</v>
      </c>
      <c r="DH485" s="408">
        <v>0</v>
      </c>
      <c r="DI485" s="408">
        <v>-11.521349439832989</v>
      </c>
      <c r="DJ485" s="408"/>
      <c r="DK485" s="408">
        <v>0</v>
      </c>
      <c r="DL485" s="408">
        <v>0</v>
      </c>
      <c r="DM485" s="408">
        <v>0</v>
      </c>
      <c r="DN485" s="408">
        <v>0</v>
      </c>
      <c r="DO485" s="408">
        <v>-1.7205529696519619</v>
      </c>
      <c r="DP485" s="408">
        <v>-0.37899627529611024</v>
      </c>
      <c r="DQ485" s="408">
        <v>0</v>
      </c>
      <c r="DR485" s="408">
        <v>0</v>
      </c>
      <c r="DS485" s="408"/>
      <c r="DT485" s="408"/>
      <c r="DU485" s="408"/>
      <c r="DV485" s="408">
        <v>14355.218026277436</v>
      </c>
      <c r="DW485" s="408">
        <v>0</v>
      </c>
      <c r="DX485" s="408">
        <v>0</v>
      </c>
      <c r="DY485" s="408">
        <v>-7830.06315</v>
      </c>
      <c r="DZ485" s="408">
        <v>281.83635000000004</v>
      </c>
      <c r="EA485" s="408">
        <v>0</v>
      </c>
      <c r="EB485" s="408">
        <v>0</v>
      </c>
      <c r="EC485" s="408">
        <v>-8053.1294424444995</v>
      </c>
      <c r="ED485" s="408">
        <v>0</v>
      </c>
      <c r="EE485" s="408">
        <v>0</v>
      </c>
      <c r="EF485" s="408">
        <v>0</v>
      </c>
      <c r="EG485" s="408">
        <v>0</v>
      </c>
      <c r="EH485" s="408">
        <v>0</v>
      </c>
      <c r="EI485" s="408">
        <v>0</v>
      </c>
      <c r="EJ485" s="408">
        <v>0</v>
      </c>
      <c r="EK485" s="408">
        <v>0</v>
      </c>
      <c r="EL485" s="408">
        <v>0</v>
      </c>
      <c r="EM485" s="408">
        <v>0</v>
      </c>
      <c r="EN485" s="408">
        <v>0</v>
      </c>
      <c r="EO485" s="408">
        <v>0</v>
      </c>
      <c r="EP485" s="408">
        <v>0</v>
      </c>
      <c r="EQ485" s="408">
        <v>0</v>
      </c>
      <c r="ER485" s="408">
        <v>0</v>
      </c>
      <c r="ES485" s="408">
        <v>0</v>
      </c>
      <c r="ET485" s="408">
        <v>0</v>
      </c>
      <c r="EU485" s="408">
        <v>0</v>
      </c>
      <c r="EV485" s="408">
        <v>238</v>
      </c>
      <c r="EW485" s="408">
        <v>0</v>
      </c>
      <c r="EX485" s="408">
        <v>0</v>
      </c>
      <c r="EY485" s="408">
        <v>0</v>
      </c>
      <c r="EZ485" s="408"/>
      <c r="FA485" s="408">
        <v>0</v>
      </c>
      <c r="FB485" s="408"/>
      <c r="FC485" s="408"/>
      <c r="FD485" s="408"/>
      <c r="FE485" s="408"/>
      <c r="FF485" s="408">
        <v>0</v>
      </c>
      <c r="FG485" s="408">
        <v>0</v>
      </c>
      <c r="FH485" s="408">
        <v>0</v>
      </c>
      <c r="FI485" s="408">
        <v>0</v>
      </c>
    </row>
    <row r="486" spans="1:165">
      <c r="A486" s="408">
        <v>490</v>
      </c>
      <c r="B486" s="408" t="s">
        <v>1036</v>
      </c>
      <c r="C486" s="408" t="s">
        <v>2243</v>
      </c>
      <c r="D486" s="408" t="s">
        <v>597</v>
      </c>
      <c r="E486" s="408" t="s">
        <v>970</v>
      </c>
      <c r="F486" s="408" t="s">
        <v>1322</v>
      </c>
      <c r="G486" s="408" t="s">
        <v>1322</v>
      </c>
      <c r="H486" s="408" t="s">
        <v>1322</v>
      </c>
      <c r="I486" s="408" t="s">
        <v>2244</v>
      </c>
      <c r="J486" s="408" t="s">
        <v>2236</v>
      </c>
      <c r="K486" s="824">
        <v>44621</v>
      </c>
      <c r="L486" s="408">
        <v>0</v>
      </c>
      <c r="M486" s="408">
        <v>0</v>
      </c>
      <c r="N486" s="408">
        <v>339.55799999999999</v>
      </c>
      <c r="O486" s="408">
        <v>339.55799999999999</v>
      </c>
      <c r="P486" s="408">
        <v>339.55799999999999</v>
      </c>
      <c r="Q486" s="408">
        <v>339.55799999999999</v>
      </c>
      <c r="R486" s="408"/>
      <c r="S486" s="408">
        <v>79.7</v>
      </c>
      <c r="T486" s="408">
        <v>209.4</v>
      </c>
      <c r="U486" s="408"/>
      <c r="V486" s="408">
        <v>98166.217799999999</v>
      </c>
      <c r="W486" s="408">
        <v>98166.217799999999</v>
      </c>
      <c r="X486" s="408">
        <v>106118.66615999999</v>
      </c>
      <c r="Y486" s="408">
        <v>0</v>
      </c>
      <c r="Z486" s="408">
        <v>18179.249244660044</v>
      </c>
      <c r="AA486" s="408">
        <v>0</v>
      </c>
      <c r="AB486" s="408">
        <v>0</v>
      </c>
      <c r="AC486" s="408">
        <v>0</v>
      </c>
      <c r="AD486" s="408">
        <v>0</v>
      </c>
      <c r="AE486" s="408">
        <v>0</v>
      </c>
      <c r="AF486" s="408">
        <v>70169.91393930887</v>
      </c>
      <c r="AG486" s="408">
        <v>934.79127730972857</v>
      </c>
      <c r="AH486" s="408">
        <v>0</v>
      </c>
      <c r="AI486" s="408">
        <v>0</v>
      </c>
      <c r="AJ486" s="408">
        <v>0</v>
      </c>
      <c r="AK486" s="408">
        <v>0</v>
      </c>
      <c r="AL486" s="408">
        <v>3229.0613154152256</v>
      </c>
      <c r="AM486" s="408"/>
      <c r="AN486" s="408">
        <v>450.88015770840019</v>
      </c>
      <c r="AO486" s="408">
        <v>0</v>
      </c>
      <c r="AP486" s="408">
        <v>0</v>
      </c>
      <c r="AQ486" s="408">
        <v>0</v>
      </c>
      <c r="AR486" s="408">
        <v>0</v>
      </c>
      <c r="AS486" s="408">
        <v>0</v>
      </c>
      <c r="AT486" s="408">
        <v>0</v>
      </c>
      <c r="AU486" s="408">
        <v>0</v>
      </c>
      <c r="AV486" s="408">
        <v>0</v>
      </c>
      <c r="AW486" s="408">
        <v>0</v>
      </c>
      <c r="AX486" s="408">
        <v>0</v>
      </c>
      <c r="AY486" s="408">
        <v>0</v>
      </c>
      <c r="AZ486" s="408">
        <v>0</v>
      </c>
      <c r="BA486" s="408"/>
      <c r="BB486" s="408">
        <v>0</v>
      </c>
      <c r="BC486" s="408">
        <v>0</v>
      </c>
      <c r="BD486" s="408">
        <v>0</v>
      </c>
      <c r="BE486" s="408">
        <v>0</v>
      </c>
      <c r="BF486" s="408">
        <v>0</v>
      </c>
      <c r="BG486" s="408">
        <v>5203.5349619433446</v>
      </c>
      <c r="BH486" s="408">
        <v>0</v>
      </c>
      <c r="BI486" s="408">
        <v>0</v>
      </c>
      <c r="BJ486" s="408">
        <v>0</v>
      </c>
      <c r="BK486" s="408">
        <v>0</v>
      </c>
      <c r="BL486" s="408">
        <v>0</v>
      </c>
      <c r="BM486" s="408"/>
      <c r="BN486" s="408"/>
      <c r="BO486" s="408"/>
      <c r="BP486" s="408"/>
      <c r="BQ486" s="408"/>
      <c r="BR486" s="408"/>
      <c r="BS486" s="408"/>
      <c r="BT486" s="408"/>
      <c r="BU486" s="408"/>
      <c r="BV486" s="408">
        <v>75373.44890125221</v>
      </c>
      <c r="BW486" s="408"/>
      <c r="BX486" s="408"/>
      <c r="BY486" s="408"/>
      <c r="BZ486" s="408"/>
      <c r="CA486" s="408"/>
      <c r="CB486" s="408"/>
      <c r="CC486" s="408"/>
      <c r="CD486" s="408"/>
      <c r="CE486" s="408"/>
      <c r="CF486" s="408"/>
      <c r="CG486" s="408"/>
      <c r="CH486" s="408"/>
      <c r="CI486" s="408">
        <v>106119.29119999999</v>
      </c>
      <c r="CJ486" s="408">
        <v>7953.043399999995</v>
      </c>
      <c r="CK486" s="408"/>
      <c r="CL486" s="408"/>
      <c r="CM486" s="408"/>
      <c r="CN486" s="408"/>
      <c r="CO486" s="408">
        <v>200.33922000000115</v>
      </c>
      <c r="CP486" s="408">
        <v>7752.1091399999941</v>
      </c>
      <c r="CQ486" s="408">
        <v>31</v>
      </c>
      <c r="CR486" s="408">
        <v>7949.8011985836492</v>
      </c>
      <c r="CS486" s="408">
        <v>0</v>
      </c>
      <c r="CT486" s="408">
        <v>0</v>
      </c>
      <c r="CU486" s="408">
        <v>0</v>
      </c>
      <c r="CV486" s="408">
        <v>0</v>
      </c>
      <c r="CW486" s="408">
        <v>0</v>
      </c>
      <c r="CX486" s="408">
        <v>0</v>
      </c>
      <c r="CY486" s="408">
        <v>0</v>
      </c>
      <c r="CZ486" s="408">
        <v>0</v>
      </c>
      <c r="DA486" s="408">
        <v>0</v>
      </c>
      <c r="DB486" s="408">
        <v>0</v>
      </c>
      <c r="DC486" s="408">
        <v>7749.7607997785381</v>
      </c>
      <c r="DD486" s="408">
        <v>0</v>
      </c>
      <c r="DE486" s="408">
        <v>0</v>
      </c>
      <c r="DF486" s="408">
        <v>0</v>
      </c>
      <c r="DG486" s="408">
        <v>574.69289905676396</v>
      </c>
      <c r="DH486" s="408">
        <v>0</v>
      </c>
      <c r="DI486" s="408">
        <v>-316.90290588017888</v>
      </c>
      <c r="DJ486" s="408"/>
      <c r="DK486" s="408">
        <v>0</v>
      </c>
      <c r="DL486" s="408">
        <v>0</v>
      </c>
      <c r="DM486" s="408">
        <v>0</v>
      </c>
      <c r="DN486" s="408">
        <v>0</v>
      </c>
      <c r="DO486" s="408">
        <v>-47.325032423578705</v>
      </c>
      <c r="DP486" s="408">
        <v>-10.424561947913844</v>
      </c>
      <c r="DQ486" s="408">
        <v>0</v>
      </c>
      <c r="DR486" s="408">
        <v>0</v>
      </c>
      <c r="DS486" s="408"/>
      <c r="DT486" s="408"/>
      <c r="DU486" s="408"/>
      <c r="DV486" s="408">
        <v>0</v>
      </c>
      <c r="DW486" s="408">
        <v>0</v>
      </c>
      <c r="DX486" s="408">
        <v>0</v>
      </c>
      <c r="DY486" s="408">
        <v>200.33922000000166</v>
      </c>
      <c r="DZ486" s="408">
        <v>7752.1091399999859</v>
      </c>
      <c r="EA486" s="408">
        <v>0</v>
      </c>
      <c r="EB486" s="408">
        <v>0</v>
      </c>
      <c r="EC486" s="408">
        <v>0</v>
      </c>
      <c r="ED486" s="408">
        <v>0</v>
      </c>
      <c r="EE486" s="408">
        <v>0</v>
      </c>
      <c r="EF486" s="408">
        <v>0</v>
      </c>
      <c r="EG486" s="408">
        <v>0</v>
      </c>
      <c r="EH486" s="408">
        <v>0</v>
      </c>
      <c r="EI486" s="408">
        <v>0</v>
      </c>
      <c r="EJ486" s="408">
        <v>0</v>
      </c>
      <c r="EK486" s="408">
        <v>0</v>
      </c>
      <c r="EL486" s="408">
        <v>0</v>
      </c>
      <c r="EM486" s="408">
        <v>0</v>
      </c>
      <c r="EN486" s="408">
        <v>0</v>
      </c>
      <c r="EO486" s="408">
        <v>0</v>
      </c>
      <c r="EP486" s="408">
        <v>0</v>
      </c>
      <c r="EQ486" s="408">
        <v>0</v>
      </c>
      <c r="ER486" s="408">
        <v>0</v>
      </c>
      <c r="ES486" s="408">
        <v>0</v>
      </c>
      <c r="ET486" s="408">
        <v>0</v>
      </c>
      <c r="EU486" s="408">
        <v>0</v>
      </c>
      <c r="EV486" s="408">
        <v>238</v>
      </c>
      <c r="EW486" s="408">
        <v>0</v>
      </c>
      <c r="EX486" s="408">
        <v>0</v>
      </c>
      <c r="EY486" s="408">
        <v>0</v>
      </c>
      <c r="EZ486" s="408"/>
      <c r="FA486" s="408">
        <v>0</v>
      </c>
      <c r="FB486" s="408"/>
      <c r="FC486" s="408"/>
      <c r="FD486" s="408"/>
      <c r="FE486" s="408"/>
      <c r="FF486" s="408">
        <v>0</v>
      </c>
      <c r="FG486" s="408">
        <v>0</v>
      </c>
      <c r="FH486" s="408">
        <v>0</v>
      </c>
      <c r="FI486" s="408">
        <v>0</v>
      </c>
    </row>
    <row r="487" spans="1:165">
      <c r="A487" s="408">
        <v>491</v>
      </c>
      <c r="B487" s="408" t="s">
        <v>1036</v>
      </c>
      <c r="C487" s="408" t="s">
        <v>2243</v>
      </c>
      <c r="D487" s="408" t="s">
        <v>597</v>
      </c>
      <c r="E487" s="408" t="s">
        <v>970</v>
      </c>
      <c r="F487" s="408" t="s">
        <v>1322</v>
      </c>
      <c r="G487" s="408" t="s">
        <v>1322</v>
      </c>
      <c r="H487" s="408" t="s">
        <v>1322</v>
      </c>
      <c r="I487" s="408" t="s">
        <v>1322</v>
      </c>
      <c r="J487" s="408" t="s">
        <v>2236</v>
      </c>
      <c r="K487" s="824">
        <v>44621</v>
      </c>
      <c r="L487" s="408">
        <v>1675</v>
      </c>
      <c r="M487" s="408">
        <v>1675</v>
      </c>
      <c r="N487" s="408">
        <v>0</v>
      </c>
      <c r="O487" s="408">
        <v>0</v>
      </c>
      <c r="P487" s="408">
        <v>0</v>
      </c>
      <c r="Q487" s="408">
        <v>0</v>
      </c>
      <c r="R487" s="408">
        <v>44.35</v>
      </c>
      <c r="S487" s="408"/>
      <c r="T487" s="408"/>
      <c r="U487" s="408">
        <v>74286.25</v>
      </c>
      <c r="V487" s="408"/>
      <c r="W487" s="408">
        <v>74286.25</v>
      </c>
      <c r="X487" s="408">
        <v>48524.75</v>
      </c>
      <c r="Y487" s="408">
        <v>0</v>
      </c>
      <c r="Z487" s="408">
        <v>0</v>
      </c>
      <c r="AA487" s="408">
        <v>0</v>
      </c>
      <c r="AB487" s="408">
        <v>0</v>
      </c>
      <c r="AC487" s="408">
        <v>0</v>
      </c>
      <c r="AD487" s="408">
        <v>21979.456677542876</v>
      </c>
      <c r="AE487" s="408">
        <v>48102.39252862455</v>
      </c>
      <c r="AF487" s="408"/>
      <c r="AG487" s="408"/>
      <c r="AH487" s="408"/>
      <c r="AI487" s="408">
        <v>0</v>
      </c>
      <c r="AJ487" s="408">
        <v>0</v>
      </c>
      <c r="AK487" s="408">
        <v>0</v>
      </c>
      <c r="AL487" s="408">
        <v>0</v>
      </c>
      <c r="AM487" s="408"/>
      <c r="AN487" s="408">
        <v>0</v>
      </c>
      <c r="AO487" s="408">
        <v>1661.1321585321198</v>
      </c>
      <c r="AP487" s="408">
        <v>2541.4630839586512</v>
      </c>
      <c r="AQ487" s="408">
        <v>0</v>
      </c>
      <c r="AR487" s="408">
        <v>0</v>
      </c>
      <c r="AS487" s="408"/>
      <c r="AT487" s="408"/>
      <c r="AU487" s="408">
        <v>0</v>
      </c>
      <c r="AV487" s="408">
        <v>0</v>
      </c>
      <c r="AW487" s="408">
        <v>0</v>
      </c>
      <c r="AX487" s="408"/>
      <c r="AY487" s="408"/>
      <c r="AZ487" s="408">
        <v>0</v>
      </c>
      <c r="BA487" s="408"/>
      <c r="BB487" s="408">
        <v>0</v>
      </c>
      <c r="BC487" s="408">
        <v>0</v>
      </c>
      <c r="BD487" s="408">
        <v>0</v>
      </c>
      <c r="BE487" s="408">
        <v>0</v>
      </c>
      <c r="BF487" s="408"/>
      <c r="BG487" s="408">
        <v>0</v>
      </c>
      <c r="BH487" s="408">
        <v>0</v>
      </c>
      <c r="BI487" s="408">
        <v>463.94</v>
      </c>
      <c r="BJ487" s="408">
        <v>214.35</v>
      </c>
      <c r="BK487" s="408">
        <v>44118.17</v>
      </c>
      <c r="BL487" s="408">
        <v>7</v>
      </c>
      <c r="BM487" s="408"/>
      <c r="BN487" s="408"/>
      <c r="BO487" s="408"/>
      <c r="BP487" s="408"/>
      <c r="BQ487" s="408"/>
      <c r="BR487" s="408"/>
      <c r="BS487" s="408"/>
      <c r="BT487" s="408"/>
      <c r="BU487" s="408"/>
      <c r="BV487" s="408">
        <v>0</v>
      </c>
      <c r="BW487" s="408"/>
      <c r="BX487" s="408"/>
      <c r="BY487" s="408"/>
      <c r="BZ487" s="408"/>
      <c r="CA487" s="408"/>
      <c r="CB487" s="408"/>
      <c r="CC487" s="408"/>
      <c r="CD487" s="408"/>
      <c r="CE487" s="408"/>
      <c r="CF487" s="408"/>
      <c r="CG487" s="408"/>
      <c r="CH487" s="408"/>
      <c r="CI487" s="408">
        <v>48524.75</v>
      </c>
      <c r="CJ487" s="408">
        <v>-25761.529999999984</v>
      </c>
      <c r="CK487" s="408"/>
      <c r="CL487" s="408"/>
      <c r="CM487" s="408"/>
      <c r="CN487" s="408"/>
      <c r="CO487" s="408">
        <v>-25761.500000000004</v>
      </c>
      <c r="CP487" s="408">
        <v>0</v>
      </c>
      <c r="CQ487" s="408">
        <v>31</v>
      </c>
      <c r="CR487" s="408">
        <v>1227.9280264321387</v>
      </c>
      <c r="CS487" s="408">
        <v>200.55185842997162</v>
      </c>
      <c r="CT487" s="408">
        <v>306.83599856948103</v>
      </c>
      <c r="CU487" s="408">
        <v>0</v>
      </c>
      <c r="CV487" s="408">
        <v>0</v>
      </c>
      <c r="CW487" s="408"/>
      <c r="CX487" s="408"/>
      <c r="CY487" s="408"/>
      <c r="CZ487" s="408">
        <v>720.54016943268653</v>
      </c>
      <c r="DA487" s="408">
        <v>0</v>
      </c>
      <c r="DB487" s="408">
        <v>0</v>
      </c>
      <c r="DC487" s="408"/>
      <c r="DD487" s="408"/>
      <c r="DE487" s="408">
        <v>0</v>
      </c>
      <c r="DF487" s="408">
        <v>0</v>
      </c>
      <c r="DG487" s="408">
        <v>0</v>
      </c>
      <c r="DH487" s="408">
        <v>0</v>
      </c>
      <c r="DI487" s="408">
        <v>0</v>
      </c>
      <c r="DJ487" s="408"/>
      <c r="DK487" s="408">
        <v>0</v>
      </c>
      <c r="DL487" s="408">
        <v>0</v>
      </c>
      <c r="DM487" s="408"/>
      <c r="DN487" s="408">
        <v>0</v>
      </c>
      <c r="DO487" s="408">
        <v>0</v>
      </c>
      <c r="DP487" s="408">
        <v>0</v>
      </c>
      <c r="DQ487" s="408">
        <v>0</v>
      </c>
      <c r="DR487" s="408">
        <v>0</v>
      </c>
      <c r="DS487" s="408"/>
      <c r="DT487" s="408"/>
      <c r="DU487" s="408">
        <v>48102.39252862455</v>
      </c>
      <c r="DV487" s="408"/>
      <c r="DW487" s="408">
        <v>0</v>
      </c>
      <c r="DX487" s="408">
        <v>0</v>
      </c>
      <c r="DY487" s="408">
        <v>-25761.5</v>
      </c>
      <c r="DZ487" s="408"/>
      <c r="EA487" s="408">
        <v>0</v>
      </c>
      <c r="EB487" s="408"/>
      <c r="EC487" s="408">
        <v>-26984.946715207814</v>
      </c>
      <c r="ED487" s="408"/>
      <c r="EE487" s="408">
        <v>0</v>
      </c>
      <c r="EF487" s="408">
        <v>0</v>
      </c>
      <c r="EG487" s="408"/>
      <c r="EH487" s="408">
        <v>0</v>
      </c>
      <c r="EI487" s="408">
        <v>0</v>
      </c>
      <c r="EJ487" s="408">
        <v>0</v>
      </c>
      <c r="EK487" s="408">
        <v>0</v>
      </c>
      <c r="EL487" s="408">
        <v>0</v>
      </c>
      <c r="EM487" s="408"/>
      <c r="EN487" s="408"/>
      <c r="EO487" s="408">
        <v>0</v>
      </c>
      <c r="EP487" s="408">
        <v>0</v>
      </c>
      <c r="EQ487" s="408"/>
      <c r="ER487" s="408">
        <v>0</v>
      </c>
      <c r="ES487" s="408"/>
      <c r="ET487" s="408">
        <v>0</v>
      </c>
      <c r="EU487" s="408"/>
      <c r="EV487" s="408">
        <v>238</v>
      </c>
      <c r="EW487" s="408"/>
      <c r="EX487" s="408"/>
      <c r="EY487" s="408"/>
      <c r="EZ487" s="408"/>
      <c r="FA487" s="408">
        <v>0</v>
      </c>
      <c r="FB487" s="408"/>
      <c r="FC487" s="408"/>
      <c r="FD487" s="408"/>
      <c r="FE487" s="408"/>
      <c r="FF487" s="408">
        <v>0</v>
      </c>
      <c r="FG487" s="408">
        <v>0</v>
      </c>
      <c r="FH487" s="408">
        <v>0</v>
      </c>
      <c r="FI487" s="408">
        <v>0</v>
      </c>
    </row>
    <row r="488" spans="1:165">
      <c r="A488" s="408">
        <v>492</v>
      </c>
      <c r="B488" s="408" t="s">
        <v>1036</v>
      </c>
      <c r="C488" s="408" t="s">
        <v>2235</v>
      </c>
      <c r="D488" s="408" t="s">
        <v>1958</v>
      </c>
      <c r="E488" s="408" t="s">
        <v>998</v>
      </c>
      <c r="F488" s="408" t="s">
        <v>1322</v>
      </c>
      <c r="G488" s="408" t="s">
        <v>1322</v>
      </c>
      <c r="H488" s="408" t="s">
        <v>1322</v>
      </c>
      <c r="I488" s="408" t="s">
        <v>1322</v>
      </c>
      <c r="J488" s="408" t="s">
        <v>2236</v>
      </c>
      <c r="K488" s="824">
        <v>44621</v>
      </c>
      <c r="L488" s="408">
        <v>0</v>
      </c>
      <c r="M488" s="408">
        <v>0</v>
      </c>
      <c r="N488" s="408">
        <v>386.274</v>
      </c>
      <c r="O488" s="408">
        <v>386.274</v>
      </c>
      <c r="P488" s="408">
        <v>386.274</v>
      </c>
      <c r="Q488" s="408">
        <v>386.274</v>
      </c>
      <c r="R488" s="408"/>
      <c r="S488" s="408">
        <v>581.32000000000005</v>
      </c>
      <c r="T488" s="408">
        <v>209.4</v>
      </c>
      <c r="U488" s="408"/>
      <c r="V488" s="408">
        <v>305434.57728000003</v>
      </c>
      <c r="W488" s="408">
        <v>305434.57728000003</v>
      </c>
      <c r="X488" s="408">
        <v>233336.53517999998</v>
      </c>
      <c r="Y488" s="408">
        <v>0</v>
      </c>
      <c r="Z488" s="408">
        <v>23770.493672646007</v>
      </c>
      <c r="AA488" s="408">
        <v>0</v>
      </c>
      <c r="AB488" s="408">
        <v>0</v>
      </c>
      <c r="AC488" s="408">
        <v>0</v>
      </c>
      <c r="AD488" s="408">
        <v>28658.110264858449</v>
      </c>
      <c r="AE488" s="408">
        <v>148872.051444921</v>
      </c>
      <c r="AF488" s="408">
        <v>79823.81017968239</v>
      </c>
      <c r="AG488" s="408">
        <v>1063.3987885767324</v>
      </c>
      <c r="AH488" s="408">
        <v>0</v>
      </c>
      <c r="AI488" s="408">
        <v>0</v>
      </c>
      <c r="AJ488" s="408">
        <v>0</v>
      </c>
      <c r="AK488" s="408">
        <v>0</v>
      </c>
      <c r="AL488" s="408">
        <v>3673.3118658688677</v>
      </c>
      <c r="AM488" s="408"/>
      <c r="AN488" s="408">
        <v>704.16371813248088</v>
      </c>
      <c r="AO488" s="408">
        <v>2201.5612369056039</v>
      </c>
      <c r="AP488" s="408">
        <v>3316.2356706632017</v>
      </c>
      <c r="AQ488" s="408">
        <v>0</v>
      </c>
      <c r="AR488" s="408">
        <v>0</v>
      </c>
      <c r="AS488" s="408">
        <v>0</v>
      </c>
      <c r="AT488" s="408">
        <v>0</v>
      </c>
      <c r="AU488" s="408">
        <v>0</v>
      </c>
      <c r="AV488" s="408">
        <v>0</v>
      </c>
      <c r="AW488" s="408">
        <v>0</v>
      </c>
      <c r="AX488" s="408">
        <v>0</v>
      </c>
      <c r="AY488" s="408">
        <v>0</v>
      </c>
      <c r="AZ488" s="408">
        <v>0</v>
      </c>
      <c r="BA488" s="408"/>
      <c r="BB488" s="408">
        <v>0</v>
      </c>
      <c r="BC488" s="408">
        <v>0</v>
      </c>
      <c r="BD488" s="408">
        <v>0</v>
      </c>
      <c r="BE488" s="408">
        <v>0</v>
      </c>
      <c r="BF488" s="408">
        <v>0</v>
      </c>
      <c r="BG488" s="408">
        <v>13354.374220238753</v>
      </c>
      <c r="BH488" s="408">
        <v>0</v>
      </c>
      <c r="BI488" s="408">
        <v>602.19000000000005</v>
      </c>
      <c r="BJ488" s="408">
        <v>280.04000000000002</v>
      </c>
      <c r="BK488" s="408">
        <v>96348.74</v>
      </c>
      <c r="BL488" s="408">
        <v>817</v>
      </c>
      <c r="BM488" s="408"/>
      <c r="BN488" s="408"/>
      <c r="BO488" s="408"/>
      <c r="BP488" s="408"/>
      <c r="BQ488" s="408"/>
      <c r="BR488" s="408"/>
      <c r="BS488" s="408"/>
      <c r="BT488" s="408"/>
      <c r="BU488" s="408"/>
      <c r="BV488" s="408">
        <v>93178.184399921141</v>
      </c>
      <c r="BW488" s="408"/>
      <c r="BX488" s="408"/>
      <c r="BY488" s="408"/>
      <c r="BZ488" s="408"/>
      <c r="CA488" s="408"/>
      <c r="CB488" s="408"/>
      <c r="CC488" s="408"/>
      <c r="CD488" s="408"/>
      <c r="CE488" s="408"/>
      <c r="CF488" s="408"/>
      <c r="CG488" s="408"/>
      <c r="CH488" s="408"/>
      <c r="CI488" s="408">
        <v>233334.11889999997</v>
      </c>
      <c r="CJ488" s="408">
        <v>-72100.488380000083</v>
      </c>
      <c r="CK488" s="408"/>
      <c r="CL488" s="408"/>
      <c r="CM488" s="408"/>
      <c r="CN488" s="408"/>
      <c r="CO488" s="408">
        <v>-80916.677520000027</v>
      </c>
      <c r="CP488" s="408">
        <v>8818.6354199999932</v>
      </c>
      <c r="CQ488" s="408">
        <v>31</v>
      </c>
      <c r="CR488" s="408">
        <v>11412.029114286677</v>
      </c>
      <c r="CS488" s="408">
        <v>265.79895840375184</v>
      </c>
      <c r="CT488" s="408">
        <v>400.37586613877465</v>
      </c>
      <c r="CU488" s="408">
        <v>0</v>
      </c>
      <c r="CV488" s="408">
        <v>0</v>
      </c>
      <c r="CW488" s="408">
        <v>0</v>
      </c>
      <c r="CX488" s="408">
        <v>0</v>
      </c>
      <c r="CY488" s="408">
        <v>0</v>
      </c>
      <c r="CZ488" s="408">
        <v>939.48271464589561</v>
      </c>
      <c r="DA488" s="408">
        <v>0</v>
      </c>
      <c r="DB488" s="408">
        <v>0</v>
      </c>
      <c r="DC488" s="408">
        <v>8815.9639978255727</v>
      </c>
      <c r="DD488" s="408">
        <v>0</v>
      </c>
      <c r="DE488" s="408">
        <v>0</v>
      </c>
      <c r="DF488" s="408">
        <v>0</v>
      </c>
      <c r="DG488" s="408">
        <v>1474.8942962519304</v>
      </c>
      <c r="DH488" s="408">
        <v>0</v>
      </c>
      <c r="DI488" s="408">
        <v>-414.3701655490695</v>
      </c>
      <c r="DJ488" s="408"/>
      <c r="DK488" s="408">
        <v>0</v>
      </c>
      <c r="DL488" s="408">
        <v>0</v>
      </c>
      <c r="DM488" s="408">
        <v>0</v>
      </c>
      <c r="DN488" s="408">
        <v>0</v>
      </c>
      <c r="DO488" s="408">
        <v>-53.835956079331481</v>
      </c>
      <c r="DP488" s="408">
        <v>-16.28059735086174</v>
      </c>
      <c r="DQ488" s="408">
        <v>0</v>
      </c>
      <c r="DR488" s="408">
        <v>0</v>
      </c>
      <c r="DS488" s="408"/>
      <c r="DT488" s="408"/>
      <c r="DU488" s="408"/>
      <c r="DV488" s="408">
        <v>148872.051444921</v>
      </c>
      <c r="DW488" s="408">
        <v>0</v>
      </c>
      <c r="DX488" s="408">
        <v>0</v>
      </c>
      <c r="DY488" s="408">
        <v>-80916.677520000056</v>
      </c>
      <c r="DZ488" s="408">
        <v>8818.6354199999914</v>
      </c>
      <c r="EA488" s="408">
        <v>0</v>
      </c>
      <c r="EB488" s="408">
        <v>0</v>
      </c>
      <c r="EC488" s="408">
        <v>-83515.687358674913</v>
      </c>
      <c r="ED488" s="408">
        <v>0</v>
      </c>
      <c r="EE488" s="408">
        <v>0</v>
      </c>
      <c r="EF488" s="408">
        <v>0</v>
      </c>
      <c r="EG488" s="408">
        <v>0</v>
      </c>
      <c r="EH488" s="408">
        <v>0</v>
      </c>
      <c r="EI488" s="408">
        <v>0</v>
      </c>
      <c r="EJ488" s="408">
        <v>0</v>
      </c>
      <c r="EK488" s="408">
        <v>0</v>
      </c>
      <c r="EL488" s="408">
        <v>0</v>
      </c>
      <c r="EM488" s="408">
        <v>0</v>
      </c>
      <c r="EN488" s="408">
        <v>0</v>
      </c>
      <c r="EO488" s="408">
        <v>0</v>
      </c>
      <c r="EP488" s="408">
        <v>0</v>
      </c>
      <c r="EQ488" s="408">
        <v>0</v>
      </c>
      <c r="ER488" s="408">
        <v>0</v>
      </c>
      <c r="ES488" s="408">
        <v>0</v>
      </c>
      <c r="ET488" s="408">
        <v>0</v>
      </c>
      <c r="EU488" s="408">
        <v>0</v>
      </c>
      <c r="EV488" s="408">
        <v>238</v>
      </c>
      <c r="EW488" s="408">
        <v>0</v>
      </c>
      <c r="EX488" s="408">
        <v>0</v>
      </c>
      <c r="EY488" s="408">
        <v>0</v>
      </c>
      <c r="EZ488" s="408"/>
      <c r="FA488" s="408">
        <v>0</v>
      </c>
      <c r="FB488" s="408"/>
      <c r="FC488" s="408"/>
      <c r="FD488" s="408"/>
      <c r="FE488" s="408"/>
      <c r="FF488" s="408">
        <v>0</v>
      </c>
      <c r="FG488" s="408">
        <v>0</v>
      </c>
      <c r="FH488" s="408">
        <v>0</v>
      </c>
      <c r="FI488" s="408">
        <v>0</v>
      </c>
    </row>
    <row r="489" spans="1:165">
      <c r="A489" s="408">
        <v>493</v>
      </c>
      <c r="B489" s="408" t="s">
        <v>2237</v>
      </c>
      <c r="C489" s="408" t="s">
        <v>2235</v>
      </c>
      <c r="D489" s="408" t="s">
        <v>1958</v>
      </c>
      <c r="E489" s="408" t="s">
        <v>998</v>
      </c>
      <c r="F489" s="408" t="s">
        <v>1322</v>
      </c>
      <c r="G489" s="408" t="s">
        <v>1322</v>
      </c>
      <c r="H489" s="408" t="s">
        <v>1322</v>
      </c>
      <c r="I489" s="408" t="s">
        <v>1322</v>
      </c>
      <c r="J489" s="408" t="s">
        <v>2236</v>
      </c>
      <c r="K489" s="824">
        <v>44621</v>
      </c>
      <c r="L489" s="408">
        <v>0</v>
      </c>
      <c r="M489" s="408">
        <v>0</v>
      </c>
      <c r="N489" s="408">
        <v>-0.20699999999999999</v>
      </c>
      <c r="O489" s="408">
        <v>-0.20699999999999999</v>
      </c>
      <c r="P489" s="408">
        <v>-0.20699999999999999</v>
      </c>
      <c r="Q489" s="408">
        <v>-0.20699999999999999</v>
      </c>
      <c r="R489" s="408"/>
      <c r="S489" s="408">
        <v>581.32000000000005</v>
      </c>
      <c r="T489" s="408">
        <v>209.4</v>
      </c>
      <c r="U489" s="408"/>
      <c r="V489" s="408">
        <v>-163.67903999999999</v>
      </c>
      <c r="W489" s="408">
        <v>-163.67903999999999</v>
      </c>
      <c r="X489" s="408">
        <v>-125.04248999999999</v>
      </c>
      <c r="Y489" s="408">
        <v>0</v>
      </c>
      <c r="Z489" s="408">
        <v>-12.73834684767218</v>
      </c>
      <c r="AA489" s="408">
        <v>0</v>
      </c>
      <c r="AB489" s="408">
        <v>0</v>
      </c>
      <c r="AC489" s="408">
        <v>0</v>
      </c>
      <c r="AD489" s="408">
        <v>-15.357566972733599</v>
      </c>
      <c r="AE489" s="408">
        <v>-79.778899561188808</v>
      </c>
      <c r="AF489" s="408">
        <v>-42.776704378742174</v>
      </c>
      <c r="AG489" s="408">
        <v>-0.56986374758690361</v>
      </c>
      <c r="AH489" s="408">
        <v>0</v>
      </c>
      <c r="AI489" s="408">
        <v>0</v>
      </c>
      <c r="AJ489" s="408">
        <v>0</v>
      </c>
      <c r="AK489" s="408">
        <v>0</v>
      </c>
      <c r="AL489" s="408">
        <v>-1.9684875405407962</v>
      </c>
      <c r="AM489" s="408"/>
      <c r="AN489" s="408">
        <v>-0.37735361337657608</v>
      </c>
      <c r="AO489" s="408">
        <v>-1.1797925204374615</v>
      </c>
      <c r="AP489" s="408">
        <v>-1.7771343238925807</v>
      </c>
      <c r="AQ489" s="408">
        <v>0</v>
      </c>
      <c r="AR489" s="408">
        <v>0</v>
      </c>
      <c r="AS489" s="408">
        <v>0</v>
      </c>
      <c r="AT489" s="408">
        <v>0</v>
      </c>
      <c r="AU489" s="408">
        <v>0</v>
      </c>
      <c r="AV489" s="408">
        <v>0</v>
      </c>
      <c r="AW489" s="408">
        <v>0</v>
      </c>
      <c r="AX489" s="408">
        <v>0</v>
      </c>
      <c r="AY489" s="408">
        <v>0</v>
      </c>
      <c r="AZ489" s="408">
        <v>0</v>
      </c>
      <c r="BA489" s="408"/>
      <c r="BB489" s="408">
        <v>0</v>
      </c>
      <c r="BC489" s="408">
        <v>0</v>
      </c>
      <c r="BD489" s="408">
        <v>0</v>
      </c>
      <c r="BE489" s="408">
        <v>0</v>
      </c>
      <c r="BF489" s="408">
        <v>0</v>
      </c>
      <c r="BG489" s="408">
        <v>-7.1564626756898519</v>
      </c>
      <c r="BH489" s="408">
        <v>0</v>
      </c>
      <c r="BI489" s="408">
        <v>-0.4</v>
      </c>
      <c r="BJ489" s="408">
        <v>-1.79</v>
      </c>
      <c r="BK489" s="408">
        <v>-68.45</v>
      </c>
      <c r="BL489" s="408">
        <v>0</v>
      </c>
      <c r="BM489" s="408"/>
      <c r="BN489" s="408"/>
      <c r="BO489" s="408"/>
      <c r="BP489" s="408"/>
      <c r="BQ489" s="408"/>
      <c r="BR489" s="408"/>
      <c r="BS489" s="408"/>
      <c r="BT489" s="408"/>
      <c r="BU489" s="408"/>
      <c r="BV489" s="408">
        <v>-49.933167054432026</v>
      </c>
      <c r="BW489" s="408"/>
      <c r="BX489" s="408"/>
      <c r="BY489" s="408"/>
      <c r="BZ489" s="408"/>
      <c r="CA489" s="408"/>
      <c r="CB489" s="408"/>
      <c r="CC489" s="408"/>
      <c r="CD489" s="408"/>
      <c r="CE489" s="408"/>
      <c r="CF489" s="408"/>
      <c r="CG489" s="408"/>
      <c r="CH489" s="408"/>
      <c r="CI489" s="408">
        <v>-126.85469999999999</v>
      </c>
      <c r="CJ489" s="408">
        <v>36.79434000000002</v>
      </c>
      <c r="CK489" s="408"/>
      <c r="CL489" s="408"/>
      <c r="CM489" s="408"/>
      <c r="CN489" s="408"/>
      <c r="CO489" s="408">
        <v>43.362360000000017</v>
      </c>
      <c r="CP489" s="408">
        <v>-4.7258099999999965</v>
      </c>
      <c r="CQ489" s="408">
        <v>31</v>
      </c>
      <c r="CR489" s="408">
        <v>-6.1155812367835694</v>
      </c>
      <c r="CS489" s="408">
        <v>-0.14243874656222411</v>
      </c>
      <c r="CT489" s="408">
        <v>-0.21455703539644477</v>
      </c>
      <c r="CU489" s="408">
        <v>0</v>
      </c>
      <c r="CV489" s="408">
        <v>0</v>
      </c>
      <c r="CW489" s="408">
        <v>0</v>
      </c>
      <c r="CX489" s="408">
        <v>0</v>
      </c>
      <c r="CY489" s="408">
        <v>0</v>
      </c>
      <c r="CZ489" s="408">
        <v>-0.50345848266179161</v>
      </c>
      <c r="DA489" s="408">
        <v>0</v>
      </c>
      <c r="DB489" s="408">
        <v>0</v>
      </c>
      <c r="DC489" s="408">
        <v>-4.7243784141565186</v>
      </c>
      <c r="DD489" s="408">
        <v>0</v>
      </c>
      <c r="DE489" s="408">
        <v>0</v>
      </c>
      <c r="DF489" s="408">
        <v>0</v>
      </c>
      <c r="DG489" s="408">
        <v>-0.79037967692402145</v>
      </c>
      <c r="DH489" s="408">
        <v>0</v>
      </c>
      <c r="DI489" s="408">
        <v>0.22205642696287597</v>
      </c>
      <c r="DJ489" s="408"/>
      <c r="DK489" s="408">
        <v>0</v>
      </c>
      <c r="DL489" s="408">
        <v>0</v>
      </c>
      <c r="DM489" s="408">
        <v>0</v>
      </c>
      <c r="DN489" s="408">
        <v>0</v>
      </c>
      <c r="DO489" s="408">
        <v>2.8850098397566359E-2</v>
      </c>
      <c r="DP489" s="408">
        <v>8.7245935569787436E-3</v>
      </c>
      <c r="DQ489" s="408">
        <v>0</v>
      </c>
      <c r="DR489" s="408">
        <v>0</v>
      </c>
      <c r="DS489" s="408"/>
      <c r="DT489" s="408"/>
      <c r="DU489" s="408"/>
      <c r="DV489" s="408">
        <v>-79.778899561188808</v>
      </c>
      <c r="DW489" s="408">
        <v>0</v>
      </c>
      <c r="DX489" s="408">
        <v>0</v>
      </c>
      <c r="DY489" s="408">
        <v>43.36236000000001</v>
      </c>
      <c r="DZ489" s="408">
        <v>-4.7258099999999956</v>
      </c>
      <c r="EA489" s="408">
        <v>0</v>
      </c>
      <c r="EB489" s="408">
        <v>0</v>
      </c>
      <c r="EC489" s="408">
        <v>44.75514086696414</v>
      </c>
      <c r="ED489" s="408">
        <v>0</v>
      </c>
      <c r="EE489" s="408">
        <v>0</v>
      </c>
      <c r="EF489" s="408">
        <v>0</v>
      </c>
      <c r="EG489" s="408">
        <v>0</v>
      </c>
      <c r="EH489" s="408">
        <v>0</v>
      </c>
      <c r="EI489" s="408">
        <v>0</v>
      </c>
      <c r="EJ489" s="408">
        <v>0</v>
      </c>
      <c r="EK489" s="408">
        <v>0</v>
      </c>
      <c r="EL489" s="408">
        <v>0</v>
      </c>
      <c r="EM489" s="408">
        <v>0</v>
      </c>
      <c r="EN489" s="408">
        <v>0</v>
      </c>
      <c r="EO489" s="408">
        <v>0</v>
      </c>
      <c r="EP489" s="408">
        <v>0</v>
      </c>
      <c r="EQ489" s="408">
        <v>0</v>
      </c>
      <c r="ER489" s="408">
        <v>0</v>
      </c>
      <c r="ES489" s="408">
        <v>0</v>
      </c>
      <c r="ET489" s="408">
        <v>0</v>
      </c>
      <c r="EU489" s="408">
        <v>0</v>
      </c>
      <c r="EV489" s="408">
        <v>238</v>
      </c>
      <c r="EW489" s="408">
        <v>0</v>
      </c>
      <c r="EX489" s="408">
        <v>0</v>
      </c>
      <c r="EY489" s="408">
        <v>0</v>
      </c>
      <c r="EZ489" s="408"/>
      <c r="FA489" s="408">
        <v>0</v>
      </c>
      <c r="FB489" s="408"/>
      <c r="FC489" s="408"/>
      <c r="FD489" s="408"/>
      <c r="FE489" s="408"/>
      <c r="FF489" s="408">
        <v>0</v>
      </c>
      <c r="FG489" s="408">
        <v>0</v>
      </c>
      <c r="FH489" s="408">
        <v>0</v>
      </c>
      <c r="FI489" s="408">
        <v>0</v>
      </c>
    </row>
    <row r="490" spans="1:165">
      <c r="A490" s="408">
        <v>494</v>
      </c>
      <c r="B490" s="408" t="s">
        <v>2238</v>
      </c>
      <c r="C490" s="408" t="s">
        <v>2235</v>
      </c>
      <c r="D490" s="408" t="s">
        <v>1958</v>
      </c>
      <c r="E490" s="408" t="s">
        <v>998</v>
      </c>
      <c r="F490" s="408" t="s">
        <v>1322</v>
      </c>
      <c r="G490" s="408" t="s">
        <v>1322</v>
      </c>
      <c r="H490" s="408" t="s">
        <v>1322</v>
      </c>
      <c r="I490" s="408" t="s">
        <v>1322</v>
      </c>
      <c r="J490" s="408" t="s">
        <v>2236</v>
      </c>
      <c r="K490" s="824">
        <v>44621</v>
      </c>
      <c r="L490" s="408">
        <v>0</v>
      </c>
      <c r="M490" s="408">
        <v>0</v>
      </c>
      <c r="N490" s="408">
        <v>61.664000000000001</v>
      </c>
      <c r="O490" s="408">
        <v>61.664000000000001</v>
      </c>
      <c r="P490" s="408">
        <v>61.664000000000001</v>
      </c>
      <c r="Q490" s="408">
        <v>61.664000000000001</v>
      </c>
      <c r="R490" s="408"/>
      <c r="S490" s="408">
        <v>581.32000000000005</v>
      </c>
      <c r="T490" s="408">
        <v>209.4</v>
      </c>
      <c r="U490" s="408"/>
      <c r="V490" s="408">
        <v>48758.958080000004</v>
      </c>
      <c r="W490" s="408">
        <v>48758.958080000004</v>
      </c>
      <c r="X490" s="408">
        <v>37249.372479999998</v>
      </c>
      <c r="Y490" s="408">
        <v>0</v>
      </c>
      <c r="Z490" s="408">
        <v>3794.6735266418227</v>
      </c>
      <c r="AA490" s="408">
        <v>0</v>
      </c>
      <c r="AB490" s="408">
        <v>0</v>
      </c>
      <c r="AC490" s="408">
        <v>0</v>
      </c>
      <c r="AD490" s="408">
        <v>4574.9227526891054</v>
      </c>
      <c r="AE490" s="408">
        <v>23765.633152372688</v>
      </c>
      <c r="AF490" s="408">
        <v>12742.911588457766</v>
      </c>
      <c r="AG490" s="408">
        <v>169.75883155168515</v>
      </c>
      <c r="AH490" s="408">
        <v>0</v>
      </c>
      <c r="AI490" s="408">
        <v>0</v>
      </c>
      <c r="AJ490" s="408">
        <v>0</v>
      </c>
      <c r="AK490" s="408">
        <v>0</v>
      </c>
      <c r="AL490" s="408">
        <v>586.40007584496459</v>
      </c>
      <c r="AM490" s="408"/>
      <c r="AN490" s="408">
        <v>112.41127157127144</v>
      </c>
      <c r="AO490" s="408">
        <v>351.45278251331223</v>
      </c>
      <c r="AP490" s="408">
        <v>529.39715434063817</v>
      </c>
      <c r="AQ490" s="408">
        <v>0</v>
      </c>
      <c r="AR490" s="408">
        <v>0</v>
      </c>
      <c r="AS490" s="408">
        <v>0</v>
      </c>
      <c r="AT490" s="408">
        <v>0</v>
      </c>
      <c r="AU490" s="408">
        <v>0</v>
      </c>
      <c r="AV490" s="408">
        <v>0</v>
      </c>
      <c r="AW490" s="408">
        <v>0</v>
      </c>
      <c r="AX490" s="408">
        <v>0</v>
      </c>
      <c r="AY490" s="408">
        <v>0</v>
      </c>
      <c r="AZ490" s="408">
        <v>0</v>
      </c>
      <c r="BA490" s="408"/>
      <c r="BB490" s="408">
        <v>0</v>
      </c>
      <c r="BC490" s="408">
        <v>0</v>
      </c>
      <c r="BD490" s="408">
        <v>0</v>
      </c>
      <c r="BE490" s="408">
        <v>0</v>
      </c>
      <c r="BF490" s="408">
        <v>0</v>
      </c>
      <c r="BG490" s="408">
        <v>2131.8652871195122</v>
      </c>
      <c r="BH490" s="408">
        <v>0</v>
      </c>
      <c r="BI490" s="408">
        <v>96.51</v>
      </c>
      <c r="BJ490" s="408">
        <v>44.72</v>
      </c>
      <c r="BK490" s="408">
        <v>30609.27</v>
      </c>
      <c r="BL490" s="408">
        <v>94</v>
      </c>
      <c r="BM490" s="408"/>
      <c r="BN490" s="408"/>
      <c r="BO490" s="408"/>
      <c r="BP490" s="408"/>
      <c r="BQ490" s="408"/>
      <c r="BR490" s="408"/>
      <c r="BS490" s="408"/>
      <c r="BT490" s="408"/>
      <c r="BU490" s="408"/>
      <c r="BV490" s="408">
        <v>14874.776875577278</v>
      </c>
      <c r="BW490" s="408"/>
      <c r="BX490" s="408"/>
      <c r="BY490" s="408"/>
      <c r="BZ490" s="408"/>
      <c r="CA490" s="408"/>
      <c r="CB490" s="408"/>
      <c r="CC490" s="408"/>
      <c r="CD490" s="408"/>
      <c r="CE490" s="408"/>
      <c r="CF490" s="408"/>
      <c r="CG490" s="408"/>
      <c r="CH490" s="408"/>
      <c r="CI490" s="408">
        <v>37246.956199999993</v>
      </c>
      <c r="CJ490" s="408">
        <v>-11512.031880000017</v>
      </c>
      <c r="CK490" s="408"/>
      <c r="CL490" s="408"/>
      <c r="CM490" s="408"/>
      <c r="CN490" s="408"/>
      <c r="CO490" s="408">
        <v>-12917.374720000005</v>
      </c>
      <c r="CP490" s="408">
        <v>1407.789119999999</v>
      </c>
      <c r="CQ490" s="408">
        <v>31</v>
      </c>
      <c r="CR490" s="408">
        <v>1821.7932434059112</v>
      </c>
      <c r="CS490" s="408">
        <v>42.43160805803376</v>
      </c>
      <c r="CT490" s="408">
        <v>63.915193384958343</v>
      </c>
      <c r="CU490" s="408">
        <v>0</v>
      </c>
      <c r="CV490" s="408">
        <v>0</v>
      </c>
      <c r="CW490" s="408">
        <v>0</v>
      </c>
      <c r="CX490" s="408">
        <v>0</v>
      </c>
      <c r="CY490" s="408">
        <v>0</v>
      </c>
      <c r="CZ490" s="408">
        <v>149.97712016838886</v>
      </c>
      <c r="DA490" s="408">
        <v>0</v>
      </c>
      <c r="DB490" s="408">
        <v>0</v>
      </c>
      <c r="DC490" s="408">
        <v>1407.3626595678616</v>
      </c>
      <c r="DD490" s="408">
        <v>0</v>
      </c>
      <c r="DE490" s="408">
        <v>0</v>
      </c>
      <c r="DF490" s="408">
        <v>0</v>
      </c>
      <c r="DG490" s="408">
        <v>235.44914201856454</v>
      </c>
      <c r="DH490" s="408">
        <v>0</v>
      </c>
      <c r="DI490" s="408">
        <v>-66.149215034969529</v>
      </c>
      <c r="DJ490" s="408"/>
      <c r="DK490" s="408">
        <v>0</v>
      </c>
      <c r="DL490" s="408">
        <v>0</v>
      </c>
      <c r="DM490" s="408">
        <v>0</v>
      </c>
      <c r="DN490" s="408">
        <v>0</v>
      </c>
      <c r="DO490" s="408">
        <v>-8.5942631284422077</v>
      </c>
      <c r="DP490" s="408">
        <v>-2.5990016284905124</v>
      </c>
      <c r="DQ490" s="408">
        <v>0</v>
      </c>
      <c r="DR490" s="408">
        <v>0</v>
      </c>
      <c r="DS490" s="408"/>
      <c r="DT490" s="408"/>
      <c r="DU490" s="408"/>
      <c r="DV490" s="408">
        <v>23765.633152372688</v>
      </c>
      <c r="DW490" s="408">
        <v>0</v>
      </c>
      <c r="DX490" s="408">
        <v>0</v>
      </c>
      <c r="DY490" s="408">
        <v>-12917.374720000007</v>
      </c>
      <c r="DZ490" s="408">
        <v>1407.7891199999995</v>
      </c>
      <c r="EA490" s="408">
        <v>0</v>
      </c>
      <c r="EB490" s="408">
        <v>0</v>
      </c>
      <c r="EC490" s="408">
        <v>-13332.275393335634</v>
      </c>
      <c r="ED490" s="408">
        <v>0</v>
      </c>
      <c r="EE490" s="408">
        <v>0</v>
      </c>
      <c r="EF490" s="408">
        <v>0</v>
      </c>
      <c r="EG490" s="408">
        <v>0</v>
      </c>
      <c r="EH490" s="408">
        <v>0</v>
      </c>
      <c r="EI490" s="408">
        <v>0</v>
      </c>
      <c r="EJ490" s="408">
        <v>0</v>
      </c>
      <c r="EK490" s="408">
        <v>0</v>
      </c>
      <c r="EL490" s="408">
        <v>0</v>
      </c>
      <c r="EM490" s="408">
        <v>0</v>
      </c>
      <c r="EN490" s="408">
        <v>0</v>
      </c>
      <c r="EO490" s="408">
        <v>0</v>
      </c>
      <c r="EP490" s="408">
        <v>0</v>
      </c>
      <c r="EQ490" s="408">
        <v>0</v>
      </c>
      <c r="ER490" s="408">
        <v>0</v>
      </c>
      <c r="ES490" s="408">
        <v>0</v>
      </c>
      <c r="ET490" s="408">
        <v>0</v>
      </c>
      <c r="EU490" s="408">
        <v>0</v>
      </c>
      <c r="EV490" s="408">
        <v>238</v>
      </c>
      <c r="EW490" s="408">
        <v>0</v>
      </c>
      <c r="EX490" s="408">
        <v>0</v>
      </c>
      <c r="EY490" s="408">
        <v>0</v>
      </c>
      <c r="EZ490" s="408"/>
      <c r="FA490" s="408">
        <v>0</v>
      </c>
      <c r="FB490" s="408"/>
      <c r="FC490" s="408"/>
      <c r="FD490" s="408"/>
      <c r="FE490" s="408"/>
      <c r="FF490" s="408">
        <v>0</v>
      </c>
      <c r="FG490" s="408">
        <v>0</v>
      </c>
      <c r="FH490" s="408">
        <v>0</v>
      </c>
      <c r="FI490" s="408">
        <v>0</v>
      </c>
    </row>
    <row r="491" spans="1:165">
      <c r="A491" s="408">
        <v>495</v>
      </c>
      <c r="B491" s="408" t="s">
        <v>1036</v>
      </c>
      <c r="C491" s="408" t="s">
        <v>2243</v>
      </c>
      <c r="D491" s="408" t="s">
        <v>597</v>
      </c>
      <c r="E491" s="408" t="s">
        <v>998</v>
      </c>
      <c r="F491" s="408" t="s">
        <v>1322</v>
      </c>
      <c r="G491" s="408" t="s">
        <v>1322</v>
      </c>
      <c r="H491" s="408" t="s">
        <v>1322</v>
      </c>
      <c r="I491" s="408" t="s">
        <v>973</v>
      </c>
      <c r="J491" s="408" t="s">
        <v>2236</v>
      </c>
      <c r="K491" s="824">
        <v>44621</v>
      </c>
      <c r="L491" s="408">
        <v>0</v>
      </c>
      <c r="M491" s="408">
        <v>0</v>
      </c>
      <c r="N491" s="408">
        <v>21.683</v>
      </c>
      <c r="O491" s="408">
        <v>21.683</v>
      </c>
      <c r="P491" s="408">
        <v>21.683</v>
      </c>
      <c r="Q491" s="408">
        <v>21.683</v>
      </c>
      <c r="R491" s="408"/>
      <c r="S491" s="408">
        <v>1614.19</v>
      </c>
      <c r="T491" s="408">
        <v>209.4</v>
      </c>
      <c r="U491" s="408"/>
      <c r="V491" s="408">
        <v>39540.901969999999</v>
      </c>
      <c r="W491" s="408">
        <v>39540.901969999999</v>
      </c>
      <c r="X491" s="408">
        <v>26283.048449999998</v>
      </c>
      <c r="Y491" s="408">
        <v>0</v>
      </c>
      <c r="Z491" s="408">
        <v>1160.8640096006095</v>
      </c>
      <c r="AA491" s="408">
        <v>0</v>
      </c>
      <c r="AB491" s="408">
        <v>0</v>
      </c>
      <c r="AC491" s="408">
        <v>0</v>
      </c>
      <c r="AD491" s="408">
        <v>6752.4762846288877</v>
      </c>
      <c r="AE491" s="408">
        <v>25213.786347814792</v>
      </c>
      <c r="AF491" s="408">
        <v>4480.8081209867951</v>
      </c>
      <c r="AG491" s="408">
        <v>59.692539318487107</v>
      </c>
      <c r="AH491" s="408">
        <v>0</v>
      </c>
      <c r="AI491" s="408">
        <v>0</v>
      </c>
      <c r="AJ491" s="408">
        <v>0</v>
      </c>
      <c r="AK491" s="408">
        <v>0</v>
      </c>
      <c r="AL491" s="408">
        <v>206.19669247123713</v>
      </c>
      <c r="AM491" s="408"/>
      <c r="AN491" s="408">
        <v>28.791648141381565</v>
      </c>
      <c r="AO491" s="408">
        <v>524.61856685762666</v>
      </c>
      <c r="AP491" s="408">
        <v>781.42721523990315</v>
      </c>
      <c r="AQ491" s="408">
        <v>0</v>
      </c>
      <c r="AR491" s="408">
        <v>0</v>
      </c>
      <c r="AS491" s="408">
        <v>0</v>
      </c>
      <c r="AT491" s="408">
        <v>0</v>
      </c>
      <c r="AU491" s="408">
        <v>0</v>
      </c>
      <c r="AV491" s="408">
        <v>0</v>
      </c>
      <c r="AW491" s="408">
        <v>0</v>
      </c>
      <c r="AX491" s="408">
        <v>0</v>
      </c>
      <c r="AY491" s="408">
        <v>0</v>
      </c>
      <c r="AZ491" s="408">
        <v>0</v>
      </c>
      <c r="BA491" s="408"/>
      <c r="BB491" s="408">
        <v>0</v>
      </c>
      <c r="BC491" s="408">
        <v>0</v>
      </c>
      <c r="BD491" s="408">
        <v>0</v>
      </c>
      <c r="BE491" s="408">
        <v>0</v>
      </c>
      <c r="BF491" s="408">
        <v>0</v>
      </c>
      <c r="BG491" s="408">
        <v>332.2797536203463</v>
      </c>
      <c r="BH491" s="408">
        <v>0</v>
      </c>
      <c r="BI491" s="408">
        <v>0</v>
      </c>
      <c r="BJ491" s="408">
        <v>0</v>
      </c>
      <c r="BK491" s="408">
        <v>0</v>
      </c>
      <c r="BL491" s="408">
        <v>0</v>
      </c>
      <c r="BM491" s="408"/>
      <c r="BN491" s="408"/>
      <c r="BO491" s="408"/>
      <c r="BP491" s="408"/>
      <c r="BQ491" s="408"/>
      <c r="BR491" s="408"/>
      <c r="BS491" s="408"/>
      <c r="BT491" s="408"/>
      <c r="BU491" s="408"/>
      <c r="BV491" s="408">
        <v>4813.0878746071412</v>
      </c>
      <c r="BW491" s="408"/>
      <c r="BX491" s="408"/>
      <c r="BY491" s="408"/>
      <c r="BZ491" s="408"/>
      <c r="CA491" s="408"/>
      <c r="CB491" s="408"/>
      <c r="CC491" s="408"/>
      <c r="CD491" s="408"/>
      <c r="CE491" s="408"/>
      <c r="CF491" s="408"/>
      <c r="CG491" s="408"/>
      <c r="CH491" s="408"/>
      <c r="CI491" s="408">
        <v>26279.412</v>
      </c>
      <c r="CJ491" s="408">
        <v>-13261.519970000005</v>
      </c>
      <c r="CK491" s="408"/>
      <c r="CL491" s="408"/>
      <c r="CM491" s="408"/>
      <c r="CN491" s="408"/>
      <c r="CO491" s="408">
        <v>-13752.876410000003</v>
      </c>
      <c r="CP491" s="408">
        <v>495.02288999999968</v>
      </c>
      <c r="CQ491" s="408">
        <v>31</v>
      </c>
      <c r="CR491" s="408">
        <v>886.69101381275868</v>
      </c>
      <c r="CS491" s="408">
        <v>63.338264815207367</v>
      </c>
      <c r="CT491" s="408">
        <v>94.34329438460054</v>
      </c>
      <c r="CU491" s="408">
        <v>0</v>
      </c>
      <c r="CV491" s="408">
        <v>0</v>
      </c>
      <c r="CW491" s="408">
        <v>0</v>
      </c>
      <c r="CX491" s="408">
        <v>0</v>
      </c>
      <c r="CY491" s="408">
        <v>0</v>
      </c>
      <c r="CZ491" s="408">
        <v>221.36263318954298</v>
      </c>
      <c r="DA491" s="408">
        <v>0</v>
      </c>
      <c r="DB491" s="408">
        <v>0</v>
      </c>
      <c r="DC491" s="408">
        <v>494.87293311186386</v>
      </c>
      <c r="DD491" s="408">
        <v>0</v>
      </c>
      <c r="DE491" s="408">
        <v>0</v>
      </c>
      <c r="DF491" s="408">
        <v>0</v>
      </c>
      <c r="DG491" s="408">
        <v>36.697901773033834</v>
      </c>
      <c r="DH491" s="408">
        <v>0</v>
      </c>
      <c r="DI491" s="408">
        <v>-20.236324010036242</v>
      </c>
      <c r="DJ491" s="408"/>
      <c r="DK491" s="408">
        <v>0</v>
      </c>
      <c r="DL491" s="408">
        <v>0</v>
      </c>
      <c r="DM491" s="408">
        <v>0</v>
      </c>
      <c r="DN491" s="408">
        <v>0</v>
      </c>
      <c r="DO491" s="408">
        <v>-3.0220129640310631</v>
      </c>
      <c r="DP491" s="408">
        <v>-0.66567648742369556</v>
      </c>
      <c r="DQ491" s="408">
        <v>0</v>
      </c>
      <c r="DR491" s="408">
        <v>0</v>
      </c>
      <c r="DS491" s="408"/>
      <c r="DT491" s="408"/>
      <c r="DU491" s="408"/>
      <c r="DV491" s="408">
        <v>25213.786347814792</v>
      </c>
      <c r="DW491" s="408">
        <v>0</v>
      </c>
      <c r="DX491" s="408">
        <v>0</v>
      </c>
      <c r="DY491" s="408">
        <v>-13752.876410000001</v>
      </c>
      <c r="DZ491" s="408">
        <v>495.02288999999928</v>
      </c>
      <c r="EA491" s="408">
        <v>0</v>
      </c>
      <c r="EB491" s="408">
        <v>0</v>
      </c>
      <c r="EC491" s="408">
        <v>-14144.674418835484</v>
      </c>
      <c r="ED491" s="408">
        <v>0</v>
      </c>
      <c r="EE491" s="408">
        <v>0</v>
      </c>
      <c r="EF491" s="408">
        <v>0</v>
      </c>
      <c r="EG491" s="408">
        <v>0</v>
      </c>
      <c r="EH491" s="408">
        <v>0</v>
      </c>
      <c r="EI491" s="408">
        <v>0</v>
      </c>
      <c r="EJ491" s="408">
        <v>0</v>
      </c>
      <c r="EK491" s="408">
        <v>0</v>
      </c>
      <c r="EL491" s="408">
        <v>0</v>
      </c>
      <c r="EM491" s="408">
        <v>0</v>
      </c>
      <c r="EN491" s="408">
        <v>0</v>
      </c>
      <c r="EO491" s="408">
        <v>0</v>
      </c>
      <c r="EP491" s="408">
        <v>0</v>
      </c>
      <c r="EQ491" s="408">
        <v>0</v>
      </c>
      <c r="ER491" s="408">
        <v>0</v>
      </c>
      <c r="ES491" s="408">
        <v>0</v>
      </c>
      <c r="ET491" s="408">
        <v>0</v>
      </c>
      <c r="EU491" s="408">
        <v>0</v>
      </c>
      <c r="EV491" s="408">
        <v>238</v>
      </c>
      <c r="EW491" s="408">
        <v>0</v>
      </c>
      <c r="EX491" s="408">
        <v>0</v>
      </c>
      <c r="EY491" s="408">
        <v>0</v>
      </c>
      <c r="EZ491" s="408"/>
      <c r="FA491" s="408">
        <v>0</v>
      </c>
      <c r="FB491" s="408"/>
      <c r="FC491" s="408"/>
      <c r="FD491" s="408"/>
      <c r="FE491" s="408"/>
      <c r="FF491" s="408">
        <v>0</v>
      </c>
      <c r="FG491" s="408">
        <v>0</v>
      </c>
      <c r="FH491" s="408">
        <v>0</v>
      </c>
      <c r="FI491" s="408">
        <v>0</v>
      </c>
    </row>
    <row r="492" spans="1:165">
      <c r="A492" s="408">
        <v>496</v>
      </c>
      <c r="B492" s="408" t="s">
        <v>2238</v>
      </c>
      <c r="C492" s="408" t="s">
        <v>2243</v>
      </c>
      <c r="D492" s="408" t="s">
        <v>597</v>
      </c>
      <c r="E492" s="408" t="s">
        <v>998</v>
      </c>
      <c r="F492" s="408" t="s">
        <v>1322</v>
      </c>
      <c r="G492" s="408" t="s">
        <v>1322</v>
      </c>
      <c r="H492" s="408" t="s">
        <v>1322</v>
      </c>
      <c r="I492" s="408" t="s">
        <v>973</v>
      </c>
      <c r="J492" s="408" t="s">
        <v>2236</v>
      </c>
      <c r="K492" s="824">
        <v>44621</v>
      </c>
      <c r="L492" s="408">
        <v>0</v>
      </c>
      <c r="M492" s="408">
        <v>0</v>
      </c>
      <c r="N492" s="408">
        <v>3.2040000000000002</v>
      </c>
      <c r="O492" s="408">
        <v>3.2040000000000002</v>
      </c>
      <c r="P492" s="408">
        <v>3.2040000000000002</v>
      </c>
      <c r="Q492" s="408">
        <v>3.2040000000000002</v>
      </c>
      <c r="R492" s="408"/>
      <c r="S492" s="408">
        <v>1614.19</v>
      </c>
      <c r="T492" s="408">
        <v>209.4</v>
      </c>
      <c r="U492" s="408"/>
      <c r="V492" s="408">
        <v>5842.7823600000002</v>
      </c>
      <c r="W492" s="408">
        <v>5842.7823600000002</v>
      </c>
      <c r="X492" s="408">
        <v>3883.7286000000004</v>
      </c>
      <c r="Y492" s="408">
        <v>0</v>
      </c>
      <c r="Z492" s="408">
        <v>171.53568633308828</v>
      </c>
      <c r="AA492" s="408">
        <v>0</v>
      </c>
      <c r="AB492" s="408">
        <v>0</v>
      </c>
      <c r="AC492" s="408">
        <v>0</v>
      </c>
      <c r="AD492" s="408">
        <v>997.78324106216655</v>
      </c>
      <c r="AE492" s="408">
        <v>3725.7285181201219</v>
      </c>
      <c r="AF492" s="408">
        <v>662.10898951444415</v>
      </c>
      <c r="AG492" s="408">
        <v>8.8204997452581608</v>
      </c>
      <c r="AH492" s="408">
        <v>0</v>
      </c>
      <c r="AI492" s="408">
        <v>0</v>
      </c>
      <c r="AJ492" s="408">
        <v>0</v>
      </c>
      <c r="AK492" s="408">
        <v>0</v>
      </c>
      <c r="AL492" s="408">
        <v>30.468763670979286</v>
      </c>
      <c r="AM492" s="408"/>
      <c r="AN492" s="408">
        <v>4.2544131644600167</v>
      </c>
      <c r="AO492" s="408">
        <v>77.520540894333621</v>
      </c>
      <c r="AP492" s="408">
        <v>115.46800708521191</v>
      </c>
      <c r="AQ492" s="408">
        <v>0</v>
      </c>
      <c r="AR492" s="408">
        <v>0</v>
      </c>
      <c r="AS492" s="408">
        <v>0</v>
      </c>
      <c r="AT492" s="408">
        <v>0</v>
      </c>
      <c r="AU492" s="408">
        <v>0</v>
      </c>
      <c r="AV492" s="408">
        <v>0</v>
      </c>
      <c r="AW492" s="408">
        <v>0</v>
      </c>
      <c r="AX492" s="408">
        <v>0</v>
      </c>
      <c r="AY492" s="408">
        <v>0</v>
      </c>
      <c r="AZ492" s="408">
        <v>0</v>
      </c>
      <c r="BA492" s="408"/>
      <c r="BB492" s="408">
        <v>0</v>
      </c>
      <c r="BC492" s="408">
        <v>0</v>
      </c>
      <c r="BD492" s="408">
        <v>0</v>
      </c>
      <c r="BE492" s="408">
        <v>0</v>
      </c>
      <c r="BF492" s="408">
        <v>0</v>
      </c>
      <c r="BG492" s="408">
        <v>49.099494101350807</v>
      </c>
      <c r="BH492" s="408">
        <v>0</v>
      </c>
      <c r="BI492" s="408">
        <v>0</v>
      </c>
      <c r="BJ492" s="408">
        <v>0</v>
      </c>
      <c r="BK492" s="408">
        <v>0</v>
      </c>
      <c r="BL492" s="408">
        <v>0</v>
      </c>
      <c r="BM492" s="408"/>
      <c r="BN492" s="408"/>
      <c r="BO492" s="408"/>
      <c r="BP492" s="408"/>
      <c r="BQ492" s="408"/>
      <c r="BR492" s="408"/>
      <c r="BS492" s="408"/>
      <c r="BT492" s="408"/>
      <c r="BU492" s="408"/>
      <c r="BV492" s="408">
        <v>711.20848361579499</v>
      </c>
      <c r="BW492" s="408"/>
      <c r="BX492" s="408"/>
      <c r="BY492" s="408"/>
      <c r="BZ492" s="408"/>
      <c r="CA492" s="408"/>
      <c r="CB492" s="408"/>
      <c r="CC492" s="408"/>
      <c r="CD492" s="408"/>
      <c r="CE492" s="408"/>
      <c r="CF492" s="408"/>
      <c r="CG492" s="408"/>
      <c r="CH492" s="408"/>
      <c r="CI492" s="408">
        <v>3878.88</v>
      </c>
      <c r="CJ492" s="408">
        <v>-1963.9323600000007</v>
      </c>
      <c r="CK492" s="408"/>
      <c r="CL492" s="408"/>
      <c r="CM492" s="408"/>
      <c r="CN492" s="408"/>
      <c r="CO492" s="408">
        <v>-2032.2010800000005</v>
      </c>
      <c r="CP492" s="408">
        <v>73.147319999999951</v>
      </c>
      <c r="CQ492" s="408">
        <v>31</v>
      </c>
      <c r="CR492" s="408">
        <v>131.02236813430227</v>
      </c>
      <c r="CS492" s="408">
        <v>9.3592123077030038</v>
      </c>
      <c r="CT492" s="408">
        <v>13.940686953293365</v>
      </c>
      <c r="CU492" s="408">
        <v>0</v>
      </c>
      <c r="CV492" s="408">
        <v>0</v>
      </c>
      <c r="CW492" s="408">
        <v>0</v>
      </c>
      <c r="CX492" s="408">
        <v>0</v>
      </c>
      <c r="CY492" s="408">
        <v>0</v>
      </c>
      <c r="CZ492" s="408">
        <v>32.709766948267998</v>
      </c>
      <c r="DA492" s="408">
        <v>0</v>
      </c>
      <c r="DB492" s="408">
        <v>0</v>
      </c>
      <c r="DC492" s="408">
        <v>73.125161540857448</v>
      </c>
      <c r="DD492" s="408">
        <v>0</v>
      </c>
      <c r="DE492" s="408">
        <v>0</v>
      </c>
      <c r="DF492" s="408">
        <v>0</v>
      </c>
      <c r="DG492" s="408">
        <v>5.4226849273993665</v>
      </c>
      <c r="DH492" s="408">
        <v>0</v>
      </c>
      <c r="DI492" s="408">
        <v>-2.9902311547367333</v>
      </c>
      <c r="DJ492" s="408"/>
      <c r="DK492" s="408">
        <v>0</v>
      </c>
      <c r="DL492" s="408">
        <v>0</v>
      </c>
      <c r="DM492" s="408">
        <v>0</v>
      </c>
      <c r="DN492" s="408">
        <v>0</v>
      </c>
      <c r="DO492" s="408">
        <v>-0.44654934911015687</v>
      </c>
      <c r="DP492" s="408">
        <v>-9.8364039372112799E-2</v>
      </c>
      <c r="DQ492" s="408">
        <v>0</v>
      </c>
      <c r="DR492" s="408">
        <v>0</v>
      </c>
      <c r="DS492" s="408"/>
      <c r="DT492" s="408"/>
      <c r="DU492" s="408"/>
      <c r="DV492" s="408">
        <v>3725.7285181201219</v>
      </c>
      <c r="DW492" s="408">
        <v>0</v>
      </c>
      <c r="DX492" s="408">
        <v>0</v>
      </c>
      <c r="DY492" s="408">
        <v>-2032.2010800000003</v>
      </c>
      <c r="DZ492" s="408">
        <v>73.147319999999922</v>
      </c>
      <c r="EA492" s="408">
        <v>0</v>
      </c>
      <c r="EB492" s="408">
        <v>0</v>
      </c>
      <c r="EC492" s="408">
        <v>-2090.0953206636027</v>
      </c>
      <c r="ED492" s="408">
        <v>0</v>
      </c>
      <c r="EE492" s="408">
        <v>0</v>
      </c>
      <c r="EF492" s="408">
        <v>0</v>
      </c>
      <c r="EG492" s="408">
        <v>0</v>
      </c>
      <c r="EH492" s="408">
        <v>0</v>
      </c>
      <c r="EI492" s="408">
        <v>0</v>
      </c>
      <c r="EJ492" s="408">
        <v>0</v>
      </c>
      <c r="EK492" s="408">
        <v>0</v>
      </c>
      <c r="EL492" s="408">
        <v>0</v>
      </c>
      <c r="EM492" s="408">
        <v>0</v>
      </c>
      <c r="EN492" s="408">
        <v>0</v>
      </c>
      <c r="EO492" s="408">
        <v>0</v>
      </c>
      <c r="EP492" s="408">
        <v>0</v>
      </c>
      <c r="EQ492" s="408">
        <v>0</v>
      </c>
      <c r="ER492" s="408">
        <v>0</v>
      </c>
      <c r="ES492" s="408">
        <v>0</v>
      </c>
      <c r="ET492" s="408">
        <v>0</v>
      </c>
      <c r="EU492" s="408">
        <v>0</v>
      </c>
      <c r="EV492" s="408">
        <v>238</v>
      </c>
      <c r="EW492" s="408">
        <v>0</v>
      </c>
      <c r="EX492" s="408">
        <v>0</v>
      </c>
      <c r="EY492" s="408">
        <v>0</v>
      </c>
      <c r="EZ492" s="408"/>
      <c r="FA492" s="408">
        <v>0</v>
      </c>
      <c r="FB492" s="408"/>
      <c r="FC492" s="408"/>
      <c r="FD492" s="408"/>
      <c r="FE492" s="408"/>
      <c r="FF492" s="408">
        <v>0</v>
      </c>
      <c r="FG492" s="408">
        <v>0</v>
      </c>
      <c r="FH492" s="408">
        <v>0</v>
      </c>
      <c r="FI492" s="408">
        <v>0</v>
      </c>
    </row>
    <row r="493" spans="1:165">
      <c r="A493" s="408">
        <v>497</v>
      </c>
      <c r="B493" s="408" t="s">
        <v>1036</v>
      </c>
      <c r="C493" s="408" t="s">
        <v>2243</v>
      </c>
      <c r="D493" s="408" t="s">
        <v>597</v>
      </c>
      <c r="E493" s="408" t="s">
        <v>998</v>
      </c>
      <c r="F493" s="408" t="s">
        <v>1322</v>
      </c>
      <c r="G493" s="408" t="s">
        <v>1322</v>
      </c>
      <c r="H493" s="408" t="s">
        <v>1322</v>
      </c>
      <c r="I493" s="408" t="s">
        <v>2244</v>
      </c>
      <c r="J493" s="408" t="s">
        <v>2236</v>
      </c>
      <c r="K493" s="824">
        <v>44621</v>
      </c>
      <c r="L493" s="408">
        <v>0</v>
      </c>
      <c r="M493" s="408">
        <v>0</v>
      </c>
      <c r="N493" s="408">
        <v>371.46100000000001</v>
      </c>
      <c r="O493" s="408">
        <v>371.46100000000001</v>
      </c>
      <c r="P493" s="408">
        <v>371.46100000000001</v>
      </c>
      <c r="Q493" s="408">
        <v>371.46100000000001</v>
      </c>
      <c r="R493" s="408"/>
      <c r="S493" s="408">
        <v>79.7</v>
      </c>
      <c r="T493" s="408">
        <v>209.4</v>
      </c>
      <c r="U493" s="408"/>
      <c r="V493" s="408">
        <v>107389.3751</v>
      </c>
      <c r="W493" s="408">
        <v>107389.3751</v>
      </c>
      <c r="X493" s="408">
        <v>116088.99172000001</v>
      </c>
      <c r="Y493" s="408">
        <v>0</v>
      </c>
      <c r="Z493" s="408">
        <v>19887.271404798783</v>
      </c>
      <c r="AA493" s="408">
        <v>0</v>
      </c>
      <c r="AB493" s="408">
        <v>0</v>
      </c>
      <c r="AC493" s="408">
        <v>0</v>
      </c>
      <c r="AD493" s="408">
        <v>0</v>
      </c>
      <c r="AE493" s="408">
        <v>0</v>
      </c>
      <c r="AF493" s="408">
        <v>76762.692682279943</v>
      </c>
      <c r="AG493" s="408">
        <v>1022.6191185622165</v>
      </c>
      <c r="AH493" s="408">
        <v>0</v>
      </c>
      <c r="AI493" s="408">
        <v>0</v>
      </c>
      <c r="AJ493" s="408">
        <v>0</v>
      </c>
      <c r="AK493" s="408">
        <v>0</v>
      </c>
      <c r="AL493" s="408">
        <v>3532.4461366996366</v>
      </c>
      <c r="AM493" s="408"/>
      <c r="AN493" s="408">
        <v>493.24237468273475</v>
      </c>
      <c r="AO493" s="408">
        <v>0</v>
      </c>
      <c r="AP493" s="408">
        <v>0</v>
      </c>
      <c r="AQ493" s="408">
        <v>0</v>
      </c>
      <c r="AR493" s="408">
        <v>0</v>
      </c>
      <c r="AS493" s="408">
        <v>0</v>
      </c>
      <c r="AT493" s="408">
        <v>0</v>
      </c>
      <c r="AU493" s="408">
        <v>0</v>
      </c>
      <c r="AV493" s="408">
        <v>0</v>
      </c>
      <c r="AW493" s="408">
        <v>0</v>
      </c>
      <c r="AX493" s="408">
        <v>0</v>
      </c>
      <c r="AY493" s="408">
        <v>0</v>
      </c>
      <c r="AZ493" s="408">
        <v>0</v>
      </c>
      <c r="BA493" s="408"/>
      <c r="BB493" s="408">
        <v>0</v>
      </c>
      <c r="BC493" s="408">
        <v>0</v>
      </c>
      <c r="BD493" s="408">
        <v>0</v>
      </c>
      <c r="BE493" s="408">
        <v>0</v>
      </c>
      <c r="BF493" s="408">
        <v>0</v>
      </c>
      <c r="BG493" s="408">
        <v>5692.4304551753658</v>
      </c>
      <c r="BH493" s="408">
        <v>0</v>
      </c>
      <c r="BI493" s="408">
        <v>0</v>
      </c>
      <c r="BJ493" s="408">
        <v>0</v>
      </c>
      <c r="BK493" s="408">
        <v>0</v>
      </c>
      <c r="BL493" s="408">
        <v>0</v>
      </c>
      <c r="BM493" s="408"/>
      <c r="BN493" s="408"/>
      <c r="BO493" s="408"/>
      <c r="BP493" s="408"/>
      <c r="BQ493" s="408"/>
      <c r="BR493" s="408"/>
      <c r="BS493" s="408"/>
      <c r="BT493" s="408"/>
      <c r="BU493" s="408"/>
      <c r="BV493" s="408">
        <v>82455.123137455303</v>
      </c>
      <c r="BW493" s="408"/>
      <c r="BX493" s="408"/>
      <c r="BY493" s="408"/>
      <c r="BZ493" s="408"/>
      <c r="CA493" s="408"/>
      <c r="CB493" s="408"/>
      <c r="CC493" s="408"/>
      <c r="CD493" s="408"/>
      <c r="CE493" s="408"/>
      <c r="CF493" s="408"/>
      <c r="CG493" s="408"/>
      <c r="CH493" s="408"/>
      <c r="CI493" s="408">
        <v>116088.6792</v>
      </c>
      <c r="CJ493" s="408">
        <v>8699.2740999999951</v>
      </c>
      <c r="CK493" s="408"/>
      <c r="CL493" s="408"/>
      <c r="CM493" s="408"/>
      <c r="CN493" s="408"/>
      <c r="CO493" s="408">
        <v>219.16199000000128</v>
      </c>
      <c r="CP493" s="408">
        <v>8480.4546299999947</v>
      </c>
      <c r="CQ493" s="408">
        <v>31</v>
      </c>
      <c r="CR493" s="408">
        <v>8696.7207458727935</v>
      </c>
      <c r="CS493" s="408">
        <v>0</v>
      </c>
      <c r="CT493" s="408">
        <v>0</v>
      </c>
      <c r="CU493" s="408">
        <v>0</v>
      </c>
      <c r="CV493" s="408">
        <v>0</v>
      </c>
      <c r="CW493" s="408">
        <v>0</v>
      </c>
      <c r="CX493" s="408">
        <v>0</v>
      </c>
      <c r="CY493" s="408">
        <v>0</v>
      </c>
      <c r="CZ493" s="408">
        <v>0</v>
      </c>
      <c r="DA493" s="408">
        <v>0</v>
      </c>
      <c r="DB493" s="408">
        <v>0</v>
      </c>
      <c r="DC493" s="408">
        <v>8477.8856526618038</v>
      </c>
      <c r="DD493" s="408">
        <v>0</v>
      </c>
      <c r="DE493" s="408">
        <v>0</v>
      </c>
      <c r="DF493" s="408">
        <v>0</v>
      </c>
      <c r="DG493" s="408">
        <v>628.68787946838165</v>
      </c>
      <c r="DH493" s="408">
        <v>0</v>
      </c>
      <c r="DI493" s="408">
        <v>-346.67735798054127</v>
      </c>
      <c r="DJ493" s="408"/>
      <c r="DK493" s="408">
        <v>0</v>
      </c>
      <c r="DL493" s="408">
        <v>0</v>
      </c>
      <c r="DM493" s="408">
        <v>0</v>
      </c>
      <c r="DN493" s="408">
        <v>0</v>
      </c>
      <c r="DO493" s="408">
        <v>-51.771431888204916</v>
      </c>
      <c r="DP493" s="408">
        <v>-11.403996388640564</v>
      </c>
      <c r="DQ493" s="408">
        <v>0</v>
      </c>
      <c r="DR493" s="408">
        <v>0</v>
      </c>
      <c r="DS493" s="408"/>
      <c r="DT493" s="408"/>
      <c r="DU493" s="408"/>
      <c r="DV493" s="408">
        <v>0</v>
      </c>
      <c r="DW493" s="408">
        <v>0</v>
      </c>
      <c r="DX493" s="408">
        <v>0</v>
      </c>
      <c r="DY493" s="408">
        <v>219.16199000000051</v>
      </c>
      <c r="DZ493" s="408">
        <v>8480.4546299999929</v>
      </c>
      <c r="EA493" s="408">
        <v>0</v>
      </c>
      <c r="EB493" s="408">
        <v>0</v>
      </c>
      <c r="EC493" s="408">
        <v>0</v>
      </c>
      <c r="ED493" s="408">
        <v>0</v>
      </c>
      <c r="EE493" s="408">
        <v>0</v>
      </c>
      <c r="EF493" s="408">
        <v>0</v>
      </c>
      <c r="EG493" s="408">
        <v>0</v>
      </c>
      <c r="EH493" s="408">
        <v>0</v>
      </c>
      <c r="EI493" s="408">
        <v>0</v>
      </c>
      <c r="EJ493" s="408">
        <v>0</v>
      </c>
      <c r="EK493" s="408">
        <v>0</v>
      </c>
      <c r="EL493" s="408">
        <v>0</v>
      </c>
      <c r="EM493" s="408">
        <v>0</v>
      </c>
      <c r="EN493" s="408">
        <v>0</v>
      </c>
      <c r="EO493" s="408">
        <v>0</v>
      </c>
      <c r="EP493" s="408">
        <v>0</v>
      </c>
      <c r="EQ493" s="408">
        <v>0</v>
      </c>
      <c r="ER493" s="408">
        <v>0</v>
      </c>
      <c r="ES493" s="408">
        <v>0</v>
      </c>
      <c r="ET493" s="408">
        <v>0</v>
      </c>
      <c r="EU493" s="408">
        <v>0</v>
      </c>
      <c r="EV493" s="408">
        <v>238</v>
      </c>
      <c r="EW493" s="408">
        <v>0</v>
      </c>
      <c r="EX493" s="408">
        <v>0</v>
      </c>
      <c r="EY493" s="408">
        <v>0</v>
      </c>
      <c r="EZ493" s="408"/>
      <c r="FA493" s="408">
        <v>0</v>
      </c>
      <c r="FB493" s="408"/>
      <c r="FC493" s="408"/>
      <c r="FD493" s="408"/>
      <c r="FE493" s="408"/>
      <c r="FF493" s="408">
        <v>0</v>
      </c>
      <c r="FG493" s="408">
        <v>0</v>
      </c>
      <c r="FH493" s="408">
        <v>0</v>
      </c>
      <c r="FI493" s="408">
        <v>0</v>
      </c>
    </row>
    <row r="494" spans="1:165">
      <c r="A494" s="408">
        <v>498</v>
      </c>
      <c r="B494" s="408" t="s">
        <v>2238</v>
      </c>
      <c r="C494" s="408" t="s">
        <v>2243</v>
      </c>
      <c r="D494" s="408" t="s">
        <v>597</v>
      </c>
      <c r="E494" s="408" t="s">
        <v>998</v>
      </c>
      <c r="F494" s="408" t="s">
        <v>1322</v>
      </c>
      <c r="G494" s="408" t="s">
        <v>1322</v>
      </c>
      <c r="H494" s="408" t="s">
        <v>1322</v>
      </c>
      <c r="I494" s="408" t="s">
        <v>2244</v>
      </c>
      <c r="J494" s="408" t="s">
        <v>2236</v>
      </c>
      <c r="K494" s="824">
        <v>44621</v>
      </c>
      <c r="L494" s="408">
        <v>0</v>
      </c>
      <c r="M494" s="408">
        <v>0</v>
      </c>
      <c r="N494" s="408">
        <v>8.0950000000000006</v>
      </c>
      <c r="O494" s="408">
        <v>8.0950000000000006</v>
      </c>
      <c r="P494" s="408">
        <v>8.0950000000000006</v>
      </c>
      <c r="Q494" s="408">
        <v>8.0950000000000006</v>
      </c>
      <c r="R494" s="408"/>
      <c r="S494" s="408">
        <v>79.7</v>
      </c>
      <c r="T494" s="408">
        <v>209.4</v>
      </c>
      <c r="U494" s="408"/>
      <c r="V494" s="408">
        <v>2340.2645000000002</v>
      </c>
      <c r="W494" s="408">
        <v>2340.2645000000002</v>
      </c>
      <c r="X494" s="408">
        <v>2529.8494000000001</v>
      </c>
      <c r="Y494" s="408">
        <v>0</v>
      </c>
      <c r="Z494" s="408">
        <v>433.38994409062099</v>
      </c>
      <c r="AA494" s="408">
        <v>0</v>
      </c>
      <c r="AB494" s="408">
        <v>0</v>
      </c>
      <c r="AC494" s="408">
        <v>0</v>
      </c>
      <c r="AD494" s="408">
        <v>0</v>
      </c>
      <c r="AE494" s="408">
        <v>0</v>
      </c>
      <c r="AF494" s="408">
        <v>1672.8377871783475</v>
      </c>
      <c r="AG494" s="408">
        <v>22.285251385101375</v>
      </c>
      <c r="AH494" s="408">
        <v>0</v>
      </c>
      <c r="AI494" s="408">
        <v>0</v>
      </c>
      <c r="AJ494" s="408">
        <v>0</v>
      </c>
      <c r="AK494" s="408">
        <v>0</v>
      </c>
      <c r="AL494" s="408">
        <v>76.980225317283811</v>
      </c>
      <c r="AM494" s="408"/>
      <c r="AN494" s="408">
        <v>10.748899677373233</v>
      </c>
      <c r="AO494" s="408">
        <v>0</v>
      </c>
      <c r="AP494" s="408">
        <v>0</v>
      </c>
      <c r="AQ494" s="408">
        <v>0</v>
      </c>
      <c r="AR494" s="408">
        <v>0</v>
      </c>
      <c r="AS494" s="408">
        <v>0</v>
      </c>
      <c r="AT494" s="408">
        <v>0</v>
      </c>
      <c r="AU494" s="408">
        <v>0</v>
      </c>
      <c r="AV494" s="408">
        <v>0</v>
      </c>
      <c r="AW494" s="408">
        <v>0</v>
      </c>
      <c r="AX494" s="408">
        <v>0</v>
      </c>
      <c r="AY494" s="408">
        <v>0</v>
      </c>
      <c r="AZ494" s="408">
        <v>0</v>
      </c>
      <c r="BA494" s="408"/>
      <c r="BB494" s="408">
        <v>0</v>
      </c>
      <c r="BC494" s="408">
        <v>0</v>
      </c>
      <c r="BD494" s="408">
        <v>0</v>
      </c>
      <c r="BE494" s="408">
        <v>0</v>
      </c>
      <c r="BF494" s="408">
        <v>0</v>
      </c>
      <c r="BG494" s="408">
        <v>124.05131234408077</v>
      </c>
      <c r="BH494" s="408">
        <v>0</v>
      </c>
      <c r="BI494" s="408">
        <v>0</v>
      </c>
      <c r="BJ494" s="408">
        <v>0</v>
      </c>
      <c r="BK494" s="408">
        <v>0</v>
      </c>
      <c r="BL494" s="408">
        <v>0</v>
      </c>
      <c r="BM494" s="408"/>
      <c r="BN494" s="408"/>
      <c r="BO494" s="408"/>
      <c r="BP494" s="408"/>
      <c r="BQ494" s="408"/>
      <c r="BR494" s="408"/>
      <c r="BS494" s="408"/>
      <c r="BT494" s="408"/>
      <c r="BU494" s="408"/>
      <c r="BV494" s="408">
        <v>1796.8890995224283</v>
      </c>
      <c r="BW494" s="408"/>
      <c r="BX494" s="408"/>
      <c r="BY494" s="408"/>
      <c r="BZ494" s="408"/>
      <c r="CA494" s="408"/>
      <c r="CB494" s="408"/>
      <c r="CC494" s="408"/>
      <c r="CD494" s="408"/>
      <c r="CE494" s="408"/>
      <c r="CF494" s="408"/>
      <c r="CG494" s="408"/>
      <c r="CH494" s="408"/>
      <c r="CI494" s="408">
        <v>2531.4119999999998</v>
      </c>
      <c r="CJ494" s="408">
        <v>191.11749999999938</v>
      </c>
      <c r="CK494" s="408"/>
      <c r="CL494" s="408"/>
      <c r="CM494" s="408"/>
      <c r="CN494" s="408"/>
      <c r="CO494" s="408">
        <v>4.7760500000000281</v>
      </c>
      <c r="CP494" s="408">
        <v>184.80884999999989</v>
      </c>
      <c r="CQ494" s="408">
        <v>31</v>
      </c>
      <c r="CR494" s="408">
        <v>189.52179216079321</v>
      </c>
      <c r="CS494" s="408">
        <v>0</v>
      </c>
      <c r="CT494" s="408">
        <v>0</v>
      </c>
      <c r="CU494" s="408">
        <v>0</v>
      </c>
      <c r="CV494" s="408">
        <v>0</v>
      </c>
      <c r="CW494" s="408">
        <v>0</v>
      </c>
      <c r="CX494" s="408">
        <v>0</v>
      </c>
      <c r="CY494" s="408">
        <v>0</v>
      </c>
      <c r="CZ494" s="408">
        <v>0</v>
      </c>
      <c r="DA494" s="408">
        <v>0</v>
      </c>
      <c r="DB494" s="408">
        <v>0</v>
      </c>
      <c r="DC494" s="408">
        <v>184.75286600288405</v>
      </c>
      <c r="DD494" s="408">
        <v>0</v>
      </c>
      <c r="DE494" s="408">
        <v>0</v>
      </c>
      <c r="DF494" s="408">
        <v>0</v>
      </c>
      <c r="DG494" s="408">
        <v>13.70057256157861</v>
      </c>
      <c r="DH494" s="408">
        <v>0</v>
      </c>
      <c r="DI494" s="408">
        <v>-7.5549067408220481</v>
      </c>
      <c r="DJ494" s="408"/>
      <c r="DK494" s="408">
        <v>0</v>
      </c>
      <c r="DL494" s="408">
        <v>0</v>
      </c>
      <c r="DM494" s="408">
        <v>0</v>
      </c>
      <c r="DN494" s="408">
        <v>0</v>
      </c>
      <c r="DO494" s="408">
        <v>-1.1282200315376798</v>
      </c>
      <c r="DP494" s="408">
        <v>-0.2485196313100051</v>
      </c>
      <c r="DQ494" s="408">
        <v>0</v>
      </c>
      <c r="DR494" s="408">
        <v>0</v>
      </c>
      <c r="DS494" s="408"/>
      <c r="DT494" s="408"/>
      <c r="DU494" s="408"/>
      <c r="DV494" s="408">
        <v>0</v>
      </c>
      <c r="DW494" s="408">
        <v>0</v>
      </c>
      <c r="DX494" s="408">
        <v>0</v>
      </c>
      <c r="DY494" s="408">
        <v>4.7760500000000548</v>
      </c>
      <c r="DZ494" s="408">
        <v>184.80884999999989</v>
      </c>
      <c r="EA494" s="408">
        <v>0</v>
      </c>
      <c r="EB494" s="408">
        <v>0</v>
      </c>
      <c r="EC494" s="408">
        <v>0</v>
      </c>
      <c r="ED494" s="408">
        <v>0</v>
      </c>
      <c r="EE494" s="408">
        <v>0</v>
      </c>
      <c r="EF494" s="408">
        <v>0</v>
      </c>
      <c r="EG494" s="408">
        <v>0</v>
      </c>
      <c r="EH494" s="408">
        <v>0</v>
      </c>
      <c r="EI494" s="408">
        <v>0</v>
      </c>
      <c r="EJ494" s="408">
        <v>0</v>
      </c>
      <c r="EK494" s="408">
        <v>0</v>
      </c>
      <c r="EL494" s="408">
        <v>0</v>
      </c>
      <c r="EM494" s="408">
        <v>0</v>
      </c>
      <c r="EN494" s="408">
        <v>0</v>
      </c>
      <c r="EO494" s="408">
        <v>0</v>
      </c>
      <c r="EP494" s="408">
        <v>0</v>
      </c>
      <c r="EQ494" s="408">
        <v>0</v>
      </c>
      <c r="ER494" s="408">
        <v>0</v>
      </c>
      <c r="ES494" s="408">
        <v>0</v>
      </c>
      <c r="ET494" s="408">
        <v>0</v>
      </c>
      <c r="EU494" s="408">
        <v>0</v>
      </c>
      <c r="EV494" s="408">
        <v>238</v>
      </c>
      <c r="EW494" s="408">
        <v>0</v>
      </c>
      <c r="EX494" s="408">
        <v>0</v>
      </c>
      <c r="EY494" s="408">
        <v>0</v>
      </c>
      <c r="EZ494" s="408"/>
      <c r="FA494" s="408">
        <v>0</v>
      </c>
      <c r="FB494" s="408"/>
      <c r="FC494" s="408"/>
      <c r="FD494" s="408"/>
      <c r="FE494" s="408"/>
      <c r="FF494" s="408">
        <v>0</v>
      </c>
      <c r="FG494" s="408">
        <v>0</v>
      </c>
      <c r="FH494" s="408">
        <v>0</v>
      </c>
      <c r="FI494" s="408">
        <v>0</v>
      </c>
    </row>
    <row r="495" spans="1:165">
      <c r="A495" s="408">
        <v>499</v>
      </c>
      <c r="B495" s="408" t="s">
        <v>1036</v>
      </c>
      <c r="C495" s="408" t="s">
        <v>2243</v>
      </c>
      <c r="D495" s="408" t="s">
        <v>597</v>
      </c>
      <c r="E495" s="408" t="s">
        <v>998</v>
      </c>
      <c r="F495" s="408" t="s">
        <v>1322</v>
      </c>
      <c r="G495" s="408" t="s">
        <v>1322</v>
      </c>
      <c r="H495" s="408" t="s">
        <v>1322</v>
      </c>
      <c r="I495" s="408" t="s">
        <v>1322</v>
      </c>
      <c r="J495" s="408" t="s">
        <v>2236</v>
      </c>
      <c r="K495" s="824">
        <v>44621</v>
      </c>
      <c r="L495" s="408">
        <v>3836</v>
      </c>
      <c r="M495" s="408">
        <v>3836</v>
      </c>
      <c r="N495" s="408">
        <v>0</v>
      </c>
      <c r="O495" s="408">
        <v>0</v>
      </c>
      <c r="P495" s="408">
        <v>0</v>
      </c>
      <c r="Q495" s="408">
        <v>0</v>
      </c>
      <c r="R495" s="408">
        <v>44.35</v>
      </c>
      <c r="S495" s="408"/>
      <c r="T495" s="408"/>
      <c r="U495" s="408">
        <v>170126.6</v>
      </c>
      <c r="V495" s="408"/>
      <c r="W495" s="408">
        <v>170126.6</v>
      </c>
      <c r="X495" s="408">
        <v>111128.92</v>
      </c>
      <c r="Y495" s="408">
        <v>0</v>
      </c>
      <c r="Z495" s="408">
        <v>0</v>
      </c>
      <c r="AA495" s="408">
        <v>0</v>
      </c>
      <c r="AB495" s="408">
        <v>0</v>
      </c>
      <c r="AC495" s="408">
        <v>0</v>
      </c>
      <c r="AD495" s="408">
        <v>50336.236307495208</v>
      </c>
      <c r="AE495" s="408">
        <v>110161.65835212165</v>
      </c>
      <c r="AF495" s="408"/>
      <c r="AG495" s="408"/>
      <c r="AH495" s="408"/>
      <c r="AI495" s="408">
        <v>0</v>
      </c>
      <c r="AJ495" s="408">
        <v>0</v>
      </c>
      <c r="AK495" s="408">
        <v>0</v>
      </c>
      <c r="AL495" s="408">
        <v>0</v>
      </c>
      <c r="AM495" s="408"/>
      <c r="AN495" s="408">
        <v>0</v>
      </c>
      <c r="AO495" s="408">
        <v>3804.2405732114694</v>
      </c>
      <c r="AP495" s="408">
        <v>5820.3297851136631</v>
      </c>
      <c r="AQ495" s="408">
        <v>0</v>
      </c>
      <c r="AR495" s="408">
        <v>0</v>
      </c>
      <c r="AS495" s="408"/>
      <c r="AT495" s="408"/>
      <c r="AU495" s="408">
        <v>0</v>
      </c>
      <c r="AV495" s="408">
        <v>0</v>
      </c>
      <c r="AW495" s="408">
        <v>0</v>
      </c>
      <c r="AX495" s="408"/>
      <c r="AY495" s="408"/>
      <c r="AZ495" s="408">
        <v>0</v>
      </c>
      <c r="BA495" s="408"/>
      <c r="BB495" s="408">
        <v>0</v>
      </c>
      <c r="BC495" s="408">
        <v>0</v>
      </c>
      <c r="BD495" s="408">
        <v>0</v>
      </c>
      <c r="BE495" s="408">
        <v>0</v>
      </c>
      <c r="BF495" s="408"/>
      <c r="BG495" s="408">
        <v>0</v>
      </c>
      <c r="BH495" s="408">
        <v>0</v>
      </c>
      <c r="BI495" s="408">
        <v>672.83</v>
      </c>
      <c r="BJ495" s="408">
        <v>310.93</v>
      </c>
      <c r="BK495" s="408">
        <v>103571.44</v>
      </c>
      <c r="BL495" s="408">
        <v>33</v>
      </c>
      <c r="BM495" s="408"/>
      <c r="BN495" s="408"/>
      <c r="BO495" s="408"/>
      <c r="BP495" s="408"/>
      <c r="BQ495" s="408"/>
      <c r="BR495" s="408"/>
      <c r="BS495" s="408"/>
      <c r="BT495" s="408"/>
      <c r="BU495" s="408"/>
      <c r="BV495" s="408">
        <v>0</v>
      </c>
      <c r="BW495" s="408"/>
      <c r="BX495" s="408"/>
      <c r="BY495" s="408"/>
      <c r="BZ495" s="408"/>
      <c r="CA495" s="408"/>
      <c r="CB495" s="408"/>
      <c r="CC495" s="408"/>
      <c r="CD495" s="408"/>
      <c r="CE495" s="408"/>
      <c r="CF495" s="408"/>
      <c r="CG495" s="408"/>
      <c r="CH495" s="408"/>
      <c r="CI495" s="408">
        <v>111128.92</v>
      </c>
      <c r="CJ495" s="408">
        <v>-58997.710000000036</v>
      </c>
      <c r="CK495" s="408"/>
      <c r="CL495" s="408"/>
      <c r="CM495" s="408"/>
      <c r="CN495" s="408"/>
      <c r="CO495" s="408">
        <v>-58997.680000000008</v>
      </c>
      <c r="CP495" s="408">
        <v>0</v>
      </c>
      <c r="CQ495" s="408">
        <v>31</v>
      </c>
      <c r="CR495" s="408">
        <v>2812.1384533693563</v>
      </c>
      <c r="CS495" s="408">
        <v>459.29368891783361</v>
      </c>
      <c r="CT495" s="408">
        <v>702.70023314180889</v>
      </c>
      <c r="CU495" s="408">
        <v>0</v>
      </c>
      <c r="CV495" s="408">
        <v>0</v>
      </c>
      <c r="CW495" s="408"/>
      <c r="CX495" s="408"/>
      <c r="CY495" s="408"/>
      <c r="CZ495" s="408">
        <v>1650.1445313097211</v>
      </c>
      <c r="DA495" s="408">
        <v>0</v>
      </c>
      <c r="DB495" s="408">
        <v>0</v>
      </c>
      <c r="DC495" s="408"/>
      <c r="DD495" s="408"/>
      <c r="DE495" s="408">
        <v>0</v>
      </c>
      <c r="DF495" s="408">
        <v>0</v>
      </c>
      <c r="DG495" s="408">
        <v>0</v>
      </c>
      <c r="DH495" s="408">
        <v>0</v>
      </c>
      <c r="DI495" s="408">
        <v>0</v>
      </c>
      <c r="DJ495" s="408"/>
      <c r="DK495" s="408">
        <v>0</v>
      </c>
      <c r="DL495" s="408">
        <v>0</v>
      </c>
      <c r="DM495" s="408"/>
      <c r="DN495" s="408">
        <v>0</v>
      </c>
      <c r="DO495" s="408">
        <v>0</v>
      </c>
      <c r="DP495" s="408">
        <v>0</v>
      </c>
      <c r="DQ495" s="408">
        <v>0</v>
      </c>
      <c r="DR495" s="408">
        <v>0</v>
      </c>
      <c r="DS495" s="408"/>
      <c r="DT495" s="408"/>
      <c r="DU495" s="408">
        <v>110161.65835212165</v>
      </c>
      <c r="DV495" s="408"/>
      <c r="DW495" s="408">
        <v>0</v>
      </c>
      <c r="DX495" s="408">
        <v>0</v>
      </c>
      <c r="DY495" s="408">
        <v>-58997.680000000008</v>
      </c>
      <c r="DZ495" s="408"/>
      <c r="EA495" s="408">
        <v>0</v>
      </c>
      <c r="EB495" s="408"/>
      <c r="EC495" s="408">
        <v>-61799.555581813234</v>
      </c>
      <c r="ED495" s="408"/>
      <c r="EE495" s="408">
        <v>0</v>
      </c>
      <c r="EF495" s="408">
        <v>0</v>
      </c>
      <c r="EG495" s="408"/>
      <c r="EH495" s="408">
        <v>0</v>
      </c>
      <c r="EI495" s="408">
        <v>0</v>
      </c>
      <c r="EJ495" s="408">
        <v>0</v>
      </c>
      <c r="EK495" s="408">
        <v>0</v>
      </c>
      <c r="EL495" s="408">
        <v>0</v>
      </c>
      <c r="EM495" s="408"/>
      <c r="EN495" s="408"/>
      <c r="EO495" s="408">
        <v>0</v>
      </c>
      <c r="EP495" s="408">
        <v>0</v>
      </c>
      <c r="EQ495" s="408"/>
      <c r="ER495" s="408">
        <v>0</v>
      </c>
      <c r="ES495" s="408"/>
      <c r="ET495" s="408">
        <v>0</v>
      </c>
      <c r="EU495" s="408"/>
      <c r="EV495" s="408">
        <v>238</v>
      </c>
      <c r="EW495" s="408"/>
      <c r="EX495" s="408"/>
      <c r="EY495" s="408"/>
      <c r="EZ495" s="408"/>
      <c r="FA495" s="408">
        <v>0</v>
      </c>
      <c r="FB495" s="408"/>
      <c r="FC495" s="408"/>
      <c r="FD495" s="408"/>
      <c r="FE495" s="408"/>
      <c r="FF495" s="408">
        <v>0</v>
      </c>
      <c r="FG495" s="408">
        <v>0</v>
      </c>
      <c r="FH495" s="408">
        <v>0</v>
      </c>
      <c r="FI495" s="408">
        <v>0</v>
      </c>
    </row>
    <row r="496" spans="1:165">
      <c r="A496" s="408">
        <v>500</v>
      </c>
      <c r="B496" s="408" t="s">
        <v>2238</v>
      </c>
      <c r="C496" s="408" t="s">
        <v>2243</v>
      </c>
      <c r="D496" s="408" t="s">
        <v>597</v>
      </c>
      <c r="E496" s="408" t="s">
        <v>998</v>
      </c>
      <c r="F496" s="408" t="s">
        <v>1322</v>
      </c>
      <c r="G496" s="408" t="s">
        <v>1322</v>
      </c>
      <c r="H496" s="408" t="s">
        <v>1322</v>
      </c>
      <c r="I496" s="408" t="s">
        <v>1322</v>
      </c>
      <c r="J496" s="408" t="s">
        <v>2236</v>
      </c>
      <c r="K496" s="824">
        <v>44621</v>
      </c>
      <c r="L496" s="408">
        <v>489</v>
      </c>
      <c r="M496" s="408">
        <v>489</v>
      </c>
      <c r="N496" s="408">
        <v>0</v>
      </c>
      <c r="O496" s="408">
        <v>0</v>
      </c>
      <c r="P496" s="408">
        <v>0</v>
      </c>
      <c r="Q496" s="408">
        <v>0</v>
      </c>
      <c r="R496" s="408">
        <v>44.35</v>
      </c>
      <c r="S496" s="408"/>
      <c r="T496" s="408"/>
      <c r="U496" s="408">
        <v>21687.15</v>
      </c>
      <c r="V496" s="408"/>
      <c r="W496" s="408">
        <v>21687.15</v>
      </c>
      <c r="X496" s="408">
        <v>14166.33</v>
      </c>
      <c r="Y496" s="408">
        <v>0</v>
      </c>
      <c r="Z496" s="408">
        <v>0</v>
      </c>
      <c r="AA496" s="408">
        <v>0</v>
      </c>
      <c r="AB496" s="408">
        <v>0</v>
      </c>
      <c r="AC496" s="408">
        <v>0</v>
      </c>
      <c r="AD496" s="408">
        <v>6416.6891434737117</v>
      </c>
      <c r="AE496" s="408">
        <v>14043.026833729793</v>
      </c>
      <c r="AF496" s="408"/>
      <c r="AG496" s="408"/>
      <c r="AH496" s="408"/>
      <c r="AI496" s="408">
        <v>0</v>
      </c>
      <c r="AJ496" s="408">
        <v>0</v>
      </c>
      <c r="AK496" s="408">
        <v>0</v>
      </c>
      <c r="AL496" s="408">
        <v>0</v>
      </c>
      <c r="AM496" s="408"/>
      <c r="AN496" s="408">
        <v>0</v>
      </c>
      <c r="AO496" s="408">
        <v>484.95141822221285</v>
      </c>
      <c r="AP496" s="408">
        <v>741.95549137658531</v>
      </c>
      <c r="AQ496" s="408">
        <v>0</v>
      </c>
      <c r="AR496" s="408">
        <v>0</v>
      </c>
      <c r="AS496" s="408"/>
      <c r="AT496" s="408"/>
      <c r="AU496" s="408">
        <v>0</v>
      </c>
      <c r="AV496" s="408">
        <v>0</v>
      </c>
      <c r="AW496" s="408">
        <v>0</v>
      </c>
      <c r="AX496" s="408"/>
      <c r="AY496" s="408"/>
      <c r="AZ496" s="408">
        <v>0</v>
      </c>
      <c r="BA496" s="408"/>
      <c r="BB496" s="408">
        <v>0</v>
      </c>
      <c r="BC496" s="408">
        <v>0</v>
      </c>
      <c r="BD496" s="408">
        <v>0</v>
      </c>
      <c r="BE496" s="408">
        <v>0</v>
      </c>
      <c r="BF496" s="408"/>
      <c r="BG496" s="408">
        <v>0</v>
      </c>
      <c r="BH496" s="408">
        <v>0</v>
      </c>
      <c r="BI496" s="408">
        <v>52.69</v>
      </c>
      <c r="BJ496" s="408">
        <v>24.34</v>
      </c>
      <c r="BK496" s="408">
        <v>8349.16</v>
      </c>
      <c r="BL496" s="408">
        <v>4</v>
      </c>
      <c r="BM496" s="408"/>
      <c r="BN496" s="408"/>
      <c r="BO496" s="408"/>
      <c r="BP496" s="408"/>
      <c r="BQ496" s="408"/>
      <c r="BR496" s="408"/>
      <c r="BS496" s="408"/>
      <c r="BT496" s="408"/>
      <c r="BU496" s="408"/>
      <c r="BV496" s="408">
        <v>0</v>
      </c>
      <c r="BW496" s="408"/>
      <c r="BX496" s="408"/>
      <c r="BY496" s="408"/>
      <c r="BZ496" s="408"/>
      <c r="CA496" s="408"/>
      <c r="CB496" s="408"/>
      <c r="CC496" s="408"/>
      <c r="CD496" s="408"/>
      <c r="CE496" s="408"/>
      <c r="CF496" s="408"/>
      <c r="CG496" s="408"/>
      <c r="CH496" s="408"/>
      <c r="CI496" s="408">
        <v>14166.33</v>
      </c>
      <c r="CJ496" s="408">
        <v>-7520.8499999999967</v>
      </c>
      <c r="CK496" s="408"/>
      <c r="CL496" s="408"/>
      <c r="CM496" s="408"/>
      <c r="CN496" s="408"/>
      <c r="CO496" s="408">
        <v>-7520.8200000000015</v>
      </c>
      <c r="CP496" s="408">
        <v>0</v>
      </c>
      <c r="CQ496" s="408">
        <v>31</v>
      </c>
      <c r="CR496" s="408">
        <v>358.48167458227817</v>
      </c>
      <c r="CS496" s="408">
        <v>58.549169416272321</v>
      </c>
      <c r="CT496" s="408">
        <v>89.57779301520975</v>
      </c>
      <c r="CU496" s="408">
        <v>0</v>
      </c>
      <c r="CV496" s="408">
        <v>0</v>
      </c>
      <c r="CW496" s="408"/>
      <c r="CX496" s="408"/>
      <c r="CY496" s="408"/>
      <c r="CZ496" s="408">
        <v>210.35471215079633</v>
      </c>
      <c r="DA496" s="408">
        <v>0</v>
      </c>
      <c r="DB496" s="408">
        <v>0</v>
      </c>
      <c r="DC496" s="408"/>
      <c r="DD496" s="408"/>
      <c r="DE496" s="408">
        <v>0</v>
      </c>
      <c r="DF496" s="408">
        <v>0</v>
      </c>
      <c r="DG496" s="408">
        <v>0</v>
      </c>
      <c r="DH496" s="408">
        <v>0</v>
      </c>
      <c r="DI496" s="408">
        <v>0</v>
      </c>
      <c r="DJ496" s="408"/>
      <c r="DK496" s="408">
        <v>0</v>
      </c>
      <c r="DL496" s="408">
        <v>0</v>
      </c>
      <c r="DM496" s="408"/>
      <c r="DN496" s="408">
        <v>0</v>
      </c>
      <c r="DO496" s="408">
        <v>0</v>
      </c>
      <c r="DP496" s="408">
        <v>0</v>
      </c>
      <c r="DQ496" s="408">
        <v>0</v>
      </c>
      <c r="DR496" s="408">
        <v>0</v>
      </c>
      <c r="DS496" s="408"/>
      <c r="DT496" s="408"/>
      <c r="DU496" s="408">
        <v>14043.026833729793</v>
      </c>
      <c r="DV496" s="408"/>
      <c r="DW496" s="408">
        <v>0</v>
      </c>
      <c r="DX496" s="408">
        <v>0</v>
      </c>
      <c r="DY496" s="408">
        <v>-7520.8200000000015</v>
      </c>
      <c r="DZ496" s="408"/>
      <c r="EA496" s="408">
        <v>0</v>
      </c>
      <c r="EB496" s="408"/>
      <c r="EC496" s="408">
        <v>-7877.9933992457436</v>
      </c>
      <c r="ED496" s="408"/>
      <c r="EE496" s="408">
        <v>0</v>
      </c>
      <c r="EF496" s="408">
        <v>0</v>
      </c>
      <c r="EG496" s="408"/>
      <c r="EH496" s="408">
        <v>0</v>
      </c>
      <c r="EI496" s="408">
        <v>0</v>
      </c>
      <c r="EJ496" s="408">
        <v>0</v>
      </c>
      <c r="EK496" s="408">
        <v>0</v>
      </c>
      <c r="EL496" s="408">
        <v>0</v>
      </c>
      <c r="EM496" s="408"/>
      <c r="EN496" s="408"/>
      <c r="EO496" s="408">
        <v>0</v>
      </c>
      <c r="EP496" s="408">
        <v>0</v>
      </c>
      <c r="EQ496" s="408"/>
      <c r="ER496" s="408">
        <v>0</v>
      </c>
      <c r="ES496" s="408"/>
      <c r="ET496" s="408">
        <v>0</v>
      </c>
      <c r="EU496" s="408"/>
      <c r="EV496" s="408">
        <v>238</v>
      </c>
      <c r="EW496" s="408"/>
      <c r="EX496" s="408"/>
      <c r="EY496" s="408"/>
      <c r="EZ496" s="408"/>
      <c r="FA496" s="408">
        <v>0</v>
      </c>
      <c r="FB496" s="408"/>
      <c r="FC496" s="408"/>
      <c r="FD496" s="408"/>
      <c r="FE496" s="408"/>
      <c r="FF496" s="408">
        <v>0</v>
      </c>
      <c r="FG496" s="408">
        <v>0</v>
      </c>
      <c r="FH496" s="408">
        <v>0</v>
      </c>
      <c r="FI496" s="408">
        <v>0</v>
      </c>
    </row>
    <row r="497" spans="1:165">
      <c r="A497" s="408">
        <v>501</v>
      </c>
      <c r="B497" s="408" t="s">
        <v>1036</v>
      </c>
      <c r="C497" s="408" t="s">
        <v>2235</v>
      </c>
      <c r="D497" s="408" t="s">
        <v>2245</v>
      </c>
      <c r="E497" s="408" t="s">
        <v>974</v>
      </c>
      <c r="F497" s="408" t="s">
        <v>1322</v>
      </c>
      <c r="G497" s="408" t="s">
        <v>1322</v>
      </c>
      <c r="H497" s="408" t="s">
        <v>1322</v>
      </c>
      <c r="I497" s="408" t="s">
        <v>1322</v>
      </c>
      <c r="J497" s="408" t="s">
        <v>2236</v>
      </c>
      <c r="K497" s="824">
        <v>44621</v>
      </c>
      <c r="L497" s="408">
        <v>0</v>
      </c>
      <c r="M497" s="408">
        <v>0</v>
      </c>
      <c r="N497" s="408">
        <v>4773.4780000000001</v>
      </c>
      <c r="O497" s="408">
        <v>4773.4780000000001</v>
      </c>
      <c r="P497" s="408">
        <v>4773.4780000000001</v>
      </c>
      <c r="Q497" s="408">
        <v>4773.4780000000001</v>
      </c>
      <c r="R497" s="408"/>
      <c r="S497" s="408">
        <v>581.32000000000005</v>
      </c>
      <c r="T497" s="408">
        <v>209.4</v>
      </c>
      <c r="U497" s="408"/>
      <c r="V497" s="408">
        <v>3774484.5241600005</v>
      </c>
      <c r="W497" s="408">
        <v>3774484.5241600005</v>
      </c>
      <c r="X497" s="408">
        <v>2883514.8554599998</v>
      </c>
      <c r="Y497" s="408">
        <v>0</v>
      </c>
      <c r="Z497" s="408">
        <v>293749.84750595409</v>
      </c>
      <c r="AA497" s="408">
        <v>0</v>
      </c>
      <c r="AB497" s="408">
        <v>0</v>
      </c>
      <c r="AC497" s="408">
        <v>0</v>
      </c>
      <c r="AD497" s="408">
        <v>354149.79747763497</v>
      </c>
      <c r="AE497" s="408">
        <v>1839723.7773891035</v>
      </c>
      <c r="AF497" s="408">
        <v>986442.78871705045</v>
      </c>
      <c r="AG497" s="408">
        <v>13141.217691321921</v>
      </c>
      <c r="AH497" s="408">
        <v>0</v>
      </c>
      <c r="AI497" s="408">
        <v>0</v>
      </c>
      <c r="AJ497" s="408">
        <v>0</v>
      </c>
      <c r="AK497" s="408">
        <v>0</v>
      </c>
      <c r="AL497" s="408">
        <v>45393.874241766185</v>
      </c>
      <c r="AM497" s="408"/>
      <c r="AN497" s="408">
        <v>8701.8800563941622</v>
      </c>
      <c r="AO497" s="408">
        <v>27206.346091172814</v>
      </c>
      <c r="AP497" s="408">
        <v>40981.215449981202</v>
      </c>
      <c r="AQ497" s="408">
        <v>0</v>
      </c>
      <c r="AR497" s="408">
        <v>0</v>
      </c>
      <c r="AS497" s="408">
        <v>0</v>
      </c>
      <c r="AT497" s="408">
        <v>0</v>
      </c>
      <c r="AU497" s="408">
        <v>0</v>
      </c>
      <c r="AV497" s="408">
        <v>0</v>
      </c>
      <c r="AW497" s="408">
        <v>0</v>
      </c>
      <c r="AX497" s="408">
        <v>0</v>
      </c>
      <c r="AY497" s="408">
        <v>0</v>
      </c>
      <c r="AZ497" s="408">
        <v>0</v>
      </c>
      <c r="BA497" s="408"/>
      <c r="BB497" s="408">
        <v>0</v>
      </c>
      <c r="BC497" s="408">
        <v>0</v>
      </c>
      <c r="BD497" s="408">
        <v>0</v>
      </c>
      <c r="BE497" s="408">
        <v>0</v>
      </c>
      <c r="BF497" s="408">
        <v>0</v>
      </c>
      <c r="BG497" s="408">
        <v>165030.03449384854</v>
      </c>
      <c r="BH497" s="408">
        <v>0</v>
      </c>
      <c r="BI497" s="408">
        <v>6709.43</v>
      </c>
      <c r="BJ497" s="408">
        <v>3135.69</v>
      </c>
      <c r="BK497" s="408">
        <v>269101.46999999997</v>
      </c>
      <c r="BL497" s="408">
        <v>13503</v>
      </c>
      <c r="BM497" s="408"/>
      <c r="BN497" s="408"/>
      <c r="BO497" s="408"/>
      <c r="BP497" s="408"/>
      <c r="BQ497" s="408"/>
      <c r="BR497" s="408">
        <v>346029.42021999962</v>
      </c>
      <c r="BS497" s="408"/>
      <c r="BT497" s="408"/>
      <c r="BU497" s="408"/>
      <c r="BV497" s="408">
        <v>1151472.823210899</v>
      </c>
      <c r="BW497" s="408"/>
      <c r="BX497" s="408"/>
      <c r="BY497" s="408"/>
      <c r="BZ497" s="408"/>
      <c r="CA497" s="408"/>
      <c r="CB497" s="408"/>
      <c r="CC497" s="408"/>
      <c r="CD497" s="408"/>
      <c r="CE497" s="408"/>
      <c r="CF497" s="408"/>
      <c r="CG497" s="408"/>
      <c r="CH497" s="408"/>
      <c r="CI497" s="408">
        <v>2537486.4983999999</v>
      </c>
      <c r="CJ497" s="408">
        <v>-784138.1978999991</v>
      </c>
      <c r="CK497" s="408"/>
      <c r="CL497" s="408"/>
      <c r="CM497" s="408"/>
      <c r="CN497" s="408"/>
      <c r="CO497" s="408">
        <v>-999948.17144000041</v>
      </c>
      <c r="CP497" s="408">
        <v>108978.50273999992</v>
      </c>
      <c r="CQ497" s="408">
        <v>31</v>
      </c>
      <c r="CR497" s="408">
        <v>141027.01686473028</v>
      </c>
      <c r="CS497" s="408">
        <v>3284.6774060983262</v>
      </c>
      <c r="CT497" s="408">
        <v>4947.7453536722242</v>
      </c>
      <c r="CU497" s="408">
        <v>0</v>
      </c>
      <c r="CV497" s="408">
        <v>0</v>
      </c>
      <c r="CW497" s="408">
        <v>0</v>
      </c>
      <c r="CX497" s="408">
        <v>0</v>
      </c>
      <c r="CY497" s="408">
        <v>0</v>
      </c>
      <c r="CZ497" s="408">
        <v>11609.89367584273</v>
      </c>
      <c r="DA497" s="408">
        <v>0</v>
      </c>
      <c r="DB497" s="408">
        <v>0</v>
      </c>
      <c r="DC497" s="408">
        <v>108945.48996932863</v>
      </c>
      <c r="DD497" s="408">
        <v>0</v>
      </c>
      <c r="DE497" s="408">
        <v>0</v>
      </c>
      <c r="DF497" s="408">
        <v>0</v>
      </c>
      <c r="DG497" s="408">
        <v>18226.376808907837</v>
      </c>
      <c r="DH497" s="408">
        <v>0</v>
      </c>
      <c r="DI497" s="408">
        <v>-5120.683424472867</v>
      </c>
      <c r="DJ497" s="408"/>
      <c r="DK497" s="408">
        <v>0</v>
      </c>
      <c r="DL497" s="408">
        <v>0</v>
      </c>
      <c r="DM497" s="408">
        <v>0</v>
      </c>
      <c r="DN497" s="408">
        <v>0</v>
      </c>
      <c r="DO497" s="408">
        <v>-665.29135265033256</v>
      </c>
      <c r="DP497" s="408">
        <v>-201.19157199603615</v>
      </c>
      <c r="DQ497" s="408">
        <v>0</v>
      </c>
      <c r="DR497" s="408">
        <v>0</v>
      </c>
      <c r="DS497" s="408"/>
      <c r="DT497" s="408"/>
      <c r="DU497" s="408"/>
      <c r="DV497" s="408">
        <v>1839723.7773891035</v>
      </c>
      <c r="DW497" s="408">
        <v>0</v>
      </c>
      <c r="DX497" s="408">
        <v>0</v>
      </c>
      <c r="DY497" s="408">
        <v>-999948.17144000041</v>
      </c>
      <c r="DZ497" s="408">
        <v>108978.50273999979</v>
      </c>
      <c r="EA497" s="408">
        <v>0</v>
      </c>
      <c r="EB497" s="408">
        <v>0</v>
      </c>
      <c r="EC497" s="408">
        <v>-1032066.0884799721</v>
      </c>
      <c r="ED497" s="408">
        <v>0</v>
      </c>
      <c r="EE497" s="408">
        <v>0</v>
      </c>
      <c r="EF497" s="408">
        <v>0</v>
      </c>
      <c r="EG497" s="408">
        <v>0</v>
      </c>
      <c r="EH497" s="408">
        <v>0</v>
      </c>
      <c r="EI497" s="408">
        <v>0</v>
      </c>
      <c r="EJ497" s="408">
        <v>0</v>
      </c>
      <c r="EK497" s="408">
        <v>0</v>
      </c>
      <c r="EL497" s="408">
        <v>0</v>
      </c>
      <c r="EM497" s="408">
        <v>0</v>
      </c>
      <c r="EN497" s="408">
        <v>0</v>
      </c>
      <c r="EO497" s="408">
        <v>0</v>
      </c>
      <c r="EP497" s="408">
        <v>0</v>
      </c>
      <c r="EQ497" s="408">
        <v>0</v>
      </c>
      <c r="ER497" s="408">
        <v>0</v>
      </c>
      <c r="ES497" s="408">
        <v>0</v>
      </c>
      <c r="ET497" s="408">
        <v>0</v>
      </c>
      <c r="EU497" s="408">
        <v>0</v>
      </c>
      <c r="EV497" s="408">
        <v>238</v>
      </c>
      <c r="EW497" s="408">
        <v>0</v>
      </c>
      <c r="EX497" s="408">
        <v>0</v>
      </c>
      <c r="EY497" s="408">
        <v>0</v>
      </c>
      <c r="EZ497" s="408"/>
      <c r="FA497" s="408">
        <v>0</v>
      </c>
      <c r="FB497" s="408"/>
      <c r="FC497" s="408"/>
      <c r="FD497" s="408"/>
      <c r="FE497" s="408"/>
      <c r="FF497" s="408">
        <v>0</v>
      </c>
      <c r="FG497" s="408">
        <v>0</v>
      </c>
      <c r="FH497" s="408">
        <v>0</v>
      </c>
      <c r="FI497" s="408">
        <v>0</v>
      </c>
    </row>
    <row r="498" spans="1:165">
      <c r="A498" s="408">
        <v>502</v>
      </c>
      <c r="B498" s="408" t="s">
        <v>2237</v>
      </c>
      <c r="C498" s="408" t="s">
        <v>2235</v>
      </c>
      <c r="D498" s="408" t="s">
        <v>2245</v>
      </c>
      <c r="E498" s="408" t="s">
        <v>974</v>
      </c>
      <c r="F498" s="408" t="s">
        <v>1322</v>
      </c>
      <c r="G498" s="408" t="s">
        <v>1322</v>
      </c>
      <c r="H498" s="408" t="s">
        <v>1322</v>
      </c>
      <c r="I498" s="408" t="s">
        <v>1322</v>
      </c>
      <c r="J498" s="408" t="s">
        <v>2236</v>
      </c>
      <c r="K498" s="824">
        <v>44621</v>
      </c>
      <c r="L498" s="408">
        <v>0</v>
      </c>
      <c r="M498" s="408">
        <v>0</v>
      </c>
      <c r="N498" s="408">
        <v>-33.889000000000003</v>
      </c>
      <c r="O498" s="408">
        <v>-33.889000000000003</v>
      </c>
      <c r="P498" s="408">
        <v>-33.889000000000003</v>
      </c>
      <c r="Q498" s="408">
        <v>-33.889000000000003</v>
      </c>
      <c r="R498" s="408"/>
      <c r="S498" s="408">
        <v>581.32000000000005</v>
      </c>
      <c r="T498" s="408">
        <v>209.4</v>
      </c>
      <c r="U498" s="408"/>
      <c r="V498" s="408">
        <v>-26796.710080000004</v>
      </c>
      <c r="W498" s="408">
        <v>-26796.710080000004</v>
      </c>
      <c r="X498" s="408">
        <v>-20471.328229999999</v>
      </c>
      <c r="Y498" s="408">
        <v>0</v>
      </c>
      <c r="Z498" s="408">
        <v>-2085.4581464771136</v>
      </c>
      <c r="AA498" s="408">
        <v>0</v>
      </c>
      <c r="AB498" s="408">
        <v>0</v>
      </c>
      <c r="AC498" s="408">
        <v>0</v>
      </c>
      <c r="AD498" s="408">
        <v>-2514.2637059853578</v>
      </c>
      <c r="AE498" s="408">
        <v>-13061.000614633467</v>
      </c>
      <c r="AF498" s="408">
        <v>-7003.1871241120471</v>
      </c>
      <c r="AG498" s="408">
        <v>-93.295229671365107</v>
      </c>
      <c r="AH498" s="408">
        <v>0</v>
      </c>
      <c r="AI498" s="408">
        <v>0</v>
      </c>
      <c r="AJ498" s="408">
        <v>0</v>
      </c>
      <c r="AK498" s="408">
        <v>0</v>
      </c>
      <c r="AL498" s="408">
        <v>-322.27089015162829</v>
      </c>
      <c r="AM498" s="408"/>
      <c r="AN498" s="408">
        <v>-61.778437699124581</v>
      </c>
      <c r="AO498" s="408">
        <v>-193.14970398601514</v>
      </c>
      <c r="AP498" s="408">
        <v>-290.94350291012404</v>
      </c>
      <c r="AQ498" s="408">
        <v>0</v>
      </c>
      <c r="AR498" s="408">
        <v>0</v>
      </c>
      <c r="AS498" s="408">
        <v>0</v>
      </c>
      <c r="AT498" s="408">
        <v>0</v>
      </c>
      <c r="AU498" s="408">
        <v>0</v>
      </c>
      <c r="AV498" s="408">
        <v>0</v>
      </c>
      <c r="AW498" s="408">
        <v>0</v>
      </c>
      <c r="AX498" s="408">
        <v>0</v>
      </c>
      <c r="AY498" s="408">
        <v>0</v>
      </c>
      <c r="AZ498" s="408">
        <v>0</v>
      </c>
      <c r="BA498" s="408"/>
      <c r="BB498" s="408">
        <v>0</v>
      </c>
      <c r="BC498" s="408">
        <v>0</v>
      </c>
      <c r="BD498" s="408">
        <v>0</v>
      </c>
      <c r="BE498" s="408">
        <v>0</v>
      </c>
      <c r="BF498" s="408">
        <v>0</v>
      </c>
      <c r="BG498" s="408">
        <v>-1171.6201140891469</v>
      </c>
      <c r="BH498" s="408">
        <v>0</v>
      </c>
      <c r="BI498" s="408">
        <v>-58.49</v>
      </c>
      <c r="BJ498" s="408">
        <v>-269.01</v>
      </c>
      <c r="BK498" s="408">
        <v>-819.63</v>
      </c>
      <c r="BL498" s="408">
        <v>0</v>
      </c>
      <c r="BM498" s="408"/>
      <c r="BN498" s="408"/>
      <c r="BO498" s="408"/>
      <c r="BP498" s="408"/>
      <c r="BQ498" s="408"/>
      <c r="BR498" s="408">
        <v>-2456.6136099999976</v>
      </c>
      <c r="BS498" s="408"/>
      <c r="BT498" s="408"/>
      <c r="BU498" s="408"/>
      <c r="BV498" s="408">
        <v>-8174.8072382011942</v>
      </c>
      <c r="BW498" s="408"/>
      <c r="BX498" s="408"/>
      <c r="BY498" s="408"/>
      <c r="BZ498" s="408"/>
      <c r="CA498" s="408"/>
      <c r="CB498" s="408"/>
      <c r="CC498" s="408"/>
      <c r="CD498" s="408"/>
      <c r="CE498" s="408"/>
      <c r="CF498" s="408"/>
      <c r="CG498" s="408"/>
      <c r="CH498" s="408"/>
      <c r="CI498" s="408">
        <v>-18015.246200000001</v>
      </c>
      <c r="CJ498" s="408">
        <v>5566.384450000005</v>
      </c>
      <c r="CK498" s="408"/>
      <c r="CL498" s="408"/>
      <c r="CM498" s="408"/>
      <c r="CN498" s="408"/>
      <c r="CO498" s="408">
        <v>7099.0677200000027</v>
      </c>
      <c r="CP498" s="408">
        <v>-773.68586999999957</v>
      </c>
      <c r="CQ498" s="408">
        <v>31</v>
      </c>
      <c r="CR498" s="408">
        <v>-1001.2122344606705</v>
      </c>
      <c r="CS498" s="408">
        <v>-23.319355952885104</v>
      </c>
      <c r="CT498" s="408">
        <v>-35.126199867391904</v>
      </c>
      <c r="CU498" s="408">
        <v>0</v>
      </c>
      <c r="CV498" s="408">
        <v>0</v>
      </c>
      <c r="CW498" s="408">
        <v>0</v>
      </c>
      <c r="CX498" s="408">
        <v>0</v>
      </c>
      <c r="CY498" s="408">
        <v>0</v>
      </c>
      <c r="CZ498" s="408">
        <v>-82.423693328141781</v>
      </c>
      <c r="DA498" s="408">
        <v>0</v>
      </c>
      <c r="DB498" s="408">
        <v>0</v>
      </c>
      <c r="DC498" s="408">
        <v>-773.45149795821362</v>
      </c>
      <c r="DD498" s="408">
        <v>0</v>
      </c>
      <c r="DE498" s="408">
        <v>0</v>
      </c>
      <c r="DF498" s="408">
        <v>0</v>
      </c>
      <c r="DG498" s="408">
        <v>-129.39698971631969</v>
      </c>
      <c r="DH498" s="408">
        <v>0</v>
      </c>
      <c r="DI498" s="408">
        <v>36.3539625765452</v>
      </c>
      <c r="DJ498" s="408"/>
      <c r="DK498" s="408">
        <v>0</v>
      </c>
      <c r="DL498" s="408">
        <v>0</v>
      </c>
      <c r="DM498" s="408">
        <v>0</v>
      </c>
      <c r="DN498" s="408">
        <v>0</v>
      </c>
      <c r="DO498" s="408">
        <v>4.7231931622953311</v>
      </c>
      <c r="DP498" s="408">
        <v>1.4283466234417972</v>
      </c>
      <c r="DQ498" s="408">
        <v>0</v>
      </c>
      <c r="DR498" s="408">
        <v>0</v>
      </c>
      <c r="DS498" s="408"/>
      <c r="DT498" s="408"/>
      <c r="DU498" s="408"/>
      <c r="DV498" s="408">
        <v>-13061.000614633467</v>
      </c>
      <c r="DW498" s="408">
        <v>0</v>
      </c>
      <c r="DX498" s="408">
        <v>0</v>
      </c>
      <c r="DY498" s="408">
        <v>7099.0677200000009</v>
      </c>
      <c r="DZ498" s="408">
        <v>-773.68586999999934</v>
      </c>
      <c r="EA498" s="408">
        <v>0</v>
      </c>
      <c r="EB498" s="408">
        <v>0</v>
      </c>
      <c r="EC498" s="408">
        <v>7327.0868059929844</v>
      </c>
      <c r="ED498" s="408">
        <v>0</v>
      </c>
      <c r="EE498" s="408">
        <v>0</v>
      </c>
      <c r="EF498" s="408">
        <v>0</v>
      </c>
      <c r="EG498" s="408">
        <v>0</v>
      </c>
      <c r="EH498" s="408">
        <v>0</v>
      </c>
      <c r="EI498" s="408">
        <v>0</v>
      </c>
      <c r="EJ498" s="408">
        <v>0</v>
      </c>
      <c r="EK498" s="408">
        <v>0</v>
      </c>
      <c r="EL498" s="408">
        <v>0</v>
      </c>
      <c r="EM498" s="408">
        <v>0</v>
      </c>
      <c r="EN498" s="408">
        <v>0</v>
      </c>
      <c r="EO498" s="408">
        <v>0</v>
      </c>
      <c r="EP498" s="408">
        <v>0</v>
      </c>
      <c r="EQ498" s="408">
        <v>0</v>
      </c>
      <c r="ER498" s="408">
        <v>0</v>
      </c>
      <c r="ES498" s="408">
        <v>0</v>
      </c>
      <c r="ET498" s="408">
        <v>0</v>
      </c>
      <c r="EU498" s="408">
        <v>0</v>
      </c>
      <c r="EV498" s="408">
        <v>238</v>
      </c>
      <c r="EW498" s="408">
        <v>0</v>
      </c>
      <c r="EX498" s="408">
        <v>0</v>
      </c>
      <c r="EY498" s="408">
        <v>0</v>
      </c>
      <c r="EZ498" s="408"/>
      <c r="FA498" s="408">
        <v>0</v>
      </c>
      <c r="FB498" s="408"/>
      <c r="FC498" s="408"/>
      <c r="FD498" s="408"/>
      <c r="FE498" s="408"/>
      <c r="FF498" s="408">
        <v>0</v>
      </c>
      <c r="FG498" s="408">
        <v>0</v>
      </c>
      <c r="FH498" s="408">
        <v>0</v>
      </c>
      <c r="FI498" s="408">
        <v>0</v>
      </c>
    </row>
    <row r="499" spans="1:165">
      <c r="A499" s="408">
        <v>503</v>
      </c>
      <c r="B499" s="408" t="s">
        <v>2238</v>
      </c>
      <c r="C499" s="408" t="s">
        <v>2235</v>
      </c>
      <c r="D499" s="408" t="s">
        <v>2245</v>
      </c>
      <c r="E499" s="408" t="s">
        <v>974</v>
      </c>
      <c r="F499" s="408" t="s">
        <v>1322</v>
      </c>
      <c r="G499" s="408" t="s">
        <v>1322</v>
      </c>
      <c r="H499" s="408" t="s">
        <v>1322</v>
      </c>
      <c r="I499" s="408" t="s">
        <v>1322</v>
      </c>
      <c r="J499" s="408" t="s">
        <v>2236</v>
      </c>
      <c r="K499" s="824">
        <v>44621</v>
      </c>
      <c r="L499" s="408">
        <v>0</v>
      </c>
      <c r="M499" s="408">
        <v>0</v>
      </c>
      <c r="N499" s="408">
        <v>185.73599999999999</v>
      </c>
      <c r="O499" s="408">
        <v>185.73599999999999</v>
      </c>
      <c r="P499" s="408">
        <v>185.73599999999999</v>
      </c>
      <c r="Q499" s="408">
        <v>185.73599999999999</v>
      </c>
      <c r="R499" s="408"/>
      <c r="S499" s="408">
        <v>581.32000000000005</v>
      </c>
      <c r="T499" s="408">
        <v>209.4</v>
      </c>
      <c r="U499" s="408"/>
      <c r="V499" s="408">
        <v>146865.16992000001</v>
      </c>
      <c r="W499" s="408">
        <v>146865.16992000001</v>
      </c>
      <c r="X499" s="408">
        <v>112197.54551999999</v>
      </c>
      <c r="Y499" s="408">
        <v>0</v>
      </c>
      <c r="Z499" s="408">
        <v>11429.804783088115</v>
      </c>
      <c r="AA499" s="408">
        <v>0</v>
      </c>
      <c r="AB499" s="408">
        <v>0</v>
      </c>
      <c r="AC499" s="408">
        <v>0</v>
      </c>
      <c r="AD499" s="408">
        <v>13779.966469795399</v>
      </c>
      <c r="AE499" s="408">
        <v>71583.641009164072</v>
      </c>
      <c r="AF499" s="408">
        <v>38382.482920241819</v>
      </c>
      <c r="AG499" s="408">
        <v>511.32470058841125</v>
      </c>
      <c r="AH499" s="408">
        <v>0</v>
      </c>
      <c r="AI499" s="408">
        <v>0</v>
      </c>
      <c r="AJ499" s="408">
        <v>0</v>
      </c>
      <c r="AK499" s="408">
        <v>0</v>
      </c>
      <c r="AL499" s="408">
        <v>1766.2753711588664</v>
      </c>
      <c r="AM499" s="408"/>
      <c r="AN499" s="408">
        <v>338.59010016479095</v>
      </c>
      <c r="AO499" s="408">
        <v>1058.5987612365814</v>
      </c>
      <c r="AP499" s="408">
        <v>1594.5788443599631</v>
      </c>
      <c r="AQ499" s="408">
        <v>0</v>
      </c>
      <c r="AR499" s="408">
        <v>0</v>
      </c>
      <c r="AS499" s="408">
        <v>0</v>
      </c>
      <c r="AT499" s="408">
        <v>0</v>
      </c>
      <c r="AU499" s="408">
        <v>0</v>
      </c>
      <c r="AV499" s="408">
        <v>0</v>
      </c>
      <c r="AW499" s="408">
        <v>0</v>
      </c>
      <c r="AX499" s="408">
        <v>0</v>
      </c>
      <c r="AY499" s="408">
        <v>0</v>
      </c>
      <c r="AZ499" s="408">
        <v>0</v>
      </c>
      <c r="BA499" s="408"/>
      <c r="BB499" s="408">
        <v>0</v>
      </c>
      <c r="BC499" s="408">
        <v>0</v>
      </c>
      <c r="BD499" s="408">
        <v>0</v>
      </c>
      <c r="BE499" s="408">
        <v>0</v>
      </c>
      <c r="BF499" s="408">
        <v>0</v>
      </c>
      <c r="BG499" s="408">
        <v>6421.3176402508716</v>
      </c>
      <c r="BH499" s="408">
        <v>0</v>
      </c>
      <c r="BI499" s="408">
        <v>264.04000000000002</v>
      </c>
      <c r="BJ499" s="408">
        <v>121.61</v>
      </c>
      <c r="BK499" s="408">
        <v>10556.33</v>
      </c>
      <c r="BL499" s="408">
        <v>890</v>
      </c>
      <c r="BM499" s="408"/>
      <c r="BN499" s="408"/>
      <c r="BO499" s="408"/>
      <c r="BP499" s="408"/>
      <c r="BQ499" s="408"/>
      <c r="BR499" s="408">
        <v>13464.002639999984</v>
      </c>
      <c r="BS499" s="408"/>
      <c r="BT499" s="408"/>
      <c r="BU499" s="408"/>
      <c r="BV499" s="408">
        <v>44803.800560492688</v>
      </c>
      <c r="BW499" s="408"/>
      <c r="BX499" s="408"/>
      <c r="BY499" s="408"/>
      <c r="BZ499" s="408"/>
      <c r="CA499" s="408"/>
      <c r="CB499" s="408"/>
      <c r="CC499" s="408"/>
      <c r="CD499" s="408"/>
      <c r="CE499" s="408"/>
      <c r="CF499" s="408"/>
      <c r="CG499" s="408"/>
      <c r="CH499" s="408"/>
      <c r="CI499" s="408">
        <v>98735.669200000004</v>
      </c>
      <c r="CJ499" s="408">
        <v>-30508.756399999969</v>
      </c>
      <c r="CK499" s="408"/>
      <c r="CL499" s="408"/>
      <c r="CM499" s="408"/>
      <c r="CN499" s="408"/>
      <c r="CO499" s="408">
        <v>-38907.977280000014</v>
      </c>
      <c r="CP499" s="408">
        <v>4240.3528799999967</v>
      </c>
      <c r="CQ499" s="408">
        <v>31</v>
      </c>
      <c r="CR499" s="408">
        <v>5487.3603700253152</v>
      </c>
      <c r="CS499" s="408">
        <v>127.80677792986125</v>
      </c>
      <c r="CT499" s="408">
        <v>192.51674167340138</v>
      </c>
      <c r="CU499" s="408">
        <v>0</v>
      </c>
      <c r="CV499" s="408">
        <v>0</v>
      </c>
      <c r="CW499" s="408">
        <v>0</v>
      </c>
      <c r="CX499" s="408">
        <v>0</v>
      </c>
      <c r="CY499" s="408">
        <v>0</v>
      </c>
      <c r="CZ499" s="408">
        <v>451.74089244285278</v>
      </c>
      <c r="DA499" s="408">
        <v>0</v>
      </c>
      <c r="DB499" s="408">
        <v>0</v>
      </c>
      <c r="DC499" s="408">
        <v>4239.0683532935946</v>
      </c>
      <c r="DD499" s="408">
        <v>0</v>
      </c>
      <c r="DE499" s="408">
        <v>0</v>
      </c>
      <c r="DF499" s="408">
        <v>0</v>
      </c>
      <c r="DG499" s="408">
        <v>709.18821098144872</v>
      </c>
      <c r="DH499" s="408">
        <v>0</v>
      </c>
      <c r="DI499" s="408">
        <v>-199.24576095834163</v>
      </c>
      <c r="DJ499" s="408"/>
      <c r="DK499" s="408">
        <v>0</v>
      </c>
      <c r="DL499" s="408">
        <v>0</v>
      </c>
      <c r="DM499" s="408">
        <v>0</v>
      </c>
      <c r="DN499" s="408">
        <v>0</v>
      </c>
      <c r="DO499" s="408">
        <v>-25.886482492610639</v>
      </c>
      <c r="DP499" s="408">
        <v>-7.8283628449227081</v>
      </c>
      <c r="DQ499" s="408">
        <v>0</v>
      </c>
      <c r="DR499" s="408">
        <v>0</v>
      </c>
      <c r="DS499" s="408"/>
      <c r="DT499" s="408"/>
      <c r="DU499" s="408"/>
      <c r="DV499" s="408">
        <v>71583.641009164072</v>
      </c>
      <c r="DW499" s="408">
        <v>0</v>
      </c>
      <c r="DX499" s="408">
        <v>0</v>
      </c>
      <c r="DY499" s="408">
        <v>-38907.977280000021</v>
      </c>
      <c r="DZ499" s="408">
        <v>4240.3528799999985</v>
      </c>
      <c r="EA499" s="408">
        <v>0</v>
      </c>
      <c r="EB499" s="408">
        <v>0</v>
      </c>
      <c r="EC499" s="408">
        <v>-40157.685237035985</v>
      </c>
      <c r="ED499" s="408">
        <v>0</v>
      </c>
      <c r="EE499" s="408">
        <v>0</v>
      </c>
      <c r="EF499" s="408">
        <v>0</v>
      </c>
      <c r="EG499" s="408">
        <v>0</v>
      </c>
      <c r="EH499" s="408">
        <v>0</v>
      </c>
      <c r="EI499" s="408">
        <v>0</v>
      </c>
      <c r="EJ499" s="408">
        <v>0</v>
      </c>
      <c r="EK499" s="408">
        <v>0</v>
      </c>
      <c r="EL499" s="408">
        <v>0</v>
      </c>
      <c r="EM499" s="408">
        <v>0</v>
      </c>
      <c r="EN499" s="408">
        <v>0</v>
      </c>
      <c r="EO499" s="408">
        <v>0</v>
      </c>
      <c r="EP499" s="408">
        <v>0</v>
      </c>
      <c r="EQ499" s="408">
        <v>0</v>
      </c>
      <c r="ER499" s="408">
        <v>0</v>
      </c>
      <c r="ES499" s="408">
        <v>0</v>
      </c>
      <c r="ET499" s="408">
        <v>0</v>
      </c>
      <c r="EU499" s="408">
        <v>0</v>
      </c>
      <c r="EV499" s="408">
        <v>238</v>
      </c>
      <c r="EW499" s="408">
        <v>0</v>
      </c>
      <c r="EX499" s="408">
        <v>0</v>
      </c>
      <c r="EY499" s="408">
        <v>0</v>
      </c>
      <c r="EZ499" s="408"/>
      <c r="FA499" s="408">
        <v>0</v>
      </c>
      <c r="FB499" s="408"/>
      <c r="FC499" s="408"/>
      <c r="FD499" s="408"/>
      <c r="FE499" s="408"/>
      <c r="FF499" s="408">
        <v>0</v>
      </c>
      <c r="FG499" s="408">
        <v>0</v>
      </c>
      <c r="FH499" s="408">
        <v>0</v>
      </c>
      <c r="FI499" s="408">
        <v>0</v>
      </c>
    </row>
    <row r="500" spans="1:165">
      <c r="A500" s="408">
        <v>504</v>
      </c>
      <c r="B500" s="408" t="s">
        <v>2238</v>
      </c>
      <c r="C500" s="408" t="s">
        <v>2235</v>
      </c>
      <c r="D500" s="408" t="s">
        <v>2245</v>
      </c>
      <c r="E500" s="408" t="s">
        <v>974</v>
      </c>
      <c r="F500" s="408" t="s">
        <v>1322</v>
      </c>
      <c r="G500" s="408" t="s">
        <v>1322</v>
      </c>
      <c r="H500" s="408" t="s">
        <v>1322</v>
      </c>
      <c r="I500" s="408" t="s">
        <v>1322</v>
      </c>
      <c r="J500" s="408" t="s">
        <v>2236</v>
      </c>
      <c r="K500" s="824">
        <v>44621</v>
      </c>
      <c r="L500" s="408">
        <v>0</v>
      </c>
      <c r="M500" s="408">
        <v>0</v>
      </c>
      <c r="N500" s="408">
        <v>-1.0860000000000001</v>
      </c>
      <c r="O500" s="408">
        <v>-1.0860000000000001</v>
      </c>
      <c r="P500" s="408">
        <v>-1.0860000000000001</v>
      </c>
      <c r="Q500" s="408">
        <v>-1.0860000000000001</v>
      </c>
      <c r="R500" s="408"/>
      <c r="S500" s="408">
        <v>581.32000000000005</v>
      </c>
      <c r="T500" s="408">
        <v>209.4</v>
      </c>
      <c r="U500" s="408"/>
      <c r="V500" s="408">
        <v>-858.72192000000018</v>
      </c>
      <c r="W500" s="408">
        <v>-858.72192000000018</v>
      </c>
      <c r="X500" s="408">
        <v>-656.02002000000005</v>
      </c>
      <c r="Y500" s="408">
        <v>0</v>
      </c>
      <c r="Z500" s="408">
        <v>-66.830167519671448</v>
      </c>
      <c r="AA500" s="408">
        <v>0</v>
      </c>
      <c r="AB500" s="408">
        <v>0</v>
      </c>
      <c r="AC500" s="408">
        <v>0</v>
      </c>
      <c r="AD500" s="408">
        <v>-80.571583248254541</v>
      </c>
      <c r="AE500" s="408">
        <v>-418.55016871232391</v>
      </c>
      <c r="AF500" s="408">
        <v>-224.42270992905316</v>
      </c>
      <c r="AG500" s="408">
        <v>-2.9897199511081034</v>
      </c>
      <c r="AH500" s="408">
        <v>0</v>
      </c>
      <c r="AI500" s="408">
        <v>0</v>
      </c>
      <c r="AJ500" s="408">
        <v>0</v>
      </c>
      <c r="AK500" s="408">
        <v>0</v>
      </c>
      <c r="AL500" s="408">
        <v>-10.327427386605338</v>
      </c>
      <c r="AM500" s="408"/>
      <c r="AN500" s="408">
        <v>-1.9797392469901529</v>
      </c>
      <c r="AO500" s="408">
        <v>-6.1896361217153784</v>
      </c>
      <c r="AP500" s="408">
        <v>-9.3235163079581778</v>
      </c>
      <c r="AQ500" s="408">
        <v>0</v>
      </c>
      <c r="AR500" s="408">
        <v>0</v>
      </c>
      <c r="AS500" s="408">
        <v>0</v>
      </c>
      <c r="AT500" s="408">
        <v>0</v>
      </c>
      <c r="AU500" s="408">
        <v>0</v>
      </c>
      <c r="AV500" s="408">
        <v>0</v>
      </c>
      <c r="AW500" s="408">
        <v>0</v>
      </c>
      <c r="AX500" s="408">
        <v>0</v>
      </c>
      <c r="AY500" s="408">
        <v>0</v>
      </c>
      <c r="AZ500" s="408">
        <v>0</v>
      </c>
      <c r="BA500" s="408"/>
      <c r="BB500" s="408">
        <v>0</v>
      </c>
      <c r="BC500" s="408">
        <v>0</v>
      </c>
      <c r="BD500" s="408">
        <v>0</v>
      </c>
      <c r="BE500" s="408">
        <v>0</v>
      </c>
      <c r="BF500" s="408">
        <v>0</v>
      </c>
      <c r="BG500" s="408">
        <v>-37.545499834778646</v>
      </c>
      <c r="BH500" s="408">
        <v>0</v>
      </c>
      <c r="BI500" s="408">
        <v>-2.02</v>
      </c>
      <c r="BJ500" s="408">
        <v>-9.35</v>
      </c>
      <c r="BK500" s="408">
        <v>-89.43</v>
      </c>
      <c r="BL500" s="408">
        <v>6</v>
      </c>
      <c r="BM500" s="408"/>
      <c r="BN500" s="408"/>
      <c r="BO500" s="408"/>
      <c r="BP500" s="408"/>
      <c r="BQ500" s="408"/>
      <c r="BR500" s="408">
        <v>-78.72413999999992</v>
      </c>
      <c r="BS500" s="408"/>
      <c r="BT500" s="408"/>
      <c r="BU500" s="408"/>
      <c r="BV500" s="408">
        <v>-261.96820976383179</v>
      </c>
      <c r="BW500" s="408"/>
      <c r="BX500" s="408"/>
      <c r="BY500" s="408"/>
      <c r="BZ500" s="408"/>
      <c r="CA500" s="408"/>
      <c r="CB500" s="408"/>
      <c r="CC500" s="408"/>
      <c r="CD500" s="408"/>
      <c r="CE500" s="408"/>
      <c r="CF500" s="408"/>
      <c r="CG500" s="408"/>
      <c r="CH500" s="408"/>
      <c r="CI500" s="408">
        <v>-579.42220000000009</v>
      </c>
      <c r="CJ500" s="408">
        <v>176.2408999999999</v>
      </c>
      <c r="CK500" s="408"/>
      <c r="CL500" s="408"/>
      <c r="CM500" s="408"/>
      <c r="CN500" s="408"/>
      <c r="CO500" s="408">
        <v>227.49528000000009</v>
      </c>
      <c r="CP500" s="408">
        <v>-24.793379999999985</v>
      </c>
      <c r="CQ500" s="408">
        <v>31</v>
      </c>
      <c r="CR500" s="408">
        <v>-32.084643590081953</v>
      </c>
      <c r="CS500" s="408">
        <v>-0.747287337036596</v>
      </c>
      <c r="CT500" s="408">
        <v>-1.1256470552683062</v>
      </c>
      <c r="CU500" s="408">
        <v>0</v>
      </c>
      <c r="CV500" s="408">
        <v>0</v>
      </c>
      <c r="CW500" s="408">
        <v>0</v>
      </c>
      <c r="CX500" s="408">
        <v>0</v>
      </c>
      <c r="CY500" s="408">
        <v>0</v>
      </c>
      <c r="CZ500" s="408">
        <v>-2.6413329090372315</v>
      </c>
      <c r="DA500" s="408">
        <v>0</v>
      </c>
      <c r="DB500" s="408">
        <v>0</v>
      </c>
      <c r="DC500" s="408">
        <v>-24.785869361226958</v>
      </c>
      <c r="DD500" s="408">
        <v>0</v>
      </c>
      <c r="DE500" s="408">
        <v>0</v>
      </c>
      <c r="DF500" s="408">
        <v>0</v>
      </c>
      <c r="DG500" s="408">
        <v>-4.146629609369505</v>
      </c>
      <c r="DH500" s="408">
        <v>0</v>
      </c>
      <c r="DI500" s="408">
        <v>1.1649916892834966</v>
      </c>
      <c r="DJ500" s="408"/>
      <c r="DK500" s="408">
        <v>0</v>
      </c>
      <c r="DL500" s="408">
        <v>0</v>
      </c>
      <c r="DM500" s="408">
        <v>0</v>
      </c>
      <c r="DN500" s="408">
        <v>0</v>
      </c>
      <c r="DO500" s="408">
        <v>0.15135848724520251</v>
      </c>
      <c r="DP500" s="408">
        <v>4.5772505327917434E-2</v>
      </c>
      <c r="DQ500" s="408">
        <v>0</v>
      </c>
      <c r="DR500" s="408">
        <v>0</v>
      </c>
      <c r="DS500" s="408"/>
      <c r="DT500" s="408"/>
      <c r="DU500" s="408"/>
      <c r="DV500" s="408">
        <v>-418.55016871232391</v>
      </c>
      <c r="DW500" s="408">
        <v>0</v>
      </c>
      <c r="DX500" s="408">
        <v>0</v>
      </c>
      <c r="DY500" s="408">
        <v>227.49528000000015</v>
      </c>
      <c r="DZ500" s="408">
        <v>-24.793379999999985</v>
      </c>
      <c r="EA500" s="408">
        <v>0</v>
      </c>
      <c r="EB500" s="408">
        <v>0</v>
      </c>
      <c r="EC500" s="408">
        <v>234.80233324407271</v>
      </c>
      <c r="ED500" s="408">
        <v>0</v>
      </c>
      <c r="EE500" s="408">
        <v>0</v>
      </c>
      <c r="EF500" s="408">
        <v>0</v>
      </c>
      <c r="EG500" s="408">
        <v>0</v>
      </c>
      <c r="EH500" s="408">
        <v>0</v>
      </c>
      <c r="EI500" s="408">
        <v>0</v>
      </c>
      <c r="EJ500" s="408">
        <v>0</v>
      </c>
      <c r="EK500" s="408">
        <v>0</v>
      </c>
      <c r="EL500" s="408">
        <v>0</v>
      </c>
      <c r="EM500" s="408">
        <v>0</v>
      </c>
      <c r="EN500" s="408">
        <v>0</v>
      </c>
      <c r="EO500" s="408">
        <v>0</v>
      </c>
      <c r="EP500" s="408">
        <v>0</v>
      </c>
      <c r="EQ500" s="408">
        <v>0</v>
      </c>
      <c r="ER500" s="408">
        <v>0</v>
      </c>
      <c r="ES500" s="408">
        <v>0</v>
      </c>
      <c r="ET500" s="408">
        <v>0</v>
      </c>
      <c r="EU500" s="408">
        <v>0</v>
      </c>
      <c r="EV500" s="408">
        <v>238</v>
      </c>
      <c r="EW500" s="408">
        <v>0</v>
      </c>
      <c r="EX500" s="408">
        <v>0</v>
      </c>
      <c r="EY500" s="408">
        <v>0</v>
      </c>
      <c r="EZ500" s="408"/>
      <c r="FA500" s="408">
        <v>0</v>
      </c>
      <c r="FB500" s="408"/>
      <c r="FC500" s="408"/>
      <c r="FD500" s="408"/>
      <c r="FE500" s="408"/>
      <c r="FF500" s="408">
        <v>0</v>
      </c>
      <c r="FG500" s="408">
        <v>0</v>
      </c>
      <c r="FH500" s="408">
        <v>0</v>
      </c>
      <c r="FI500" s="408">
        <v>0</v>
      </c>
    </row>
    <row r="501" spans="1:165">
      <c r="A501" s="408">
        <v>505</v>
      </c>
      <c r="B501" s="408" t="s">
        <v>1036</v>
      </c>
      <c r="C501" s="408" t="s">
        <v>2243</v>
      </c>
      <c r="D501" s="408" t="s">
        <v>597</v>
      </c>
      <c r="E501" s="408" t="s">
        <v>974</v>
      </c>
      <c r="F501" s="408" t="s">
        <v>1322</v>
      </c>
      <c r="G501" s="408" t="s">
        <v>1322</v>
      </c>
      <c r="H501" s="408" t="s">
        <v>1322</v>
      </c>
      <c r="I501" s="408" t="s">
        <v>973</v>
      </c>
      <c r="J501" s="408" t="s">
        <v>2236</v>
      </c>
      <c r="K501" s="824">
        <v>44621</v>
      </c>
      <c r="L501" s="408">
        <v>0</v>
      </c>
      <c r="M501" s="408">
        <v>0</v>
      </c>
      <c r="N501" s="408">
        <v>18.577000000000002</v>
      </c>
      <c r="O501" s="408">
        <v>17.833919999999999</v>
      </c>
      <c r="P501" s="408">
        <v>18.577000000000002</v>
      </c>
      <c r="Q501" s="408">
        <v>17.833919999999999</v>
      </c>
      <c r="R501" s="408"/>
      <c r="S501" s="408">
        <v>1614.19</v>
      </c>
      <c r="T501" s="408">
        <v>209.4</v>
      </c>
      <c r="U501" s="408"/>
      <c r="V501" s="408">
        <v>33876.831430000006</v>
      </c>
      <c r="W501" s="408">
        <v>33876.831430000006</v>
      </c>
      <c r="X501" s="408">
        <v>22518.110550000001</v>
      </c>
      <c r="Y501" s="408">
        <v>0</v>
      </c>
      <c r="Z501" s="408">
        <v>994.57504525898287</v>
      </c>
      <c r="AA501" s="408">
        <v>0</v>
      </c>
      <c r="AB501" s="408">
        <v>0</v>
      </c>
      <c r="AC501" s="408">
        <v>0</v>
      </c>
      <c r="AD501" s="408">
        <v>5785.2120066204334</v>
      </c>
      <c r="AE501" s="408">
        <v>21602.015818076627</v>
      </c>
      <c r="AF501" s="408">
        <v>3838.950904559872</v>
      </c>
      <c r="AG501" s="408">
        <v>51.141830139719367</v>
      </c>
      <c r="AH501" s="408">
        <v>0</v>
      </c>
      <c r="AI501" s="408">
        <v>0</v>
      </c>
      <c r="AJ501" s="408">
        <v>0</v>
      </c>
      <c r="AK501" s="408">
        <v>0</v>
      </c>
      <c r="AL501" s="408">
        <v>176.65986976148008</v>
      </c>
      <c r="AM501" s="408"/>
      <c r="AN501" s="408">
        <v>24.667363719155347</v>
      </c>
      <c r="AO501" s="408">
        <v>449.46912864982386</v>
      </c>
      <c r="AP501" s="408">
        <v>669.4910011304562</v>
      </c>
      <c r="AQ501" s="408">
        <v>0</v>
      </c>
      <c r="AR501" s="408">
        <v>0</v>
      </c>
      <c r="AS501" s="408">
        <v>0</v>
      </c>
      <c r="AT501" s="408">
        <v>0</v>
      </c>
      <c r="AU501" s="408">
        <v>0</v>
      </c>
      <c r="AV501" s="408">
        <v>0</v>
      </c>
      <c r="AW501" s="408">
        <v>0</v>
      </c>
      <c r="AX501" s="408">
        <v>0</v>
      </c>
      <c r="AY501" s="408">
        <v>0</v>
      </c>
      <c r="AZ501" s="408">
        <v>0</v>
      </c>
      <c r="BA501" s="408"/>
      <c r="BB501" s="408">
        <v>0</v>
      </c>
      <c r="BC501" s="408">
        <v>0</v>
      </c>
      <c r="BD501" s="408">
        <v>0</v>
      </c>
      <c r="BE501" s="408">
        <v>0</v>
      </c>
      <c r="BF501" s="408">
        <v>0</v>
      </c>
      <c r="BG501" s="408">
        <v>284.68205428239514</v>
      </c>
      <c r="BH501" s="408">
        <v>0</v>
      </c>
      <c r="BI501" s="408">
        <v>0</v>
      </c>
      <c r="BJ501" s="408">
        <v>0</v>
      </c>
      <c r="BK501" s="408">
        <v>0</v>
      </c>
      <c r="BL501" s="408">
        <v>0</v>
      </c>
      <c r="BM501" s="408"/>
      <c r="BN501" s="408"/>
      <c r="BO501" s="408"/>
      <c r="BP501" s="408"/>
      <c r="BQ501" s="408"/>
      <c r="BR501" s="408">
        <v>900.72442200000319</v>
      </c>
      <c r="BS501" s="408"/>
      <c r="BT501" s="408"/>
      <c r="BU501" s="408"/>
      <c r="BV501" s="408">
        <v>4123.6329588422668</v>
      </c>
      <c r="BW501" s="408"/>
      <c r="BX501" s="408"/>
      <c r="BY501" s="408"/>
      <c r="BZ501" s="408"/>
      <c r="CA501" s="408"/>
      <c r="CB501" s="408"/>
      <c r="CC501" s="408"/>
      <c r="CD501" s="408"/>
      <c r="CE501" s="408"/>
      <c r="CF501" s="408"/>
      <c r="CG501" s="408"/>
      <c r="CH501" s="408"/>
      <c r="CI501" s="408">
        <v>21612.634499999996</v>
      </c>
      <c r="CJ501" s="408">
        <v>-10909.153672799996</v>
      </c>
      <c r="CK501" s="408"/>
      <c r="CL501" s="408"/>
      <c r="CM501" s="408"/>
      <c r="CN501" s="408"/>
      <c r="CO501" s="408">
        <v>-11782.833790000002</v>
      </c>
      <c r="CP501" s="408">
        <v>424.11290999999977</v>
      </c>
      <c r="CQ501" s="408">
        <v>31</v>
      </c>
      <c r="CR501" s="408">
        <v>759.67619626433225</v>
      </c>
      <c r="CS501" s="408">
        <v>54.265320549375417</v>
      </c>
      <c r="CT501" s="408">
        <v>80.829007968580186</v>
      </c>
      <c r="CU501" s="408">
        <v>0</v>
      </c>
      <c r="CV501" s="408">
        <v>0</v>
      </c>
      <c r="CW501" s="408">
        <v>0</v>
      </c>
      <c r="CX501" s="408">
        <v>0</v>
      </c>
      <c r="CY501" s="408">
        <v>0</v>
      </c>
      <c r="CZ501" s="408">
        <v>189.65335224655973</v>
      </c>
      <c r="DA501" s="408">
        <v>0</v>
      </c>
      <c r="DB501" s="408">
        <v>0</v>
      </c>
      <c r="DC501" s="408">
        <v>423.98443381538937</v>
      </c>
      <c r="DD501" s="408">
        <v>0</v>
      </c>
      <c r="DE501" s="408">
        <v>0</v>
      </c>
      <c r="DF501" s="408">
        <v>0</v>
      </c>
      <c r="DG501" s="408">
        <v>31.441079243538695</v>
      </c>
      <c r="DH501" s="408">
        <v>0</v>
      </c>
      <c r="DI501" s="408">
        <v>-17.337554357535623</v>
      </c>
      <c r="DJ501" s="408"/>
      <c r="DK501" s="408">
        <v>0</v>
      </c>
      <c r="DL501" s="408">
        <v>0</v>
      </c>
      <c r="DM501" s="408">
        <v>0</v>
      </c>
      <c r="DN501" s="408">
        <v>0</v>
      </c>
      <c r="DO501" s="408">
        <v>-2.5891221156115307</v>
      </c>
      <c r="DP501" s="408">
        <v>-0.57032108595997144</v>
      </c>
      <c r="DQ501" s="408">
        <v>0</v>
      </c>
      <c r="DR501" s="408">
        <v>0</v>
      </c>
      <c r="DS501" s="408"/>
      <c r="DT501" s="408"/>
      <c r="DU501" s="408"/>
      <c r="DV501" s="408">
        <v>21602.015818076627</v>
      </c>
      <c r="DW501" s="408">
        <v>0</v>
      </c>
      <c r="DX501" s="408">
        <v>0</v>
      </c>
      <c r="DY501" s="408">
        <v>-11782.833790000001</v>
      </c>
      <c r="DZ501" s="408">
        <v>424.11290999999937</v>
      </c>
      <c r="EA501" s="408">
        <v>0</v>
      </c>
      <c r="EB501" s="408">
        <v>0</v>
      </c>
      <c r="EC501" s="408">
        <v>-12118.508355795178</v>
      </c>
      <c r="ED501" s="408">
        <v>0</v>
      </c>
      <c r="EE501" s="408">
        <v>0</v>
      </c>
      <c r="EF501" s="408">
        <v>0</v>
      </c>
      <c r="EG501" s="408">
        <v>0</v>
      </c>
      <c r="EH501" s="408">
        <v>0</v>
      </c>
      <c r="EI501" s="408">
        <v>0</v>
      </c>
      <c r="EJ501" s="408">
        <v>0</v>
      </c>
      <c r="EK501" s="408">
        <v>0</v>
      </c>
      <c r="EL501" s="408">
        <v>0</v>
      </c>
      <c r="EM501" s="408">
        <v>0</v>
      </c>
      <c r="EN501" s="408">
        <v>0</v>
      </c>
      <c r="EO501" s="408">
        <v>0</v>
      </c>
      <c r="EP501" s="408">
        <v>0</v>
      </c>
      <c r="EQ501" s="408">
        <v>0</v>
      </c>
      <c r="ER501" s="408">
        <v>0</v>
      </c>
      <c r="ES501" s="408">
        <v>0</v>
      </c>
      <c r="ET501" s="408">
        <v>0</v>
      </c>
      <c r="EU501" s="408">
        <v>0</v>
      </c>
      <c r="EV501" s="408">
        <v>238</v>
      </c>
      <c r="EW501" s="408">
        <v>0</v>
      </c>
      <c r="EX501" s="408">
        <v>0</v>
      </c>
      <c r="EY501" s="408">
        <v>0</v>
      </c>
      <c r="EZ501" s="408"/>
      <c r="FA501" s="408">
        <v>0</v>
      </c>
      <c r="FB501" s="408"/>
      <c r="FC501" s="408"/>
      <c r="FD501" s="408"/>
      <c r="FE501" s="408"/>
      <c r="FF501" s="408">
        <v>0</v>
      </c>
      <c r="FG501" s="408">
        <v>0</v>
      </c>
      <c r="FH501" s="408">
        <v>0</v>
      </c>
      <c r="FI501" s="408">
        <v>0</v>
      </c>
    </row>
    <row r="502" spans="1:165">
      <c r="A502" s="408">
        <v>506</v>
      </c>
      <c r="B502" s="408" t="s">
        <v>2238</v>
      </c>
      <c r="C502" s="408" t="s">
        <v>2243</v>
      </c>
      <c r="D502" s="408" t="s">
        <v>597</v>
      </c>
      <c r="E502" s="408" t="s">
        <v>974</v>
      </c>
      <c r="F502" s="408" t="s">
        <v>1322</v>
      </c>
      <c r="G502" s="408" t="s">
        <v>1322</v>
      </c>
      <c r="H502" s="408" t="s">
        <v>1322</v>
      </c>
      <c r="I502" s="408" t="s">
        <v>973</v>
      </c>
      <c r="J502" s="408" t="s">
        <v>2236</v>
      </c>
      <c r="K502" s="824">
        <v>44621</v>
      </c>
      <c r="L502" s="408">
        <v>0</v>
      </c>
      <c r="M502" s="408">
        <v>0</v>
      </c>
      <c r="N502" s="408">
        <v>0.42599999999999999</v>
      </c>
      <c r="O502" s="408">
        <v>0.40895999999999999</v>
      </c>
      <c r="P502" s="408">
        <v>0.42599999999999999</v>
      </c>
      <c r="Q502" s="408">
        <v>0.40895999999999999</v>
      </c>
      <c r="R502" s="408"/>
      <c r="S502" s="408">
        <v>1614.19</v>
      </c>
      <c r="T502" s="408">
        <v>209.4</v>
      </c>
      <c r="U502" s="408"/>
      <c r="V502" s="408">
        <v>776.84933999999998</v>
      </c>
      <c r="W502" s="408">
        <v>776.84933999999998</v>
      </c>
      <c r="X502" s="408">
        <v>516.37589999999989</v>
      </c>
      <c r="Y502" s="408">
        <v>0</v>
      </c>
      <c r="Z502" s="408">
        <v>22.807179269006117</v>
      </c>
      <c r="AA502" s="408">
        <v>0</v>
      </c>
      <c r="AB502" s="408">
        <v>0</v>
      </c>
      <c r="AC502" s="408">
        <v>0</v>
      </c>
      <c r="AD502" s="408">
        <v>132.66406388654272</v>
      </c>
      <c r="AE502" s="408">
        <v>495.36839847664538</v>
      </c>
      <c r="AF502" s="408">
        <v>88.033217706976643</v>
      </c>
      <c r="AG502" s="408">
        <v>1.1727630747440625</v>
      </c>
      <c r="AH502" s="408">
        <v>0</v>
      </c>
      <c r="AI502" s="408">
        <v>0</v>
      </c>
      <c r="AJ502" s="408">
        <v>0</v>
      </c>
      <c r="AK502" s="408">
        <v>0</v>
      </c>
      <c r="AL502" s="408">
        <v>4.0510903008230885</v>
      </c>
      <c r="AM502" s="408"/>
      <c r="AN502" s="408">
        <v>0.56566167542445911</v>
      </c>
      <c r="AO502" s="408">
        <v>10.307038208797167</v>
      </c>
      <c r="AP502" s="408">
        <v>15.35248783342705</v>
      </c>
      <c r="AQ502" s="408">
        <v>0</v>
      </c>
      <c r="AR502" s="408">
        <v>0</v>
      </c>
      <c r="AS502" s="408">
        <v>0</v>
      </c>
      <c r="AT502" s="408">
        <v>0</v>
      </c>
      <c r="AU502" s="408">
        <v>0</v>
      </c>
      <c r="AV502" s="408">
        <v>0</v>
      </c>
      <c r="AW502" s="408">
        <v>0</v>
      </c>
      <c r="AX502" s="408">
        <v>0</v>
      </c>
      <c r="AY502" s="408">
        <v>0</v>
      </c>
      <c r="AZ502" s="408">
        <v>0</v>
      </c>
      <c r="BA502" s="408"/>
      <c r="BB502" s="408">
        <v>0</v>
      </c>
      <c r="BC502" s="408">
        <v>0</v>
      </c>
      <c r="BD502" s="408">
        <v>0</v>
      </c>
      <c r="BE502" s="408">
        <v>0</v>
      </c>
      <c r="BF502" s="408">
        <v>0</v>
      </c>
      <c r="BG502" s="408">
        <v>6.5282098898799754</v>
      </c>
      <c r="BH502" s="408">
        <v>0</v>
      </c>
      <c r="BI502" s="408">
        <v>0</v>
      </c>
      <c r="BJ502" s="408">
        <v>0</v>
      </c>
      <c r="BK502" s="408">
        <v>0</v>
      </c>
      <c r="BL502" s="408">
        <v>0</v>
      </c>
      <c r="BM502" s="408"/>
      <c r="BN502" s="408"/>
      <c r="BO502" s="408"/>
      <c r="BP502" s="408"/>
      <c r="BQ502" s="408"/>
      <c r="BR502" s="408">
        <v>20.655035999999996</v>
      </c>
      <c r="BS502" s="408"/>
      <c r="BT502" s="408"/>
      <c r="BU502" s="408"/>
      <c r="BV502" s="408">
        <v>94.561427596856618</v>
      </c>
      <c r="BW502" s="408"/>
      <c r="BX502" s="408"/>
      <c r="BY502" s="408"/>
      <c r="BZ502" s="408"/>
      <c r="CA502" s="408"/>
      <c r="CB502" s="408"/>
      <c r="CC502" s="408"/>
      <c r="CD502" s="408"/>
      <c r="CE502" s="408"/>
      <c r="CF502" s="408"/>
      <c r="CG502" s="408"/>
      <c r="CH502" s="408"/>
      <c r="CI502" s="408">
        <v>496.98149999999993</v>
      </c>
      <c r="CJ502" s="408">
        <v>-248.82386639999999</v>
      </c>
      <c r="CK502" s="408"/>
      <c r="CL502" s="408"/>
      <c r="CM502" s="408"/>
      <c r="CN502" s="408"/>
      <c r="CO502" s="408">
        <v>-270.19902000000002</v>
      </c>
      <c r="CP502" s="408">
        <v>9.7255799999999937</v>
      </c>
      <c r="CQ502" s="408">
        <v>31</v>
      </c>
      <c r="CR502" s="408">
        <v>17.420577036583211</v>
      </c>
      <c r="CS502" s="408">
        <v>1.2443896513987145</v>
      </c>
      <c r="CT502" s="408">
        <v>1.8535370293704663</v>
      </c>
      <c r="CU502" s="408">
        <v>0</v>
      </c>
      <c r="CV502" s="408">
        <v>0</v>
      </c>
      <c r="CW502" s="408">
        <v>0</v>
      </c>
      <c r="CX502" s="408">
        <v>0</v>
      </c>
      <c r="CY502" s="408">
        <v>0</v>
      </c>
      <c r="CZ502" s="408">
        <v>4.3490514107247975</v>
      </c>
      <c r="DA502" s="408">
        <v>0</v>
      </c>
      <c r="DB502" s="408">
        <v>0</v>
      </c>
      <c r="DC502" s="408">
        <v>9.7226338378293633</v>
      </c>
      <c r="DD502" s="408">
        <v>0</v>
      </c>
      <c r="DE502" s="408">
        <v>0</v>
      </c>
      <c r="DF502" s="408">
        <v>0</v>
      </c>
      <c r="DG502" s="408">
        <v>0.72099368884897963</v>
      </c>
      <c r="DH502" s="408">
        <v>0</v>
      </c>
      <c r="DI502" s="408">
        <v>-0.3975775505361554</v>
      </c>
      <c r="DJ502" s="408"/>
      <c r="DK502" s="408">
        <v>0</v>
      </c>
      <c r="DL502" s="408">
        <v>0</v>
      </c>
      <c r="DM502" s="408">
        <v>0</v>
      </c>
      <c r="DN502" s="408">
        <v>0</v>
      </c>
      <c r="DO502" s="408">
        <v>-5.9372666267455632E-2</v>
      </c>
      <c r="DP502" s="408">
        <v>-1.3078364785430785E-2</v>
      </c>
      <c r="DQ502" s="408">
        <v>0</v>
      </c>
      <c r="DR502" s="408">
        <v>0</v>
      </c>
      <c r="DS502" s="408"/>
      <c r="DT502" s="408"/>
      <c r="DU502" s="408"/>
      <c r="DV502" s="408">
        <v>495.36839847664538</v>
      </c>
      <c r="DW502" s="408">
        <v>0</v>
      </c>
      <c r="DX502" s="408">
        <v>0</v>
      </c>
      <c r="DY502" s="408">
        <v>-270.19902000000008</v>
      </c>
      <c r="DZ502" s="408">
        <v>9.7255799999999795</v>
      </c>
      <c r="EA502" s="408">
        <v>0</v>
      </c>
      <c r="EB502" s="408">
        <v>0</v>
      </c>
      <c r="EC502" s="408">
        <v>-277.89656885227674</v>
      </c>
      <c r="ED502" s="408">
        <v>0</v>
      </c>
      <c r="EE502" s="408">
        <v>0</v>
      </c>
      <c r="EF502" s="408">
        <v>0</v>
      </c>
      <c r="EG502" s="408">
        <v>0</v>
      </c>
      <c r="EH502" s="408">
        <v>0</v>
      </c>
      <c r="EI502" s="408">
        <v>0</v>
      </c>
      <c r="EJ502" s="408">
        <v>0</v>
      </c>
      <c r="EK502" s="408">
        <v>0</v>
      </c>
      <c r="EL502" s="408">
        <v>0</v>
      </c>
      <c r="EM502" s="408">
        <v>0</v>
      </c>
      <c r="EN502" s="408">
        <v>0</v>
      </c>
      <c r="EO502" s="408">
        <v>0</v>
      </c>
      <c r="EP502" s="408">
        <v>0</v>
      </c>
      <c r="EQ502" s="408">
        <v>0</v>
      </c>
      <c r="ER502" s="408">
        <v>0</v>
      </c>
      <c r="ES502" s="408">
        <v>0</v>
      </c>
      <c r="ET502" s="408">
        <v>0</v>
      </c>
      <c r="EU502" s="408">
        <v>0</v>
      </c>
      <c r="EV502" s="408">
        <v>238</v>
      </c>
      <c r="EW502" s="408">
        <v>0</v>
      </c>
      <c r="EX502" s="408">
        <v>0</v>
      </c>
      <c r="EY502" s="408">
        <v>0</v>
      </c>
      <c r="EZ502" s="408"/>
      <c r="FA502" s="408">
        <v>0</v>
      </c>
      <c r="FB502" s="408"/>
      <c r="FC502" s="408"/>
      <c r="FD502" s="408"/>
      <c r="FE502" s="408"/>
      <c r="FF502" s="408">
        <v>0</v>
      </c>
      <c r="FG502" s="408">
        <v>0</v>
      </c>
      <c r="FH502" s="408">
        <v>0</v>
      </c>
      <c r="FI502" s="408">
        <v>0</v>
      </c>
    </row>
    <row r="503" spans="1:165">
      <c r="A503" s="408">
        <v>507</v>
      </c>
      <c r="B503" s="408" t="s">
        <v>1036</v>
      </c>
      <c r="C503" s="408" t="s">
        <v>2243</v>
      </c>
      <c r="D503" s="408" t="s">
        <v>597</v>
      </c>
      <c r="E503" s="408" t="s">
        <v>974</v>
      </c>
      <c r="F503" s="408" t="s">
        <v>1322</v>
      </c>
      <c r="G503" s="408" t="s">
        <v>1322</v>
      </c>
      <c r="H503" s="408" t="s">
        <v>1322</v>
      </c>
      <c r="I503" s="408" t="s">
        <v>2244</v>
      </c>
      <c r="J503" s="408" t="s">
        <v>2236</v>
      </c>
      <c r="K503" s="824">
        <v>44621</v>
      </c>
      <c r="L503" s="408">
        <v>0</v>
      </c>
      <c r="M503" s="408">
        <v>0</v>
      </c>
      <c r="N503" s="408">
        <v>203.86699999999999</v>
      </c>
      <c r="O503" s="408">
        <v>195.71232000000001</v>
      </c>
      <c r="P503" s="408">
        <v>203.86699999999999</v>
      </c>
      <c r="Q503" s="408">
        <v>195.71232000000001</v>
      </c>
      <c r="R503" s="408"/>
      <c r="S503" s="408">
        <v>79.7</v>
      </c>
      <c r="T503" s="408">
        <v>209.4</v>
      </c>
      <c r="U503" s="408"/>
      <c r="V503" s="408">
        <v>58937.949699999997</v>
      </c>
      <c r="W503" s="408">
        <v>58937.949699999997</v>
      </c>
      <c r="X503" s="408">
        <v>63712.514839999996</v>
      </c>
      <c r="Y503" s="408">
        <v>0</v>
      </c>
      <c r="Z503" s="408">
        <v>10914.62726768655</v>
      </c>
      <c r="AA503" s="408">
        <v>0</v>
      </c>
      <c r="AB503" s="408">
        <v>0</v>
      </c>
      <c r="AC503" s="408">
        <v>0</v>
      </c>
      <c r="AD503" s="408">
        <v>0</v>
      </c>
      <c r="AE503" s="408">
        <v>0</v>
      </c>
      <c r="AF503" s="408">
        <v>42129.26759217889</v>
      </c>
      <c r="AG503" s="408">
        <v>561.23870835410276</v>
      </c>
      <c r="AH503" s="408">
        <v>0</v>
      </c>
      <c r="AI503" s="408">
        <v>0</v>
      </c>
      <c r="AJ503" s="408">
        <v>0</v>
      </c>
      <c r="AK503" s="408">
        <v>0</v>
      </c>
      <c r="AL503" s="408">
        <v>1938.693958586621</v>
      </c>
      <c r="AM503" s="408"/>
      <c r="AN503" s="408">
        <v>270.70363564262487</v>
      </c>
      <c r="AO503" s="408">
        <v>0</v>
      </c>
      <c r="AP503" s="408">
        <v>0</v>
      </c>
      <c r="AQ503" s="408">
        <v>0</v>
      </c>
      <c r="AR503" s="408">
        <v>0</v>
      </c>
      <c r="AS503" s="408">
        <v>0</v>
      </c>
      <c r="AT503" s="408">
        <v>0</v>
      </c>
      <c r="AU503" s="408">
        <v>0</v>
      </c>
      <c r="AV503" s="408">
        <v>0</v>
      </c>
      <c r="AW503" s="408">
        <v>0</v>
      </c>
      <c r="AX503" s="408">
        <v>0</v>
      </c>
      <c r="AY503" s="408">
        <v>0</v>
      </c>
      <c r="AZ503" s="408">
        <v>0</v>
      </c>
      <c r="BA503" s="408"/>
      <c r="BB503" s="408">
        <v>0</v>
      </c>
      <c r="BC503" s="408">
        <v>0</v>
      </c>
      <c r="BD503" s="408">
        <v>0</v>
      </c>
      <c r="BE503" s="408">
        <v>0</v>
      </c>
      <c r="BF503" s="408">
        <v>0</v>
      </c>
      <c r="BG503" s="408">
        <v>3124.1468676529598</v>
      </c>
      <c r="BH503" s="408">
        <v>0</v>
      </c>
      <c r="BI503" s="408">
        <v>0</v>
      </c>
      <c r="BJ503" s="408">
        <v>0</v>
      </c>
      <c r="BK503" s="408">
        <v>0</v>
      </c>
      <c r="BL503" s="408">
        <v>0</v>
      </c>
      <c r="BM503" s="408"/>
      <c r="BN503" s="408"/>
      <c r="BO503" s="408"/>
      <c r="BP503" s="408"/>
      <c r="BQ503" s="408"/>
      <c r="BR503" s="408">
        <v>2548.5005935999952</v>
      </c>
      <c r="BS503" s="408"/>
      <c r="BT503" s="408"/>
      <c r="BU503" s="408"/>
      <c r="BV503" s="408">
        <v>45253.414459831853</v>
      </c>
      <c r="BW503" s="408"/>
      <c r="BX503" s="408"/>
      <c r="BY503" s="408"/>
      <c r="BZ503" s="408"/>
      <c r="CA503" s="408"/>
      <c r="CB503" s="408"/>
      <c r="CC503" s="408"/>
      <c r="CD503" s="408"/>
      <c r="CE503" s="408"/>
      <c r="CF503" s="408"/>
      <c r="CG503" s="408"/>
      <c r="CH503" s="408"/>
      <c r="CI503" s="408">
        <v>61163.289199999999</v>
      </c>
      <c r="CJ503" s="408">
        <v>4582.8274879999881</v>
      </c>
      <c r="CK503" s="408"/>
      <c r="CL503" s="408"/>
      <c r="CM503" s="408"/>
      <c r="CN503" s="408"/>
      <c r="CO503" s="408">
        <v>120.28153000000069</v>
      </c>
      <c r="CP503" s="408">
        <v>4654.2836099999968</v>
      </c>
      <c r="CQ503" s="408">
        <v>31</v>
      </c>
      <c r="CR503" s="408">
        <v>4772.9758125317312</v>
      </c>
      <c r="CS503" s="408">
        <v>0</v>
      </c>
      <c r="CT503" s="408">
        <v>0</v>
      </c>
      <c r="CU503" s="408">
        <v>0</v>
      </c>
      <c r="CV503" s="408">
        <v>0</v>
      </c>
      <c r="CW503" s="408">
        <v>0</v>
      </c>
      <c r="CX503" s="408">
        <v>0</v>
      </c>
      <c r="CY503" s="408">
        <v>0</v>
      </c>
      <c r="CZ503" s="408">
        <v>0</v>
      </c>
      <c r="DA503" s="408">
        <v>0</v>
      </c>
      <c r="DB503" s="408">
        <v>0</v>
      </c>
      <c r="DC503" s="408">
        <v>4652.8736915886329</v>
      </c>
      <c r="DD503" s="408">
        <v>0</v>
      </c>
      <c r="DE503" s="408">
        <v>0</v>
      </c>
      <c r="DF503" s="408">
        <v>0</v>
      </c>
      <c r="DG503" s="408">
        <v>345.03948442388446</v>
      </c>
      <c r="DH503" s="408">
        <v>0</v>
      </c>
      <c r="DI503" s="408">
        <v>-190.26512322806229</v>
      </c>
      <c r="DJ503" s="408"/>
      <c r="DK503" s="408">
        <v>0</v>
      </c>
      <c r="DL503" s="408">
        <v>0</v>
      </c>
      <c r="DM503" s="408">
        <v>0</v>
      </c>
      <c r="DN503" s="408">
        <v>0</v>
      </c>
      <c r="DO503" s="408">
        <v>-28.413444492834287</v>
      </c>
      <c r="DP503" s="408">
        <v>-6.2587957598859134</v>
      </c>
      <c r="DQ503" s="408">
        <v>0</v>
      </c>
      <c r="DR503" s="408">
        <v>0</v>
      </c>
      <c r="DS503" s="408"/>
      <c r="DT503" s="408"/>
      <c r="DU503" s="408"/>
      <c r="DV503" s="408">
        <v>0</v>
      </c>
      <c r="DW503" s="408">
        <v>0</v>
      </c>
      <c r="DX503" s="408">
        <v>0</v>
      </c>
      <c r="DY503" s="408">
        <v>120.2815300000002</v>
      </c>
      <c r="DZ503" s="408">
        <v>4654.2836099999986</v>
      </c>
      <c r="EA503" s="408">
        <v>0</v>
      </c>
      <c r="EB503" s="408">
        <v>0</v>
      </c>
      <c r="EC503" s="408">
        <v>0</v>
      </c>
      <c r="ED503" s="408">
        <v>0</v>
      </c>
      <c r="EE503" s="408">
        <v>0</v>
      </c>
      <c r="EF503" s="408">
        <v>0</v>
      </c>
      <c r="EG503" s="408">
        <v>0</v>
      </c>
      <c r="EH503" s="408">
        <v>0</v>
      </c>
      <c r="EI503" s="408">
        <v>0</v>
      </c>
      <c r="EJ503" s="408">
        <v>0</v>
      </c>
      <c r="EK503" s="408">
        <v>0</v>
      </c>
      <c r="EL503" s="408">
        <v>0</v>
      </c>
      <c r="EM503" s="408">
        <v>0</v>
      </c>
      <c r="EN503" s="408">
        <v>0</v>
      </c>
      <c r="EO503" s="408">
        <v>0</v>
      </c>
      <c r="EP503" s="408">
        <v>0</v>
      </c>
      <c r="EQ503" s="408">
        <v>0</v>
      </c>
      <c r="ER503" s="408">
        <v>0</v>
      </c>
      <c r="ES503" s="408">
        <v>0</v>
      </c>
      <c r="ET503" s="408">
        <v>0</v>
      </c>
      <c r="EU503" s="408">
        <v>0</v>
      </c>
      <c r="EV503" s="408">
        <v>238</v>
      </c>
      <c r="EW503" s="408">
        <v>0</v>
      </c>
      <c r="EX503" s="408">
        <v>0</v>
      </c>
      <c r="EY503" s="408">
        <v>0</v>
      </c>
      <c r="EZ503" s="408"/>
      <c r="FA503" s="408">
        <v>0</v>
      </c>
      <c r="FB503" s="408"/>
      <c r="FC503" s="408"/>
      <c r="FD503" s="408"/>
      <c r="FE503" s="408"/>
      <c r="FF503" s="408">
        <v>0</v>
      </c>
      <c r="FG503" s="408">
        <v>0</v>
      </c>
      <c r="FH503" s="408">
        <v>0</v>
      </c>
      <c r="FI503" s="408">
        <v>0</v>
      </c>
    </row>
    <row r="504" spans="1:165">
      <c r="A504" s="408">
        <v>508</v>
      </c>
      <c r="B504" s="408" t="s">
        <v>2238</v>
      </c>
      <c r="C504" s="408" t="s">
        <v>2243</v>
      </c>
      <c r="D504" s="408" t="s">
        <v>597</v>
      </c>
      <c r="E504" s="408" t="s">
        <v>974</v>
      </c>
      <c r="F504" s="408" t="s">
        <v>1322</v>
      </c>
      <c r="G504" s="408" t="s">
        <v>1322</v>
      </c>
      <c r="H504" s="408" t="s">
        <v>1322</v>
      </c>
      <c r="I504" s="408" t="s">
        <v>2244</v>
      </c>
      <c r="J504" s="408" t="s">
        <v>2236</v>
      </c>
      <c r="K504" s="824">
        <v>44621</v>
      </c>
      <c r="L504" s="408">
        <v>0</v>
      </c>
      <c r="M504" s="408">
        <v>0</v>
      </c>
      <c r="N504" s="408">
        <v>4.0629999999999997</v>
      </c>
      <c r="O504" s="408">
        <v>3.9004799999999999</v>
      </c>
      <c r="P504" s="408">
        <v>4.0629999999999997</v>
      </c>
      <c r="Q504" s="408">
        <v>3.9004799999999999</v>
      </c>
      <c r="R504" s="408"/>
      <c r="S504" s="408">
        <v>79.7</v>
      </c>
      <c r="T504" s="408">
        <v>209.4</v>
      </c>
      <c r="U504" s="408"/>
      <c r="V504" s="408">
        <v>1174.6133</v>
      </c>
      <c r="W504" s="408">
        <v>1174.6133</v>
      </c>
      <c r="X504" s="408">
        <v>1269.7687599999999</v>
      </c>
      <c r="Y504" s="408">
        <v>0</v>
      </c>
      <c r="Z504" s="408">
        <v>217.52481072763345</v>
      </c>
      <c r="AA504" s="408">
        <v>0</v>
      </c>
      <c r="AB504" s="408">
        <v>0</v>
      </c>
      <c r="AC504" s="408">
        <v>0</v>
      </c>
      <c r="AD504" s="408">
        <v>0</v>
      </c>
      <c r="AE504" s="408">
        <v>0</v>
      </c>
      <c r="AF504" s="408">
        <v>839.62198014893454</v>
      </c>
      <c r="AG504" s="408">
        <v>11.1852966494956</v>
      </c>
      <c r="AH504" s="408">
        <v>0</v>
      </c>
      <c r="AI504" s="408">
        <v>0</v>
      </c>
      <c r="AJ504" s="408">
        <v>0</v>
      </c>
      <c r="AK504" s="408">
        <v>0</v>
      </c>
      <c r="AL504" s="408">
        <v>38.637511484141328</v>
      </c>
      <c r="AM504" s="408"/>
      <c r="AN504" s="408">
        <v>5.395031425468491</v>
      </c>
      <c r="AO504" s="408">
        <v>0</v>
      </c>
      <c r="AP504" s="408">
        <v>0</v>
      </c>
      <c r="AQ504" s="408">
        <v>0</v>
      </c>
      <c r="AR504" s="408">
        <v>0</v>
      </c>
      <c r="AS504" s="408">
        <v>0</v>
      </c>
      <c r="AT504" s="408">
        <v>0</v>
      </c>
      <c r="AU504" s="408">
        <v>0</v>
      </c>
      <c r="AV504" s="408">
        <v>0</v>
      </c>
      <c r="AW504" s="408">
        <v>0</v>
      </c>
      <c r="AX504" s="408">
        <v>0</v>
      </c>
      <c r="AY504" s="408">
        <v>0</v>
      </c>
      <c r="AZ504" s="408">
        <v>0</v>
      </c>
      <c r="BA504" s="408"/>
      <c r="BB504" s="408">
        <v>0</v>
      </c>
      <c r="BC504" s="408">
        <v>0</v>
      </c>
      <c r="BD504" s="408">
        <v>0</v>
      </c>
      <c r="BE504" s="408">
        <v>0</v>
      </c>
      <c r="BF504" s="408">
        <v>0</v>
      </c>
      <c r="BG504" s="408">
        <v>62.263184935639295</v>
      </c>
      <c r="BH504" s="408">
        <v>0</v>
      </c>
      <c r="BI504" s="408">
        <v>0</v>
      </c>
      <c r="BJ504" s="408">
        <v>0</v>
      </c>
      <c r="BK504" s="408">
        <v>0</v>
      </c>
      <c r="BL504" s="408">
        <v>0</v>
      </c>
      <c r="BM504" s="408"/>
      <c r="BN504" s="408"/>
      <c r="BO504" s="408"/>
      <c r="BP504" s="408"/>
      <c r="BQ504" s="408"/>
      <c r="BR504" s="408">
        <v>50.790750399999936</v>
      </c>
      <c r="BS504" s="408"/>
      <c r="BT504" s="408"/>
      <c r="BU504" s="408"/>
      <c r="BV504" s="408">
        <v>901.88516508457383</v>
      </c>
      <c r="BW504" s="408"/>
      <c r="BX504" s="408"/>
      <c r="BY504" s="408"/>
      <c r="BZ504" s="408"/>
      <c r="CA504" s="408"/>
      <c r="CB504" s="408"/>
      <c r="CC504" s="408"/>
      <c r="CD504" s="408"/>
      <c r="CE504" s="408"/>
      <c r="CF504" s="408"/>
      <c r="CG504" s="408"/>
      <c r="CH504" s="408"/>
      <c r="CI504" s="408">
        <v>1218.828</v>
      </c>
      <c r="CJ504" s="408">
        <v>91.169231999999965</v>
      </c>
      <c r="CK504" s="408"/>
      <c r="CL504" s="408"/>
      <c r="CM504" s="408"/>
      <c r="CN504" s="408"/>
      <c r="CO504" s="408">
        <v>2.3971700000000138</v>
      </c>
      <c r="CP504" s="408">
        <v>92.758289999999931</v>
      </c>
      <c r="CQ504" s="408">
        <v>31</v>
      </c>
      <c r="CR504" s="408">
        <v>95.123785243891234</v>
      </c>
      <c r="CS504" s="408">
        <v>0</v>
      </c>
      <c r="CT504" s="408">
        <v>0</v>
      </c>
      <c r="CU504" s="408">
        <v>0</v>
      </c>
      <c r="CV504" s="408">
        <v>0</v>
      </c>
      <c r="CW504" s="408">
        <v>0</v>
      </c>
      <c r="CX504" s="408">
        <v>0</v>
      </c>
      <c r="CY504" s="408">
        <v>0</v>
      </c>
      <c r="CZ504" s="408">
        <v>0</v>
      </c>
      <c r="DA504" s="408">
        <v>0</v>
      </c>
      <c r="DB504" s="408">
        <v>0</v>
      </c>
      <c r="DC504" s="408">
        <v>92.730190805400639</v>
      </c>
      <c r="DD504" s="408">
        <v>0</v>
      </c>
      <c r="DE504" s="408">
        <v>0</v>
      </c>
      <c r="DF504" s="408">
        <v>0</v>
      </c>
      <c r="DG504" s="408">
        <v>6.876519619233342</v>
      </c>
      <c r="DH504" s="408">
        <v>0</v>
      </c>
      <c r="DI504" s="408">
        <v>-3.7919192202544707</v>
      </c>
      <c r="DJ504" s="408"/>
      <c r="DK504" s="408">
        <v>0</v>
      </c>
      <c r="DL504" s="408">
        <v>0</v>
      </c>
      <c r="DM504" s="408">
        <v>0</v>
      </c>
      <c r="DN504" s="408">
        <v>0</v>
      </c>
      <c r="DO504" s="408">
        <v>-0.56627028883725217</v>
      </c>
      <c r="DP504" s="408">
        <v>-0.12473567165071664</v>
      </c>
      <c r="DQ504" s="408">
        <v>0</v>
      </c>
      <c r="DR504" s="408">
        <v>0</v>
      </c>
      <c r="DS504" s="408"/>
      <c r="DT504" s="408"/>
      <c r="DU504" s="408"/>
      <c r="DV504" s="408">
        <v>0</v>
      </c>
      <c r="DW504" s="408">
        <v>0</v>
      </c>
      <c r="DX504" s="408">
        <v>0</v>
      </c>
      <c r="DY504" s="408">
        <v>2.3971700000000169</v>
      </c>
      <c r="DZ504" s="408">
        <v>92.758289999999874</v>
      </c>
      <c r="EA504" s="408">
        <v>0</v>
      </c>
      <c r="EB504" s="408">
        <v>0</v>
      </c>
      <c r="EC504" s="408">
        <v>0</v>
      </c>
      <c r="ED504" s="408">
        <v>0</v>
      </c>
      <c r="EE504" s="408">
        <v>0</v>
      </c>
      <c r="EF504" s="408">
        <v>0</v>
      </c>
      <c r="EG504" s="408">
        <v>0</v>
      </c>
      <c r="EH504" s="408">
        <v>0</v>
      </c>
      <c r="EI504" s="408">
        <v>0</v>
      </c>
      <c r="EJ504" s="408">
        <v>0</v>
      </c>
      <c r="EK504" s="408">
        <v>0</v>
      </c>
      <c r="EL504" s="408">
        <v>0</v>
      </c>
      <c r="EM504" s="408">
        <v>0</v>
      </c>
      <c r="EN504" s="408">
        <v>0</v>
      </c>
      <c r="EO504" s="408">
        <v>0</v>
      </c>
      <c r="EP504" s="408">
        <v>0</v>
      </c>
      <c r="EQ504" s="408">
        <v>0</v>
      </c>
      <c r="ER504" s="408">
        <v>0</v>
      </c>
      <c r="ES504" s="408">
        <v>0</v>
      </c>
      <c r="ET504" s="408">
        <v>0</v>
      </c>
      <c r="EU504" s="408">
        <v>0</v>
      </c>
      <c r="EV504" s="408">
        <v>238</v>
      </c>
      <c r="EW504" s="408">
        <v>0</v>
      </c>
      <c r="EX504" s="408">
        <v>0</v>
      </c>
      <c r="EY504" s="408">
        <v>0</v>
      </c>
      <c r="EZ504" s="408"/>
      <c r="FA504" s="408">
        <v>0</v>
      </c>
      <c r="FB504" s="408"/>
      <c r="FC504" s="408"/>
      <c r="FD504" s="408"/>
      <c r="FE504" s="408"/>
      <c r="FF504" s="408">
        <v>0</v>
      </c>
      <c r="FG504" s="408">
        <v>0</v>
      </c>
      <c r="FH504" s="408">
        <v>0</v>
      </c>
      <c r="FI504" s="408">
        <v>0</v>
      </c>
    </row>
    <row r="505" spans="1:165">
      <c r="A505" s="408">
        <v>509</v>
      </c>
      <c r="B505" s="408" t="s">
        <v>1036</v>
      </c>
      <c r="C505" s="408" t="s">
        <v>2243</v>
      </c>
      <c r="D505" s="408" t="s">
        <v>597</v>
      </c>
      <c r="E505" s="408" t="s">
        <v>974</v>
      </c>
      <c r="F505" s="408" t="s">
        <v>1322</v>
      </c>
      <c r="G505" s="408" t="s">
        <v>1322</v>
      </c>
      <c r="H505" s="408" t="s">
        <v>1322</v>
      </c>
      <c r="I505" s="408" t="s">
        <v>1322</v>
      </c>
      <c r="J505" s="408" t="s">
        <v>2236</v>
      </c>
      <c r="K505" s="824">
        <v>44621</v>
      </c>
      <c r="L505" s="408">
        <v>1665</v>
      </c>
      <c r="M505" s="408">
        <v>1598.4</v>
      </c>
      <c r="N505" s="408">
        <v>0</v>
      </c>
      <c r="O505" s="408">
        <v>0</v>
      </c>
      <c r="P505" s="408">
        <v>0</v>
      </c>
      <c r="Q505" s="408">
        <v>0</v>
      </c>
      <c r="R505" s="408">
        <v>44.35</v>
      </c>
      <c r="S505" s="408"/>
      <c r="T505" s="408"/>
      <c r="U505" s="408">
        <v>73842.75</v>
      </c>
      <c r="V505" s="408"/>
      <c r="W505" s="408">
        <v>73842.75</v>
      </c>
      <c r="X505" s="408">
        <v>48235.049999999996</v>
      </c>
      <c r="Y505" s="408">
        <v>0</v>
      </c>
      <c r="Z505" s="408">
        <v>0</v>
      </c>
      <c r="AA505" s="408">
        <v>0</v>
      </c>
      <c r="AB505" s="408">
        <v>0</v>
      </c>
      <c r="AC505" s="408">
        <v>0</v>
      </c>
      <c r="AD505" s="408">
        <v>21848.236040662025</v>
      </c>
      <c r="AE505" s="408">
        <v>47815.21406576709</v>
      </c>
      <c r="AF505" s="408"/>
      <c r="AG505" s="408"/>
      <c r="AH505" s="408"/>
      <c r="AI505" s="408">
        <v>0</v>
      </c>
      <c r="AJ505" s="408">
        <v>0</v>
      </c>
      <c r="AK505" s="408">
        <v>0</v>
      </c>
      <c r="AL505" s="408">
        <v>0</v>
      </c>
      <c r="AM505" s="408"/>
      <c r="AN505" s="408">
        <v>0</v>
      </c>
      <c r="AO505" s="408">
        <v>1651.21495161551</v>
      </c>
      <c r="AP505" s="408">
        <v>2526.2901700245698</v>
      </c>
      <c r="AQ505" s="408">
        <v>0</v>
      </c>
      <c r="AR505" s="408">
        <v>0</v>
      </c>
      <c r="AS505" s="408"/>
      <c r="AT505" s="408"/>
      <c r="AU505" s="408">
        <v>0</v>
      </c>
      <c r="AV505" s="408">
        <v>0</v>
      </c>
      <c r="AW505" s="408">
        <v>0</v>
      </c>
      <c r="AX505" s="408"/>
      <c r="AY505" s="408"/>
      <c r="AZ505" s="408">
        <v>0</v>
      </c>
      <c r="BA505" s="408"/>
      <c r="BB505" s="408">
        <v>0</v>
      </c>
      <c r="BC505" s="408">
        <v>0</v>
      </c>
      <c r="BD505" s="408">
        <v>0</v>
      </c>
      <c r="BE505" s="408">
        <v>0</v>
      </c>
      <c r="BF505" s="408"/>
      <c r="BG505" s="408">
        <v>0</v>
      </c>
      <c r="BH505" s="408">
        <v>0</v>
      </c>
      <c r="BI505" s="408">
        <v>338.38</v>
      </c>
      <c r="BJ505" s="408">
        <v>156.35</v>
      </c>
      <c r="BK505" s="408">
        <v>108.01</v>
      </c>
      <c r="BL505" s="408">
        <v>15</v>
      </c>
      <c r="BM505" s="408"/>
      <c r="BN505" s="408"/>
      <c r="BO505" s="408"/>
      <c r="BP505" s="408"/>
      <c r="BQ505" s="408"/>
      <c r="BR505" s="408">
        <v>1929.4019999999973</v>
      </c>
      <c r="BS505" s="408"/>
      <c r="BT505" s="408"/>
      <c r="BU505" s="408"/>
      <c r="BV505" s="408">
        <v>0</v>
      </c>
      <c r="BW505" s="408"/>
      <c r="BX505" s="408"/>
      <c r="BY505" s="408"/>
      <c r="BZ505" s="408"/>
      <c r="CA505" s="408"/>
      <c r="CB505" s="408"/>
      <c r="CC505" s="408"/>
      <c r="CD505" s="408"/>
      <c r="CE505" s="408"/>
      <c r="CF505" s="408"/>
      <c r="CG505" s="408"/>
      <c r="CH505" s="408"/>
      <c r="CI505" s="408">
        <v>46305.648000000001</v>
      </c>
      <c r="CJ505" s="408">
        <v>-24583.421999999991</v>
      </c>
      <c r="CK505" s="408"/>
      <c r="CL505" s="408"/>
      <c r="CM505" s="408"/>
      <c r="CN505" s="408"/>
      <c r="CO505" s="408">
        <v>-25607.700000000004</v>
      </c>
      <c r="CP505" s="408">
        <v>0</v>
      </c>
      <c r="CQ505" s="408">
        <v>31</v>
      </c>
      <c r="CR505" s="408">
        <v>1220.5971128414967</v>
      </c>
      <c r="CS505" s="408">
        <v>199.35453390203179</v>
      </c>
      <c r="CT505" s="408">
        <v>305.00414186160378</v>
      </c>
      <c r="CU505" s="408">
        <v>0</v>
      </c>
      <c r="CV505" s="408">
        <v>0</v>
      </c>
      <c r="CW505" s="408"/>
      <c r="CX505" s="408"/>
      <c r="CY505" s="408"/>
      <c r="CZ505" s="408">
        <v>716.23843707786364</v>
      </c>
      <c r="DA505" s="408">
        <v>0</v>
      </c>
      <c r="DB505" s="408">
        <v>0</v>
      </c>
      <c r="DC505" s="408"/>
      <c r="DD505" s="408"/>
      <c r="DE505" s="408">
        <v>0</v>
      </c>
      <c r="DF505" s="408">
        <v>0</v>
      </c>
      <c r="DG505" s="408">
        <v>0</v>
      </c>
      <c r="DH505" s="408">
        <v>0</v>
      </c>
      <c r="DI505" s="408">
        <v>0</v>
      </c>
      <c r="DJ505" s="408"/>
      <c r="DK505" s="408">
        <v>0</v>
      </c>
      <c r="DL505" s="408">
        <v>0</v>
      </c>
      <c r="DM505" s="408"/>
      <c r="DN505" s="408">
        <v>0</v>
      </c>
      <c r="DO505" s="408">
        <v>0</v>
      </c>
      <c r="DP505" s="408">
        <v>0</v>
      </c>
      <c r="DQ505" s="408">
        <v>0</v>
      </c>
      <c r="DR505" s="408">
        <v>0</v>
      </c>
      <c r="DS505" s="408"/>
      <c r="DT505" s="408"/>
      <c r="DU505" s="408">
        <v>47815.21406576709</v>
      </c>
      <c r="DV505" s="408"/>
      <c r="DW505" s="408">
        <v>0</v>
      </c>
      <c r="DX505" s="408">
        <v>0</v>
      </c>
      <c r="DY505" s="408">
        <v>-25607.700000000004</v>
      </c>
      <c r="DZ505" s="408"/>
      <c r="EA505" s="408">
        <v>0</v>
      </c>
      <c r="EB505" s="408"/>
      <c r="EC505" s="408">
        <v>-26823.842555714036</v>
      </c>
      <c r="ED505" s="408"/>
      <c r="EE505" s="408">
        <v>0</v>
      </c>
      <c r="EF505" s="408">
        <v>0</v>
      </c>
      <c r="EG505" s="408"/>
      <c r="EH505" s="408">
        <v>0</v>
      </c>
      <c r="EI505" s="408">
        <v>0</v>
      </c>
      <c r="EJ505" s="408">
        <v>0</v>
      </c>
      <c r="EK505" s="408">
        <v>0</v>
      </c>
      <c r="EL505" s="408">
        <v>0</v>
      </c>
      <c r="EM505" s="408"/>
      <c r="EN505" s="408"/>
      <c r="EO505" s="408">
        <v>0</v>
      </c>
      <c r="EP505" s="408">
        <v>0</v>
      </c>
      <c r="EQ505" s="408"/>
      <c r="ER505" s="408">
        <v>0</v>
      </c>
      <c r="ES505" s="408"/>
      <c r="ET505" s="408">
        <v>0</v>
      </c>
      <c r="EU505" s="408"/>
      <c r="EV505" s="408">
        <v>238</v>
      </c>
      <c r="EW505" s="408"/>
      <c r="EX505" s="408"/>
      <c r="EY505" s="408"/>
      <c r="EZ505" s="408"/>
      <c r="FA505" s="408">
        <v>0</v>
      </c>
      <c r="FB505" s="408"/>
      <c r="FC505" s="408"/>
      <c r="FD505" s="408"/>
      <c r="FE505" s="408"/>
      <c r="FF505" s="408">
        <v>0</v>
      </c>
      <c r="FG505" s="408">
        <v>0</v>
      </c>
      <c r="FH505" s="408">
        <v>0</v>
      </c>
      <c r="FI505" s="408">
        <v>0</v>
      </c>
    </row>
    <row r="506" spans="1:165">
      <c r="A506" s="408">
        <v>510</v>
      </c>
      <c r="B506" s="408" t="s">
        <v>2238</v>
      </c>
      <c r="C506" s="408" t="s">
        <v>2243</v>
      </c>
      <c r="D506" s="408" t="s">
        <v>597</v>
      </c>
      <c r="E506" s="408" t="s">
        <v>974</v>
      </c>
      <c r="F506" s="408" t="s">
        <v>1322</v>
      </c>
      <c r="G506" s="408" t="s">
        <v>1322</v>
      </c>
      <c r="H506" s="408" t="s">
        <v>1322</v>
      </c>
      <c r="I506" s="408" t="s">
        <v>1322</v>
      </c>
      <c r="J506" s="408" t="s">
        <v>2236</v>
      </c>
      <c r="K506" s="824">
        <v>44621</v>
      </c>
      <c r="L506" s="408">
        <v>840</v>
      </c>
      <c r="M506" s="408">
        <v>806.4</v>
      </c>
      <c r="N506" s="408">
        <v>0</v>
      </c>
      <c r="O506" s="408">
        <v>0</v>
      </c>
      <c r="P506" s="408">
        <v>0</v>
      </c>
      <c r="Q506" s="408">
        <v>0</v>
      </c>
      <c r="R506" s="408">
        <v>44.35</v>
      </c>
      <c r="S506" s="408"/>
      <c r="T506" s="408"/>
      <c r="U506" s="408">
        <v>37254</v>
      </c>
      <c r="V506" s="408"/>
      <c r="W506" s="408">
        <v>37254</v>
      </c>
      <c r="X506" s="408">
        <v>24334.799999999999</v>
      </c>
      <c r="Y506" s="408">
        <v>0</v>
      </c>
      <c r="Z506" s="408">
        <v>0</v>
      </c>
      <c r="AA506" s="408">
        <v>0</v>
      </c>
      <c r="AB506" s="408">
        <v>0</v>
      </c>
      <c r="AC506" s="408">
        <v>0</v>
      </c>
      <c r="AD506" s="408">
        <v>11022.533497991652</v>
      </c>
      <c r="AE506" s="408">
        <v>24122.990880026638</v>
      </c>
      <c r="AF506" s="408"/>
      <c r="AG506" s="408"/>
      <c r="AH506" s="408"/>
      <c r="AI506" s="408">
        <v>0</v>
      </c>
      <c r="AJ506" s="408">
        <v>0</v>
      </c>
      <c r="AK506" s="408">
        <v>0</v>
      </c>
      <c r="AL506" s="408">
        <v>0</v>
      </c>
      <c r="AM506" s="408"/>
      <c r="AN506" s="408">
        <v>0</v>
      </c>
      <c r="AO506" s="408">
        <v>833.04538099521233</v>
      </c>
      <c r="AP506" s="408">
        <v>1274.5247704628459</v>
      </c>
      <c r="AQ506" s="408">
        <v>0</v>
      </c>
      <c r="AR506" s="408">
        <v>0</v>
      </c>
      <c r="AS506" s="408"/>
      <c r="AT506" s="408"/>
      <c r="AU506" s="408">
        <v>0</v>
      </c>
      <c r="AV506" s="408">
        <v>0</v>
      </c>
      <c r="AW506" s="408">
        <v>0</v>
      </c>
      <c r="AX506" s="408"/>
      <c r="AY506" s="408"/>
      <c r="AZ506" s="408">
        <v>0</v>
      </c>
      <c r="BA506" s="408"/>
      <c r="BB506" s="408">
        <v>0</v>
      </c>
      <c r="BC506" s="408">
        <v>0</v>
      </c>
      <c r="BD506" s="408">
        <v>0</v>
      </c>
      <c r="BE506" s="408">
        <v>0</v>
      </c>
      <c r="BF506" s="408"/>
      <c r="BG506" s="408">
        <v>0</v>
      </c>
      <c r="BH506" s="408">
        <v>0</v>
      </c>
      <c r="BI506" s="408">
        <v>66.45</v>
      </c>
      <c r="BJ506" s="408">
        <v>30.72</v>
      </c>
      <c r="BK506" s="408">
        <v>28.33</v>
      </c>
      <c r="BL506" s="408">
        <v>9</v>
      </c>
      <c r="BM506" s="408"/>
      <c r="BN506" s="408"/>
      <c r="BO506" s="408"/>
      <c r="BP506" s="408"/>
      <c r="BQ506" s="408"/>
      <c r="BR506" s="408">
        <v>973.39200000000062</v>
      </c>
      <c r="BS506" s="408"/>
      <c r="BT506" s="408"/>
      <c r="BU506" s="408"/>
      <c r="BV506" s="408">
        <v>0</v>
      </c>
      <c r="BW506" s="408"/>
      <c r="BX506" s="408"/>
      <c r="BY506" s="408"/>
      <c r="BZ506" s="408"/>
      <c r="CA506" s="408"/>
      <c r="CB506" s="408"/>
      <c r="CC506" s="408"/>
      <c r="CD506" s="408"/>
      <c r="CE506" s="408"/>
      <c r="CF506" s="408"/>
      <c r="CG506" s="408"/>
      <c r="CH506" s="408"/>
      <c r="CI506" s="408">
        <v>23361.407999999999</v>
      </c>
      <c r="CJ506" s="408">
        <v>-12402.462000000003</v>
      </c>
      <c r="CK506" s="408"/>
      <c r="CL506" s="408"/>
      <c r="CM506" s="408"/>
      <c r="CN506" s="408"/>
      <c r="CO506" s="408">
        <v>-12919.200000000003</v>
      </c>
      <c r="CP506" s="408">
        <v>0</v>
      </c>
      <c r="CQ506" s="408">
        <v>31</v>
      </c>
      <c r="CR506" s="408">
        <v>615.79674161372895</v>
      </c>
      <c r="CS506" s="408">
        <v>100.57526034697082</v>
      </c>
      <c r="CT506" s="408">
        <v>153.87596346170994</v>
      </c>
      <c r="CU506" s="408">
        <v>0</v>
      </c>
      <c r="CV506" s="408">
        <v>0</v>
      </c>
      <c r="CW506" s="408"/>
      <c r="CX506" s="408"/>
      <c r="CY506" s="408"/>
      <c r="CZ506" s="408">
        <v>361.34551780504808</v>
      </c>
      <c r="DA506" s="408">
        <v>0</v>
      </c>
      <c r="DB506" s="408">
        <v>0</v>
      </c>
      <c r="DC506" s="408"/>
      <c r="DD506" s="408"/>
      <c r="DE506" s="408">
        <v>0</v>
      </c>
      <c r="DF506" s="408">
        <v>0</v>
      </c>
      <c r="DG506" s="408">
        <v>0</v>
      </c>
      <c r="DH506" s="408">
        <v>0</v>
      </c>
      <c r="DI506" s="408">
        <v>0</v>
      </c>
      <c r="DJ506" s="408"/>
      <c r="DK506" s="408">
        <v>0</v>
      </c>
      <c r="DL506" s="408">
        <v>0</v>
      </c>
      <c r="DM506" s="408"/>
      <c r="DN506" s="408">
        <v>0</v>
      </c>
      <c r="DO506" s="408">
        <v>0</v>
      </c>
      <c r="DP506" s="408">
        <v>0</v>
      </c>
      <c r="DQ506" s="408">
        <v>0</v>
      </c>
      <c r="DR506" s="408">
        <v>0</v>
      </c>
      <c r="DS506" s="408"/>
      <c r="DT506" s="408"/>
      <c r="DU506" s="408">
        <v>24122.990880026638</v>
      </c>
      <c r="DV506" s="408"/>
      <c r="DW506" s="408">
        <v>0</v>
      </c>
      <c r="DX506" s="408">
        <v>0</v>
      </c>
      <c r="DY506" s="408">
        <v>-12919.2</v>
      </c>
      <c r="DZ506" s="408"/>
      <c r="EA506" s="408">
        <v>0</v>
      </c>
      <c r="EB506" s="408"/>
      <c r="EC506" s="408">
        <v>-13532.74939747735</v>
      </c>
      <c r="ED506" s="408"/>
      <c r="EE506" s="408">
        <v>0</v>
      </c>
      <c r="EF506" s="408">
        <v>0</v>
      </c>
      <c r="EG506" s="408"/>
      <c r="EH506" s="408">
        <v>0</v>
      </c>
      <c r="EI506" s="408">
        <v>0</v>
      </c>
      <c r="EJ506" s="408">
        <v>0</v>
      </c>
      <c r="EK506" s="408">
        <v>0</v>
      </c>
      <c r="EL506" s="408">
        <v>0</v>
      </c>
      <c r="EM506" s="408"/>
      <c r="EN506" s="408"/>
      <c r="EO506" s="408">
        <v>0</v>
      </c>
      <c r="EP506" s="408">
        <v>0</v>
      </c>
      <c r="EQ506" s="408"/>
      <c r="ER506" s="408">
        <v>0</v>
      </c>
      <c r="ES506" s="408"/>
      <c r="ET506" s="408">
        <v>0</v>
      </c>
      <c r="EU506" s="408"/>
      <c r="EV506" s="408">
        <v>238</v>
      </c>
      <c r="EW506" s="408"/>
      <c r="EX506" s="408"/>
      <c r="EY506" s="408"/>
      <c r="EZ506" s="408"/>
      <c r="FA506" s="408">
        <v>0</v>
      </c>
      <c r="FB506" s="408"/>
      <c r="FC506" s="408"/>
      <c r="FD506" s="408"/>
      <c r="FE506" s="408"/>
      <c r="FF506" s="408">
        <v>0</v>
      </c>
      <c r="FG506" s="408">
        <v>0</v>
      </c>
      <c r="FH506" s="408">
        <v>0</v>
      </c>
      <c r="FI506" s="408">
        <v>0</v>
      </c>
    </row>
    <row r="507" spans="1:165">
      <c r="A507" s="408">
        <v>511</v>
      </c>
      <c r="B507" s="408" t="s">
        <v>1036</v>
      </c>
      <c r="C507" s="408" t="s">
        <v>2235</v>
      </c>
      <c r="D507" s="408" t="s">
        <v>1958</v>
      </c>
      <c r="E507" s="408" t="s">
        <v>2246</v>
      </c>
      <c r="F507" s="408" t="s">
        <v>1322</v>
      </c>
      <c r="G507" s="408" t="s">
        <v>1322</v>
      </c>
      <c r="H507" s="408" t="s">
        <v>1322</v>
      </c>
      <c r="I507" s="408" t="s">
        <v>1322</v>
      </c>
      <c r="J507" s="408" t="s">
        <v>2236</v>
      </c>
      <c r="K507" s="824">
        <v>44621</v>
      </c>
      <c r="L507" s="408">
        <v>0</v>
      </c>
      <c r="M507" s="408">
        <v>0</v>
      </c>
      <c r="N507" s="408">
        <v>364.24400000000003</v>
      </c>
      <c r="O507" s="408">
        <v>364.24400000000003</v>
      </c>
      <c r="P507" s="408">
        <v>364.24400000000003</v>
      </c>
      <c r="Q507" s="408">
        <v>364.24400000000003</v>
      </c>
      <c r="R507" s="408"/>
      <c r="S507" s="408">
        <v>581.32000000000005</v>
      </c>
      <c r="T507" s="408">
        <v>209.4</v>
      </c>
      <c r="U507" s="408"/>
      <c r="V507" s="408">
        <v>288015.01568000007</v>
      </c>
      <c r="W507" s="408">
        <v>288015.01568000007</v>
      </c>
      <c r="X507" s="408">
        <v>220028.87307999999</v>
      </c>
      <c r="Y507" s="408">
        <v>0</v>
      </c>
      <c r="Z507" s="408">
        <v>22414.81357093481</v>
      </c>
      <c r="AA507" s="408">
        <v>0</v>
      </c>
      <c r="AB507" s="408">
        <v>0</v>
      </c>
      <c r="AC507" s="408">
        <v>0</v>
      </c>
      <c r="AD507" s="408">
        <v>27023.679345006658</v>
      </c>
      <c r="AE507" s="408">
        <v>140381.57242398869</v>
      </c>
      <c r="AF507" s="408">
        <v>75271.294249906117</v>
      </c>
      <c r="AG507" s="408">
        <v>1002.7509704156721</v>
      </c>
      <c r="AH507" s="408">
        <v>0</v>
      </c>
      <c r="AI507" s="408">
        <v>0</v>
      </c>
      <c r="AJ507" s="408">
        <v>0</v>
      </c>
      <c r="AK507" s="408">
        <v>0</v>
      </c>
      <c r="AL507" s="408">
        <v>3463.8153416267724</v>
      </c>
      <c r="AM507" s="408"/>
      <c r="AN507" s="408">
        <v>664.00381425477099</v>
      </c>
      <c r="AO507" s="408">
        <v>2076.0016754310277</v>
      </c>
      <c r="AP507" s="408">
        <v>3127.1039356131846</v>
      </c>
      <c r="AQ507" s="408">
        <v>0</v>
      </c>
      <c r="AR507" s="408">
        <v>0</v>
      </c>
      <c r="AS507" s="408">
        <v>0</v>
      </c>
      <c r="AT507" s="408">
        <v>0</v>
      </c>
      <c r="AU507" s="408">
        <v>0</v>
      </c>
      <c r="AV507" s="408">
        <v>0</v>
      </c>
      <c r="AW507" s="408">
        <v>0</v>
      </c>
      <c r="AX507" s="408">
        <v>0</v>
      </c>
      <c r="AY507" s="408">
        <v>0</v>
      </c>
      <c r="AZ507" s="408">
        <v>0</v>
      </c>
      <c r="BA507" s="408"/>
      <c r="BB507" s="408">
        <v>0</v>
      </c>
      <c r="BC507" s="408">
        <v>0</v>
      </c>
      <c r="BD507" s="408">
        <v>0</v>
      </c>
      <c r="BE507" s="408">
        <v>0</v>
      </c>
      <c r="BF507" s="408">
        <v>0</v>
      </c>
      <c r="BG507" s="408">
        <v>12592.746815671375</v>
      </c>
      <c r="BH507" s="408">
        <v>0</v>
      </c>
      <c r="BI507" s="408">
        <v>569.87</v>
      </c>
      <c r="BJ507" s="408">
        <v>264.01</v>
      </c>
      <c r="BK507" s="408">
        <v>77142.289999999994</v>
      </c>
      <c r="BL507" s="408">
        <v>486</v>
      </c>
      <c r="BM507" s="408"/>
      <c r="BN507" s="408"/>
      <c r="BO507" s="408"/>
      <c r="BP507" s="408"/>
      <c r="BQ507" s="408"/>
      <c r="BR507" s="408"/>
      <c r="BS507" s="408"/>
      <c r="BT507" s="408"/>
      <c r="BU507" s="408"/>
      <c r="BV507" s="408">
        <v>87864.04106557749</v>
      </c>
      <c r="BW507" s="408"/>
      <c r="BX507" s="408"/>
      <c r="BY507" s="408"/>
      <c r="BZ507" s="408"/>
      <c r="CA507" s="408"/>
      <c r="CB507" s="408"/>
      <c r="CC507" s="408"/>
      <c r="CD507" s="408"/>
      <c r="CE507" s="408"/>
      <c r="CF507" s="408"/>
      <c r="CG507" s="408"/>
      <c r="CH507" s="408"/>
      <c r="CI507" s="408">
        <v>220026.45679999999</v>
      </c>
      <c r="CJ507" s="408">
        <v>-67988.588880000112</v>
      </c>
      <c r="CK507" s="408"/>
      <c r="CL507" s="408"/>
      <c r="CM507" s="408"/>
      <c r="CN507" s="408"/>
      <c r="CO507" s="408">
        <v>-76301.833120000039</v>
      </c>
      <c r="CP507" s="408">
        <v>8315.6905199999946</v>
      </c>
      <c r="CQ507" s="408">
        <v>31</v>
      </c>
      <c r="CR507" s="408">
        <v>10761.177642565191</v>
      </c>
      <c r="CS507" s="408">
        <v>250.63989759812011</v>
      </c>
      <c r="CT507" s="408">
        <v>377.54160773402282</v>
      </c>
      <c r="CU507" s="408">
        <v>0</v>
      </c>
      <c r="CV507" s="408">
        <v>0</v>
      </c>
      <c r="CW507" s="408">
        <v>0</v>
      </c>
      <c r="CX507" s="408">
        <v>0</v>
      </c>
      <c r="CY507" s="408">
        <v>0</v>
      </c>
      <c r="CZ507" s="408">
        <v>885.90208482445087</v>
      </c>
      <c r="DA507" s="408">
        <v>0</v>
      </c>
      <c r="DB507" s="408">
        <v>0</v>
      </c>
      <c r="DC507" s="408">
        <v>8313.1714545218711</v>
      </c>
      <c r="DD507" s="408">
        <v>0</v>
      </c>
      <c r="DE507" s="408">
        <v>0</v>
      </c>
      <c r="DF507" s="408">
        <v>0</v>
      </c>
      <c r="DG507" s="408">
        <v>1390.7780436788089</v>
      </c>
      <c r="DH507" s="408">
        <v>0</v>
      </c>
      <c r="DI507" s="408">
        <v>-390.73778349113854</v>
      </c>
      <c r="DJ507" s="408"/>
      <c r="DK507" s="408">
        <v>0</v>
      </c>
      <c r="DL507" s="408">
        <v>0</v>
      </c>
      <c r="DM507" s="408">
        <v>0</v>
      </c>
      <c r="DN507" s="408">
        <v>0</v>
      </c>
      <c r="DO507" s="408">
        <v>-50.765580873058752</v>
      </c>
      <c r="DP507" s="408">
        <v>-15.352081427865528</v>
      </c>
      <c r="DQ507" s="408">
        <v>0</v>
      </c>
      <c r="DR507" s="408">
        <v>0</v>
      </c>
      <c r="DS507" s="408"/>
      <c r="DT507" s="408"/>
      <c r="DU507" s="408"/>
      <c r="DV507" s="408">
        <v>140381.57242398869</v>
      </c>
      <c r="DW507" s="408">
        <v>0</v>
      </c>
      <c r="DX507" s="408">
        <v>0</v>
      </c>
      <c r="DY507" s="408">
        <v>-76301.833120000054</v>
      </c>
      <c r="DZ507" s="408">
        <v>8315.6905199999892</v>
      </c>
      <c r="EA507" s="408">
        <v>0</v>
      </c>
      <c r="EB507" s="408">
        <v>0</v>
      </c>
      <c r="EC507" s="408">
        <v>-78752.616086698006</v>
      </c>
      <c r="ED507" s="408">
        <v>0</v>
      </c>
      <c r="EE507" s="408">
        <v>0</v>
      </c>
      <c r="EF507" s="408">
        <v>0</v>
      </c>
      <c r="EG507" s="408">
        <v>0</v>
      </c>
      <c r="EH507" s="408">
        <v>0</v>
      </c>
      <c r="EI507" s="408">
        <v>0</v>
      </c>
      <c r="EJ507" s="408">
        <v>0</v>
      </c>
      <c r="EK507" s="408">
        <v>0</v>
      </c>
      <c r="EL507" s="408">
        <v>0</v>
      </c>
      <c r="EM507" s="408">
        <v>0</v>
      </c>
      <c r="EN507" s="408">
        <v>0</v>
      </c>
      <c r="EO507" s="408">
        <v>0</v>
      </c>
      <c r="EP507" s="408">
        <v>0</v>
      </c>
      <c r="EQ507" s="408">
        <v>0</v>
      </c>
      <c r="ER507" s="408">
        <v>0</v>
      </c>
      <c r="ES507" s="408">
        <v>0</v>
      </c>
      <c r="ET507" s="408">
        <v>0</v>
      </c>
      <c r="EU507" s="408">
        <v>0</v>
      </c>
      <c r="EV507" s="408">
        <v>238</v>
      </c>
      <c r="EW507" s="408">
        <v>0</v>
      </c>
      <c r="EX507" s="408">
        <v>0</v>
      </c>
      <c r="EY507" s="408">
        <v>0</v>
      </c>
      <c r="EZ507" s="408"/>
      <c r="FA507" s="408">
        <v>0</v>
      </c>
      <c r="FB507" s="408"/>
      <c r="FC507" s="408"/>
      <c r="FD507" s="408"/>
      <c r="FE507" s="408"/>
      <c r="FF507" s="408">
        <v>0</v>
      </c>
      <c r="FG507" s="408">
        <v>0</v>
      </c>
      <c r="FH507" s="408">
        <v>0</v>
      </c>
      <c r="FI507" s="408">
        <v>0</v>
      </c>
    </row>
    <row r="508" spans="1:165">
      <c r="A508" s="408">
        <v>512</v>
      </c>
      <c r="B508" s="408" t="s">
        <v>2238</v>
      </c>
      <c r="C508" s="408" t="s">
        <v>2235</v>
      </c>
      <c r="D508" s="408" t="s">
        <v>1958</v>
      </c>
      <c r="E508" s="408" t="s">
        <v>2246</v>
      </c>
      <c r="F508" s="408" t="s">
        <v>1322</v>
      </c>
      <c r="G508" s="408" t="s">
        <v>1322</v>
      </c>
      <c r="H508" s="408" t="s">
        <v>1322</v>
      </c>
      <c r="I508" s="408" t="s">
        <v>1322</v>
      </c>
      <c r="J508" s="408" t="s">
        <v>2236</v>
      </c>
      <c r="K508" s="824">
        <v>44621</v>
      </c>
      <c r="L508" s="408">
        <v>0</v>
      </c>
      <c r="M508" s="408">
        <v>0</v>
      </c>
      <c r="N508" s="408">
        <v>9.15</v>
      </c>
      <c r="O508" s="408">
        <v>9.15</v>
      </c>
      <c r="P508" s="408">
        <v>9.15</v>
      </c>
      <c r="Q508" s="408">
        <v>9.15</v>
      </c>
      <c r="R508" s="408"/>
      <c r="S508" s="408">
        <v>581.32000000000005</v>
      </c>
      <c r="T508" s="408">
        <v>209.4</v>
      </c>
      <c r="U508" s="408"/>
      <c r="V508" s="408">
        <v>7235.0880000000006</v>
      </c>
      <c r="W508" s="408">
        <v>7235.0880000000006</v>
      </c>
      <c r="X508" s="408">
        <v>5527.2404999999999</v>
      </c>
      <c r="Y508" s="408">
        <v>0</v>
      </c>
      <c r="Z508" s="408">
        <v>563.07185341159641</v>
      </c>
      <c r="AA508" s="408">
        <v>0</v>
      </c>
      <c r="AB508" s="408">
        <v>0</v>
      </c>
      <c r="AC508" s="408">
        <v>0</v>
      </c>
      <c r="AD508" s="408">
        <v>678.8489748817027</v>
      </c>
      <c r="AE508" s="408">
        <v>3526.4586037916793</v>
      </c>
      <c r="AF508" s="408">
        <v>1890.8543239878788</v>
      </c>
      <c r="AG508" s="408">
        <v>25.189629422319655</v>
      </c>
      <c r="AH508" s="408">
        <v>0</v>
      </c>
      <c r="AI508" s="408">
        <v>0</v>
      </c>
      <c r="AJ508" s="408">
        <v>0</v>
      </c>
      <c r="AK508" s="408">
        <v>0</v>
      </c>
      <c r="AL508" s="408">
        <v>87.012855052890274</v>
      </c>
      <c r="AM508" s="408"/>
      <c r="AN508" s="408">
        <v>16.680123489834163</v>
      </c>
      <c r="AO508" s="408">
        <v>52.150249091800838</v>
      </c>
      <c r="AP508" s="408">
        <v>78.554488230034366</v>
      </c>
      <c r="AQ508" s="408">
        <v>0</v>
      </c>
      <c r="AR508" s="408">
        <v>0</v>
      </c>
      <c r="AS508" s="408">
        <v>0</v>
      </c>
      <c r="AT508" s="408">
        <v>0</v>
      </c>
      <c r="AU508" s="408">
        <v>0</v>
      </c>
      <c r="AV508" s="408">
        <v>0</v>
      </c>
      <c r="AW508" s="408">
        <v>0</v>
      </c>
      <c r="AX508" s="408">
        <v>0</v>
      </c>
      <c r="AY508" s="408">
        <v>0</v>
      </c>
      <c r="AZ508" s="408">
        <v>0</v>
      </c>
      <c r="BA508" s="408"/>
      <c r="BB508" s="408">
        <v>0</v>
      </c>
      <c r="BC508" s="408">
        <v>0</v>
      </c>
      <c r="BD508" s="408">
        <v>0</v>
      </c>
      <c r="BE508" s="408">
        <v>0</v>
      </c>
      <c r="BF508" s="408">
        <v>0</v>
      </c>
      <c r="BG508" s="408">
        <v>316.33639363556597</v>
      </c>
      <c r="BH508" s="408">
        <v>0</v>
      </c>
      <c r="BI508" s="408">
        <v>14.35</v>
      </c>
      <c r="BJ508" s="408">
        <v>6.64</v>
      </c>
      <c r="BK508" s="408">
        <v>1558.71</v>
      </c>
      <c r="BL508" s="408">
        <v>5</v>
      </c>
      <c r="BM508" s="408"/>
      <c r="BN508" s="408"/>
      <c r="BO508" s="408"/>
      <c r="BP508" s="408"/>
      <c r="BQ508" s="408"/>
      <c r="BR508" s="408"/>
      <c r="BS508" s="408"/>
      <c r="BT508" s="408"/>
      <c r="BU508" s="408"/>
      <c r="BV508" s="408">
        <v>2207.1907176234449</v>
      </c>
      <c r="BW508" s="408"/>
      <c r="BX508" s="408"/>
      <c r="BY508" s="408"/>
      <c r="BZ508" s="408"/>
      <c r="CA508" s="408"/>
      <c r="CB508" s="408"/>
      <c r="CC508" s="408"/>
      <c r="CD508" s="408"/>
      <c r="CE508" s="408"/>
      <c r="CF508" s="408"/>
      <c r="CG508" s="408"/>
      <c r="CH508" s="408"/>
      <c r="CI508" s="408">
        <v>5527.2404999999999</v>
      </c>
      <c r="CJ508" s="408">
        <v>-1707.8775000000014</v>
      </c>
      <c r="CK508" s="408"/>
      <c r="CL508" s="408"/>
      <c r="CM508" s="408"/>
      <c r="CN508" s="408"/>
      <c r="CO508" s="408">
        <v>-1916.7420000000009</v>
      </c>
      <c r="CP508" s="408">
        <v>208.89449999999985</v>
      </c>
      <c r="CQ508" s="408">
        <v>31</v>
      </c>
      <c r="CR508" s="408">
        <v>270.32641698825864</v>
      </c>
      <c r="CS508" s="408">
        <v>6.2962054639823748</v>
      </c>
      <c r="CT508" s="408">
        <v>9.4840428689732903</v>
      </c>
      <c r="CU508" s="408">
        <v>0</v>
      </c>
      <c r="CV508" s="408">
        <v>0</v>
      </c>
      <c r="CW508" s="408">
        <v>0</v>
      </c>
      <c r="CX508" s="408">
        <v>0</v>
      </c>
      <c r="CY508" s="408">
        <v>0</v>
      </c>
      <c r="CZ508" s="408">
        <v>22.254324233600869</v>
      </c>
      <c r="DA508" s="408">
        <v>0</v>
      </c>
      <c r="DB508" s="408">
        <v>0</v>
      </c>
      <c r="DC508" s="408">
        <v>208.83121975619383</v>
      </c>
      <c r="DD508" s="408">
        <v>0</v>
      </c>
      <c r="DE508" s="408">
        <v>0</v>
      </c>
      <c r="DF508" s="408">
        <v>0</v>
      </c>
      <c r="DG508" s="408">
        <v>34.937072675627007</v>
      </c>
      <c r="DH508" s="408">
        <v>0</v>
      </c>
      <c r="DI508" s="408">
        <v>-9.8155377135764184</v>
      </c>
      <c r="DJ508" s="408"/>
      <c r="DK508" s="408">
        <v>0</v>
      </c>
      <c r="DL508" s="408">
        <v>0</v>
      </c>
      <c r="DM508" s="408">
        <v>0</v>
      </c>
      <c r="DN508" s="408">
        <v>0</v>
      </c>
      <c r="DO508" s="408">
        <v>-1.2752579726460453</v>
      </c>
      <c r="DP508" s="408">
        <v>-0.3856523238954388</v>
      </c>
      <c r="DQ508" s="408">
        <v>0</v>
      </c>
      <c r="DR508" s="408">
        <v>0</v>
      </c>
      <c r="DS508" s="408"/>
      <c r="DT508" s="408"/>
      <c r="DU508" s="408"/>
      <c r="DV508" s="408">
        <v>3526.4586037916793</v>
      </c>
      <c r="DW508" s="408">
        <v>0</v>
      </c>
      <c r="DX508" s="408">
        <v>0</v>
      </c>
      <c r="DY508" s="408">
        <v>-1916.7420000000006</v>
      </c>
      <c r="DZ508" s="408">
        <v>208.89449999999988</v>
      </c>
      <c r="EA508" s="408">
        <v>0</v>
      </c>
      <c r="EB508" s="408">
        <v>0</v>
      </c>
      <c r="EC508" s="408">
        <v>-1978.3069513658061</v>
      </c>
      <c r="ED508" s="408">
        <v>0</v>
      </c>
      <c r="EE508" s="408">
        <v>0</v>
      </c>
      <c r="EF508" s="408">
        <v>0</v>
      </c>
      <c r="EG508" s="408">
        <v>0</v>
      </c>
      <c r="EH508" s="408">
        <v>0</v>
      </c>
      <c r="EI508" s="408">
        <v>0</v>
      </c>
      <c r="EJ508" s="408">
        <v>0</v>
      </c>
      <c r="EK508" s="408">
        <v>0</v>
      </c>
      <c r="EL508" s="408">
        <v>0</v>
      </c>
      <c r="EM508" s="408">
        <v>0</v>
      </c>
      <c r="EN508" s="408">
        <v>0</v>
      </c>
      <c r="EO508" s="408">
        <v>0</v>
      </c>
      <c r="EP508" s="408">
        <v>0</v>
      </c>
      <c r="EQ508" s="408">
        <v>0</v>
      </c>
      <c r="ER508" s="408">
        <v>0</v>
      </c>
      <c r="ES508" s="408">
        <v>0</v>
      </c>
      <c r="ET508" s="408">
        <v>0</v>
      </c>
      <c r="EU508" s="408">
        <v>0</v>
      </c>
      <c r="EV508" s="408">
        <v>238</v>
      </c>
      <c r="EW508" s="408">
        <v>0</v>
      </c>
      <c r="EX508" s="408">
        <v>0</v>
      </c>
      <c r="EY508" s="408">
        <v>0</v>
      </c>
      <c r="EZ508" s="408"/>
      <c r="FA508" s="408">
        <v>0</v>
      </c>
      <c r="FB508" s="408"/>
      <c r="FC508" s="408"/>
      <c r="FD508" s="408"/>
      <c r="FE508" s="408"/>
      <c r="FF508" s="408">
        <v>0</v>
      </c>
      <c r="FG508" s="408">
        <v>0</v>
      </c>
      <c r="FH508" s="408">
        <v>0</v>
      </c>
      <c r="FI508" s="408">
        <v>0</v>
      </c>
    </row>
    <row r="509" spans="1:165">
      <c r="A509" s="408">
        <v>513</v>
      </c>
      <c r="B509" s="408" t="s">
        <v>1036</v>
      </c>
      <c r="C509" s="408" t="s">
        <v>2243</v>
      </c>
      <c r="D509" s="408" t="s">
        <v>597</v>
      </c>
      <c r="E509" s="408" t="s">
        <v>2246</v>
      </c>
      <c r="F509" s="408" t="s">
        <v>1322</v>
      </c>
      <c r="G509" s="408" t="s">
        <v>1322</v>
      </c>
      <c r="H509" s="408" t="s">
        <v>1322</v>
      </c>
      <c r="I509" s="408" t="s">
        <v>973</v>
      </c>
      <c r="J509" s="408" t="s">
        <v>2236</v>
      </c>
      <c r="K509" s="824">
        <v>44621</v>
      </c>
      <c r="L509" s="408">
        <v>0</v>
      </c>
      <c r="M509" s="408">
        <v>0</v>
      </c>
      <c r="N509" s="408">
        <v>0.35799999999999998</v>
      </c>
      <c r="O509" s="408">
        <v>0.35799999999999998</v>
      </c>
      <c r="P509" s="408">
        <v>0.35799999999999998</v>
      </c>
      <c r="Q509" s="408">
        <v>0.35799999999999998</v>
      </c>
      <c r="R509" s="408"/>
      <c r="S509" s="408">
        <v>1614.19</v>
      </c>
      <c r="T509" s="408">
        <v>209.4</v>
      </c>
      <c r="U509" s="408"/>
      <c r="V509" s="408">
        <v>652.84521999999993</v>
      </c>
      <c r="W509" s="408">
        <v>652.84521999999993</v>
      </c>
      <c r="X509" s="408">
        <v>433.94970000000001</v>
      </c>
      <c r="Y509" s="408">
        <v>0</v>
      </c>
      <c r="Z509" s="408">
        <v>19.166596662685894</v>
      </c>
      <c r="AA509" s="408">
        <v>0</v>
      </c>
      <c r="AB509" s="408">
        <v>0</v>
      </c>
      <c r="AC509" s="408">
        <v>0</v>
      </c>
      <c r="AD509" s="408">
        <v>111.48764054315093</v>
      </c>
      <c r="AE509" s="408">
        <v>416.29550857896487</v>
      </c>
      <c r="AF509" s="408">
        <v>73.980966993186954</v>
      </c>
      <c r="AG509" s="408">
        <v>0.98556145717928256</v>
      </c>
      <c r="AH509" s="408">
        <v>0</v>
      </c>
      <c r="AI509" s="408">
        <v>0</v>
      </c>
      <c r="AJ509" s="408">
        <v>0</v>
      </c>
      <c r="AK509" s="408">
        <v>0</v>
      </c>
      <c r="AL509" s="408">
        <v>3.404437388954614</v>
      </c>
      <c r="AM509" s="408"/>
      <c r="AN509" s="408">
        <v>0.47536826244590691</v>
      </c>
      <c r="AO509" s="408">
        <v>8.6617832834492621</v>
      </c>
      <c r="AP509" s="408">
        <v>12.901855972692216</v>
      </c>
      <c r="AQ509" s="408">
        <v>0</v>
      </c>
      <c r="AR509" s="408">
        <v>0</v>
      </c>
      <c r="AS509" s="408">
        <v>0</v>
      </c>
      <c r="AT509" s="408">
        <v>0</v>
      </c>
      <c r="AU509" s="408">
        <v>0</v>
      </c>
      <c r="AV509" s="408">
        <v>0</v>
      </c>
      <c r="AW509" s="408">
        <v>0</v>
      </c>
      <c r="AX509" s="408">
        <v>0</v>
      </c>
      <c r="AY509" s="408">
        <v>0</v>
      </c>
      <c r="AZ509" s="408">
        <v>0</v>
      </c>
      <c r="BA509" s="408"/>
      <c r="BB509" s="408">
        <v>0</v>
      </c>
      <c r="BC509" s="408">
        <v>0</v>
      </c>
      <c r="BD509" s="408">
        <v>0</v>
      </c>
      <c r="BE509" s="408">
        <v>0</v>
      </c>
      <c r="BF509" s="408">
        <v>0</v>
      </c>
      <c r="BG509" s="408">
        <v>5.4861482173169751</v>
      </c>
      <c r="BH509" s="408">
        <v>0</v>
      </c>
      <c r="BI509" s="408">
        <v>0</v>
      </c>
      <c r="BJ509" s="408">
        <v>0</v>
      </c>
      <c r="BK509" s="408">
        <v>0</v>
      </c>
      <c r="BL509" s="408">
        <v>0</v>
      </c>
      <c r="BM509" s="408"/>
      <c r="BN509" s="408"/>
      <c r="BO509" s="408"/>
      <c r="BP509" s="408"/>
      <c r="BQ509" s="408"/>
      <c r="BR509" s="408"/>
      <c r="BS509" s="408"/>
      <c r="BT509" s="408"/>
      <c r="BU509" s="408"/>
      <c r="BV509" s="408">
        <v>79.467115210503934</v>
      </c>
      <c r="BW509" s="408"/>
      <c r="BX509" s="408"/>
      <c r="BY509" s="408"/>
      <c r="BZ509" s="408"/>
      <c r="CA509" s="408"/>
      <c r="CB509" s="408"/>
      <c r="CC509" s="408"/>
      <c r="CD509" s="408"/>
      <c r="CE509" s="408"/>
      <c r="CF509" s="408"/>
      <c r="CG509" s="408"/>
      <c r="CH509" s="408"/>
      <c r="CI509" s="408">
        <v>436.37399999999997</v>
      </c>
      <c r="CJ509" s="408">
        <v>-216.50121999999993</v>
      </c>
      <c r="CK509" s="408"/>
      <c r="CL509" s="408"/>
      <c r="CM509" s="408"/>
      <c r="CN509" s="408"/>
      <c r="CO509" s="408">
        <v>-227.06866000000002</v>
      </c>
      <c r="CP509" s="408">
        <v>8.1731399999999947</v>
      </c>
      <c r="CQ509" s="408">
        <v>31</v>
      </c>
      <c r="CR509" s="408">
        <v>14.639827650462024</v>
      </c>
      <c r="CS509" s="408">
        <v>1.045754683569811</v>
      </c>
      <c r="CT509" s="408">
        <v>1.5576672688136775</v>
      </c>
      <c r="CU509" s="408">
        <v>0</v>
      </c>
      <c r="CV509" s="408">
        <v>0</v>
      </c>
      <c r="CW509" s="408">
        <v>0</v>
      </c>
      <c r="CX509" s="408">
        <v>0</v>
      </c>
      <c r="CY509" s="408">
        <v>0</v>
      </c>
      <c r="CZ509" s="408">
        <v>3.6548366315480649</v>
      </c>
      <c r="DA509" s="408">
        <v>0</v>
      </c>
      <c r="DB509" s="408">
        <v>0</v>
      </c>
      <c r="DC509" s="408">
        <v>8.1706641172368677</v>
      </c>
      <c r="DD509" s="408">
        <v>0</v>
      </c>
      <c r="DE509" s="408">
        <v>0</v>
      </c>
      <c r="DF509" s="408">
        <v>0</v>
      </c>
      <c r="DG509" s="408">
        <v>0.60590549438482189</v>
      </c>
      <c r="DH509" s="408">
        <v>0</v>
      </c>
      <c r="DI509" s="408">
        <v>-0.33411446735198425</v>
      </c>
      <c r="DJ509" s="408"/>
      <c r="DK509" s="408">
        <v>0</v>
      </c>
      <c r="DL509" s="408">
        <v>0</v>
      </c>
      <c r="DM509" s="408">
        <v>0</v>
      </c>
      <c r="DN509" s="408">
        <v>0</v>
      </c>
      <c r="DO509" s="408">
        <v>-4.9895339257627125E-2</v>
      </c>
      <c r="DP509" s="408">
        <v>-1.0990738481653051E-2</v>
      </c>
      <c r="DQ509" s="408">
        <v>0</v>
      </c>
      <c r="DR509" s="408">
        <v>0</v>
      </c>
      <c r="DS509" s="408"/>
      <c r="DT509" s="408"/>
      <c r="DU509" s="408"/>
      <c r="DV509" s="408">
        <v>416.29550857896487</v>
      </c>
      <c r="DW509" s="408">
        <v>0</v>
      </c>
      <c r="DX509" s="408">
        <v>0</v>
      </c>
      <c r="DY509" s="408">
        <v>-227.06865999999997</v>
      </c>
      <c r="DZ509" s="408">
        <v>8.1731400000000036</v>
      </c>
      <c r="EA509" s="408">
        <v>0</v>
      </c>
      <c r="EB509" s="408">
        <v>0</v>
      </c>
      <c r="EC509" s="408">
        <v>-233.53749213407292</v>
      </c>
      <c r="ED509" s="408">
        <v>0</v>
      </c>
      <c r="EE509" s="408">
        <v>0</v>
      </c>
      <c r="EF509" s="408">
        <v>0</v>
      </c>
      <c r="EG509" s="408">
        <v>0</v>
      </c>
      <c r="EH509" s="408">
        <v>0</v>
      </c>
      <c r="EI509" s="408">
        <v>0</v>
      </c>
      <c r="EJ509" s="408">
        <v>0</v>
      </c>
      <c r="EK509" s="408">
        <v>0</v>
      </c>
      <c r="EL509" s="408">
        <v>0</v>
      </c>
      <c r="EM509" s="408">
        <v>0</v>
      </c>
      <c r="EN509" s="408">
        <v>0</v>
      </c>
      <c r="EO509" s="408">
        <v>0</v>
      </c>
      <c r="EP509" s="408">
        <v>0</v>
      </c>
      <c r="EQ509" s="408">
        <v>0</v>
      </c>
      <c r="ER509" s="408">
        <v>0</v>
      </c>
      <c r="ES509" s="408">
        <v>0</v>
      </c>
      <c r="ET509" s="408">
        <v>0</v>
      </c>
      <c r="EU509" s="408">
        <v>0</v>
      </c>
      <c r="EV509" s="408">
        <v>238</v>
      </c>
      <c r="EW509" s="408">
        <v>0</v>
      </c>
      <c r="EX509" s="408">
        <v>0</v>
      </c>
      <c r="EY509" s="408">
        <v>0</v>
      </c>
      <c r="EZ509" s="408"/>
      <c r="FA509" s="408">
        <v>0</v>
      </c>
      <c r="FB509" s="408"/>
      <c r="FC509" s="408"/>
      <c r="FD509" s="408"/>
      <c r="FE509" s="408"/>
      <c r="FF509" s="408">
        <v>0</v>
      </c>
      <c r="FG509" s="408">
        <v>0</v>
      </c>
      <c r="FH509" s="408">
        <v>0</v>
      </c>
      <c r="FI509" s="408">
        <v>0</v>
      </c>
    </row>
    <row r="510" spans="1:165">
      <c r="A510" s="408">
        <v>514</v>
      </c>
      <c r="B510" s="408" t="s">
        <v>1036</v>
      </c>
      <c r="C510" s="408" t="s">
        <v>2243</v>
      </c>
      <c r="D510" s="408" t="s">
        <v>597</v>
      </c>
      <c r="E510" s="408" t="s">
        <v>2246</v>
      </c>
      <c r="F510" s="408" t="s">
        <v>1322</v>
      </c>
      <c r="G510" s="408" t="s">
        <v>1322</v>
      </c>
      <c r="H510" s="408" t="s">
        <v>1322</v>
      </c>
      <c r="I510" s="408" t="s">
        <v>2244</v>
      </c>
      <c r="J510" s="408" t="s">
        <v>2236</v>
      </c>
      <c r="K510" s="824">
        <v>44621</v>
      </c>
      <c r="L510" s="408">
        <v>0</v>
      </c>
      <c r="M510" s="408">
        <v>0</v>
      </c>
      <c r="N510" s="408">
        <v>10.363</v>
      </c>
      <c r="O510" s="408">
        <v>10.363</v>
      </c>
      <c r="P510" s="408">
        <v>10.363</v>
      </c>
      <c r="Q510" s="408">
        <v>10.363</v>
      </c>
      <c r="R510" s="408"/>
      <c r="S510" s="408">
        <v>79.7</v>
      </c>
      <c r="T510" s="408">
        <v>209.4</v>
      </c>
      <c r="U510" s="408"/>
      <c r="V510" s="408">
        <v>2995.9432999999999</v>
      </c>
      <c r="W510" s="408">
        <v>2995.9432999999999</v>
      </c>
      <c r="X510" s="408">
        <v>3238.6447599999997</v>
      </c>
      <c r="Y510" s="408">
        <v>0</v>
      </c>
      <c r="Z510" s="408">
        <v>554.81408160730143</v>
      </c>
      <c r="AA510" s="408">
        <v>0</v>
      </c>
      <c r="AB510" s="408">
        <v>0</v>
      </c>
      <c r="AC510" s="408">
        <v>0</v>
      </c>
      <c r="AD510" s="408">
        <v>0</v>
      </c>
      <c r="AE510" s="408">
        <v>0</v>
      </c>
      <c r="AF510" s="408">
        <v>2141.5216786323922</v>
      </c>
      <c r="AG510" s="408">
        <v>28.528975923879621</v>
      </c>
      <c r="AH510" s="408">
        <v>0</v>
      </c>
      <c r="AI510" s="408">
        <v>0</v>
      </c>
      <c r="AJ510" s="408">
        <v>0</v>
      </c>
      <c r="AK510" s="408">
        <v>0</v>
      </c>
      <c r="AL510" s="408">
        <v>98.548001848426438</v>
      </c>
      <c r="AM510" s="408"/>
      <c r="AN510" s="408">
        <v>13.760450569069647</v>
      </c>
      <c r="AO510" s="408">
        <v>0</v>
      </c>
      <c r="AP510" s="408">
        <v>0</v>
      </c>
      <c r="AQ510" s="408">
        <v>0</v>
      </c>
      <c r="AR510" s="408">
        <v>0</v>
      </c>
      <c r="AS510" s="408">
        <v>0</v>
      </c>
      <c r="AT510" s="408">
        <v>0</v>
      </c>
      <c r="AU510" s="408">
        <v>0</v>
      </c>
      <c r="AV510" s="408">
        <v>0</v>
      </c>
      <c r="AW510" s="408">
        <v>0</v>
      </c>
      <c r="AX510" s="408">
        <v>0</v>
      </c>
      <c r="AY510" s="408">
        <v>0</v>
      </c>
      <c r="AZ510" s="408">
        <v>0</v>
      </c>
      <c r="BA510" s="408"/>
      <c r="BB510" s="408">
        <v>0</v>
      </c>
      <c r="BC510" s="408">
        <v>0</v>
      </c>
      <c r="BD510" s="408">
        <v>0</v>
      </c>
      <c r="BE510" s="408">
        <v>0</v>
      </c>
      <c r="BF510" s="408">
        <v>0</v>
      </c>
      <c r="BG510" s="408">
        <v>158.80713401132908</v>
      </c>
      <c r="BH510" s="408">
        <v>0</v>
      </c>
      <c r="BI510" s="408">
        <v>0</v>
      </c>
      <c r="BJ510" s="408">
        <v>0</v>
      </c>
      <c r="BK510" s="408">
        <v>0</v>
      </c>
      <c r="BL510" s="408">
        <v>0</v>
      </c>
      <c r="BM510" s="408"/>
      <c r="BN510" s="408"/>
      <c r="BO510" s="408"/>
      <c r="BP510" s="408"/>
      <c r="BQ510" s="408"/>
      <c r="BR510" s="408"/>
      <c r="BS510" s="408"/>
      <c r="BT510" s="408"/>
      <c r="BU510" s="408"/>
      <c r="BV510" s="408">
        <v>2300.3288126437214</v>
      </c>
      <c r="BW510" s="408"/>
      <c r="BX510" s="408"/>
      <c r="BY510" s="408"/>
      <c r="BZ510" s="408"/>
      <c r="CA510" s="408"/>
      <c r="CB510" s="408"/>
      <c r="CC510" s="408"/>
      <c r="CD510" s="408"/>
      <c r="CE510" s="408"/>
      <c r="CF510" s="408"/>
      <c r="CG510" s="408"/>
      <c r="CH510" s="408"/>
      <c r="CI510" s="408">
        <v>3237.7071999999998</v>
      </c>
      <c r="CJ510" s="408">
        <v>241.73389999999927</v>
      </c>
      <c r="CK510" s="408"/>
      <c r="CL510" s="408"/>
      <c r="CM510" s="408"/>
      <c r="CN510" s="408"/>
      <c r="CO510" s="408">
        <v>6.1141700000000352</v>
      </c>
      <c r="CP510" s="408">
        <v>236.58728999999983</v>
      </c>
      <c r="CQ510" s="408">
        <v>31</v>
      </c>
      <c r="CR510" s="408">
        <v>242.62067105154983</v>
      </c>
      <c r="CS510" s="408">
        <v>0</v>
      </c>
      <c r="CT510" s="408">
        <v>0</v>
      </c>
      <c r="CU510" s="408">
        <v>0</v>
      </c>
      <c r="CV510" s="408">
        <v>0</v>
      </c>
      <c r="CW510" s="408">
        <v>0</v>
      </c>
      <c r="CX510" s="408">
        <v>0</v>
      </c>
      <c r="CY510" s="408">
        <v>0</v>
      </c>
      <c r="CZ510" s="408">
        <v>0</v>
      </c>
      <c r="DA510" s="408">
        <v>0</v>
      </c>
      <c r="DB510" s="408">
        <v>0</v>
      </c>
      <c r="DC510" s="408">
        <v>236.51562080146823</v>
      </c>
      <c r="DD510" s="408">
        <v>0</v>
      </c>
      <c r="DE510" s="408">
        <v>0</v>
      </c>
      <c r="DF510" s="408">
        <v>0</v>
      </c>
      <c r="DG510" s="408">
        <v>17.539102341647805</v>
      </c>
      <c r="DH510" s="408">
        <v>0</v>
      </c>
      <c r="DI510" s="408">
        <v>-9.6715872211412943</v>
      </c>
      <c r="DJ510" s="408"/>
      <c r="DK510" s="408">
        <v>0</v>
      </c>
      <c r="DL510" s="408">
        <v>0</v>
      </c>
      <c r="DM510" s="408">
        <v>0</v>
      </c>
      <c r="DN510" s="408">
        <v>0</v>
      </c>
      <c r="DO510" s="408">
        <v>-1.4443167618066752</v>
      </c>
      <c r="DP510" s="408">
        <v>-0.31814810861835419</v>
      </c>
      <c r="DQ510" s="408">
        <v>0</v>
      </c>
      <c r="DR510" s="408">
        <v>0</v>
      </c>
      <c r="DS510" s="408"/>
      <c r="DT510" s="408"/>
      <c r="DU510" s="408"/>
      <c r="DV510" s="408">
        <v>0</v>
      </c>
      <c r="DW510" s="408">
        <v>0</v>
      </c>
      <c r="DX510" s="408">
        <v>0</v>
      </c>
      <c r="DY510" s="408">
        <v>6.1141700000000583</v>
      </c>
      <c r="DZ510" s="408">
        <v>236.58728999999948</v>
      </c>
      <c r="EA510" s="408">
        <v>0</v>
      </c>
      <c r="EB510" s="408">
        <v>0</v>
      </c>
      <c r="EC510" s="408">
        <v>0</v>
      </c>
      <c r="ED510" s="408">
        <v>0</v>
      </c>
      <c r="EE510" s="408">
        <v>0</v>
      </c>
      <c r="EF510" s="408">
        <v>0</v>
      </c>
      <c r="EG510" s="408">
        <v>0</v>
      </c>
      <c r="EH510" s="408">
        <v>0</v>
      </c>
      <c r="EI510" s="408">
        <v>0</v>
      </c>
      <c r="EJ510" s="408">
        <v>0</v>
      </c>
      <c r="EK510" s="408">
        <v>0</v>
      </c>
      <c r="EL510" s="408">
        <v>0</v>
      </c>
      <c r="EM510" s="408">
        <v>0</v>
      </c>
      <c r="EN510" s="408">
        <v>0</v>
      </c>
      <c r="EO510" s="408">
        <v>0</v>
      </c>
      <c r="EP510" s="408">
        <v>0</v>
      </c>
      <c r="EQ510" s="408">
        <v>0</v>
      </c>
      <c r="ER510" s="408">
        <v>0</v>
      </c>
      <c r="ES510" s="408">
        <v>0</v>
      </c>
      <c r="ET510" s="408">
        <v>0</v>
      </c>
      <c r="EU510" s="408">
        <v>0</v>
      </c>
      <c r="EV510" s="408">
        <v>238</v>
      </c>
      <c r="EW510" s="408">
        <v>0</v>
      </c>
      <c r="EX510" s="408">
        <v>0</v>
      </c>
      <c r="EY510" s="408">
        <v>0</v>
      </c>
      <c r="EZ510" s="408"/>
      <c r="FA510" s="408">
        <v>0</v>
      </c>
      <c r="FB510" s="408"/>
      <c r="FC510" s="408"/>
      <c r="FD510" s="408"/>
      <c r="FE510" s="408"/>
      <c r="FF510" s="408">
        <v>0</v>
      </c>
      <c r="FG510" s="408">
        <v>0</v>
      </c>
      <c r="FH510" s="408">
        <v>0</v>
      </c>
      <c r="FI510" s="408">
        <v>0</v>
      </c>
    </row>
    <row r="511" spans="1:165">
      <c r="A511" s="408">
        <v>515</v>
      </c>
      <c r="B511" s="408" t="s">
        <v>1036</v>
      </c>
      <c r="C511" s="408" t="s">
        <v>2243</v>
      </c>
      <c r="D511" s="408" t="s">
        <v>597</v>
      </c>
      <c r="E511" s="408" t="s">
        <v>2246</v>
      </c>
      <c r="F511" s="408" t="s">
        <v>1322</v>
      </c>
      <c r="G511" s="408" t="s">
        <v>1322</v>
      </c>
      <c r="H511" s="408" t="s">
        <v>1322</v>
      </c>
      <c r="I511" s="408" t="s">
        <v>1322</v>
      </c>
      <c r="J511" s="408" t="s">
        <v>2236</v>
      </c>
      <c r="K511" s="824">
        <v>44621</v>
      </c>
      <c r="L511" s="408">
        <v>143</v>
      </c>
      <c r="M511" s="408">
        <v>143</v>
      </c>
      <c r="N511" s="408">
        <v>0</v>
      </c>
      <c r="O511" s="408">
        <v>0</v>
      </c>
      <c r="P511" s="408">
        <v>0</v>
      </c>
      <c r="Q511" s="408">
        <v>0</v>
      </c>
      <c r="R511" s="408">
        <v>44.35</v>
      </c>
      <c r="S511" s="408"/>
      <c r="T511" s="408"/>
      <c r="U511" s="408">
        <v>6342.05</v>
      </c>
      <c r="V511" s="408"/>
      <c r="W511" s="408">
        <v>6342.05</v>
      </c>
      <c r="X511" s="408">
        <v>4142.71</v>
      </c>
      <c r="Y511" s="408">
        <v>0</v>
      </c>
      <c r="Z511" s="408">
        <v>0</v>
      </c>
      <c r="AA511" s="408">
        <v>0</v>
      </c>
      <c r="AB511" s="408">
        <v>0</v>
      </c>
      <c r="AC511" s="408">
        <v>0</v>
      </c>
      <c r="AD511" s="408">
        <v>1876.4551073961979</v>
      </c>
      <c r="AE511" s="408">
        <v>4106.6520188616778</v>
      </c>
      <c r="AF511" s="408"/>
      <c r="AG511" s="408"/>
      <c r="AH511" s="408"/>
      <c r="AI511" s="408">
        <v>0</v>
      </c>
      <c r="AJ511" s="408">
        <v>0</v>
      </c>
      <c r="AK511" s="408">
        <v>0</v>
      </c>
      <c r="AL511" s="408">
        <v>0</v>
      </c>
      <c r="AM511" s="408"/>
      <c r="AN511" s="408">
        <v>0</v>
      </c>
      <c r="AO511" s="408">
        <v>141.81605890751828</v>
      </c>
      <c r="AP511" s="408">
        <v>216.97266925736545</v>
      </c>
      <c r="AQ511" s="408">
        <v>0</v>
      </c>
      <c r="AR511" s="408">
        <v>0</v>
      </c>
      <c r="AS511" s="408"/>
      <c r="AT511" s="408"/>
      <c r="AU511" s="408">
        <v>0</v>
      </c>
      <c r="AV511" s="408">
        <v>0</v>
      </c>
      <c r="AW511" s="408">
        <v>0</v>
      </c>
      <c r="AX511" s="408"/>
      <c r="AY511" s="408"/>
      <c r="AZ511" s="408">
        <v>0</v>
      </c>
      <c r="BA511" s="408"/>
      <c r="BB511" s="408">
        <v>0</v>
      </c>
      <c r="BC511" s="408">
        <v>0</v>
      </c>
      <c r="BD511" s="408">
        <v>0</v>
      </c>
      <c r="BE511" s="408">
        <v>0</v>
      </c>
      <c r="BF511" s="408"/>
      <c r="BG511" s="408">
        <v>0</v>
      </c>
      <c r="BH511" s="408">
        <v>0</v>
      </c>
      <c r="BI511" s="408">
        <v>19.649999999999999</v>
      </c>
      <c r="BJ511" s="408">
        <v>9.09</v>
      </c>
      <c r="BK511" s="408">
        <v>2589.37</v>
      </c>
      <c r="BL511" s="408">
        <v>2</v>
      </c>
      <c r="BM511" s="408"/>
      <c r="BN511" s="408"/>
      <c r="BO511" s="408"/>
      <c r="BP511" s="408"/>
      <c r="BQ511" s="408"/>
      <c r="BR511" s="408"/>
      <c r="BS511" s="408"/>
      <c r="BT511" s="408"/>
      <c r="BU511" s="408"/>
      <c r="BV511" s="408">
        <v>0</v>
      </c>
      <c r="BW511" s="408"/>
      <c r="BX511" s="408"/>
      <c r="BY511" s="408"/>
      <c r="BZ511" s="408"/>
      <c r="CA511" s="408"/>
      <c r="CB511" s="408"/>
      <c r="CC511" s="408"/>
      <c r="CD511" s="408"/>
      <c r="CE511" s="408"/>
      <c r="CF511" s="408"/>
      <c r="CG511" s="408"/>
      <c r="CH511" s="408"/>
      <c r="CI511" s="408">
        <v>4142.71</v>
      </c>
      <c r="CJ511" s="408">
        <v>-2199.3700000000008</v>
      </c>
      <c r="CK511" s="408"/>
      <c r="CL511" s="408"/>
      <c r="CM511" s="408"/>
      <c r="CN511" s="408"/>
      <c r="CO511" s="408">
        <v>-2199.34</v>
      </c>
      <c r="CP511" s="408">
        <v>0</v>
      </c>
      <c r="CQ511" s="408">
        <v>31</v>
      </c>
      <c r="CR511" s="408">
        <v>104.83206434614658</v>
      </c>
      <c r="CS511" s="408">
        <v>17.121740749543847</v>
      </c>
      <c r="CT511" s="408">
        <v>26.195550922648238</v>
      </c>
      <c r="CU511" s="408">
        <v>0</v>
      </c>
      <c r="CV511" s="408">
        <v>0</v>
      </c>
      <c r="CW511" s="408"/>
      <c r="CX511" s="408"/>
      <c r="CY511" s="408"/>
      <c r="CZ511" s="408">
        <v>61.514772673954667</v>
      </c>
      <c r="DA511" s="408">
        <v>0</v>
      </c>
      <c r="DB511" s="408">
        <v>0</v>
      </c>
      <c r="DC511" s="408"/>
      <c r="DD511" s="408"/>
      <c r="DE511" s="408">
        <v>0</v>
      </c>
      <c r="DF511" s="408">
        <v>0</v>
      </c>
      <c r="DG511" s="408">
        <v>0</v>
      </c>
      <c r="DH511" s="408">
        <v>0</v>
      </c>
      <c r="DI511" s="408">
        <v>0</v>
      </c>
      <c r="DJ511" s="408"/>
      <c r="DK511" s="408">
        <v>0</v>
      </c>
      <c r="DL511" s="408">
        <v>0</v>
      </c>
      <c r="DM511" s="408"/>
      <c r="DN511" s="408">
        <v>0</v>
      </c>
      <c r="DO511" s="408">
        <v>0</v>
      </c>
      <c r="DP511" s="408">
        <v>0</v>
      </c>
      <c r="DQ511" s="408">
        <v>0</v>
      </c>
      <c r="DR511" s="408">
        <v>0</v>
      </c>
      <c r="DS511" s="408"/>
      <c r="DT511" s="408"/>
      <c r="DU511" s="408">
        <v>4106.6520188616778</v>
      </c>
      <c r="DV511" s="408"/>
      <c r="DW511" s="408">
        <v>0</v>
      </c>
      <c r="DX511" s="408">
        <v>0</v>
      </c>
      <c r="DY511" s="408">
        <v>-2199.34</v>
      </c>
      <c r="DZ511" s="408"/>
      <c r="EA511" s="408">
        <v>0</v>
      </c>
      <c r="EB511" s="408"/>
      <c r="EC511" s="408">
        <v>-2303.7894807610255</v>
      </c>
      <c r="ED511" s="408"/>
      <c r="EE511" s="408">
        <v>0</v>
      </c>
      <c r="EF511" s="408">
        <v>0</v>
      </c>
      <c r="EG511" s="408"/>
      <c r="EH511" s="408">
        <v>0</v>
      </c>
      <c r="EI511" s="408">
        <v>0</v>
      </c>
      <c r="EJ511" s="408">
        <v>0</v>
      </c>
      <c r="EK511" s="408">
        <v>0</v>
      </c>
      <c r="EL511" s="408">
        <v>0</v>
      </c>
      <c r="EM511" s="408"/>
      <c r="EN511" s="408"/>
      <c r="EO511" s="408">
        <v>0</v>
      </c>
      <c r="EP511" s="408">
        <v>0</v>
      </c>
      <c r="EQ511" s="408"/>
      <c r="ER511" s="408">
        <v>0</v>
      </c>
      <c r="ES511" s="408"/>
      <c r="ET511" s="408">
        <v>0</v>
      </c>
      <c r="EU511" s="408"/>
      <c r="EV511" s="408">
        <v>238</v>
      </c>
      <c r="EW511" s="408"/>
      <c r="EX511" s="408"/>
      <c r="EY511" s="408"/>
      <c r="EZ511" s="408"/>
      <c r="FA511" s="408">
        <v>0</v>
      </c>
      <c r="FB511" s="408"/>
      <c r="FC511" s="408"/>
      <c r="FD511" s="408"/>
      <c r="FE511" s="408"/>
      <c r="FF511" s="408">
        <v>0</v>
      </c>
      <c r="FG511" s="408">
        <v>0</v>
      </c>
      <c r="FH511" s="408">
        <v>0</v>
      </c>
      <c r="FI511" s="408">
        <v>0</v>
      </c>
    </row>
    <row r="512" spans="1:165">
      <c r="A512" s="408">
        <v>516</v>
      </c>
      <c r="B512" s="408" t="s">
        <v>1036</v>
      </c>
      <c r="C512" s="408" t="s">
        <v>2235</v>
      </c>
      <c r="D512" s="408" t="s">
        <v>2247</v>
      </c>
      <c r="E512" s="408" t="s">
        <v>2248</v>
      </c>
      <c r="F512" s="408" t="s">
        <v>2249</v>
      </c>
      <c r="G512" s="408" t="s">
        <v>1322</v>
      </c>
      <c r="H512" s="408" t="s">
        <v>1322</v>
      </c>
      <c r="I512" s="408" t="s">
        <v>1322</v>
      </c>
      <c r="J512" s="408" t="s">
        <v>2236</v>
      </c>
      <c r="K512" s="824">
        <v>44621</v>
      </c>
      <c r="L512" s="408">
        <v>0</v>
      </c>
      <c r="M512" s="408">
        <v>0</v>
      </c>
      <c r="N512" s="408">
        <v>501.32499999999999</v>
      </c>
      <c r="O512" s="408">
        <v>501.32499999999999</v>
      </c>
      <c r="P512" s="408">
        <v>501.32499999999999</v>
      </c>
      <c r="Q512" s="408">
        <v>501.32499999999999</v>
      </c>
      <c r="R512" s="408"/>
      <c r="S512" s="408">
        <v>319.73</v>
      </c>
      <c r="T512" s="408">
        <v>115.17</v>
      </c>
      <c r="U512" s="408"/>
      <c r="V512" s="408">
        <v>218026.24249999999</v>
      </c>
      <c r="W512" s="408">
        <v>218026.24249999999</v>
      </c>
      <c r="X512" s="408">
        <v>166555.20475</v>
      </c>
      <c r="Y512" s="408">
        <v>0</v>
      </c>
      <c r="Z512" s="408">
        <v>16967.77030615988</v>
      </c>
      <c r="AA512" s="408">
        <v>0</v>
      </c>
      <c r="AB512" s="408">
        <v>0</v>
      </c>
      <c r="AC512" s="408">
        <v>0</v>
      </c>
      <c r="AD512" s="408">
        <v>20456.63161561895</v>
      </c>
      <c r="AE512" s="408">
        <v>106267.3248907352</v>
      </c>
      <c r="AF512" s="408">
        <v>56979.55182352721</v>
      </c>
      <c r="AG512" s="408">
        <v>759.07158836933195</v>
      </c>
      <c r="AH512" s="408">
        <v>0</v>
      </c>
      <c r="AI512" s="408">
        <v>0</v>
      </c>
      <c r="AJ512" s="408">
        <v>0</v>
      </c>
      <c r="AK512" s="408">
        <v>0</v>
      </c>
      <c r="AL512" s="408">
        <v>2622.0705746081544</v>
      </c>
      <c r="AM512" s="408"/>
      <c r="AN512" s="408">
        <v>502.64367209810024</v>
      </c>
      <c r="AO512" s="408">
        <v>1571.51070975638</v>
      </c>
      <c r="AP512" s="408">
        <v>2367.1836990772786</v>
      </c>
      <c r="AQ512" s="408">
        <v>0</v>
      </c>
      <c r="AR512" s="408">
        <v>0</v>
      </c>
      <c r="AS512" s="408">
        <v>0</v>
      </c>
      <c r="AT512" s="408">
        <v>0</v>
      </c>
      <c r="AU512" s="408">
        <v>0</v>
      </c>
      <c r="AV512" s="408">
        <v>0</v>
      </c>
      <c r="AW512" s="408">
        <v>0</v>
      </c>
      <c r="AX512" s="408">
        <v>0</v>
      </c>
      <c r="AY512" s="408">
        <v>0</v>
      </c>
      <c r="AZ512" s="408">
        <v>0</v>
      </c>
      <c r="BA512" s="408"/>
      <c r="BB512" s="408">
        <v>0</v>
      </c>
      <c r="BC512" s="408">
        <v>0</v>
      </c>
      <c r="BD512" s="408">
        <v>0</v>
      </c>
      <c r="BE512" s="408">
        <v>0</v>
      </c>
      <c r="BF512" s="408">
        <v>0</v>
      </c>
      <c r="BG512" s="408">
        <v>9532.5725023653085</v>
      </c>
      <c r="BH512" s="408">
        <v>0</v>
      </c>
      <c r="BI512" s="408">
        <v>500.56</v>
      </c>
      <c r="BJ512" s="408">
        <v>231.37</v>
      </c>
      <c r="BK512" s="408">
        <v>59618.48</v>
      </c>
      <c r="BL512" s="408">
        <v>41</v>
      </c>
      <c r="BM512" s="408"/>
      <c r="BN512" s="408"/>
      <c r="BO512" s="408"/>
      <c r="BP512" s="408"/>
      <c r="BQ512" s="408"/>
      <c r="BR512" s="408"/>
      <c r="BS512" s="408"/>
      <c r="BT512" s="408"/>
      <c r="BU512" s="408"/>
      <c r="BV512" s="408">
        <v>66512.124325892524</v>
      </c>
      <c r="BW512" s="408"/>
      <c r="BX512" s="408"/>
      <c r="BY512" s="408"/>
      <c r="BZ512" s="408"/>
      <c r="CA512" s="408"/>
      <c r="CB512" s="408"/>
      <c r="CC512" s="408"/>
      <c r="CD512" s="408"/>
      <c r="CE512" s="408"/>
      <c r="CF512" s="408"/>
      <c r="CG512" s="408"/>
      <c r="CH512" s="408"/>
      <c r="CI512" s="408">
        <v>166556.86589999998</v>
      </c>
      <c r="CJ512" s="408">
        <v>-51469.406600000046</v>
      </c>
      <c r="CK512" s="408"/>
      <c r="CL512" s="408"/>
      <c r="CM512" s="408"/>
      <c r="CN512" s="408"/>
      <c r="CO512" s="408">
        <v>-57762.666500000014</v>
      </c>
      <c r="CP512" s="408">
        <v>6291.628749999998</v>
      </c>
      <c r="CQ512" s="408">
        <v>31</v>
      </c>
      <c r="CR512" s="408">
        <v>8146.0945407815452</v>
      </c>
      <c r="CS512" s="408">
        <v>189.73167894284666</v>
      </c>
      <c r="CT512" s="408">
        <v>285.79489455829662</v>
      </c>
      <c r="CU512" s="408">
        <v>0</v>
      </c>
      <c r="CV512" s="408">
        <v>0</v>
      </c>
      <c r="CW512" s="408">
        <v>0</v>
      </c>
      <c r="CX512" s="408">
        <v>0</v>
      </c>
      <c r="CY512" s="408">
        <v>0</v>
      </c>
      <c r="CZ512" s="408">
        <v>670.61825169674194</v>
      </c>
      <c r="DA512" s="408">
        <v>0</v>
      </c>
      <c r="DB512" s="408">
        <v>0</v>
      </c>
      <c r="DC512" s="408">
        <v>6292.9804573060828</v>
      </c>
      <c r="DD512" s="408">
        <v>0</v>
      </c>
      <c r="DE512" s="408">
        <v>0</v>
      </c>
      <c r="DF512" s="408">
        <v>0</v>
      </c>
      <c r="DG512" s="408">
        <v>1052.8038663944953</v>
      </c>
      <c r="DH512" s="408">
        <v>0</v>
      </c>
      <c r="DI512" s="408">
        <v>-295.78425621231145</v>
      </c>
      <c r="DJ512" s="408"/>
      <c r="DK512" s="408">
        <v>0</v>
      </c>
      <c r="DL512" s="408">
        <v>0</v>
      </c>
      <c r="DM512" s="408">
        <v>0</v>
      </c>
      <c r="DN512" s="408">
        <v>0</v>
      </c>
      <c r="DO512" s="408">
        <v>-38.428993084724425</v>
      </c>
      <c r="DP512" s="408">
        <v>-11.621358819921454</v>
      </c>
      <c r="DQ512" s="408">
        <v>0</v>
      </c>
      <c r="DR512" s="408">
        <v>0</v>
      </c>
      <c r="DS512" s="408"/>
      <c r="DT512" s="408"/>
      <c r="DU512" s="408"/>
      <c r="DV512" s="408">
        <v>106267.3248907352</v>
      </c>
      <c r="DW512" s="408">
        <v>0</v>
      </c>
      <c r="DX512" s="408">
        <v>0</v>
      </c>
      <c r="DY512" s="408">
        <v>-57762.666500000007</v>
      </c>
      <c r="DZ512" s="408">
        <v>6291.6287499999962</v>
      </c>
      <c r="EA512" s="408">
        <v>0</v>
      </c>
      <c r="EB512" s="408">
        <v>0</v>
      </c>
      <c r="EC512" s="408">
        <v>-59614.874624743912</v>
      </c>
      <c r="ED512" s="408">
        <v>0</v>
      </c>
      <c r="EE512" s="408">
        <v>0</v>
      </c>
      <c r="EF512" s="408">
        <v>0</v>
      </c>
      <c r="EG512" s="408">
        <v>0</v>
      </c>
      <c r="EH512" s="408">
        <v>0</v>
      </c>
      <c r="EI512" s="408">
        <v>0</v>
      </c>
      <c r="EJ512" s="408">
        <v>0</v>
      </c>
      <c r="EK512" s="408">
        <v>0</v>
      </c>
      <c r="EL512" s="408">
        <v>0</v>
      </c>
      <c r="EM512" s="408">
        <v>0</v>
      </c>
      <c r="EN512" s="408">
        <v>0</v>
      </c>
      <c r="EO512" s="408">
        <v>0</v>
      </c>
      <c r="EP512" s="408">
        <v>0</v>
      </c>
      <c r="EQ512" s="408">
        <v>0</v>
      </c>
      <c r="ER512" s="408">
        <v>0</v>
      </c>
      <c r="ES512" s="408">
        <v>0</v>
      </c>
      <c r="ET512" s="408">
        <v>0</v>
      </c>
      <c r="EU512" s="408">
        <v>0</v>
      </c>
      <c r="EV512" s="408">
        <v>238</v>
      </c>
      <c r="EW512" s="408">
        <v>0</v>
      </c>
      <c r="EX512" s="408">
        <v>0</v>
      </c>
      <c r="EY512" s="408">
        <v>0</v>
      </c>
      <c r="EZ512" s="408"/>
      <c r="FA512" s="408">
        <v>0</v>
      </c>
      <c r="FB512" s="408"/>
      <c r="FC512" s="408"/>
      <c r="FD512" s="408"/>
      <c r="FE512" s="408"/>
      <c r="FF512" s="408">
        <v>0</v>
      </c>
      <c r="FG512" s="408">
        <v>0</v>
      </c>
      <c r="FH512" s="408">
        <v>0</v>
      </c>
      <c r="FI512" s="408">
        <v>0</v>
      </c>
    </row>
    <row r="513" spans="1:165">
      <c r="A513" s="408">
        <v>517</v>
      </c>
      <c r="B513" s="408" t="s">
        <v>1036</v>
      </c>
      <c r="C513" s="408" t="s">
        <v>2235</v>
      </c>
      <c r="D513" s="408" t="s">
        <v>1958</v>
      </c>
      <c r="E513" s="408" t="s">
        <v>1001</v>
      </c>
      <c r="F513" s="408" t="s">
        <v>2250</v>
      </c>
      <c r="G513" s="408" t="s">
        <v>1322</v>
      </c>
      <c r="H513" s="408" t="s">
        <v>1322</v>
      </c>
      <c r="I513" s="408" t="s">
        <v>1322</v>
      </c>
      <c r="J513" s="408" t="s">
        <v>2236</v>
      </c>
      <c r="K513" s="824">
        <v>44621</v>
      </c>
      <c r="L513" s="408">
        <v>0</v>
      </c>
      <c r="M513" s="408">
        <v>0</v>
      </c>
      <c r="N513" s="408">
        <v>82.992000000000004</v>
      </c>
      <c r="O513" s="408">
        <v>78.012479999999996</v>
      </c>
      <c r="P513" s="408">
        <v>82.992000000000004</v>
      </c>
      <c r="Q513" s="408">
        <v>78.012479999999996</v>
      </c>
      <c r="R513" s="408"/>
      <c r="S513" s="408">
        <v>581.32000000000005</v>
      </c>
      <c r="T513" s="408">
        <v>209.4</v>
      </c>
      <c r="U513" s="408"/>
      <c r="V513" s="408">
        <v>65623.434240000017</v>
      </c>
      <c r="W513" s="408">
        <v>65623.434240000017</v>
      </c>
      <c r="X513" s="408">
        <v>50132.977440000002</v>
      </c>
      <c r="Y513" s="408">
        <v>0</v>
      </c>
      <c r="Z513" s="408">
        <v>5107.1540173043941</v>
      </c>
      <c r="AA513" s="408">
        <v>0</v>
      </c>
      <c r="AB513" s="408">
        <v>0</v>
      </c>
      <c r="AC513" s="408">
        <v>0</v>
      </c>
      <c r="AD513" s="408">
        <v>6157.2714888942364</v>
      </c>
      <c r="AE513" s="408">
        <v>31985.557644358367</v>
      </c>
      <c r="AF513" s="408">
        <v>17150.358694688748</v>
      </c>
      <c r="AG513" s="408">
        <v>228.47406830788555</v>
      </c>
      <c r="AH513" s="408">
        <v>0</v>
      </c>
      <c r="AI513" s="408">
        <v>0</v>
      </c>
      <c r="AJ513" s="408">
        <v>0</v>
      </c>
      <c r="AK513" s="408">
        <v>0</v>
      </c>
      <c r="AL513" s="408">
        <v>789.22085973218259</v>
      </c>
      <c r="AM513" s="408"/>
      <c r="AN513" s="408">
        <v>151.29145449926958</v>
      </c>
      <c r="AO513" s="408">
        <v>473.0113084837962</v>
      </c>
      <c r="AP513" s="408">
        <v>712.50208603136753</v>
      </c>
      <c r="AQ513" s="408">
        <v>0</v>
      </c>
      <c r="AR513" s="408">
        <v>0</v>
      </c>
      <c r="AS513" s="408">
        <v>0</v>
      </c>
      <c r="AT513" s="408">
        <v>0</v>
      </c>
      <c r="AU513" s="408">
        <v>0</v>
      </c>
      <c r="AV513" s="408">
        <v>0</v>
      </c>
      <c r="AW513" s="408">
        <v>0</v>
      </c>
      <c r="AX513" s="408">
        <v>0</v>
      </c>
      <c r="AY513" s="408">
        <v>0</v>
      </c>
      <c r="AZ513" s="408">
        <v>0</v>
      </c>
      <c r="BA513" s="408"/>
      <c r="BB513" s="408">
        <v>0</v>
      </c>
      <c r="BC513" s="408">
        <v>0</v>
      </c>
      <c r="BD513" s="408">
        <v>0</v>
      </c>
      <c r="BE513" s="408">
        <v>0</v>
      </c>
      <c r="BF513" s="408">
        <v>0</v>
      </c>
      <c r="BG513" s="408">
        <v>2869.2229486997694</v>
      </c>
      <c r="BH513" s="408">
        <v>0</v>
      </c>
      <c r="BI513" s="408">
        <v>123.99</v>
      </c>
      <c r="BJ513" s="408">
        <v>57.31</v>
      </c>
      <c r="BK513" s="408">
        <v>20702.599999999999</v>
      </c>
      <c r="BL513" s="408">
        <v>21</v>
      </c>
      <c r="BM513" s="408"/>
      <c r="BN513" s="408"/>
      <c r="BO513" s="408"/>
      <c r="BP513" s="408"/>
      <c r="BQ513" s="408">
        <v>3007.9786464000044</v>
      </c>
      <c r="BR513" s="408"/>
      <c r="BS513" s="408"/>
      <c r="BT513" s="408"/>
      <c r="BU513" s="408"/>
      <c r="BV513" s="408">
        <v>20019.581643388519</v>
      </c>
      <c r="BW513" s="408"/>
      <c r="BX513" s="408"/>
      <c r="BY513" s="408"/>
      <c r="BZ513" s="408"/>
      <c r="CA513" s="408"/>
      <c r="CB513" s="408"/>
      <c r="CC513" s="408"/>
      <c r="CD513" s="408"/>
      <c r="CE513" s="408"/>
      <c r="CF513" s="408"/>
      <c r="CG513" s="408"/>
      <c r="CH513" s="408"/>
      <c r="CI513" s="408">
        <v>47123.500700000004</v>
      </c>
      <c r="CJ513" s="408">
        <v>-14562.557485600002</v>
      </c>
      <c r="CK513" s="408"/>
      <c r="CL513" s="408"/>
      <c r="CM513" s="408"/>
      <c r="CN513" s="408"/>
      <c r="CO513" s="408">
        <v>-17385.164160000008</v>
      </c>
      <c r="CP513" s="408">
        <v>1894.7073599999987</v>
      </c>
      <c r="CQ513" s="408">
        <v>31</v>
      </c>
      <c r="CR513" s="408">
        <v>2451.904917889573</v>
      </c>
      <c r="CS513" s="408">
        <v>57.107615723150332</v>
      </c>
      <c r="CT513" s="408">
        <v>86.021823582713751</v>
      </c>
      <c r="CU513" s="408">
        <v>0</v>
      </c>
      <c r="CV513" s="408">
        <v>0</v>
      </c>
      <c r="CW513" s="408">
        <v>0</v>
      </c>
      <c r="CX513" s="408">
        <v>0</v>
      </c>
      <c r="CY513" s="408">
        <v>0</v>
      </c>
      <c r="CZ513" s="408">
        <v>201.850369048635</v>
      </c>
      <c r="DA513" s="408">
        <v>0</v>
      </c>
      <c r="DB513" s="408">
        <v>0</v>
      </c>
      <c r="DC513" s="408">
        <v>1894.1333978148687</v>
      </c>
      <c r="DD513" s="408">
        <v>0</v>
      </c>
      <c r="DE513" s="408">
        <v>0</v>
      </c>
      <c r="DF513" s="408">
        <v>0</v>
      </c>
      <c r="DG513" s="408">
        <v>316.88497655690026</v>
      </c>
      <c r="DH513" s="408">
        <v>0</v>
      </c>
      <c r="DI513" s="408">
        <v>-89.028536166681079</v>
      </c>
      <c r="DJ513" s="408"/>
      <c r="DK513" s="408">
        <v>0</v>
      </c>
      <c r="DL513" s="408">
        <v>0</v>
      </c>
      <c r="DM513" s="408">
        <v>0</v>
      </c>
      <c r="DN513" s="408">
        <v>0</v>
      </c>
      <c r="DO513" s="408">
        <v>-11.566798870583739</v>
      </c>
      <c r="DP513" s="408">
        <v>-3.4979297994240426</v>
      </c>
      <c r="DQ513" s="408">
        <v>0</v>
      </c>
      <c r="DR513" s="408">
        <v>0</v>
      </c>
      <c r="DS513" s="408"/>
      <c r="DT513" s="408"/>
      <c r="DU513" s="408"/>
      <c r="DV513" s="408">
        <v>31985.557644358367</v>
      </c>
      <c r="DW513" s="408">
        <v>0</v>
      </c>
      <c r="DX513" s="408">
        <v>0</v>
      </c>
      <c r="DY513" s="408">
        <v>-17385.164160000011</v>
      </c>
      <c r="DZ513" s="408">
        <v>1894.7073599999967</v>
      </c>
      <c r="EA513" s="408">
        <v>0</v>
      </c>
      <c r="EB513" s="408">
        <v>0</v>
      </c>
      <c r="EC513" s="408">
        <v>-17943.568361502839</v>
      </c>
      <c r="ED513" s="408">
        <v>0</v>
      </c>
      <c r="EE513" s="408">
        <v>0</v>
      </c>
      <c r="EF513" s="408">
        <v>0</v>
      </c>
      <c r="EG513" s="408">
        <v>0</v>
      </c>
      <c r="EH513" s="408">
        <v>0</v>
      </c>
      <c r="EI513" s="408">
        <v>0</v>
      </c>
      <c r="EJ513" s="408">
        <v>0</v>
      </c>
      <c r="EK513" s="408">
        <v>0</v>
      </c>
      <c r="EL513" s="408">
        <v>0</v>
      </c>
      <c r="EM513" s="408">
        <v>0</v>
      </c>
      <c r="EN513" s="408">
        <v>0</v>
      </c>
      <c r="EO513" s="408">
        <v>0</v>
      </c>
      <c r="EP513" s="408">
        <v>0</v>
      </c>
      <c r="EQ513" s="408">
        <v>0</v>
      </c>
      <c r="ER513" s="408">
        <v>0</v>
      </c>
      <c r="ES513" s="408">
        <v>0</v>
      </c>
      <c r="ET513" s="408">
        <v>0</v>
      </c>
      <c r="EU513" s="408">
        <v>0</v>
      </c>
      <c r="EV513" s="408">
        <v>238</v>
      </c>
      <c r="EW513" s="408">
        <v>0</v>
      </c>
      <c r="EX513" s="408">
        <v>0</v>
      </c>
      <c r="EY513" s="408">
        <v>0</v>
      </c>
      <c r="EZ513" s="408"/>
      <c r="FA513" s="408">
        <v>0</v>
      </c>
      <c r="FB513" s="408"/>
      <c r="FC513" s="408"/>
      <c r="FD513" s="408"/>
      <c r="FE513" s="408"/>
      <c r="FF513" s="408">
        <v>0</v>
      </c>
      <c r="FG513" s="408">
        <v>0</v>
      </c>
      <c r="FH513" s="408">
        <v>0</v>
      </c>
      <c r="FI513" s="408">
        <v>0</v>
      </c>
    </row>
    <row r="514" spans="1:165">
      <c r="A514" s="408">
        <v>518</v>
      </c>
      <c r="B514" s="408" t="s">
        <v>1036</v>
      </c>
      <c r="C514" s="408" t="s">
        <v>2235</v>
      </c>
      <c r="D514" s="408" t="s">
        <v>1958</v>
      </c>
      <c r="E514" s="408" t="s">
        <v>2251</v>
      </c>
      <c r="F514" s="408" t="s">
        <v>1322</v>
      </c>
      <c r="G514" s="408" t="s">
        <v>1322</v>
      </c>
      <c r="H514" s="408" t="s">
        <v>1322</v>
      </c>
      <c r="I514" s="408" t="s">
        <v>1322</v>
      </c>
      <c r="J514" s="408" t="s">
        <v>2236</v>
      </c>
      <c r="K514" s="824">
        <v>44621</v>
      </c>
      <c r="L514" s="408">
        <v>0</v>
      </c>
      <c r="M514" s="408">
        <v>0</v>
      </c>
      <c r="N514" s="408">
        <v>39.551000000000002</v>
      </c>
      <c r="O514" s="408">
        <v>39.551000000000002</v>
      </c>
      <c r="P514" s="408">
        <v>39.551000000000002</v>
      </c>
      <c r="Q514" s="408">
        <v>39.551000000000002</v>
      </c>
      <c r="R514" s="408"/>
      <c r="S514" s="408">
        <v>581.32000000000005</v>
      </c>
      <c r="T514" s="408">
        <v>209.4</v>
      </c>
      <c r="U514" s="408"/>
      <c r="V514" s="408">
        <v>31273.766720000003</v>
      </c>
      <c r="W514" s="408">
        <v>31273.766720000003</v>
      </c>
      <c r="X514" s="408">
        <v>23891.57257</v>
      </c>
      <c r="Y514" s="408">
        <v>0</v>
      </c>
      <c r="Z514" s="408">
        <v>2433.8857786100598</v>
      </c>
      <c r="AA514" s="408">
        <v>0</v>
      </c>
      <c r="AB514" s="408">
        <v>0</v>
      </c>
      <c r="AC514" s="408">
        <v>0</v>
      </c>
      <c r="AD514" s="408">
        <v>2934.3339678192592</v>
      </c>
      <c r="AE514" s="408">
        <v>15243.16549055352</v>
      </c>
      <c r="AF514" s="408">
        <v>8173.2436467808302</v>
      </c>
      <c r="AG514" s="408">
        <v>108.88251729859722</v>
      </c>
      <c r="AH514" s="408">
        <v>0</v>
      </c>
      <c r="AI514" s="408">
        <v>0</v>
      </c>
      <c r="AJ514" s="408">
        <v>0</v>
      </c>
      <c r="AK514" s="408">
        <v>0</v>
      </c>
      <c r="AL514" s="408">
        <v>376.11425466632386</v>
      </c>
      <c r="AM514" s="408"/>
      <c r="AN514" s="408">
        <v>72.100061655347645</v>
      </c>
      <c r="AO514" s="408">
        <v>225.42016413440601</v>
      </c>
      <c r="AP514" s="408">
        <v>339.55284852306988</v>
      </c>
      <c r="AQ514" s="408">
        <v>0</v>
      </c>
      <c r="AR514" s="408">
        <v>0</v>
      </c>
      <c r="AS514" s="408">
        <v>0</v>
      </c>
      <c r="AT514" s="408">
        <v>0</v>
      </c>
      <c r="AU514" s="408">
        <v>0</v>
      </c>
      <c r="AV514" s="408">
        <v>0</v>
      </c>
      <c r="AW514" s="408">
        <v>0</v>
      </c>
      <c r="AX514" s="408">
        <v>0</v>
      </c>
      <c r="AY514" s="408">
        <v>0</v>
      </c>
      <c r="AZ514" s="408">
        <v>0</v>
      </c>
      <c r="BA514" s="408"/>
      <c r="BB514" s="408">
        <v>0</v>
      </c>
      <c r="BC514" s="408">
        <v>0</v>
      </c>
      <c r="BD514" s="408">
        <v>0</v>
      </c>
      <c r="BE514" s="408">
        <v>0</v>
      </c>
      <c r="BF514" s="408">
        <v>0</v>
      </c>
      <c r="BG514" s="408">
        <v>1367.3683830251659</v>
      </c>
      <c r="BH514" s="408">
        <v>0</v>
      </c>
      <c r="BI514" s="408">
        <v>62.05</v>
      </c>
      <c r="BJ514" s="408">
        <v>28.71</v>
      </c>
      <c r="BK514" s="408">
        <v>9866.02</v>
      </c>
      <c r="BL514" s="408">
        <v>18</v>
      </c>
      <c r="BM514" s="408"/>
      <c r="BN514" s="408"/>
      <c r="BO514" s="408"/>
      <c r="BP514" s="408"/>
      <c r="BQ514" s="408"/>
      <c r="BR514" s="408"/>
      <c r="BS514" s="408"/>
      <c r="BT514" s="408"/>
      <c r="BU514" s="408"/>
      <c r="BV514" s="408">
        <v>9540.6120298059959</v>
      </c>
      <c r="BW514" s="408"/>
      <c r="BX514" s="408"/>
      <c r="BY514" s="408"/>
      <c r="BZ514" s="408"/>
      <c r="CA514" s="408"/>
      <c r="CB514" s="408"/>
      <c r="CC514" s="408"/>
      <c r="CD514" s="408"/>
      <c r="CE514" s="408"/>
      <c r="CF514" s="408"/>
      <c r="CG514" s="408"/>
      <c r="CH514" s="408"/>
      <c r="CI514" s="408">
        <v>23890.968499999995</v>
      </c>
      <c r="CJ514" s="408">
        <v>-7382.8282200000031</v>
      </c>
      <c r="CK514" s="408"/>
      <c r="CL514" s="408"/>
      <c r="CM514" s="408"/>
      <c r="CN514" s="408"/>
      <c r="CO514" s="408">
        <v>-8285.1434800000043</v>
      </c>
      <c r="CP514" s="408">
        <v>902.94932999999946</v>
      </c>
      <c r="CQ514" s="408">
        <v>31</v>
      </c>
      <c r="CR514" s="408">
        <v>1168.48963041559</v>
      </c>
      <c r="CS514" s="408">
        <v>27.21543413179964</v>
      </c>
      <c r="CT514" s="408">
        <v>40.994904864564205</v>
      </c>
      <c r="CU514" s="408">
        <v>0</v>
      </c>
      <c r="CV514" s="408">
        <v>0</v>
      </c>
      <c r="CW514" s="408">
        <v>0</v>
      </c>
      <c r="CX514" s="408">
        <v>0</v>
      </c>
      <c r="CY514" s="408">
        <v>0</v>
      </c>
      <c r="CZ514" s="408">
        <v>96.194620520562694</v>
      </c>
      <c r="DA514" s="408">
        <v>0</v>
      </c>
      <c r="DB514" s="408">
        <v>0</v>
      </c>
      <c r="DC514" s="408">
        <v>902.67580028166321</v>
      </c>
      <c r="DD514" s="408">
        <v>0</v>
      </c>
      <c r="DE514" s="408">
        <v>0</v>
      </c>
      <c r="DF514" s="408">
        <v>0</v>
      </c>
      <c r="DG514" s="408">
        <v>151.01597392281155</v>
      </c>
      <c r="DH514" s="408">
        <v>0</v>
      </c>
      <c r="DI514" s="408">
        <v>-42.427795858979152</v>
      </c>
      <c r="DJ514" s="408"/>
      <c r="DK514" s="408">
        <v>0</v>
      </c>
      <c r="DL514" s="408">
        <v>0</v>
      </c>
      <c r="DM514" s="408">
        <v>0</v>
      </c>
      <c r="DN514" s="408">
        <v>0</v>
      </c>
      <c r="DO514" s="408">
        <v>-5.5123200083195343</v>
      </c>
      <c r="DP514" s="408">
        <v>-1.6669874385123933</v>
      </c>
      <c r="DQ514" s="408">
        <v>0</v>
      </c>
      <c r="DR514" s="408">
        <v>0</v>
      </c>
      <c r="DS514" s="408"/>
      <c r="DT514" s="408"/>
      <c r="DU514" s="408"/>
      <c r="DV514" s="408">
        <v>15243.16549055352</v>
      </c>
      <c r="DW514" s="408">
        <v>0</v>
      </c>
      <c r="DX514" s="408">
        <v>0</v>
      </c>
      <c r="DY514" s="408">
        <v>-8285.1434800000025</v>
      </c>
      <c r="DZ514" s="408">
        <v>902.94932999999946</v>
      </c>
      <c r="EA514" s="408">
        <v>0</v>
      </c>
      <c r="EB514" s="408">
        <v>0</v>
      </c>
      <c r="EC514" s="408">
        <v>-8551.2588233299448</v>
      </c>
      <c r="ED514" s="408">
        <v>0</v>
      </c>
      <c r="EE514" s="408">
        <v>0</v>
      </c>
      <c r="EF514" s="408">
        <v>0</v>
      </c>
      <c r="EG514" s="408">
        <v>0</v>
      </c>
      <c r="EH514" s="408">
        <v>0</v>
      </c>
      <c r="EI514" s="408">
        <v>0</v>
      </c>
      <c r="EJ514" s="408">
        <v>0</v>
      </c>
      <c r="EK514" s="408">
        <v>0</v>
      </c>
      <c r="EL514" s="408">
        <v>0</v>
      </c>
      <c r="EM514" s="408">
        <v>0</v>
      </c>
      <c r="EN514" s="408">
        <v>0</v>
      </c>
      <c r="EO514" s="408">
        <v>0</v>
      </c>
      <c r="EP514" s="408">
        <v>0</v>
      </c>
      <c r="EQ514" s="408">
        <v>0</v>
      </c>
      <c r="ER514" s="408">
        <v>0</v>
      </c>
      <c r="ES514" s="408">
        <v>0</v>
      </c>
      <c r="ET514" s="408">
        <v>0</v>
      </c>
      <c r="EU514" s="408">
        <v>0</v>
      </c>
      <c r="EV514" s="408">
        <v>238</v>
      </c>
      <c r="EW514" s="408">
        <v>0</v>
      </c>
      <c r="EX514" s="408">
        <v>0</v>
      </c>
      <c r="EY514" s="408">
        <v>0</v>
      </c>
      <c r="EZ514" s="408"/>
      <c r="FA514" s="408">
        <v>0</v>
      </c>
      <c r="FB514" s="408"/>
      <c r="FC514" s="408"/>
      <c r="FD514" s="408"/>
      <c r="FE514" s="408"/>
      <c r="FF514" s="408">
        <v>0</v>
      </c>
      <c r="FG514" s="408">
        <v>0</v>
      </c>
      <c r="FH514" s="408">
        <v>0</v>
      </c>
      <c r="FI514" s="408">
        <v>0</v>
      </c>
    </row>
    <row r="515" spans="1:165">
      <c r="A515" s="408">
        <v>519</v>
      </c>
      <c r="B515" s="408" t="s">
        <v>1036</v>
      </c>
      <c r="C515" s="408" t="s">
        <v>2235</v>
      </c>
      <c r="D515" s="408" t="s">
        <v>2245</v>
      </c>
      <c r="E515" s="408" t="s">
        <v>974</v>
      </c>
      <c r="F515" s="408" t="s">
        <v>2252</v>
      </c>
      <c r="G515" s="408" t="s">
        <v>2253</v>
      </c>
      <c r="H515" s="408" t="s">
        <v>1322</v>
      </c>
      <c r="I515" s="408" t="s">
        <v>1322</v>
      </c>
      <c r="J515" s="408" t="s">
        <v>2236</v>
      </c>
      <c r="K515" s="824">
        <v>44621</v>
      </c>
      <c r="L515" s="408">
        <v>0</v>
      </c>
      <c r="M515" s="408">
        <v>0</v>
      </c>
      <c r="N515" s="408">
        <v>0</v>
      </c>
      <c r="O515" s="408">
        <v>0</v>
      </c>
      <c r="P515" s="408">
        <v>0</v>
      </c>
      <c r="Q515" s="408">
        <v>0</v>
      </c>
      <c r="R515" s="408"/>
      <c r="S515" s="408"/>
      <c r="T515" s="408"/>
      <c r="U515" s="408"/>
      <c r="V515" s="408"/>
      <c r="W515" s="408"/>
      <c r="X515" s="408"/>
      <c r="Y515" s="408"/>
      <c r="Z515" s="408"/>
      <c r="AA515" s="408">
        <v>0</v>
      </c>
      <c r="AB515" s="408"/>
      <c r="AC515" s="408"/>
      <c r="AD515" s="408"/>
      <c r="AE515" s="408"/>
      <c r="AF515" s="408"/>
      <c r="AG515" s="408"/>
      <c r="AH515" s="408"/>
      <c r="AI515" s="408"/>
      <c r="AJ515" s="408"/>
      <c r="AK515" s="408"/>
      <c r="AL515" s="408"/>
      <c r="AM515" s="408"/>
      <c r="AN515" s="408"/>
      <c r="AO515" s="408"/>
      <c r="AP515" s="408"/>
      <c r="AQ515" s="408"/>
      <c r="AR515" s="408"/>
      <c r="AS515" s="408"/>
      <c r="AT515" s="408"/>
      <c r="AU515" s="408"/>
      <c r="AV515" s="408"/>
      <c r="AW515" s="408"/>
      <c r="AX515" s="408"/>
      <c r="AY515" s="408"/>
      <c r="AZ515" s="408">
        <v>0</v>
      </c>
      <c r="BA515" s="408"/>
      <c r="BB515" s="408"/>
      <c r="BC515" s="408"/>
      <c r="BD515" s="408"/>
      <c r="BE515" s="408"/>
      <c r="BF515" s="408"/>
      <c r="BG515" s="408"/>
      <c r="BH515" s="408"/>
      <c r="BI515" s="408">
        <v>241.92</v>
      </c>
      <c r="BJ515" s="408">
        <v>111.89</v>
      </c>
      <c r="BK515" s="408">
        <v>1261.81</v>
      </c>
      <c r="BL515" s="408">
        <v>133</v>
      </c>
      <c r="BM515" s="408"/>
      <c r="BN515" s="408"/>
      <c r="BO515" s="408"/>
      <c r="BP515" s="408"/>
      <c r="BQ515" s="408"/>
      <c r="BR515" s="408"/>
      <c r="BS515" s="408"/>
      <c r="BT515" s="408"/>
      <c r="BU515" s="408"/>
      <c r="BV515" s="408"/>
      <c r="BW515" s="408"/>
      <c r="BX515" s="408"/>
      <c r="BY515" s="408"/>
      <c r="BZ515" s="408"/>
      <c r="CA515" s="408"/>
      <c r="CB515" s="408"/>
      <c r="CC515" s="408"/>
      <c r="CD515" s="408"/>
      <c r="CE515" s="408"/>
      <c r="CF515" s="408"/>
      <c r="CG515" s="408"/>
      <c r="CH515" s="408"/>
      <c r="CI515" s="408"/>
      <c r="CJ515" s="408">
        <v>-0.03</v>
      </c>
      <c r="CK515" s="408"/>
      <c r="CL515" s="408"/>
      <c r="CM515" s="408"/>
      <c r="CN515" s="408"/>
      <c r="CO515" s="408">
        <v>0</v>
      </c>
      <c r="CP515" s="408">
        <v>0</v>
      </c>
      <c r="CQ515" s="408">
        <v>31</v>
      </c>
      <c r="CR515" s="408"/>
      <c r="CS515" s="408"/>
      <c r="CT515" s="408"/>
      <c r="CU515" s="408"/>
      <c r="CV515" s="408"/>
      <c r="CW515" s="408"/>
      <c r="CX515" s="408"/>
      <c r="CY515" s="408"/>
      <c r="CZ515" s="408"/>
      <c r="DA515" s="408"/>
      <c r="DB515" s="408"/>
      <c r="DC515" s="408"/>
      <c r="DD515" s="408"/>
      <c r="DE515" s="408"/>
      <c r="DF515" s="408"/>
      <c r="DG515" s="408"/>
      <c r="DH515" s="408"/>
      <c r="DI515" s="408"/>
      <c r="DJ515" s="408"/>
      <c r="DK515" s="408">
        <v>0</v>
      </c>
      <c r="DL515" s="408"/>
      <c r="DM515" s="408"/>
      <c r="DN515" s="408"/>
      <c r="DO515" s="408"/>
      <c r="DP515" s="408"/>
      <c r="DQ515" s="408"/>
      <c r="DR515" s="408"/>
      <c r="DS515" s="408"/>
      <c r="DT515" s="408"/>
      <c r="DU515" s="408"/>
      <c r="DV515" s="408"/>
      <c r="DW515" s="408"/>
      <c r="DX515" s="408"/>
      <c r="DY515" s="408"/>
      <c r="DZ515" s="408"/>
      <c r="EA515" s="408"/>
      <c r="EB515" s="408"/>
      <c r="EC515" s="408"/>
      <c r="ED515" s="408"/>
      <c r="EE515" s="408"/>
      <c r="EF515" s="408"/>
      <c r="EG515" s="408"/>
      <c r="EH515" s="408"/>
      <c r="EI515" s="408"/>
      <c r="EJ515" s="408"/>
      <c r="EK515" s="408"/>
      <c r="EL515" s="408"/>
      <c r="EM515" s="408"/>
      <c r="EN515" s="408"/>
      <c r="EO515" s="408"/>
      <c r="EP515" s="408"/>
      <c r="EQ515" s="408"/>
      <c r="ER515" s="408"/>
      <c r="ES515" s="408"/>
      <c r="ET515" s="408"/>
      <c r="EU515" s="408"/>
      <c r="EV515" s="408">
        <v>238</v>
      </c>
      <c r="EW515" s="408"/>
      <c r="EX515" s="408"/>
      <c r="EY515" s="408"/>
      <c r="EZ515" s="408"/>
      <c r="FA515" s="408">
        <v>0</v>
      </c>
      <c r="FB515" s="408"/>
      <c r="FC515" s="408"/>
      <c r="FD515" s="408"/>
      <c r="FE515" s="408"/>
      <c r="FF515" s="408">
        <v>0</v>
      </c>
      <c r="FG515" s="408">
        <v>0</v>
      </c>
      <c r="FH515" s="408">
        <v>0</v>
      </c>
      <c r="FI515" s="408">
        <v>0</v>
      </c>
    </row>
    <row r="516" spans="1:165">
      <c r="A516" s="408">
        <v>520</v>
      </c>
      <c r="B516" s="408" t="s">
        <v>2237</v>
      </c>
      <c r="C516" s="408" t="s">
        <v>2235</v>
      </c>
      <c r="D516" s="408" t="s">
        <v>2245</v>
      </c>
      <c r="E516" s="408" t="s">
        <v>974</v>
      </c>
      <c r="F516" s="408" t="s">
        <v>2252</v>
      </c>
      <c r="G516" s="408" t="s">
        <v>2253</v>
      </c>
      <c r="H516" s="408" t="s">
        <v>1322</v>
      </c>
      <c r="I516" s="408" t="s">
        <v>1322</v>
      </c>
      <c r="J516" s="408" t="s">
        <v>2236</v>
      </c>
      <c r="K516" s="824">
        <v>44621</v>
      </c>
      <c r="L516" s="408">
        <v>0</v>
      </c>
      <c r="M516" s="408">
        <v>0</v>
      </c>
      <c r="N516" s="408">
        <v>0</v>
      </c>
      <c r="O516" s="408">
        <v>0</v>
      </c>
      <c r="P516" s="408">
        <v>0</v>
      </c>
      <c r="Q516" s="408">
        <v>0</v>
      </c>
      <c r="R516" s="408"/>
      <c r="S516" s="408"/>
      <c r="T516" s="408"/>
      <c r="U516" s="408"/>
      <c r="V516" s="408"/>
      <c r="W516" s="408"/>
      <c r="X516" s="408"/>
      <c r="Y516" s="408"/>
      <c r="Z516" s="408"/>
      <c r="AA516" s="408">
        <v>0</v>
      </c>
      <c r="AB516" s="408"/>
      <c r="AC516" s="408"/>
      <c r="AD516" s="408"/>
      <c r="AE516" s="408"/>
      <c r="AF516" s="408"/>
      <c r="AG516" s="408"/>
      <c r="AH516" s="408"/>
      <c r="AI516" s="408"/>
      <c r="AJ516" s="408"/>
      <c r="AK516" s="408"/>
      <c r="AL516" s="408"/>
      <c r="AM516" s="408"/>
      <c r="AN516" s="408"/>
      <c r="AO516" s="408"/>
      <c r="AP516" s="408"/>
      <c r="AQ516" s="408"/>
      <c r="AR516" s="408"/>
      <c r="AS516" s="408"/>
      <c r="AT516" s="408"/>
      <c r="AU516" s="408"/>
      <c r="AV516" s="408"/>
      <c r="AW516" s="408"/>
      <c r="AX516" s="408"/>
      <c r="AY516" s="408"/>
      <c r="AZ516" s="408">
        <v>0</v>
      </c>
      <c r="BA516" s="408"/>
      <c r="BB516" s="408"/>
      <c r="BC516" s="408"/>
      <c r="BD516" s="408"/>
      <c r="BE516" s="408"/>
      <c r="BF516" s="408"/>
      <c r="BG516" s="408"/>
      <c r="BH516" s="408"/>
      <c r="BI516" s="408">
        <v>-87.69</v>
      </c>
      <c r="BJ516" s="408">
        <v>-412.54</v>
      </c>
      <c r="BK516" s="408">
        <v>0</v>
      </c>
      <c r="BL516" s="408">
        <v>0</v>
      </c>
      <c r="BM516" s="408"/>
      <c r="BN516" s="408"/>
      <c r="BO516" s="408"/>
      <c r="BP516" s="408"/>
      <c r="BQ516" s="408"/>
      <c r="BR516" s="408"/>
      <c r="BS516" s="408"/>
      <c r="BT516" s="408"/>
      <c r="BU516" s="408"/>
      <c r="BV516" s="408"/>
      <c r="BW516" s="408"/>
      <c r="BX516" s="408"/>
      <c r="BY516" s="408"/>
      <c r="BZ516" s="408"/>
      <c r="CA516" s="408"/>
      <c r="CB516" s="408"/>
      <c r="CC516" s="408"/>
      <c r="CD516" s="408"/>
      <c r="CE516" s="408"/>
      <c r="CF516" s="408"/>
      <c r="CG516" s="408"/>
      <c r="CH516" s="408"/>
      <c r="CI516" s="408"/>
      <c r="CJ516" s="408">
        <v>-0.03</v>
      </c>
      <c r="CK516" s="408"/>
      <c r="CL516" s="408"/>
      <c r="CM516" s="408"/>
      <c r="CN516" s="408"/>
      <c r="CO516" s="408">
        <v>0</v>
      </c>
      <c r="CP516" s="408">
        <v>0</v>
      </c>
      <c r="CQ516" s="408">
        <v>31</v>
      </c>
      <c r="CR516" s="408"/>
      <c r="CS516" s="408"/>
      <c r="CT516" s="408"/>
      <c r="CU516" s="408"/>
      <c r="CV516" s="408"/>
      <c r="CW516" s="408"/>
      <c r="CX516" s="408"/>
      <c r="CY516" s="408"/>
      <c r="CZ516" s="408"/>
      <c r="DA516" s="408"/>
      <c r="DB516" s="408"/>
      <c r="DC516" s="408"/>
      <c r="DD516" s="408"/>
      <c r="DE516" s="408"/>
      <c r="DF516" s="408"/>
      <c r="DG516" s="408"/>
      <c r="DH516" s="408"/>
      <c r="DI516" s="408"/>
      <c r="DJ516" s="408"/>
      <c r="DK516" s="408">
        <v>0</v>
      </c>
      <c r="DL516" s="408"/>
      <c r="DM516" s="408"/>
      <c r="DN516" s="408"/>
      <c r="DO516" s="408"/>
      <c r="DP516" s="408"/>
      <c r="DQ516" s="408"/>
      <c r="DR516" s="408"/>
      <c r="DS516" s="408"/>
      <c r="DT516" s="408"/>
      <c r="DU516" s="408"/>
      <c r="DV516" s="408"/>
      <c r="DW516" s="408"/>
      <c r="DX516" s="408"/>
      <c r="DY516" s="408"/>
      <c r="DZ516" s="408"/>
      <c r="EA516" s="408"/>
      <c r="EB516" s="408"/>
      <c r="EC516" s="408"/>
      <c r="ED516" s="408"/>
      <c r="EE516" s="408"/>
      <c r="EF516" s="408"/>
      <c r="EG516" s="408"/>
      <c r="EH516" s="408"/>
      <c r="EI516" s="408"/>
      <c r="EJ516" s="408"/>
      <c r="EK516" s="408"/>
      <c r="EL516" s="408"/>
      <c r="EM516" s="408"/>
      <c r="EN516" s="408"/>
      <c r="EO516" s="408"/>
      <c r="EP516" s="408"/>
      <c r="EQ516" s="408"/>
      <c r="ER516" s="408"/>
      <c r="ES516" s="408"/>
      <c r="ET516" s="408"/>
      <c r="EU516" s="408"/>
      <c r="EV516" s="408">
        <v>238</v>
      </c>
      <c r="EW516" s="408"/>
      <c r="EX516" s="408"/>
      <c r="EY516" s="408"/>
      <c r="EZ516" s="408"/>
      <c r="FA516" s="408">
        <v>0</v>
      </c>
      <c r="FB516" s="408"/>
      <c r="FC516" s="408"/>
      <c r="FD516" s="408"/>
      <c r="FE516" s="408"/>
      <c r="FF516" s="408">
        <v>0</v>
      </c>
      <c r="FG516" s="408">
        <v>0</v>
      </c>
      <c r="FH516" s="408">
        <v>0</v>
      </c>
      <c r="FI516" s="408">
        <v>0</v>
      </c>
    </row>
    <row r="517" spans="1:165">
      <c r="A517" s="408">
        <v>521</v>
      </c>
      <c r="B517" s="408" t="s">
        <v>2238</v>
      </c>
      <c r="C517" s="408" t="s">
        <v>2235</v>
      </c>
      <c r="D517" s="408" t="s">
        <v>2245</v>
      </c>
      <c r="E517" s="408" t="s">
        <v>974</v>
      </c>
      <c r="F517" s="408" t="s">
        <v>2252</v>
      </c>
      <c r="G517" s="408" t="s">
        <v>2253</v>
      </c>
      <c r="H517" s="408" t="s">
        <v>1322</v>
      </c>
      <c r="I517" s="408" t="s">
        <v>1322</v>
      </c>
      <c r="J517" s="408" t="s">
        <v>2236</v>
      </c>
      <c r="K517" s="824">
        <v>44621</v>
      </c>
      <c r="L517" s="408">
        <v>0</v>
      </c>
      <c r="M517" s="408">
        <v>0</v>
      </c>
      <c r="N517" s="408">
        <v>0</v>
      </c>
      <c r="O517" s="408">
        <v>0</v>
      </c>
      <c r="P517" s="408">
        <v>0</v>
      </c>
      <c r="Q517" s="408">
        <v>0</v>
      </c>
      <c r="R517" s="408"/>
      <c r="S517" s="408"/>
      <c r="T517" s="408"/>
      <c r="U517" s="408"/>
      <c r="V517" s="408"/>
      <c r="W517" s="408"/>
      <c r="X517" s="408"/>
      <c r="Y517" s="408"/>
      <c r="Z517" s="408"/>
      <c r="AA517" s="408">
        <v>0</v>
      </c>
      <c r="AB517" s="408"/>
      <c r="AC517" s="408"/>
      <c r="AD517" s="408"/>
      <c r="AE517" s="408"/>
      <c r="AF517" s="408"/>
      <c r="AG517" s="408"/>
      <c r="AH517" s="408"/>
      <c r="AI517" s="408"/>
      <c r="AJ517" s="408"/>
      <c r="AK517" s="408"/>
      <c r="AL517" s="408"/>
      <c r="AM517" s="408"/>
      <c r="AN517" s="408"/>
      <c r="AO517" s="408"/>
      <c r="AP517" s="408"/>
      <c r="AQ517" s="408"/>
      <c r="AR517" s="408"/>
      <c r="AS517" s="408"/>
      <c r="AT517" s="408"/>
      <c r="AU517" s="408"/>
      <c r="AV517" s="408"/>
      <c r="AW517" s="408"/>
      <c r="AX517" s="408"/>
      <c r="AY517" s="408"/>
      <c r="AZ517" s="408">
        <v>0</v>
      </c>
      <c r="BA517" s="408"/>
      <c r="BB517" s="408"/>
      <c r="BC517" s="408"/>
      <c r="BD517" s="408"/>
      <c r="BE517" s="408"/>
      <c r="BF517" s="408"/>
      <c r="BG517" s="408"/>
      <c r="BH517" s="408"/>
      <c r="BI517" s="408">
        <v>23.26</v>
      </c>
      <c r="BJ517" s="408">
        <v>10.77</v>
      </c>
      <c r="BK517" s="408">
        <v>262.83</v>
      </c>
      <c r="BL517" s="408">
        <v>29</v>
      </c>
      <c r="BM517" s="408"/>
      <c r="BN517" s="408"/>
      <c r="BO517" s="408"/>
      <c r="BP517" s="408"/>
      <c r="BQ517" s="408"/>
      <c r="BR517" s="408"/>
      <c r="BS517" s="408"/>
      <c r="BT517" s="408"/>
      <c r="BU517" s="408"/>
      <c r="BV517" s="408"/>
      <c r="BW517" s="408"/>
      <c r="BX517" s="408"/>
      <c r="BY517" s="408"/>
      <c r="BZ517" s="408"/>
      <c r="CA517" s="408"/>
      <c r="CB517" s="408"/>
      <c r="CC517" s="408"/>
      <c r="CD517" s="408"/>
      <c r="CE517" s="408"/>
      <c r="CF517" s="408"/>
      <c r="CG517" s="408"/>
      <c r="CH517" s="408"/>
      <c r="CI517" s="408"/>
      <c r="CJ517" s="408">
        <v>-0.03</v>
      </c>
      <c r="CK517" s="408"/>
      <c r="CL517" s="408"/>
      <c r="CM517" s="408"/>
      <c r="CN517" s="408"/>
      <c r="CO517" s="408">
        <v>0</v>
      </c>
      <c r="CP517" s="408">
        <v>0</v>
      </c>
      <c r="CQ517" s="408">
        <v>31</v>
      </c>
      <c r="CR517" s="408"/>
      <c r="CS517" s="408"/>
      <c r="CT517" s="408"/>
      <c r="CU517" s="408"/>
      <c r="CV517" s="408"/>
      <c r="CW517" s="408"/>
      <c r="CX517" s="408"/>
      <c r="CY517" s="408"/>
      <c r="CZ517" s="408"/>
      <c r="DA517" s="408"/>
      <c r="DB517" s="408"/>
      <c r="DC517" s="408"/>
      <c r="DD517" s="408"/>
      <c r="DE517" s="408"/>
      <c r="DF517" s="408"/>
      <c r="DG517" s="408"/>
      <c r="DH517" s="408"/>
      <c r="DI517" s="408"/>
      <c r="DJ517" s="408"/>
      <c r="DK517" s="408">
        <v>0</v>
      </c>
      <c r="DL517" s="408"/>
      <c r="DM517" s="408"/>
      <c r="DN517" s="408"/>
      <c r="DO517" s="408"/>
      <c r="DP517" s="408"/>
      <c r="DQ517" s="408"/>
      <c r="DR517" s="408"/>
      <c r="DS517" s="408"/>
      <c r="DT517" s="408"/>
      <c r="DU517" s="408"/>
      <c r="DV517" s="408"/>
      <c r="DW517" s="408"/>
      <c r="DX517" s="408"/>
      <c r="DY517" s="408"/>
      <c r="DZ517" s="408"/>
      <c r="EA517" s="408"/>
      <c r="EB517" s="408"/>
      <c r="EC517" s="408"/>
      <c r="ED517" s="408"/>
      <c r="EE517" s="408"/>
      <c r="EF517" s="408"/>
      <c r="EG517" s="408"/>
      <c r="EH517" s="408"/>
      <c r="EI517" s="408"/>
      <c r="EJ517" s="408"/>
      <c r="EK517" s="408"/>
      <c r="EL517" s="408"/>
      <c r="EM517" s="408"/>
      <c r="EN517" s="408"/>
      <c r="EO517" s="408"/>
      <c r="EP517" s="408"/>
      <c r="EQ517" s="408"/>
      <c r="ER517" s="408"/>
      <c r="ES517" s="408"/>
      <c r="ET517" s="408"/>
      <c r="EU517" s="408"/>
      <c r="EV517" s="408">
        <v>238</v>
      </c>
      <c r="EW517" s="408"/>
      <c r="EX517" s="408"/>
      <c r="EY517" s="408"/>
      <c r="EZ517" s="408"/>
      <c r="FA517" s="408">
        <v>0</v>
      </c>
      <c r="FB517" s="408"/>
      <c r="FC517" s="408"/>
      <c r="FD517" s="408"/>
      <c r="FE517" s="408"/>
      <c r="FF517" s="408">
        <v>0</v>
      </c>
      <c r="FG517" s="408">
        <v>0</v>
      </c>
      <c r="FH517" s="408">
        <v>0</v>
      </c>
      <c r="FI517" s="408">
        <v>0</v>
      </c>
    </row>
    <row r="518" spans="1:165">
      <c r="A518" s="408">
        <v>522</v>
      </c>
      <c r="B518" s="408" t="s">
        <v>1036</v>
      </c>
      <c r="C518" s="408" t="s">
        <v>2235</v>
      </c>
      <c r="D518" s="408" t="s">
        <v>2245</v>
      </c>
      <c r="E518" s="408" t="s">
        <v>974</v>
      </c>
      <c r="F518" s="408" t="s">
        <v>2252</v>
      </c>
      <c r="G518" s="408" t="s">
        <v>2253</v>
      </c>
      <c r="H518" s="408" t="s">
        <v>1322</v>
      </c>
      <c r="I518" s="408" t="s">
        <v>1322</v>
      </c>
      <c r="J518" s="408" t="s">
        <v>2236</v>
      </c>
      <c r="K518" s="824">
        <v>44621</v>
      </c>
      <c r="L518" s="408">
        <v>0</v>
      </c>
      <c r="M518" s="408">
        <v>0</v>
      </c>
      <c r="N518" s="408">
        <v>128.22399999999999</v>
      </c>
      <c r="O518" s="408">
        <v>128.22399999999999</v>
      </c>
      <c r="P518" s="408">
        <v>128.22399999999999</v>
      </c>
      <c r="Q518" s="408">
        <v>128.22399999999999</v>
      </c>
      <c r="R518" s="408"/>
      <c r="S518" s="408">
        <v>581.32000000000005</v>
      </c>
      <c r="T518" s="408">
        <v>209.4</v>
      </c>
      <c r="U518" s="408"/>
      <c r="V518" s="408">
        <v>101389.28128</v>
      </c>
      <c r="W518" s="408">
        <v>101389.28128</v>
      </c>
      <c r="X518" s="408">
        <v>77456.271679999991</v>
      </c>
      <c r="Y518" s="408">
        <v>0</v>
      </c>
      <c r="Z518" s="408">
        <v>7890.6366482894564</v>
      </c>
      <c r="AA518" s="408">
        <v>0</v>
      </c>
      <c r="AB518" s="408">
        <v>0</v>
      </c>
      <c r="AC518" s="408">
        <v>0</v>
      </c>
      <c r="AD518" s="408">
        <v>9513.0853502985174</v>
      </c>
      <c r="AE518" s="408">
        <v>49418.210711757842</v>
      </c>
      <c r="AF518" s="408">
        <v>26497.585228308388</v>
      </c>
      <c r="AG518" s="408">
        <v>352.99617956803439</v>
      </c>
      <c r="AH518" s="408">
        <v>0</v>
      </c>
      <c r="AI518" s="408">
        <v>0</v>
      </c>
      <c r="AJ518" s="408">
        <v>0</v>
      </c>
      <c r="AK518" s="408">
        <v>0</v>
      </c>
      <c r="AL518" s="408">
        <v>1219.3591613444592</v>
      </c>
      <c r="AM518" s="408"/>
      <c r="AN518" s="408">
        <v>233.74777643284099</v>
      </c>
      <c r="AO518" s="408">
        <v>730.81022290131909</v>
      </c>
      <c r="AP518" s="408">
        <v>1100.8273987768225</v>
      </c>
      <c r="AQ518" s="408">
        <v>0</v>
      </c>
      <c r="AR518" s="408">
        <v>0</v>
      </c>
      <c r="AS518" s="408">
        <v>0</v>
      </c>
      <c r="AT518" s="408">
        <v>0</v>
      </c>
      <c r="AU518" s="408">
        <v>0</v>
      </c>
      <c r="AV518" s="408">
        <v>0</v>
      </c>
      <c r="AW518" s="408">
        <v>0</v>
      </c>
      <c r="AX518" s="408">
        <v>0</v>
      </c>
      <c r="AY518" s="408">
        <v>0</v>
      </c>
      <c r="AZ518" s="408">
        <v>0</v>
      </c>
      <c r="BA518" s="408"/>
      <c r="BB518" s="408">
        <v>0</v>
      </c>
      <c r="BC518" s="408">
        <v>0</v>
      </c>
      <c r="BD518" s="408">
        <v>0</v>
      </c>
      <c r="BE518" s="408">
        <v>0</v>
      </c>
      <c r="BF518" s="408">
        <v>0</v>
      </c>
      <c r="BG518" s="408">
        <v>4432.9964740466448</v>
      </c>
      <c r="BH518" s="408">
        <v>0</v>
      </c>
      <c r="BI518" s="408">
        <v>0</v>
      </c>
      <c r="BJ518" s="408">
        <v>0</v>
      </c>
      <c r="BK518" s="408">
        <v>0</v>
      </c>
      <c r="BL518" s="408">
        <v>0</v>
      </c>
      <c r="BM518" s="408"/>
      <c r="BN518" s="408"/>
      <c r="BO518" s="408"/>
      <c r="BP518" s="408"/>
      <c r="BQ518" s="408"/>
      <c r="BR518" s="408">
        <v>9294.9577599999902</v>
      </c>
      <c r="BS518" s="408"/>
      <c r="BT518" s="408"/>
      <c r="BU518" s="408"/>
      <c r="BV518" s="408">
        <v>30930.581702355033</v>
      </c>
      <c r="BW518" s="408"/>
      <c r="BX518" s="408"/>
      <c r="BY518" s="408"/>
      <c r="BZ518" s="408"/>
      <c r="CA518" s="408"/>
      <c r="CB518" s="408"/>
      <c r="CC518" s="408"/>
      <c r="CD518" s="408"/>
      <c r="CE518" s="408"/>
      <c r="CF518" s="408"/>
      <c r="CG518" s="408"/>
      <c r="CH518" s="408"/>
      <c r="CI518" s="408">
        <v>68159.187600000005</v>
      </c>
      <c r="CJ518" s="408">
        <v>-21065.512799999968</v>
      </c>
      <c r="CK518" s="408"/>
      <c r="CL518" s="408"/>
      <c r="CM518" s="408"/>
      <c r="CN518" s="408"/>
      <c r="CO518" s="408">
        <v>-26860.363520000006</v>
      </c>
      <c r="CP518" s="408">
        <v>2927.3539199999977</v>
      </c>
      <c r="CQ518" s="408">
        <v>31</v>
      </c>
      <c r="CR518" s="408">
        <v>3788.2332778035561</v>
      </c>
      <c r="CS518" s="408">
        <v>88.232202121713158</v>
      </c>
      <c r="CT518" s="408">
        <v>132.9051270853804</v>
      </c>
      <c r="CU518" s="408">
        <v>0</v>
      </c>
      <c r="CV518" s="408">
        <v>0</v>
      </c>
      <c r="CW518" s="408">
        <v>0</v>
      </c>
      <c r="CX518" s="408">
        <v>0</v>
      </c>
      <c r="CY518" s="408">
        <v>0</v>
      </c>
      <c r="CZ518" s="408">
        <v>311.86212792669176</v>
      </c>
      <c r="DA518" s="408">
        <v>0</v>
      </c>
      <c r="DB518" s="408">
        <v>0</v>
      </c>
      <c r="DC518" s="408">
        <v>2926.467139018383</v>
      </c>
      <c r="DD518" s="408">
        <v>0</v>
      </c>
      <c r="DE518" s="408">
        <v>0</v>
      </c>
      <c r="DF518" s="408">
        <v>0</v>
      </c>
      <c r="DG518" s="408">
        <v>489.59248161307096</v>
      </c>
      <c r="DH518" s="408">
        <v>0</v>
      </c>
      <c r="DI518" s="408">
        <v>-137.55054729897438</v>
      </c>
      <c r="DJ518" s="408"/>
      <c r="DK518" s="408">
        <v>0</v>
      </c>
      <c r="DL518" s="408">
        <v>0</v>
      </c>
      <c r="DM518" s="408">
        <v>0</v>
      </c>
      <c r="DN518" s="408">
        <v>0</v>
      </c>
      <c r="DO518" s="408">
        <v>-17.870893801592047</v>
      </c>
      <c r="DP518" s="408">
        <v>-5.4043588611112909</v>
      </c>
      <c r="DQ518" s="408">
        <v>0</v>
      </c>
      <c r="DR518" s="408">
        <v>0</v>
      </c>
      <c r="DS518" s="408"/>
      <c r="DT518" s="408"/>
      <c r="DU518" s="408"/>
      <c r="DV518" s="408">
        <v>49418.210711757842</v>
      </c>
      <c r="DW518" s="408">
        <v>0</v>
      </c>
      <c r="DX518" s="408">
        <v>0</v>
      </c>
      <c r="DY518" s="408">
        <v>-26860.363520000006</v>
      </c>
      <c r="DZ518" s="408">
        <v>2927.3539199999977</v>
      </c>
      <c r="EA518" s="408">
        <v>0</v>
      </c>
      <c r="EB518" s="408">
        <v>0</v>
      </c>
      <c r="EC518" s="408">
        <v>-27723.107161959466</v>
      </c>
      <c r="ED518" s="408">
        <v>0</v>
      </c>
      <c r="EE518" s="408">
        <v>0</v>
      </c>
      <c r="EF518" s="408">
        <v>0</v>
      </c>
      <c r="EG518" s="408">
        <v>0</v>
      </c>
      <c r="EH518" s="408">
        <v>0</v>
      </c>
      <c r="EI518" s="408">
        <v>0</v>
      </c>
      <c r="EJ518" s="408">
        <v>0</v>
      </c>
      <c r="EK518" s="408">
        <v>0</v>
      </c>
      <c r="EL518" s="408">
        <v>0</v>
      </c>
      <c r="EM518" s="408">
        <v>0</v>
      </c>
      <c r="EN518" s="408">
        <v>0</v>
      </c>
      <c r="EO518" s="408">
        <v>0</v>
      </c>
      <c r="EP518" s="408">
        <v>0</v>
      </c>
      <c r="EQ518" s="408">
        <v>0</v>
      </c>
      <c r="ER518" s="408">
        <v>0</v>
      </c>
      <c r="ES518" s="408">
        <v>0</v>
      </c>
      <c r="ET518" s="408">
        <v>0</v>
      </c>
      <c r="EU518" s="408">
        <v>0</v>
      </c>
      <c r="EV518" s="408">
        <v>238</v>
      </c>
      <c r="EW518" s="408">
        <v>0</v>
      </c>
      <c r="EX518" s="408">
        <v>0</v>
      </c>
      <c r="EY518" s="408">
        <v>0</v>
      </c>
      <c r="EZ518" s="408"/>
      <c r="FA518" s="408">
        <v>0</v>
      </c>
      <c r="FB518" s="408"/>
      <c r="FC518" s="408"/>
      <c r="FD518" s="408"/>
      <c r="FE518" s="408"/>
      <c r="FF518" s="408">
        <v>0</v>
      </c>
      <c r="FG518" s="408">
        <v>0</v>
      </c>
      <c r="FH518" s="408">
        <v>0</v>
      </c>
      <c r="FI518" s="408">
        <v>0</v>
      </c>
    </row>
    <row r="519" spans="1:165">
      <c r="A519" s="408">
        <v>523</v>
      </c>
      <c r="B519" s="408" t="s">
        <v>2237</v>
      </c>
      <c r="C519" s="408" t="s">
        <v>2235</v>
      </c>
      <c r="D519" s="408" t="s">
        <v>2245</v>
      </c>
      <c r="E519" s="408" t="s">
        <v>974</v>
      </c>
      <c r="F519" s="408" t="s">
        <v>2252</v>
      </c>
      <c r="G519" s="408" t="s">
        <v>2253</v>
      </c>
      <c r="H519" s="408" t="s">
        <v>1322</v>
      </c>
      <c r="I519" s="408" t="s">
        <v>1322</v>
      </c>
      <c r="J519" s="408" t="s">
        <v>2236</v>
      </c>
      <c r="K519" s="824">
        <v>44621</v>
      </c>
      <c r="L519" s="408">
        <v>0</v>
      </c>
      <c r="M519" s="408">
        <v>0</v>
      </c>
      <c r="N519" s="408">
        <v>-87.932000000000002</v>
      </c>
      <c r="O519" s="408">
        <v>-87.932000000000002</v>
      </c>
      <c r="P519" s="408">
        <v>-87.932000000000002</v>
      </c>
      <c r="Q519" s="408">
        <v>-87.932000000000002</v>
      </c>
      <c r="R519" s="408"/>
      <c r="S519" s="408">
        <v>581.32000000000005</v>
      </c>
      <c r="T519" s="408">
        <v>209.4</v>
      </c>
      <c r="U519" s="408"/>
      <c r="V519" s="408">
        <v>-69529.591039999999</v>
      </c>
      <c r="W519" s="408">
        <v>-69529.591039999999</v>
      </c>
      <c r="X519" s="408">
        <v>-53117.083239999993</v>
      </c>
      <c r="Y519" s="408">
        <v>0</v>
      </c>
      <c r="Z519" s="408">
        <v>-5411.1512802391799</v>
      </c>
      <c r="AA519" s="408">
        <v>0</v>
      </c>
      <c r="AB519" s="408">
        <v>0</v>
      </c>
      <c r="AC519" s="408">
        <v>0</v>
      </c>
      <c r="AD519" s="408">
        <v>-6523.7757441855601</v>
      </c>
      <c r="AE519" s="408">
        <v>-33889.45988509398</v>
      </c>
      <c r="AF519" s="408">
        <v>-18171.213378896409</v>
      </c>
      <c r="AG519" s="408">
        <v>-242.07371523097396</v>
      </c>
      <c r="AH519" s="408">
        <v>0</v>
      </c>
      <c r="AI519" s="408">
        <v>0</v>
      </c>
      <c r="AJ519" s="408">
        <v>0</v>
      </c>
      <c r="AK519" s="408">
        <v>0</v>
      </c>
      <c r="AL519" s="408">
        <v>-836.19829185909816</v>
      </c>
      <c r="AM519" s="408"/>
      <c r="AN519" s="408">
        <v>-160.2968982194642</v>
      </c>
      <c r="AO519" s="408">
        <v>-501.16674351259354</v>
      </c>
      <c r="AP519" s="408">
        <v>-754.91292448561558</v>
      </c>
      <c r="AQ519" s="408">
        <v>0</v>
      </c>
      <c r="AR519" s="408">
        <v>0</v>
      </c>
      <c r="AS519" s="408">
        <v>0</v>
      </c>
      <c r="AT519" s="408">
        <v>0</v>
      </c>
      <c r="AU519" s="408">
        <v>0</v>
      </c>
      <c r="AV519" s="408">
        <v>0</v>
      </c>
      <c r="AW519" s="408">
        <v>0</v>
      </c>
      <c r="AX519" s="408">
        <v>0</v>
      </c>
      <c r="AY519" s="408">
        <v>0</v>
      </c>
      <c r="AZ519" s="408">
        <v>0</v>
      </c>
      <c r="BA519" s="408"/>
      <c r="BB519" s="408">
        <v>0</v>
      </c>
      <c r="BC519" s="408">
        <v>0</v>
      </c>
      <c r="BD519" s="408">
        <v>0</v>
      </c>
      <c r="BE519" s="408">
        <v>0</v>
      </c>
      <c r="BF519" s="408">
        <v>0</v>
      </c>
      <c r="BG519" s="408">
        <v>-3040.0100289795173</v>
      </c>
      <c r="BH519" s="408">
        <v>0</v>
      </c>
      <c r="BI519" s="408">
        <v>0</v>
      </c>
      <c r="BJ519" s="408">
        <v>0</v>
      </c>
      <c r="BK519" s="408">
        <v>0</v>
      </c>
      <c r="BL519" s="408">
        <v>0</v>
      </c>
      <c r="BM519" s="408"/>
      <c r="BN519" s="408"/>
      <c r="BO519" s="408"/>
      <c r="BP519" s="408"/>
      <c r="BQ519" s="408"/>
      <c r="BR519" s="408">
        <v>-6374.1906799999942</v>
      </c>
      <c r="BS519" s="408"/>
      <c r="BT519" s="408"/>
      <c r="BU519" s="408"/>
      <c r="BV519" s="408">
        <v>-21211.223407875928</v>
      </c>
      <c r="BW519" s="408"/>
      <c r="BX519" s="408"/>
      <c r="BY519" s="408"/>
      <c r="BZ519" s="408"/>
      <c r="CA519" s="408"/>
      <c r="CB519" s="408"/>
      <c r="CC519" s="408"/>
      <c r="CD519" s="408"/>
      <c r="CE519" s="408"/>
      <c r="CF519" s="408"/>
      <c r="CG519" s="408"/>
      <c r="CH519" s="408"/>
      <c r="CI519" s="408">
        <v>-46741.829400000002</v>
      </c>
      <c r="CJ519" s="408">
        <v>14445.62279999999</v>
      </c>
      <c r="CK519" s="408"/>
      <c r="CL519" s="408"/>
      <c r="CM519" s="408"/>
      <c r="CN519" s="408"/>
      <c r="CO519" s="408">
        <v>18419.995360000008</v>
      </c>
      <c r="CP519" s="408">
        <v>-2007.4875599999987</v>
      </c>
      <c r="CQ519" s="408">
        <v>31</v>
      </c>
      <c r="CR519" s="408">
        <v>-2597.8516391925295</v>
      </c>
      <c r="CS519" s="408">
        <v>-60.506878563814041</v>
      </c>
      <c r="CT519" s="408">
        <v>-91.142170224541928</v>
      </c>
      <c r="CU519" s="408">
        <v>0</v>
      </c>
      <c r="CV519" s="408">
        <v>0</v>
      </c>
      <c r="CW519" s="408">
        <v>0</v>
      </c>
      <c r="CX519" s="408">
        <v>0</v>
      </c>
      <c r="CY519" s="408">
        <v>0</v>
      </c>
      <c r="CZ519" s="408">
        <v>-213.86527196819588</v>
      </c>
      <c r="DA519" s="408">
        <v>0</v>
      </c>
      <c r="DB519" s="408">
        <v>0</v>
      </c>
      <c r="DC519" s="408">
        <v>-2006.8794333990882</v>
      </c>
      <c r="DD519" s="408">
        <v>0</v>
      </c>
      <c r="DE519" s="408">
        <v>0</v>
      </c>
      <c r="DF519" s="408">
        <v>0</v>
      </c>
      <c r="DG519" s="408">
        <v>-335.74717754243011</v>
      </c>
      <c r="DH519" s="408">
        <v>0</v>
      </c>
      <c r="DI519" s="408">
        <v>94.327853795650299</v>
      </c>
      <c r="DJ519" s="408"/>
      <c r="DK519" s="408">
        <v>0</v>
      </c>
      <c r="DL519" s="408">
        <v>0</v>
      </c>
      <c r="DM519" s="408">
        <v>0</v>
      </c>
      <c r="DN519" s="408">
        <v>0</v>
      </c>
      <c r="DO519" s="408">
        <v>12.255298803356595</v>
      </c>
      <c r="DP519" s="408">
        <v>3.706139906532627</v>
      </c>
      <c r="DQ519" s="408">
        <v>0</v>
      </c>
      <c r="DR519" s="408">
        <v>0</v>
      </c>
      <c r="DS519" s="408"/>
      <c r="DT519" s="408"/>
      <c r="DU519" s="408"/>
      <c r="DV519" s="408">
        <v>-33889.45988509398</v>
      </c>
      <c r="DW519" s="408">
        <v>0</v>
      </c>
      <c r="DX519" s="408">
        <v>0</v>
      </c>
      <c r="DY519" s="408">
        <v>18419.995360000008</v>
      </c>
      <c r="DZ519" s="408">
        <v>-2007.4875599999978</v>
      </c>
      <c r="EA519" s="408">
        <v>0</v>
      </c>
      <c r="EB519" s="408">
        <v>0</v>
      </c>
      <c r="EC519" s="408">
        <v>19011.637906830387</v>
      </c>
      <c r="ED519" s="408">
        <v>0</v>
      </c>
      <c r="EE519" s="408">
        <v>0</v>
      </c>
      <c r="EF519" s="408">
        <v>0</v>
      </c>
      <c r="EG519" s="408">
        <v>0</v>
      </c>
      <c r="EH519" s="408">
        <v>0</v>
      </c>
      <c r="EI519" s="408">
        <v>0</v>
      </c>
      <c r="EJ519" s="408">
        <v>0</v>
      </c>
      <c r="EK519" s="408">
        <v>0</v>
      </c>
      <c r="EL519" s="408">
        <v>0</v>
      </c>
      <c r="EM519" s="408">
        <v>0</v>
      </c>
      <c r="EN519" s="408">
        <v>0</v>
      </c>
      <c r="EO519" s="408">
        <v>0</v>
      </c>
      <c r="EP519" s="408">
        <v>0</v>
      </c>
      <c r="EQ519" s="408">
        <v>0</v>
      </c>
      <c r="ER519" s="408">
        <v>0</v>
      </c>
      <c r="ES519" s="408">
        <v>0</v>
      </c>
      <c r="ET519" s="408">
        <v>0</v>
      </c>
      <c r="EU519" s="408">
        <v>0</v>
      </c>
      <c r="EV519" s="408">
        <v>238</v>
      </c>
      <c r="EW519" s="408">
        <v>0</v>
      </c>
      <c r="EX519" s="408">
        <v>0</v>
      </c>
      <c r="EY519" s="408">
        <v>0</v>
      </c>
      <c r="EZ519" s="408"/>
      <c r="FA519" s="408">
        <v>0</v>
      </c>
      <c r="FB519" s="408"/>
      <c r="FC519" s="408"/>
      <c r="FD519" s="408"/>
      <c r="FE519" s="408"/>
      <c r="FF519" s="408">
        <v>0</v>
      </c>
      <c r="FG519" s="408">
        <v>0</v>
      </c>
      <c r="FH519" s="408">
        <v>0</v>
      </c>
      <c r="FI519" s="408">
        <v>0</v>
      </c>
    </row>
    <row r="520" spans="1:165">
      <c r="A520" s="408">
        <v>524</v>
      </c>
      <c r="B520" s="408" t="s">
        <v>2238</v>
      </c>
      <c r="C520" s="408" t="s">
        <v>2235</v>
      </c>
      <c r="D520" s="408" t="s">
        <v>2245</v>
      </c>
      <c r="E520" s="408" t="s">
        <v>974</v>
      </c>
      <c r="F520" s="408" t="s">
        <v>2252</v>
      </c>
      <c r="G520" s="408" t="s">
        <v>2253</v>
      </c>
      <c r="H520" s="408" t="s">
        <v>1322</v>
      </c>
      <c r="I520" s="408" t="s">
        <v>1322</v>
      </c>
      <c r="J520" s="408" t="s">
        <v>2236</v>
      </c>
      <c r="K520" s="824">
        <v>44621</v>
      </c>
      <c r="L520" s="408">
        <v>0</v>
      </c>
      <c r="M520" s="408">
        <v>0</v>
      </c>
      <c r="N520" s="408">
        <v>11.782</v>
      </c>
      <c r="O520" s="408">
        <v>11.782</v>
      </c>
      <c r="P520" s="408">
        <v>11.782</v>
      </c>
      <c r="Q520" s="408">
        <v>11.782</v>
      </c>
      <c r="R520" s="408"/>
      <c r="S520" s="408">
        <v>581.32000000000005</v>
      </c>
      <c r="T520" s="408">
        <v>209.4</v>
      </c>
      <c r="U520" s="408"/>
      <c r="V520" s="408">
        <v>9316.2630399999998</v>
      </c>
      <c r="W520" s="408">
        <v>9316.2630399999998</v>
      </c>
      <c r="X520" s="408">
        <v>7117.1527399999995</v>
      </c>
      <c r="Y520" s="408">
        <v>0</v>
      </c>
      <c r="Z520" s="408">
        <v>725.0396258902108</v>
      </c>
      <c r="AA520" s="408">
        <v>0</v>
      </c>
      <c r="AB520" s="408">
        <v>0</v>
      </c>
      <c r="AC520" s="408">
        <v>0</v>
      </c>
      <c r="AD520" s="408">
        <v>874.12006798428638</v>
      </c>
      <c r="AE520" s="408">
        <v>4540.8453846856355</v>
      </c>
      <c r="AF520" s="408">
        <v>2434.7590869098567</v>
      </c>
      <c r="AG520" s="408">
        <v>32.435433208062314</v>
      </c>
      <c r="AH520" s="408">
        <v>0</v>
      </c>
      <c r="AI520" s="408">
        <v>0</v>
      </c>
      <c r="AJ520" s="408">
        <v>0</v>
      </c>
      <c r="AK520" s="408">
        <v>0</v>
      </c>
      <c r="AL520" s="408">
        <v>112.04212658285827</v>
      </c>
      <c r="AM520" s="408"/>
      <c r="AN520" s="408">
        <v>21.478165569095747</v>
      </c>
      <c r="AO520" s="408">
        <v>67.151282491759275</v>
      </c>
      <c r="AP520" s="408">
        <v>101.15070823237868</v>
      </c>
      <c r="AQ520" s="408">
        <v>0</v>
      </c>
      <c r="AR520" s="408">
        <v>0</v>
      </c>
      <c r="AS520" s="408">
        <v>0</v>
      </c>
      <c r="AT520" s="408">
        <v>0</v>
      </c>
      <c r="AU520" s="408">
        <v>0</v>
      </c>
      <c r="AV520" s="408">
        <v>0</v>
      </c>
      <c r="AW520" s="408">
        <v>0</v>
      </c>
      <c r="AX520" s="408">
        <v>0</v>
      </c>
      <c r="AY520" s="408">
        <v>0</v>
      </c>
      <c r="AZ520" s="408">
        <v>0</v>
      </c>
      <c r="BA520" s="408"/>
      <c r="BB520" s="408">
        <v>0</v>
      </c>
      <c r="BC520" s="408">
        <v>0</v>
      </c>
      <c r="BD520" s="408">
        <v>0</v>
      </c>
      <c r="BE520" s="408">
        <v>0</v>
      </c>
      <c r="BF520" s="408">
        <v>0</v>
      </c>
      <c r="BG520" s="408">
        <v>407.33064369554512</v>
      </c>
      <c r="BH520" s="408">
        <v>0</v>
      </c>
      <c r="BI520" s="408">
        <v>0</v>
      </c>
      <c r="BJ520" s="408">
        <v>0</v>
      </c>
      <c r="BK520" s="408">
        <v>0</v>
      </c>
      <c r="BL520" s="408">
        <v>0</v>
      </c>
      <c r="BM520" s="408"/>
      <c r="BN520" s="408"/>
      <c r="BO520" s="408"/>
      <c r="BP520" s="408"/>
      <c r="BQ520" s="408"/>
      <c r="BR520" s="408">
        <v>854.07717999999909</v>
      </c>
      <c r="BS520" s="408"/>
      <c r="BT520" s="408"/>
      <c r="BU520" s="408"/>
      <c r="BV520" s="408">
        <v>2842.0897306054017</v>
      </c>
      <c r="BW520" s="408"/>
      <c r="BX520" s="408"/>
      <c r="BY520" s="408"/>
      <c r="BZ520" s="408"/>
      <c r="CA520" s="408"/>
      <c r="CB520" s="408"/>
      <c r="CC520" s="408"/>
      <c r="CD520" s="408"/>
      <c r="CE520" s="408"/>
      <c r="CF520" s="408"/>
      <c r="CG520" s="408"/>
      <c r="CH520" s="408"/>
      <c r="CI520" s="408">
        <v>6262.0123999999996</v>
      </c>
      <c r="CJ520" s="408">
        <v>-1936.5223000000005</v>
      </c>
      <c r="CK520" s="408"/>
      <c r="CL520" s="408"/>
      <c r="CM520" s="408"/>
      <c r="CN520" s="408"/>
      <c r="CO520" s="408">
        <v>-2468.0933600000008</v>
      </c>
      <c r="CP520" s="408">
        <v>268.9830599999998</v>
      </c>
      <c r="CQ520" s="408">
        <v>31</v>
      </c>
      <c r="CR520" s="408">
        <v>348.08588469460847</v>
      </c>
      <c r="CS520" s="408">
        <v>8.1073106859716262</v>
      </c>
      <c r="CT520" s="408">
        <v>12.212130391502001</v>
      </c>
      <c r="CU520" s="408">
        <v>0</v>
      </c>
      <c r="CV520" s="408">
        <v>0</v>
      </c>
      <c r="CW520" s="408">
        <v>0</v>
      </c>
      <c r="CX520" s="408">
        <v>0</v>
      </c>
      <c r="CY520" s="408">
        <v>0</v>
      </c>
      <c r="CZ520" s="408">
        <v>28.65578667981265</v>
      </c>
      <c r="DA520" s="408">
        <v>0</v>
      </c>
      <c r="DB520" s="408">
        <v>0</v>
      </c>
      <c r="DC520" s="408">
        <v>268.90157717677312</v>
      </c>
      <c r="DD520" s="408">
        <v>0</v>
      </c>
      <c r="DE520" s="408">
        <v>0</v>
      </c>
      <c r="DF520" s="408">
        <v>0</v>
      </c>
      <c r="DG520" s="408">
        <v>44.986731176419426</v>
      </c>
      <c r="DH520" s="408">
        <v>0</v>
      </c>
      <c r="DI520" s="408">
        <v>-12.638979818727535</v>
      </c>
      <c r="DJ520" s="408"/>
      <c r="DK520" s="408">
        <v>0</v>
      </c>
      <c r="DL520" s="408">
        <v>0</v>
      </c>
      <c r="DM520" s="408">
        <v>0</v>
      </c>
      <c r="DN520" s="408">
        <v>0</v>
      </c>
      <c r="DO520" s="408">
        <v>-1.6420862769088274</v>
      </c>
      <c r="DP520" s="408">
        <v>-0.49658532023344648</v>
      </c>
      <c r="DQ520" s="408">
        <v>0</v>
      </c>
      <c r="DR520" s="408">
        <v>0</v>
      </c>
      <c r="DS520" s="408"/>
      <c r="DT520" s="408"/>
      <c r="DU520" s="408"/>
      <c r="DV520" s="408">
        <v>4540.8453846856355</v>
      </c>
      <c r="DW520" s="408">
        <v>0</v>
      </c>
      <c r="DX520" s="408">
        <v>0</v>
      </c>
      <c r="DY520" s="408">
        <v>-2468.0933600000008</v>
      </c>
      <c r="DZ520" s="408">
        <v>268.98306000000002</v>
      </c>
      <c r="EA520" s="408">
        <v>0</v>
      </c>
      <c r="EB520" s="408">
        <v>0</v>
      </c>
      <c r="EC520" s="408">
        <v>-2547.367486447205</v>
      </c>
      <c r="ED520" s="408">
        <v>0</v>
      </c>
      <c r="EE520" s="408">
        <v>0</v>
      </c>
      <c r="EF520" s="408">
        <v>0</v>
      </c>
      <c r="EG520" s="408">
        <v>0</v>
      </c>
      <c r="EH520" s="408">
        <v>0</v>
      </c>
      <c r="EI520" s="408">
        <v>0</v>
      </c>
      <c r="EJ520" s="408">
        <v>0</v>
      </c>
      <c r="EK520" s="408">
        <v>0</v>
      </c>
      <c r="EL520" s="408">
        <v>0</v>
      </c>
      <c r="EM520" s="408">
        <v>0</v>
      </c>
      <c r="EN520" s="408">
        <v>0</v>
      </c>
      <c r="EO520" s="408">
        <v>0</v>
      </c>
      <c r="EP520" s="408">
        <v>0</v>
      </c>
      <c r="EQ520" s="408">
        <v>0</v>
      </c>
      <c r="ER520" s="408">
        <v>0</v>
      </c>
      <c r="ES520" s="408">
        <v>0</v>
      </c>
      <c r="ET520" s="408">
        <v>0</v>
      </c>
      <c r="EU520" s="408">
        <v>0</v>
      </c>
      <c r="EV520" s="408">
        <v>238</v>
      </c>
      <c r="EW520" s="408">
        <v>0</v>
      </c>
      <c r="EX520" s="408">
        <v>0</v>
      </c>
      <c r="EY520" s="408">
        <v>0</v>
      </c>
      <c r="EZ520" s="408"/>
      <c r="FA520" s="408">
        <v>0</v>
      </c>
      <c r="FB520" s="408"/>
      <c r="FC520" s="408"/>
      <c r="FD520" s="408"/>
      <c r="FE520" s="408"/>
      <c r="FF520" s="408">
        <v>0</v>
      </c>
      <c r="FG520" s="408">
        <v>0</v>
      </c>
      <c r="FH520" s="408">
        <v>0</v>
      </c>
      <c r="FI520" s="408">
        <v>0</v>
      </c>
    </row>
    <row r="521" spans="1:165">
      <c r="A521" s="408">
        <v>525</v>
      </c>
      <c r="B521" s="408" t="s">
        <v>1036</v>
      </c>
      <c r="C521" s="408" t="s">
        <v>2235</v>
      </c>
      <c r="D521" s="408" t="s">
        <v>2245</v>
      </c>
      <c r="E521" s="408" t="s">
        <v>974</v>
      </c>
      <c r="F521" s="408" t="s">
        <v>2252</v>
      </c>
      <c r="G521" s="408" t="s">
        <v>2254</v>
      </c>
      <c r="H521" s="408" t="s">
        <v>1322</v>
      </c>
      <c r="I521" s="408" t="s">
        <v>1322</v>
      </c>
      <c r="J521" s="408" t="s">
        <v>2236</v>
      </c>
      <c r="K521" s="824">
        <v>44621</v>
      </c>
      <c r="L521" s="408">
        <v>0</v>
      </c>
      <c r="M521" s="408">
        <v>0</v>
      </c>
      <c r="N521" s="408">
        <v>106.291</v>
      </c>
      <c r="O521" s="408">
        <v>42.516399999999997</v>
      </c>
      <c r="P521" s="408">
        <v>106.291</v>
      </c>
      <c r="Q521" s="408">
        <v>42.516399999999997</v>
      </c>
      <c r="R521" s="408"/>
      <c r="S521" s="408">
        <v>581.32000000000005</v>
      </c>
      <c r="T521" s="408">
        <v>209.4</v>
      </c>
      <c r="U521" s="408"/>
      <c r="V521" s="408">
        <v>84046.41952000001</v>
      </c>
      <c r="W521" s="408">
        <v>84046.41952000001</v>
      </c>
      <c r="X521" s="408">
        <v>64207.204369999992</v>
      </c>
      <c r="Y521" s="408">
        <v>0</v>
      </c>
      <c r="Z521" s="408">
        <v>6540.9257236034955</v>
      </c>
      <c r="AA521" s="408">
        <v>0</v>
      </c>
      <c r="AB521" s="408">
        <v>0</v>
      </c>
      <c r="AC521" s="408">
        <v>0</v>
      </c>
      <c r="AD521" s="408">
        <v>7885.8509714919182</v>
      </c>
      <c r="AE521" s="408">
        <v>40965.116006078839</v>
      </c>
      <c r="AF521" s="408">
        <v>21965.114420873837</v>
      </c>
      <c r="AG521" s="408">
        <v>292.61539900850033</v>
      </c>
      <c r="AH521" s="408">
        <v>0</v>
      </c>
      <c r="AI521" s="408">
        <v>0</v>
      </c>
      <c r="AJ521" s="408">
        <v>0</v>
      </c>
      <c r="AK521" s="408">
        <v>0</v>
      </c>
      <c r="AL521" s="408">
        <v>1010.785068461941</v>
      </c>
      <c r="AM521" s="408"/>
      <c r="AN521" s="408">
        <v>193.76470009376641</v>
      </c>
      <c r="AO521" s="408">
        <v>605.8035110619237</v>
      </c>
      <c r="AP521" s="408">
        <v>912.52842715394343</v>
      </c>
      <c r="AQ521" s="408">
        <v>0</v>
      </c>
      <c r="AR521" s="408">
        <v>0</v>
      </c>
      <c r="AS521" s="408">
        <v>0</v>
      </c>
      <c r="AT521" s="408">
        <v>0</v>
      </c>
      <c r="AU521" s="408">
        <v>0</v>
      </c>
      <c r="AV521" s="408">
        <v>0</v>
      </c>
      <c r="AW521" s="408">
        <v>0</v>
      </c>
      <c r="AX521" s="408">
        <v>0</v>
      </c>
      <c r="AY521" s="408">
        <v>0</v>
      </c>
      <c r="AZ521" s="408">
        <v>0</v>
      </c>
      <c r="BA521" s="408"/>
      <c r="BB521" s="408">
        <v>0</v>
      </c>
      <c r="BC521" s="408">
        <v>0</v>
      </c>
      <c r="BD521" s="408">
        <v>0</v>
      </c>
      <c r="BE521" s="408">
        <v>0</v>
      </c>
      <c r="BF521" s="408">
        <v>0</v>
      </c>
      <c r="BG521" s="408">
        <v>3674.7225809746378</v>
      </c>
      <c r="BH521" s="408">
        <v>0</v>
      </c>
      <c r="BI521" s="408">
        <v>0</v>
      </c>
      <c r="BJ521" s="408">
        <v>0</v>
      </c>
      <c r="BK521" s="408">
        <v>0</v>
      </c>
      <c r="BL521" s="408">
        <v>0</v>
      </c>
      <c r="BM521" s="408"/>
      <c r="BN521" s="408"/>
      <c r="BO521" s="408"/>
      <c r="BP521" s="408"/>
      <c r="BQ521" s="408"/>
      <c r="BR521" s="408"/>
      <c r="BS521" s="408">
        <v>41606.336457999991</v>
      </c>
      <c r="BT521" s="408"/>
      <c r="BU521" s="408"/>
      <c r="BV521" s="408">
        <v>25639.837001848475</v>
      </c>
      <c r="BW521" s="408"/>
      <c r="BX521" s="408"/>
      <c r="BY521" s="408"/>
      <c r="BZ521" s="408"/>
      <c r="CA521" s="408"/>
      <c r="CB521" s="408"/>
      <c r="CC521" s="408"/>
      <c r="CD521" s="408"/>
      <c r="CE521" s="408"/>
      <c r="CF521" s="408"/>
      <c r="CG521" s="408"/>
      <c r="CH521" s="408"/>
      <c r="CI521" s="408">
        <v>22602.781600000002</v>
      </c>
      <c r="CJ521" s="408">
        <v>-6982.2853399999913</v>
      </c>
      <c r="CK521" s="408"/>
      <c r="CL521" s="408"/>
      <c r="CM521" s="408"/>
      <c r="CN521" s="408"/>
      <c r="CO521" s="408">
        <v>-22265.838680000008</v>
      </c>
      <c r="CP521" s="408">
        <v>2426.623529999998</v>
      </c>
      <c r="CQ521" s="408">
        <v>31</v>
      </c>
      <c r="CR521" s="408">
        <v>3140.2475615408912</v>
      </c>
      <c r="CS521" s="408">
        <v>73.139887975098418</v>
      </c>
      <c r="CT521" s="408">
        <v>110.17140990011376</v>
      </c>
      <c r="CU521" s="408">
        <v>0</v>
      </c>
      <c r="CV521" s="408">
        <v>0</v>
      </c>
      <c r="CW521" s="408">
        <v>0</v>
      </c>
      <c r="CX521" s="408">
        <v>0</v>
      </c>
      <c r="CY521" s="408">
        <v>0</v>
      </c>
      <c r="CZ521" s="408">
        <v>258.5174182637893</v>
      </c>
      <c r="DA521" s="408">
        <v>0</v>
      </c>
      <c r="DB521" s="408">
        <v>0</v>
      </c>
      <c r="DC521" s="408">
        <v>2425.8884348749307</v>
      </c>
      <c r="DD521" s="408">
        <v>0</v>
      </c>
      <c r="DE521" s="408">
        <v>0</v>
      </c>
      <c r="DF521" s="408">
        <v>0</v>
      </c>
      <c r="DG521" s="408">
        <v>405.84660019290413</v>
      </c>
      <c r="DH521" s="408">
        <v>0</v>
      </c>
      <c r="DI521" s="408">
        <v>-114.0222206681683</v>
      </c>
      <c r="DJ521" s="408"/>
      <c r="DK521" s="408">
        <v>0</v>
      </c>
      <c r="DL521" s="408">
        <v>0</v>
      </c>
      <c r="DM521" s="408">
        <v>0</v>
      </c>
      <c r="DN521" s="408">
        <v>0</v>
      </c>
      <c r="DO521" s="408">
        <v>-14.814037723554293</v>
      </c>
      <c r="DP521" s="408">
        <v>-4.4799312742262032</v>
      </c>
      <c r="DQ521" s="408">
        <v>0</v>
      </c>
      <c r="DR521" s="408">
        <v>0</v>
      </c>
      <c r="DS521" s="408"/>
      <c r="DT521" s="408"/>
      <c r="DU521" s="408"/>
      <c r="DV521" s="408">
        <v>40965.116006078839</v>
      </c>
      <c r="DW521" s="408">
        <v>0</v>
      </c>
      <c r="DX521" s="408">
        <v>0</v>
      </c>
      <c r="DY521" s="408">
        <v>-22265.838680000008</v>
      </c>
      <c r="DZ521" s="408">
        <v>2426.6235299999971</v>
      </c>
      <c r="EA521" s="408">
        <v>0</v>
      </c>
      <c r="EB521" s="408">
        <v>0</v>
      </c>
      <c r="EC521" s="408">
        <v>-22981.008105751138</v>
      </c>
      <c r="ED521" s="408">
        <v>0</v>
      </c>
      <c r="EE521" s="408">
        <v>0</v>
      </c>
      <c r="EF521" s="408">
        <v>0</v>
      </c>
      <c r="EG521" s="408">
        <v>0</v>
      </c>
      <c r="EH521" s="408">
        <v>0</v>
      </c>
      <c r="EI521" s="408">
        <v>0</v>
      </c>
      <c r="EJ521" s="408">
        <v>0</v>
      </c>
      <c r="EK521" s="408">
        <v>0</v>
      </c>
      <c r="EL521" s="408">
        <v>0</v>
      </c>
      <c r="EM521" s="408">
        <v>0</v>
      </c>
      <c r="EN521" s="408">
        <v>0</v>
      </c>
      <c r="EO521" s="408">
        <v>0</v>
      </c>
      <c r="EP521" s="408">
        <v>0</v>
      </c>
      <c r="EQ521" s="408">
        <v>0</v>
      </c>
      <c r="ER521" s="408">
        <v>0</v>
      </c>
      <c r="ES521" s="408">
        <v>0</v>
      </c>
      <c r="ET521" s="408">
        <v>0</v>
      </c>
      <c r="EU521" s="408">
        <v>0</v>
      </c>
      <c r="EV521" s="408">
        <v>238</v>
      </c>
      <c r="EW521" s="408">
        <v>0</v>
      </c>
      <c r="EX521" s="408">
        <v>0</v>
      </c>
      <c r="EY521" s="408">
        <v>0</v>
      </c>
      <c r="EZ521" s="408"/>
      <c r="FA521" s="408">
        <v>0</v>
      </c>
      <c r="FB521" s="408"/>
      <c r="FC521" s="408"/>
      <c r="FD521" s="408"/>
      <c r="FE521" s="408"/>
      <c r="FF521" s="408">
        <v>0</v>
      </c>
      <c r="FG521" s="408">
        <v>0</v>
      </c>
      <c r="FH521" s="408">
        <v>0</v>
      </c>
      <c r="FI521" s="408">
        <v>0</v>
      </c>
    </row>
    <row r="522" spans="1:165">
      <c r="A522" s="408">
        <v>526</v>
      </c>
      <c r="B522" s="408" t="s">
        <v>2237</v>
      </c>
      <c r="C522" s="408" t="s">
        <v>2235</v>
      </c>
      <c r="D522" s="408" t="s">
        <v>2245</v>
      </c>
      <c r="E522" s="408" t="s">
        <v>974</v>
      </c>
      <c r="F522" s="408" t="s">
        <v>2252</v>
      </c>
      <c r="G522" s="408" t="s">
        <v>2254</v>
      </c>
      <c r="H522" s="408" t="s">
        <v>1322</v>
      </c>
      <c r="I522" s="408" t="s">
        <v>1322</v>
      </c>
      <c r="J522" s="408" t="s">
        <v>2236</v>
      </c>
      <c r="K522" s="824">
        <v>44621</v>
      </c>
      <c r="L522" s="408">
        <v>0</v>
      </c>
      <c r="M522" s="408">
        <v>0</v>
      </c>
      <c r="N522" s="408">
        <v>2.7909999999999999</v>
      </c>
      <c r="O522" s="408">
        <v>1.1164000000000001</v>
      </c>
      <c r="P522" s="408">
        <v>2.7909999999999999</v>
      </c>
      <c r="Q522" s="408">
        <v>1.1164000000000001</v>
      </c>
      <c r="R522" s="408"/>
      <c r="S522" s="408">
        <v>581.32000000000005</v>
      </c>
      <c r="T522" s="408">
        <v>209.4</v>
      </c>
      <c r="U522" s="408"/>
      <c r="V522" s="408">
        <v>2206.8995199999999</v>
      </c>
      <c r="W522" s="408">
        <v>2206.8995199999999</v>
      </c>
      <c r="X522" s="408">
        <v>1685.9593699999998</v>
      </c>
      <c r="Y522" s="408">
        <v>0</v>
      </c>
      <c r="Z522" s="408">
        <v>171.75229976740604</v>
      </c>
      <c r="AA522" s="408">
        <v>0</v>
      </c>
      <c r="AB522" s="408">
        <v>0</v>
      </c>
      <c r="AC522" s="408">
        <v>0</v>
      </c>
      <c r="AD522" s="408">
        <v>207.06748512511825</v>
      </c>
      <c r="AE522" s="408">
        <v>1075.6662254844346</v>
      </c>
      <c r="AF522" s="408">
        <v>576.76223150275075</v>
      </c>
      <c r="AG522" s="408">
        <v>7.6835252150485402</v>
      </c>
      <c r="AH522" s="408">
        <v>0</v>
      </c>
      <c r="AI522" s="408">
        <v>0</v>
      </c>
      <c r="AJ522" s="408">
        <v>0</v>
      </c>
      <c r="AK522" s="408">
        <v>0</v>
      </c>
      <c r="AL522" s="408">
        <v>26.541298191542815</v>
      </c>
      <c r="AM522" s="408"/>
      <c r="AN522" s="408">
        <v>5.0878934054783755</v>
      </c>
      <c r="AO522" s="408">
        <v>15.907250843193019</v>
      </c>
      <c r="AP522" s="408">
        <v>23.961265207653106</v>
      </c>
      <c r="AQ522" s="408">
        <v>0</v>
      </c>
      <c r="AR522" s="408">
        <v>0</v>
      </c>
      <c r="AS522" s="408">
        <v>0</v>
      </c>
      <c r="AT522" s="408">
        <v>0</v>
      </c>
      <c r="AU522" s="408">
        <v>0</v>
      </c>
      <c r="AV522" s="408">
        <v>0</v>
      </c>
      <c r="AW522" s="408">
        <v>0</v>
      </c>
      <c r="AX522" s="408">
        <v>0</v>
      </c>
      <c r="AY522" s="408">
        <v>0</v>
      </c>
      <c r="AZ522" s="408">
        <v>0</v>
      </c>
      <c r="BA522" s="408"/>
      <c r="BB522" s="408">
        <v>0</v>
      </c>
      <c r="BC522" s="408">
        <v>0</v>
      </c>
      <c r="BD522" s="408">
        <v>0</v>
      </c>
      <c r="BE522" s="408">
        <v>0</v>
      </c>
      <c r="BF522" s="408">
        <v>0</v>
      </c>
      <c r="BG522" s="408">
        <v>96.491243129711961</v>
      </c>
      <c r="BH522" s="408">
        <v>0</v>
      </c>
      <c r="BI522" s="408">
        <v>0</v>
      </c>
      <c r="BJ522" s="408">
        <v>0</v>
      </c>
      <c r="BK522" s="408">
        <v>0</v>
      </c>
      <c r="BL522" s="408">
        <v>0</v>
      </c>
      <c r="BM522" s="408"/>
      <c r="BN522" s="408"/>
      <c r="BO522" s="408"/>
      <c r="BP522" s="408"/>
      <c r="BQ522" s="408"/>
      <c r="BR522" s="408"/>
      <c r="BS522" s="408">
        <v>1092.5034579999999</v>
      </c>
      <c r="BT522" s="408"/>
      <c r="BU522" s="408"/>
      <c r="BV522" s="408">
        <v>673.25347463246271</v>
      </c>
      <c r="BW522" s="408"/>
      <c r="BX522" s="408"/>
      <c r="BY522" s="408"/>
      <c r="BZ522" s="408"/>
      <c r="CA522" s="408"/>
      <c r="CB522" s="408"/>
      <c r="CC522" s="408"/>
      <c r="CD522" s="408"/>
      <c r="CE522" s="408"/>
      <c r="CF522" s="408"/>
      <c r="CG522" s="408"/>
      <c r="CH522" s="408"/>
      <c r="CI522" s="408">
        <v>595.3696000000001</v>
      </c>
      <c r="CJ522" s="408">
        <v>-181.50733999999989</v>
      </c>
      <c r="CK522" s="408"/>
      <c r="CL522" s="408"/>
      <c r="CM522" s="408"/>
      <c r="CN522" s="408"/>
      <c r="CO522" s="408">
        <v>-584.65868000000023</v>
      </c>
      <c r="CP522" s="408">
        <v>63.718529999999951</v>
      </c>
      <c r="CQ522" s="408">
        <v>31</v>
      </c>
      <c r="CR522" s="408">
        <v>82.45694314909656</v>
      </c>
      <c r="CS522" s="408">
        <v>1.9205146939863162</v>
      </c>
      <c r="CT522" s="408">
        <v>2.8928922018911969</v>
      </c>
      <c r="CU522" s="408">
        <v>0</v>
      </c>
      <c r="CV522" s="408">
        <v>0</v>
      </c>
      <c r="CW522" s="408">
        <v>0</v>
      </c>
      <c r="CX522" s="408">
        <v>0</v>
      </c>
      <c r="CY522" s="408">
        <v>0</v>
      </c>
      <c r="CZ522" s="408">
        <v>6.7881769328940038</v>
      </c>
      <c r="DA522" s="408">
        <v>0</v>
      </c>
      <c r="DB522" s="408">
        <v>0</v>
      </c>
      <c r="DC522" s="408">
        <v>63.699227796670698</v>
      </c>
      <c r="DD522" s="408">
        <v>0</v>
      </c>
      <c r="DE522" s="408">
        <v>0</v>
      </c>
      <c r="DF522" s="408">
        <v>0</v>
      </c>
      <c r="DG522" s="408">
        <v>10.65676173089345</v>
      </c>
      <c r="DH522" s="408">
        <v>0</v>
      </c>
      <c r="DI522" s="408">
        <v>-2.9940071867313236</v>
      </c>
      <c r="DJ522" s="408"/>
      <c r="DK522" s="408">
        <v>0</v>
      </c>
      <c r="DL522" s="408">
        <v>0</v>
      </c>
      <c r="DM522" s="408">
        <v>0</v>
      </c>
      <c r="DN522" s="408">
        <v>0</v>
      </c>
      <c r="DO522" s="408">
        <v>-0.38898852477105095</v>
      </c>
      <c r="DP522" s="408">
        <v>-0.11763449573684781</v>
      </c>
      <c r="DQ522" s="408">
        <v>0</v>
      </c>
      <c r="DR522" s="408">
        <v>0</v>
      </c>
      <c r="DS522" s="408"/>
      <c r="DT522" s="408"/>
      <c r="DU522" s="408"/>
      <c r="DV522" s="408">
        <v>1075.6662254844346</v>
      </c>
      <c r="DW522" s="408">
        <v>0</v>
      </c>
      <c r="DX522" s="408">
        <v>0</v>
      </c>
      <c r="DY522" s="408">
        <v>-584.65868000000023</v>
      </c>
      <c r="DZ522" s="408">
        <v>63.718529999999987</v>
      </c>
      <c r="EA522" s="408">
        <v>0</v>
      </c>
      <c r="EB522" s="408">
        <v>0</v>
      </c>
      <c r="EC522" s="408">
        <v>-603.43767226906721</v>
      </c>
      <c r="ED522" s="408">
        <v>0</v>
      </c>
      <c r="EE522" s="408">
        <v>0</v>
      </c>
      <c r="EF522" s="408">
        <v>0</v>
      </c>
      <c r="EG522" s="408">
        <v>0</v>
      </c>
      <c r="EH522" s="408">
        <v>0</v>
      </c>
      <c r="EI522" s="408">
        <v>0</v>
      </c>
      <c r="EJ522" s="408">
        <v>0</v>
      </c>
      <c r="EK522" s="408">
        <v>0</v>
      </c>
      <c r="EL522" s="408">
        <v>0</v>
      </c>
      <c r="EM522" s="408">
        <v>0</v>
      </c>
      <c r="EN522" s="408">
        <v>0</v>
      </c>
      <c r="EO522" s="408">
        <v>0</v>
      </c>
      <c r="EP522" s="408">
        <v>0</v>
      </c>
      <c r="EQ522" s="408">
        <v>0</v>
      </c>
      <c r="ER522" s="408">
        <v>0</v>
      </c>
      <c r="ES522" s="408">
        <v>0</v>
      </c>
      <c r="ET522" s="408">
        <v>0</v>
      </c>
      <c r="EU522" s="408">
        <v>0</v>
      </c>
      <c r="EV522" s="408">
        <v>238</v>
      </c>
      <c r="EW522" s="408">
        <v>0</v>
      </c>
      <c r="EX522" s="408">
        <v>0</v>
      </c>
      <c r="EY522" s="408">
        <v>0</v>
      </c>
      <c r="EZ522" s="408"/>
      <c r="FA522" s="408">
        <v>0</v>
      </c>
      <c r="FB522" s="408"/>
      <c r="FC522" s="408"/>
      <c r="FD522" s="408"/>
      <c r="FE522" s="408"/>
      <c r="FF522" s="408">
        <v>0</v>
      </c>
      <c r="FG522" s="408">
        <v>0</v>
      </c>
      <c r="FH522" s="408">
        <v>0</v>
      </c>
      <c r="FI522" s="408">
        <v>0</v>
      </c>
    </row>
    <row r="523" spans="1:165">
      <c r="A523" s="408">
        <v>527</v>
      </c>
      <c r="B523" s="408" t="s">
        <v>2238</v>
      </c>
      <c r="C523" s="408" t="s">
        <v>2235</v>
      </c>
      <c r="D523" s="408" t="s">
        <v>2245</v>
      </c>
      <c r="E523" s="408" t="s">
        <v>974</v>
      </c>
      <c r="F523" s="408" t="s">
        <v>2252</v>
      </c>
      <c r="G523" s="408" t="s">
        <v>2254</v>
      </c>
      <c r="H523" s="408" t="s">
        <v>1322</v>
      </c>
      <c r="I523" s="408" t="s">
        <v>1322</v>
      </c>
      <c r="J523" s="408" t="s">
        <v>2236</v>
      </c>
      <c r="K523" s="824">
        <v>44621</v>
      </c>
      <c r="L523" s="408">
        <v>0</v>
      </c>
      <c r="M523" s="408">
        <v>0</v>
      </c>
      <c r="N523" s="408">
        <v>8.266</v>
      </c>
      <c r="O523" s="408">
        <v>3.3064</v>
      </c>
      <c r="P523" s="408">
        <v>8.266</v>
      </c>
      <c r="Q523" s="408">
        <v>3.3064</v>
      </c>
      <c r="R523" s="408"/>
      <c r="S523" s="408">
        <v>581.32000000000005</v>
      </c>
      <c r="T523" s="408">
        <v>209.4</v>
      </c>
      <c r="U523" s="408"/>
      <c r="V523" s="408">
        <v>6536.0915199999999</v>
      </c>
      <c r="W523" s="408">
        <v>6536.0915199999999</v>
      </c>
      <c r="X523" s="408">
        <v>4993.2426199999991</v>
      </c>
      <c r="Y523" s="408">
        <v>0</v>
      </c>
      <c r="Z523" s="408">
        <v>508.67234320221371</v>
      </c>
      <c r="AA523" s="408">
        <v>0</v>
      </c>
      <c r="AB523" s="408">
        <v>0</v>
      </c>
      <c r="AC523" s="408">
        <v>0</v>
      </c>
      <c r="AD523" s="408">
        <v>613.26400288220259</v>
      </c>
      <c r="AE523" s="408">
        <v>3185.760308081095</v>
      </c>
      <c r="AF523" s="408">
        <v>1708.1750647086126</v>
      </c>
      <c r="AG523" s="408">
        <v>22.756008393977513</v>
      </c>
      <c r="AH523" s="408">
        <v>0</v>
      </c>
      <c r="AI523" s="408">
        <v>0</v>
      </c>
      <c r="AJ523" s="408">
        <v>0</v>
      </c>
      <c r="AK523" s="408">
        <v>0</v>
      </c>
      <c r="AL523" s="408">
        <v>78.606367198600111</v>
      </c>
      <c r="AM523" s="408"/>
      <c r="AN523" s="408">
        <v>15.068623034641439</v>
      </c>
      <c r="AO523" s="408">
        <v>47.111908086647617</v>
      </c>
      <c r="AP523" s="408">
        <v>70.965180296116287</v>
      </c>
      <c r="AQ523" s="408">
        <v>0</v>
      </c>
      <c r="AR523" s="408">
        <v>0</v>
      </c>
      <c r="AS523" s="408">
        <v>0</v>
      </c>
      <c r="AT523" s="408">
        <v>0</v>
      </c>
      <c r="AU523" s="408">
        <v>0</v>
      </c>
      <c r="AV523" s="408">
        <v>0</v>
      </c>
      <c r="AW523" s="408">
        <v>0</v>
      </c>
      <c r="AX523" s="408">
        <v>0</v>
      </c>
      <c r="AY523" s="408">
        <v>0</v>
      </c>
      <c r="AZ523" s="408">
        <v>0</v>
      </c>
      <c r="BA523" s="408"/>
      <c r="BB523" s="408">
        <v>0</v>
      </c>
      <c r="BC523" s="408">
        <v>0</v>
      </c>
      <c r="BD523" s="408">
        <v>0</v>
      </c>
      <c r="BE523" s="408">
        <v>0</v>
      </c>
      <c r="BF523" s="408">
        <v>0</v>
      </c>
      <c r="BG523" s="408">
        <v>285.77449505918997</v>
      </c>
      <c r="BH523" s="408">
        <v>0</v>
      </c>
      <c r="BI523" s="408">
        <v>0</v>
      </c>
      <c r="BJ523" s="408">
        <v>0</v>
      </c>
      <c r="BK523" s="408">
        <v>0</v>
      </c>
      <c r="BL523" s="408">
        <v>0</v>
      </c>
      <c r="BM523" s="408"/>
      <c r="BN523" s="408"/>
      <c r="BO523" s="408"/>
      <c r="BP523" s="408"/>
      <c r="BQ523" s="408"/>
      <c r="BR523" s="408"/>
      <c r="BS523" s="408">
        <v>3235.6265079999998</v>
      </c>
      <c r="BT523" s="408"/>
      <c r="BU523" s="408"/>
      <c r="BV523" s="408">
        <v>1993.9495597678026</v>
      </c>
      <c r="BW523" s="408"/>
      <c r="BX523" s="408"/>
      <c r="BY523" s="408"/>
      <c r="BZ523" s="408"/>
      <c r="CA523" s="408"/>
      <c r="CB523" s="408"/>
      <c r="CC523" s="408"/>
      <c r="CD523" s="408"/>
      <c r="CE523" s="408"/>
      <c r="CF523" s="408"/>
      <c r="CG523" s="408"/>
      <c r="CH523" s="408"/>
      <c r="CI523" s="408">
        <v>1759.5298000000003</v>
      </c>
      <c r="CJ523" s="408">
        <v>-541.25864000000001</v>
      </c>
      <c r="CK523" s="408"/>
      <c r="CL523" s="408"/>
      <c r="CM523" s="408"/>
      <c r="CN523" s="408"/>
      <c r="CO523" s="408">
        <v>-1731.5616800000007</v>
      </c>
      <c r="CP523" s="408">
        <v>188.71277999999987</v>
      </c>
      <c r="CQ523" s="408">
        <v>31</v>
      </c>
      <c r="CR523" s="408">
        <v>244.20963528141601</v>
      </c>
      <c r="CS523" s="408">
        <v>5.6879163240741306</v>
      </c>
      <c r="CT523" s="408">
        <v>8.5677703120145594</v>
      </c>
      <c r="CU523" s="408">
        <v>0</v>
      </c>
      <c r="CV523" s="408">
        <v>0</v>
      </c>
      <c r="CW523" s="408">
        <v>0</v>
      </c>
      <c r="CX523" s="408">
        <v>0</v>
      </c>
      <c r="CY523" s="408">
        <v>0</v>
      </c>
      <c r="CZ523" s="408">
        <v>20.104288974310975</v>
      </c>
      <c r="DA523" s="408">
        <v>0</v>
      </c>
      <c r="DB523" s="408">
        <v>0</v>
      </c>
      <c r="DC523" s="408">
        <v>188.6556133884917</v>
      </c>
      <c r="DD523" s="408">
        <v>0</v>
      </c>
      <c r="DE523" s="408">
        <v>0</v>
      </c>
      <c r="DF523" s="408">
        <v>0</v>
      </c>
      <c r="DG523" s="408">
        <v>31.561731446637452</v>
      </c>
      <c r="DH523" s="408">
        <v>0</v>
      </c>
      <c r="DI523" s="408">
        <v>-8.8672387694450663</v>
      </c>
      <c r="DJ523" s="408"/>
      <c r="DK523" s="408">
        <v>0</v>
      </c>
      <c r="DL523" s="408">
        <v>0</v>
      </c>
      <c r="DM523" s="408">
        <v>0</v>
      </c>
      <c r="DN523" s="408">
        <v>0</v>
      </c>
      <c r="DO523" s="408">
        <v>-1.1520527215182739</v>
      </c>
      <c r="DP523" s="408">
        <v>-0.34839367314969039</v>
      </c>
      <c r="DQ523" s="408">
        <v>0</v>
      </c>
      <c r="DR523" s="408">
        <v>0</v>
      </c>
      <c r="DS523" s="408"/>
      <c r="DT523" s="408"/>
      <c r="DU523" s="408"/>
      <c r="DV523" s="408">
        <v>3185.760308081095</v>
      </c>
      <c r="DW523" s="408">
        <v>0</v>
      </c>
      <c r="DX523" s="408">
        <v>0</v>
      </c>
      <c r="DY523" s="408">
        <v>-1731.5616800000007</v>
      </c>
      <c r="DZ523" s="408">
        <v>188.71277999999984</v>
      </c>
      <c r="EA523" s="408">
        <v>0</v>
      </c>
      <c r="EB523" s="408">
        <v>0</v>
      </c>
      <c r="EC523" s="408">
        <v>-1787.1787169387708</v>
      </c>
      <c r="ED523" s="408">
        <v>0</v>
      </c>
      <c r="EE523" s="408">
        <v>0</v>
      </c>
      <c r="EF523" s="408">
        <v>0</v>
      </c>
      <c r="EG523" s="408">
        <v>0</v>
      </c>
      <c r="EH523" s="408">
        <v>0</v>
      </c>
      <c r="EI523" s="408">
        <v>0</v>
      </c>
      <c r="EJ523" s="408">
        <v>0</v>
      </c>
      <c r="EK523" s="408">
        <v>0</v>
      </c>
      <c r="EL523" s="408">
        <v>0</v>
      </c>
      <c r="EM523" s="408">
        <v>0</v>
      </c>
      <c r="EN523" s="408">
        <v>0</v>
      </c>
      <c r="EO523" s="408">
        <v>0</v>
      </c>
      <c r="EP523" s="408">
        <v>0</v>
      </c>
      <c r="EQ523" s="408">
        <v>0</v>
      </c>
      <c r="ER523" s="408">
        <v>0</v>
      </c>
      <c r="ES523" s="408">
        <v>0</v>
      </c>
      <c r="ET523" s="408">
        <v>0</v>
      </c>
      <c r="EU523" s="408">
        <v>0</v>
      </c>
      <c r="EV523" s="408">
        <v>238</v>
      </c>
      <c r="EW523" s="408">
        <v>0</v>
      </c>
      <c r="EX523" s="408">
        <v>0</v>
      </c>
      <c r="EY523" s="408">
        <v>0</v>
      </c>
      <c r="EZ523" s="408"/>
      <c r="FA523" s="408">
        <v>0</v>
      </c>
      <c r="FB523" s="408"/>
      <c r="FC523" s="408"/>
      <c r="FD523" s="408"/>
      <c r="FE523" s="408"/>
      <c r="FF523" s="408">
        <v>0</v>
      </c>
      <c r="FG523" s="408">
        <v>0</v>
      </c>
      <c r="FH523" s="408">
        <v>0</v>
      </c>
      <c r="FI523" s="408">
        <v>0</v>
      </c>
    </row>
    <row r="524" spans="1:165">
      <c r="A524" s="408">
        <v>528</v>
      </c>
      <c r="B524" s="408" t="s">
        <v>1036</v>
      </c>
      <c r="C524" s="408" t="s">
        <v>2243</v>
      </c>
      <c r="D524" s="408" t="s">
        <v>597</v>
      </c>
      <c r="E524" s="408" t="s">
        <v>974</v>
      </c>
      <c r="F524" s="408" t="s">
        <v>2252</v>
      </c>
      <c r="G524" s="408" t="s">
        <v>1322</v>
      </c>
      <c r="H524" s="408" t="s">
        <v>1322</v>
      </c>
      <c r="I524" s="408" t="s">
        <v>973</v>
      </c>
      <c r="J524" s="408" t="s">
        <v>2236</v>
      </c>
      <c r="K524" s="824">
        <v>44621</v>
      </c>
      <c r="L524" s="408">
        <v>0</v>
      </c>
      <c r="M524" s="408">
        <v>0</v>
      </c>
      <c r="N524" s="408">
        <v>27.526</v>
      </c>
      <c r="O524" s="408">
        <v>26.424959999999999</v>
      </c>
      <c r="P524" s="408">
        <v>27.526</v>
      </c>
      <c r="Q524" s="408">
        <v>26.424959999999999</v>
      </c>
      <c r="R524" s="408"/>
      <c r="S524" s="408">
        <v>1614.19</v>
      </c>
      <c r="T524" s="408">
        <v>209.4</v>
      </c>
      <c r="U524" s="408"/>
      <c r="V524" s="408">
        <v>50196.138340000005</v>
      </c>
      <c r="W524" s="408">
        <v>50196.138340000005</v>
      </c>
      <c r="X524" s="408">
        <v>33365.640899999999</v>
      </c>
      <c r="Y524" s="408">
        <v>0</v>
      </c>
      <c r="Z524" s="408">
        <v>1473.6864238466253</v>
      </c>
      <c r="AA524" s="408">
        <v>0</v>
      </c>
      <c r="AB524" s="408">
        <v>0</v>
      </c>
      <c r="AC524" s="408">
        <v>0</v>
      </c>
      <c r="AD524" s="408">
        <v>8572.0916022088622</v>
      </c>
      <c r="AE524" s="408">
        <v>32008.240695934604</v>
      </c>
      <c r="AF524" s="408">
        <v>5688.2684286437543</v>
      </c>
      <c r="AG524" s="408">
        <v>75.778113604237234</v>
      </c>
      <c r="AH524" s="408">
        <v>0</v>
      </c>
      <c r="AI524" s="408">
        <v>0</v>
      </c>
      <c r="AJ524" s="408">
        <v>0</v>
      </c>
      <c r="AK524" s="408">
        <v>0</v>
      </c>
      <c r="AL524" s="408">
        <v>261.76129488370032</v>
      </c>
      <c r="AM524" s="408"/>
      <c r="AN524" s="408">
        <v>36.550242435994512</v>
      </c>
      <c r="AO524" s="408">
        <v>665.98951581068263</v>
      </c>
      <c r="AP524" s="408">
        <v>992.00136174392719</v>
      </c>
      <c r="AQ524" s="408">
        <v>0</v>
      </c>
      <c r="AR524" s="408">
        <v>0</v>
      </c>
      <c r="AS524" s="408">
        <v>0</v>
      </c>
      <c r="AT524" s="408">
        <v>0</v>
      </c>
      <c r="AU524" s="408">
        <v>0</v>
      </c>
      <c r="AV524" s="408">
        <v>0</v>
      </c>
      <c r="AW524" s="408">
        <v>0</v>
      </c>
      <c r="AX524" s="408">
        <v>0</v>
      </c>
      <c r="AY524" s="408">
        <v>0</v>
      </c>
      <c r="AZ524" s="408">
        <v>0</v>
      </c>
      <c r="BA524" s="408"/>
      <c r="BB524" s="408">
        <v>0</v>
      </c>
      <c r="BC524" s="408">
        <v>0</v>
      </c>
      <c r="BD524" s="408">
        <v>0</v>
      </c>
      <c r="BE524" s="408">
        <v>0</v>
      </c>
      <c r="BF524" s="408">
        <v>0</v>
      </c>
      <c r="BG524" s="408">
        <v>421.82043527895826</v>
      </c>
      <c r="BH524" s="408">
        <v>0</v>
      </c>
      <c r="BI524" s="408">
        <v>0</v>
      </c>
      <c r="BJ524" s="408">
        <v>0</v>
      </c>
      <c r="BK524" s="408">
        <v>0</v>
      </c>
      <c r="BL524" s="408">
        <v>0</v>
      </c>
      <c r="BM524" s="408"/>
      <c r="BN524" s="408"/>
      <c r="BO524" s="408"/>
      <c r="BP524" s="408"/>
      <c r="BQ524" s="408"/>
      <c r="BR524" s="408">
        <v>1334.6256360000014</v>
      </c>
      <c r="BS524" s="408"/>
      <c r="BT524" s="408"/>
      <c r="BU524" s="408"/>
      <c r="BV524" s="408">
        <v>6110.0888639227123</v>
      </c>
      <c r="BW524" s="408"/>
      <c r="BX524" s="408"/>
      <c r="BY524" s="408"/>
      <c r="BZ524" s="408"/>
      <c r="CA524" s="408"/>
      <c r="CB524" s="408"/>
      <c r="CC524" s="408"/>
      <c r="CD524" s="408"/>
      <c r="CE524" s="408"/>
      <c r="CF524" s="408"/>
      <c r="CG524" s="408"/>
      <c r="CH524" s="408"/>
      <c r="CI524" s="408">
        <v>32025.003000000001</v>
      </c>
      <c r="CJ524" s="408">
        <v>-16163.319806400006</v>
      </c>
      <c r="CK524" s="408"/>
      <c r="CL524" s="408"/>
      <c r="CM524" s="408"/>
      <c r="CN524" s="408"/>
      <c r="CO524" s="408">
        <v>-17458.916020000004</v>
      </c>
      <c r="CP524" s="408">
        <v>628.41857999999957</v>
      </c>
      <c r="CQ524" s="408">
        <v>31</v>
      </c>
      <c r="CR524" s="408">
        <v>1125.6309941525615</v>
      </c>
      <c r="CS524" s="408">
        <v>80.406266536152543</v>
      </c>
      <c r="CT524" s="408">
        <v>119.76633866303155</v>
      </c>
      <c r="CU524" s="408">
        <v>0</v>
      </c>
      <c r="CV524" s="408">
        <v>0</v>
      </c>
      <c r="CW524" s="408">
        <v>0</v>
      </c>
      <c r="CX524" s="408">
        <v>0</v>
      </c>
      <c r="CY524" s="408">
        <v>0</v>
      </c>
      <c r="CZ524" s="408">
        <v>281.01405899439123</v>
      </c>
      <c r="DA524" s="408">
        <v>0</v>
      </c>
      <c r="DB524" s="408">
        <v>0</v>
      </c>
      <c r="DC524" s="408">
        <v>628.22821366218523</v>
      </c>
      <c r="DD524" s="408">
        <v>0</v>
      </c>
      <c r="DE524" s="408">
        <v>0</v>
      </c>
      <c r="DF524" s="408">
        <v>0</v>
      </c>
      <c r="DG524" s="408">
        <v>46.587024129711267</v>
      </c>
      <c r="DH524" s="408">
        <v>0</v>
      </c>
      <c r="DI524" s="408">
        <v>-25.689482760700002</v>
      </c>
      <c r="DJ524" s="408"/>
      <c r="DK524" s="408">
        <v>0</v>
      </c>
      <c r="DL524" s="408">
        <v>0</v>
      </c>
      <c r="DM524" s="408">
        <v>0</v>
      </c>
      <c r="DN524" s="408">
        <v>0</v>
      </c>
      <c r="DO524" s="408">
        <v>-3.8363662245961905</v>
      </c>
      <c r="DP524" s="408">
        <v>-0.84505884761448158</v>
      </c>
      <c r="DQ524" s="408">
        <v>0</v>
      </c>
      <c r="DR524" s="408">
        <v>0</v>
      </c>
      <c r="DS524" s="408"/>
      <c r="DT524" s="408"/>
      <c r="DU524" s="408"/>
      <c r="DV524" s="408">
        <v>32008.240695934604</v>
      </c>
      <c r="DW524" s="408">
        <v>0</v>
      </c>
      <c r="DX524" s="408">
        <v>0</v>
      </c>
      <c r="DY524" s="408">
        <v>-17458.916020000004</v>
      </c>
      <c r="DZ524" s="408">
        <v>628.41857999999957</v>
      </c>
      <c r="EA524" s="408">
        <v>0</v>
      </c>
      <c r="EB524" s="408">
        <v>0</v>
      </c>
      <c r="EC524" s="408">
        <v>-17956.293319783501</v>
      </c>
      <c r="ED524" s="408">
        <v>0</v>
      </c>
      <c r="EE524" s="408">
        <v>0</v>
      </c>
      <c r="EF524" s="408">
        <v>0</v>
      </c>
      <c r="EG524" s="408">
        <v>0</v>
      </c>
      <c r="EH524" s="408">
        <v>0</v>
      </c>
      <c r="EI524" s="408">
        <v>0</v>
      </c>
      <c r="EJ524" s="408">
        <v>0</v>
      </c>
      <c r="EK524" s="408">
        <v>0</v>
      </c>
      <c r="EL524" s="408">
        <v>0</v>
      </c>
      <c r="EM524" s="408">
        <v>0</v>
      </c>
      <c r="EN524" s="408">
        <v>0</v>
      </c>
      <c r="EO524" s="408">
        <v>0</v>
      </c>
      <c r="EP524" s="408">
        <v>0</v>
      </c>
      <c r="EQ524" s="408">
        <v>0</v>
      </c>
      <c r="ER524" s="408">
        <v>0</v>
      </c>
      <c r="ES524" s="408">
        <v>0</v>
      </c>
      <c r="ET524" s="408">
        <v>0</v>
      </c>
      <c r="EU524" s="408">
        <v>0</v>
      </c>
      <c r="EV524" s="408">
        <v>238</v>
      </c>
      <c r="EW524" s="408">
        <v>0</v>
      </c>
      <c r="EX524" s="408">
        <v>0</v>
      </c>
      <c r="EY524" s="408">
        <v>0</v>
      </c>
      <c r="EZ524" s="408"/>
      <c r="FA524" s="408">
        <v>0</v>
      </c>
      <c r="FB524" s="408"/>
      <c r="FC524" s="408"/>
      <c r="FD524" s="408"/>
      <c r="FE524" s="408"/>
      <c r="FF524" s="408">
        <v>0</v>
      </c>
      <c r="FG524" s="408">
        <v>0</v>
      </c>
      <c r="FH524" s="408">
        <v>0</v>
      </c>
      <c r="FI524" s="408">
        <v>0</v>
      </c>
    </row>
    <row r="525" spans="1:165">
      <c r="A525" s="408">
        <v>529</v>
      </c>
      <c r="B525" s="408" t="s">
        <v>2238</v>
      </c>
      <c r="C525" s="408" t="s">
        <v>2243</v>
      </c>
      <c r="D525" s="408" t="s">
        <v>597</v>
      </c>
      <c r="E525" s="408" t="s">
        <v>974</v>
      </c>
      <c r="F525" s="408" t="s">
        <v>2252</v>
      </c>
      <c r="G525" s="408" t="s">
        <v>1322</v>
      </c>
      <c r="H525" s="408" t="s">
        <v>1322</v>
      </c>
      <c r="I525" s="408" t="s">
        <v>973</v>
      </c>
      <c r="J525" s="408" t="s">
        <v>2236</v>
      </c>
      <c r="K525" s="824">
        <v>44621</v>
      </c>
      <c r="L525" s="408">
        <v>0</v>
      </c>
      <c r="M525" s="408">
        <v>0</v>
      </c>
      <c r="N525" s="408">
        <v>0.96499999999999997</v>
      </c>
      <c r="O525" s="408">
        <v>0.9264</v>
      </c>
      <c r="P525" s="408">
        <v>0.96499999999999997</v>
      </c>
      <c r="Q525" s="408">
        <v>0.9264</v>
      </c>
      <c r="R525" s="408"/>
      <c r="S525" s="408">
        <v>1614.19</v>
      </c>
      <c r="T525" s="408">
        <v>209.4</v>
      </c>
      <c r="U525" s="408"/>
      <c r="V525" s="408">
        <v>1759.7643499999999</v>
      </c>
      <c r="W525" s="408">
        <v>1759.7643499999999</v>
      </c>
      <c r="X525" s="408">
        <v>1169.7247499999999</v>
      </c>
      <c r="Y525" s="408">
        <v>0</v>
      </c>
      <c r="Z525" s="408">
        <v>51.664150222044377</v>
      </c>
      <c r="AA525" s="408">
        <v>0</v>
      </c>
      <c r="AB525" s="408">
        <v>0</v>
      </c>
      <c r="AC525" s="408">
        <v>0</v>
      </c>
      <c r="AD525" s="408">
        <v>300.51836068195712</v>
      </c>
      <c r="AE525" s="408">
        <v>1122.1373345773775</v>
      </c>
      <c r="AF525" s="408">
        <v>199.41796968833913</v>
      </c>
      <c r="AG525" s="408">
        <v>2.6566111904413621</v>
      </c>
      <c r="AH525" s="408">
        <v>0</v>
      </c>
      <c r="AI525" s="408">
        <v>0</v>
      </c>
      <c r="AJ525" s="408">
        <v>0</v>
      </c>
      <c r="AK525" s="408">
        <v>0</v>
      </c>
      <c r="AL525" s="408">
        <v>9.1767655875452583</v>
      </c>
      <c r="AM525" s="408"/>
      <c r="AN525" s="408">
        <v>1.2813697577103358</v>
      </c>
      <c r="AO525" s="408">
        <v>23.348102984716583</v>
      </c>
      <c r="AP525" s="408">
        <v>34.777349200134047</v>
      </c>
      <c r="AQ525" s="408">
        <v>0</v>
      </c>
      <c r="AR525" s="408">
        <v>0</v>
      </c>
      <c r="AS525" s="408">
        <v>0</v>
      </c>
      <c r="AT525" s="408">
        <v>0</v>
      </c>
      <c r="AU525" s="408">
        <v>0</v>
      </c>
      <c r="AV525" s="408">
        <v>0</v>
      </c>
      <c r="AW525" s="408">
        <v>0</v>
      </c>
      <c r="AX525" s="408">
        <v>0</v>
      </c>
      <c r="AY525" s="408">
        <v>0</v>
      </c>
      <c r="AZ525" s="408">
        <v>0</v>
      </c>
      <c r="BA525" s="408"/>
      <c r="BB525" s="408">
        <v>0</v>
      </c>
      <c r="BC525" s="408">
        <v>0</v>
      </c>
      <c r="BD525" s="408">
        <v>0</v>
      </c>
      <c r="BE525" s="408">
        <v>0</v>
      </c>
      <c r="BF525" s="408">
        <v>0</v>
      </c>
      <c r="BG525" s="408">
        <v>14.788081088577879</v>
      </c>
      <c r="BH525" s="408">
        <v>0</v>
      </c>
      <c r="BI525" s="408">
        <v>0</v>
      </c>
      <c r="BJ525" s="408">
        <v>0</v>
      </c>
      <c r="BK525" s="408">
        <v>0</v>
      </c>
      <c r="BL525" s="408">
        <v>0</v>
      </c>
      <c r="BM525" s="408"/>
      <c r="BN525" s="408"/>
      <c r="BO525" s="408"/>
      <c r="BP525" s="408"/>
      <c r="BQ525" s="408"/>
      <c r="BR525" s="408">
        <v>46.788989999999963</v>
      </c>
      <c r="BS525" s="408"/>
      <c r="BT525" s="408"/>
      <c r="BU525" s="408"/>
      <c r="BV525" s="408">
        <v>214.20605077691701</v>
      </c>
      <c r="BW525" s="408"/>
      <c r="BX525" s="408"/>
      <c r="BY525" s="408"/>
      <c r="BZ525" s="408"/>
      <c r="CA525" s="408"/>
      <c r="CB525" s="408"/>
      <c r="CC525" s="408"/>
      <c r="CD525" s="408"/>
      <c r="CE525" s="408"/>
      <c r="CF525" s="408"/>
      <c r="CG525" s="408"/>
      <c r="CH525" s="408"/>
      <c r="CI525" s="408">
        <v>1127.2995000000001</v>
      </c>
      <c r="CJ525" s="408">
        <v>-562.1042759999998</v>
      </c>
      <c r="CK525" s="408"/>
      <c r="CL525" s="408"/>
      <c r="CM525" s="408"/>
      <c r="CN525" s="408"/>
      <c r="CO525" s="408">
        <v>-612.07055000000003</v>
      </c>
      <c r="CP525" s="408">
        <v>22.030949999999983</v>
      </c>
      <c r="CQ525" s="408">
        <v>31</v>
      </c>
      <c r="CR525" s="408">
        <v>39.462105258926954</v>
      </c>
      <c r="CS525" s="408">
        <v>2.8188638816895768</v>
      </c>
      <c r="CT525" s="408">
        <v>4.1987399843720681</v>
      </c>
      <c r="CU525" s="408">
        <v>0</v>
      </c>
      <c r="CV525" s="408">
        <v>0</v>
      </c>
      <c r="CW525" s="408">
        <v>0</v>
      </c>
      <c r="CX525" s="408">
        <v>0</v>
      </c>
      <c r="CY525" s="408">
        <v>0</v>
      </c>
      <c r="CZ525" s="408">
        <v>9.8517244397873469</v>
      </c>
      <c r="DA525" s="408">
        <v>0</v>
      </c>
      <c r="DB525" s="408">
        <v>0</v>
      </c>
      <c r="DC525" s="408">
        <v>22.024276181937381</v>
      </c>
      <c r="DD525" s="408">
        <v>0</v>
      </c>
      <c r="DE525" s="408">
        <v>0</v>
      </c>
      <c r="DF525" s="408">
        <v>0</v>
      </c>
      <c r="DG525" s="408">
        <v>1.6332368773222186</v>
      </c>
      <c r="DH525" s="408">
        <v>0</v>
      </c>
      <c r="DI525" s="408">
        <v>-0.9006158128342534</v>
      </c>
      <c r="DJ525" s="408"/>
      <c r="DK525" s="408">
        <v>0</v>
      </c>
      <c r="DL525" s="408">
        <v>0</v>
      </c>
      <c r="DM525" s="408">
        <v>0</v>
      </c>
      <c r="DN525" s="408">
        <v>0</v>
      </c>
      <c r="DO525" s="408">
        <v>-0.13449442006595014</v>
      </c>
      <c r="DP525" s="408">
        <v>-2.9625873281550863E-2</v>
      </c>
      <c r="DQ525" s="408">
        <v>0</v>
      </c>
      <c r="DR525" s="408">
        <v>0</v>
      </c>
      <c r="DS525" s="408"/>
      <c r="DT525" s="408"/>
      <c r="DU525" s="408"/>
      <c r="DV525" s="408">
        <v>1122.1373345773775</v>
      </c>
      <c r="DW525" s="408">
        <v>0</v>
      </c>
      <c r="DX525" s="408">
        <v>0</v>
      </c>
      <c r="DY525" s="408">
        <v>-612.07055000000003</v>
      </c>
      <c r="DZ525" s="408">
        <v>22.03094999999999</v>
      </c>
      <c r="EA525" s="408">
        <v>0</v>
      </c>
      <c r="EB525" s="408">
        <v>0</v>
      </c>
      <c r="EC525" s="408">
        <v>-629.50748578039224</v>
      </c>
      <c r="ED525" s="408">
        <v>0</v>
      </c>
      <c r="EE525" s="408">
        <v>0</v>
      </c>
      <c r="EF525" s="408">
        <v>0</v>
      </c>
      <c r="EG525" s="408">
        <v>0</v>
      </c>
      <c r="EH525" s="408">
        <v>0</v>
      </c>
      <c r="EI525" s="408">
        <v>0</v>
      </c>
      <c r="EJ525" s="408">
        <v>0</v>
      </c>
      <c r="EK525" s="408">
        <v>0</v>
      </c>
      <c r="EL525" s="408">
        <v>0</v>
      </c>
      <c r="EM525" s="408">
        <v>0</v>
      </c>
      <c r="EN525" s="408">
        <v>0</v>
      </c>
      <c r="EO525" s="408">
        <v>0</v>
      </c>
      <c r="EP525" s="408">
        <v>0</v>
      </c>
      <c r="EQ525" s="408">
        <v>0</v>
      </c>
      <c r="ER525" s="408">
        <v>0</v>
      </c>
      <c r="ES525" s="408">
        <v>0</v>
      </c>
      <c r="ET525" s="408">
        <v>0</v>
      </c>
      <c r="EU525" s="408">
        <v>0</v>
      </c>
      <c r="EV525" s="408">
        <v>238</v>
      </c>
      <c r="EW525" s="408">
        <v>0</v>
      </c>
      <c r="EX525" s="408">
        <v>0</v>
      </c>
      <c r="EY525" s="408">
        <v>0</v>
      </c>
      <c r="EZ525" s="408"/>
      <c r="FA525" s="408">
        <v>0</v>
      </c>
      <c r="FB525" s="408"/>
      <c r="FC525" s="408"/>
      <c r="FD525" s="408"/>
      <c r="FE525" s="408"/>
      <c r="FF525" s="408">
        <v>0</v>
      </c>
      <c r="FG525" s="408">
        <v>0</v>
      </c>
      <c r="FH525" s="408">
        <v>0</v>
      </c>
      <c r="FI525" s="408">
        <v>0</v>
      </c>
    </row>
    <row r="526" spans="1:165">
      <c r="A526" s="408">
        <v>530</v>
      </c>
      <c r="B526" s="408" t="s">
        <v>1036</v>
      </c>
      <c r="C526" s="408" t="s">
        <v>2243</v>
      </c>
      <c r="D526" s="408" t="s">
        <v>597</v>
      </c>
      <c r="E526" s="408" t="s">
        <v>974</v>
      </c>
      <c r="F526" s="408" t="s">
        <v>2252</v>
      </c>
      <c r="G526" s="408" t="s">
        <v>1322</v>
      </c>
      <c r="H526" s="408" t="s">
        <v>1322</v>
      </c>
      <c r="I526" s="408" t="s">
        <v>2244</v>
      </c>
      <c r="J526" s="408" t="s">
        <v>2236</v>
      </c>
      <c r="K526" s="824">
        <v>44621</v>
      </c>
      <c r="L526" s="408">
        <v>0</v>
      </c>
      <c r="M526" s="408">
        <v>0</v>
      </c>
      <c r="N526" s="408">
        <v>907.41700000000003</v>
      </c>
      <c r="O526" s="408">
        <v>871.12031999999999</v>
      </c>
      <c r="P526" s="408">
        <v>907.41700000000003</v>
      </c>
      <c r="Q526" s="408">
        <v>871.12031999999999</v>
      </c>
      <c r="R526" s="408"/>
      <c r="S526" s="408">
        <v>79.7</v>
      </c>
      <c r="T526" s="408">
        <v>209.4</v>
      </c>
      <c r="U526" s="408"/>
      <c r="V526" s="408">
        <v>262334.25470000005</v>
      </c>
      <c r="W526" s="408">
        <v>262334.25470000005</v>
      </c>
      <c r="X526" s="408">
        <v>283585.96084000001</v>
      </c>
      <c r="Y526" s="408">
        <v>0</v>
      </c>
      <c r="Z526" s="408">
        <v>48581.272748224706</v>
      </c>
      <c r="AA526" s="408">
        <v>0</v>
      </c>
      <c r="AB526" s="408">
        <v>0</v>
      </c>
      <c r="AC526" s="408">
        <v>0</v>
      </c>
      <c r="AD526" s="408">
        <v>0</v>
      </c>
      <c r="AE526" s="408">
        <v>0</v>
      </c>
      <c r="AF526" s="408">
        <v>187518.39979345453</v>
      </c>
      <c r="AG526" s="408">
        <v>2498.0872089085283</v>
      </c>
      <c r="AH526" s="408">
        <v>0</v>
      </c>
      <c r="AI526" s="408">
        <v>0</v>
      </c>
      <c r="AJ526" s="408">
        <v>0</v>
      </c>
      <c r="AK526" s="408">
        <v>0</v>
      </c>
      <c r="AL526" s="408">
        <v>8629.174196014048</v>
      </c>
      <c r="AM526" s="408"/>
      <c r="AN526" s="408">
        <v>1204.9084988935128</v>
      </c>
      <c r="AO526" s="408">
        <v>0</v>
      </c>
      <c r="AP526" s="408">
        <v>0</v>
      </c>
      <c r="AQ526" s="408">
        <v>0</v>
      </c>
      <c r="AR526" s="408">
        <v>0</v>
      </c>
      <c r="AS526" s="408">
        <v>0</v>
      </c>
      <c r="AT526" s="408">
        <v>0</v>
      </c>
      <c r="AU526" s="408">
        <v>0</v>
      </c>
      <c r="AV526" s="408">
        <v>0</v>
      </c>
      <c r="AW526" s="408">
        <v>0</v>
      </c>
      <c r="AX526" s="408">
        <v>0</v>
      </c>
      <c r="AY526" s="408">
        <v>0</v>
      </c>
      <c r="AZ526" s="408">
        <v>0</v>
      </c>
      <c r="BA526" s="408"/>
      <c r="BB526" s="408">
        <v>0</v>
      </c>
      <c r="BC526" s="408">
        <v>0</v>
      </c>
      <c r="BD526" s="408">
        <v>0</v>
      </c>
      <c r="BE526" s="408">
        <v>0</v>
      </c>
      <c r="BF526" s="408">
        <v>0</v>
      </c>
      <c r="BG526" s="408">
        <v>13905.654069589715</v>
      </c>
      <c r="BH526" s="408">
        <v>0</v>
      </c>
      <c r="BI526" s="408">
        <v>0</v>
      </c>
      <c r="BJ526" s="408">
        <v>0</v>
      </c>
      <c r="BK526" s="408">
        <v>0</v>
      </c>
      <c r="BL526" s="408">
        <v>0</v>
      </c>
      <c r="BM526" s="408"/>
      <c r="BN526" s="408"/>
      <c r="BO526" s="408"/>
      <c r="BP526" s="408"/>
      <c r="BQ526" s="408"/>
      <c r="BR526" s="408">
        <v>11343.438433600011</v>
      </c>
      <c r="BS526" s="408"/>
      <c r="BT526" s="408"/>
      <c r="BU526" s="408"/>
      <c r="BV526" s="408">
        <v>201424.05386304425</v>
      </c>
      <c r="BW526" s="408"/>
      <c r="BX526" s="408"/>
      <c r="BY526" s="408"/>
      <c r="BZ526" s="408"/>
      <c r="CA526" s="408"/>
      <c r="CB526" s="408"/>
      <c r="CC526" s="408"/>
      <c r="CD526" s="408"/>
      <c r="CE526" s="408"/>
      <c r="CF526" s="408"/>
      <c r="CG526" s="408"/>
      <c r="CH526" s="408"/>
      <c r="CI526" s="408">
        <v>272242.42239999998</v>
      </c>
      <c r="CJ526" s="408">
        <v>20401.507887999993</v>
      </c>
      <c r="CK526" s="408"/>
      <c r="CL526" s="408"/>
      <c r="CM526" s="408"/>
      <c r="CN526" s="408"/>
      <c r="CO526" s="408">
        <v>535.37603000000308</v>
      </c>
      <c r="CP526" s="408">
        <v>20716.330109999988</v>
      </c>
      <c r="CQ526" s="408">
        <v>31</v>
      </c>
      <c r="CR526" s="408">
        <v>21244.632004591811</v>
      </c>
      <c r="CS526" s="408">
        <v>0</v>
      </c>
      <c r="CT526" s="408">
        <v>0</v>
      </c>
      <c r="CU526" s="408">
        <v>0</v>
      </c>
      <c r="CV526" s="408">
        <v>0</v>
      </c>
      <c r="CW526" s="408">
        <v>0</v>
      </c>
      <c r="CX526" s="408">
        <v>0</v>
      </c>
      <c r="CY526" s="408">
        <v>0</v>
      </c>
      <c r="CZ526" s="408">
        <v>0</v>
      </c>
      <c r="DA526" s="408">
        <v>0</v>
      </c>
      <c r="DB526" s="408">
        <v>0</v>
      </c>
      <c r="DC526" s="408">
        <v>20710.054528689216</v>
      </c>
      <c r="DD526" s="408">
        <v>0</v>
      </c>
      <c r="DE526" s="408">
        <v>0</v>
      </c>
      <c r="DF526" s="408">
        <v>0</v>
      </c>
      <c r="DG526" s="408">
        <v>1535.7791787659007</v>
      </c>
      <c r="DH526" s="408">
        <v>0</v>
      </c>
      <c r="DI526" s="408">
        <v>-846.87471402550727</v>
      </c>
      <c r="DJ526" s="408"/>
      <c r="DK526" s="408">
        <v>0</v>
      </c>
      <c r="DL526" s="408">
        <v>0</v>
      </c>
      <c r="DM526" s="408">
        <v>0</v>
      </c>
      <c r="DN526" s="408">
        <v>0</v>
      </c>
      <c r="DO526" s="408">
        <v>-126.46893593055393</v>
      </c>
      <c r="DP526" s="408">
        <v>-27.858052907279898</v>
      </c>
      <c r="DQ526" s="408">
        <v>0</v>
      </c>
      <c r="DR526" s="408">
        <v>0</v>
      </c>
      <c r="DS526" s="408"/>
      <c r="DT526" s="408"/>
      <c r="DU526" s="408"/>
      <c r="DV526" s="408">
        <v>0</v>
      </c>
      <c r="DW526" s="408">
        <v>0</v>
      </c>
      <c r="DX526" s="408">
        <v>0</v>
      </c>
      <c r="DY526" s="408">
        <v>535.37602999999945</v>
      </c>
      <c r="DZ526" s="408">
        <v>20716.330109999981</v>
      </c>
      <c r="EA526" s="408">
        <v>0</v>
      </c>
      <c r="EB526" s="408">
        <v>0</v>
      </c>
      <c r="EC526" s="408">
        <v>0</v>
      </c>
      <c r="ED526" s="408">
        <v>0</v>
      </c>
      <c r="EE526" s="408">
        <v>0</v>
      </c>
      <c r="EF526" s="408">
        <v>0</v>
      </c>
      <c r="EG526" s="408">
        <v>0</v>
      </c>
      <c r="EH526" s="408">
        <v>0</v>
      </c>
      <c r="EI526" s="408">
        <v>0</v>
      </c>
      <c r="EJ526" s="408">
        <v>0</v>
      </c>
      <c r="EK526" s="408">
        <v>0</v>
      </c>
      <c r="EL526" s="408">
        <v>0</v>
      </c>
      <c r="EM526" s="408">
        <v>0</v>
      </c>
      <c r="EN526" s="408">
        <v>0</v>
      </c>
      <c r="EO526" s="408">
        <v>0</v>
      </c>
      <c r="EP526" s="408">
        <v>0</v>
      </c>
      <c r="EQ526" s="408">
        <v>0</v>
      </c>
      <c r="ER526" s="408">
        <v>0</v>
      </c>
      <c r="ES526" s="408">
        <v>0</v>
      </c>
      <c r="ET526" s="408">
        <v>0</v>
      </c>
      <c r="EU526" s="408">
        <v>0</v>
      </c>
      <c r="EV526" s="408">
        <v>238</v>
      </c>
      <c r="EW526" s="408">
        <v>0</v>
      </c>
      <c r="EX526" s="408">
        <v>0</v>
      </c>
      <c r="EY526" s="408">
        <v>0</v>
      </c>
      <c r="EZ526" s="408"/>
      <c r="FA526" s="408">
        <v>0</v>
      </c>
      <c r="FB526" s="408"/>
      <c r="FC526" s="408"/>
      <c r="FD526" s="408"/>
      <c r="FE526" s="408"/>
      <c r="FF526" s="408">
        <v>0</v>
      </c>
      <c r="FG526" s="408">
        <v>0</v>
      </c>
      <c r="FH526" s="408">
        <v>0</v>
      </c>
      <c r="FI526" s="408">
        <v>0</v>
      </c>
    </row>
    <row r="527" spans="1:165">
      <c r="A527" s="408">
        <v>531</v>
      </c>
      <c r="B527" s="408" t="s">
        <v>2238</v>
      </c>
      <c r="C527" s="408" t="s">
        <v>2243</v>
      </c>
      <c r="D527" s="408" t="s">
        <v>597</v>
      </c>
      <c r="E527" s="408" t="s">
        <v>974</v>
      </c>
      <c r="F527" s="408" t="s">
        <v>2252</v>
      </c>
      <c r="G527" s="408" t="s">
        <v>1322</v>
      </c>
      <c r="H527" s="408" t="s">
        <v>1322</v>
      </c>
      <c r="I527" s="408" t="s">
        <v>2244</v>
      </c>
      <c r="J527" s="408" t="s">
        <v>2236</v>
      </c>
      <c r="K527" s="824">
        <v>44621</v>
      </c>
      <c r="L527" s="408">
        <v>0</v>
      </c>
      <c r="M527" s="408">
        <v>0</v>
      </c>
      <c r="N527" s="408">
        <v>158.14599999999999</v>
      </c>
      <c r="O527" s="408">
        <v>151.82015999999999</v>
      </c>
      <c r="P527" s="408">
        <v>158.14599999999999</v>
      </c>
      <c r="Q527" s="408">
        <v>151.82015999999999</v>
      </c>
      <c r="R527" s="408"/>
      <c r="S527" s="408">
        <v>79.7</v>
      </c>
      <c r="T527" s="408">
        <v>209.4</v>
      </c>
      <c r="U527" s="408"/>
      <c r="V527" s="408">
        <v>45720.008600000001</v>
      </c>
      <c r="W527" s="408">
        <v>45720.008600000001</v>
      </c>
      <c r="X527" s="408">
        <v>49423.787919999995</v>
      </c>
      <c r="Y527" s="408">
        <v>0</v>
      </c>
      <c r="Z527" s="408">
        <v>8466.81730675174</v>
      </c>
      <c r="AA527" s="408">
        <v>0</v>
      </c>
      <c r="AB527" s="408">
        <v>0</v>
      </c>
      <c r="AC527" s="408">
        <v>0</v>
      </c>
      <c r="AD527" s="408">
        <v>0</v>
      </c>
      <c r="AE527" s="408">
        <v>0</v>
      </c>
      <c r="AF527" s="408">
        <v>32680.988843867439</v>
      </c>
      <c r="AG527" s="408">
        <v>435.37039722646597</v>
      </c>
      <c r="AH527" s="408">
        <v>0</v>
      </c>
      <c r="AI527" s="408">
        <v>0</v>
      </c>
      <c r="AJ527" s="408">
        <v>0</v>
      </c>
      <c r="AK527" s="408">
        <v>0</v>
      </c>
      <c r="AL527" s="408">
        <v>1503.905461769878</v>
      </c>
      <c r="AM527" s="408"/>
      <c r="AN527" s="408">
        <v>209.99326601332513</v>
      </c>
      <c r="AO527" s="408">
        <v>0</v>
      </c>
      <c r="AP527" s="408">
        <v>0</v>
      </c>
      <c r="AQ527" s="408">
        <v>0</v>
      </c>
      <c r="AR527" s="408">
        <v>0</v>
      </c>
      <c r="AS527" s="408">
        <v>0</v>
      </c>
      <c r="AT527" s="408">
        <v>0</v>
      </c>
      <c r="AU527" s="408">
        <v>0</v>
      </c>
      <c r="AV527" s="408">
        <v>0</v>
      </c>
      <c r="AW527" s="408">
        <v>0</v>
      </c>
      <c r="AX527" s="408">
        <v>0</v>
      </c>
      <c r="AY527" s="408">
        <v>0</v>
      </c>
      <c r="AZ527" s="408">
        <v>0</v>
      </c>
      <c r="BA527" s="408"/>
      <c r="BB527" s="408">
        <v>0</v>
      </c>
      <c r="BC527" s="408">
        <v>0</v>
      </c>
      <c r="BD527" s="408">
        <v>0</v>
      </c>
      <c r="BE527" s="408">
        <v>0</v>
      </c>
      <c r="BF527" s="408">
        <v>0</v>
      </c>
      <c r="BG527" s="408">
        <v>2423.4983127815931</v>
      </c>
      <c r="BH527" s="408">
        <v>0</v>
      </c>
      <c r="BI527" s="408">
        <v>0</v>
      </c>
      <c r="BJ527" s="408">
        <v>0</v>
      </c>
      <c r="BK527" s="408">
        <v>0</v>
      </c>
      <c r="BL527" s="408">
        <v>0</v>
      </c>
      <c r="BM527" s="408"/>
      <c r="BN527" s="408"/>
      <c r="BO527" s="408"/>
      <c r="BP527" s="408"/>
      <c r="BQ527" s="408"/>
      <c r="BR527" s="408">
        <v>1976.9515167999998</v>
      </c>
      <c r="BS527" s="408"/>
      <c r="BT527" s="408"/>
      <c r="BU527" s="408"/>
      <c r="BV527" s="408">
        <v>35104.487156649033</v>
      </c>
      <c r="BW527" s="408"/>
      <c r="BX527" s="408"/>
      <c r="BY527" s="408"/>
      <c r="BZ527" s="408"/>
      <c r="CA527" s="408"/>
      <c r="CB527" s="408"/>
      <c r="CC527" s="408"/>
      <c r="CD527" s="408"/>
      <c r="CE527" s="408"/>
      <c r="CF527" s="408"/>
      <c r="CG527" s="408"/>
      <c r="CH527" s="408"/>
      <c r="CI527" s="408">
        <v>47446.786399999997</v>
      </c>
      <c r="CJ527" s="408">
        <v>3555.548143999993</v>
      </c>
      <c r="CK527" s="408"/>
      <c r="CL527" s="408"/>
      <c r="CM527" s="408"/>
      <c r="CN527" s="408"/>
      <c r="CO527" s="408">
        <v>93.306140000000525</v>
      </c>
      <c r="CP527" s="408">
        <v>3610.4731799999972</v>
      </c>
      <c r="CQ527" s="408">
        <v>31</v>
      </c>
      <c r="CR527" s="408">
        <v>3702.5464290377568</v>
      </c>
      <c r="CS527" s="408">
        <v>0</v>
      </c>
      <c r="CT527" s="408">
        <v>0</v>
      </c>
      <c r="CU527" s="408">
        <v>0</v>
      </c>
      <c r="CV527" s="408">
        <v>0</v>
      </c>
      <c r="CW527" s="408">
        <v>0</v>
      </c>
      <c r="CX527" s="408">
        <v>0</v>
      </c>
      <c r="CY527" s="408">
        <v>0</v>
      </c>
      <c r="CZ527" s="408">
        <v>0</v>
      </c>
      <c r="DA527" s="408">
        <v>0</v>
      </c>
      <c r="DB527" s="408">
        <v>0</v>
      </c>
      <c r="DC527" s="408">
        <v>3609.3794622473215</v>
      </c>
      <c r="DD527" s="408">
        <v>0</v>
      </c>
      <c r="DE527" s="408">
        <v>0</v>
      </c>
      <c r="DF527" s="408">
        <v>0</v>
      </c>
      <c r="DG527" s="408">
        <v>267.65790590777124</v>
      </c>
      <c r="DH527" s="408">
        <v>0</v>
      </c>
      <c r="DI527" s="408">
        <v>-147.59459931242054</v>
      </c>
      <c r="DJ527" s="408"/>
      <c r="DK527" s="408">
        <v>0</v>
      </c>
      <c r="DL527" s="408">
        <v>0</v>
      </c>
      <c r="DM527" s="408">
        <v>0</v>
      </c>
      <c r="DN527" s="408">
        <v>0</v>
      </c>
      <c r="DO527" s="408">
        <v>-22.041196430828677</v>
      </c>
      <c r="DP527" s="408">
        <v>-4.8551433740768459</v>
      </c>
      <c r="DQ527" s="408">
        <v>0</v>
      </c>
      <c r="DR527" s="408">
        <v>0</v>
      </c>
      <c r="DS527" s="408"/>
      <c r="DT527" s="408"/>
      <c r="DU527" s="408"/>
      <c r="DV527" s="408">
        <v>0</v>
      </c>
      <c r="DW527" s="408">
        <v>0</v>
      </c>
      <c r="DX527" s="408">
        <v>0</v>
      </c>
      <c r="DY527" s="408">
        <v>93.306140000000596</v>
      </c>
      <c r="DZ527" s="408">
        <v>3610.4731799999936</v>
      </c>
      <c r="EA527" s="408">
        <v>0</v>
      </c>
      <c r="EB527" s="408">
        <v>0</v>
      </c>
      <c r="EC527" s="408">
        <v>0</v>
      </c>
      <c r="ED527" s="408">
        <v>0</v>
      </c>
      <c r="EE527" s="408">
        <v>0</v>
      </c>
      <c r="EF527" s="408">
        <v>0</v>
      </c>
      <c r="EG527" s="408">
        <v>0</v>
      </c>
      <c r="EH527" s="408">
        <v>0</v>
      </c>
      <c r="EI527" s="408">
        <v>0</v>
      </c>
      <c r="EJ527" s="408">
        <v>0</v>
      </c>
      <c r="EK527" s="408">
        <v>0</v>
      </c>
      <c r="EL527" s="408">
        <v>0</v>
      </c>
      <c r="EM527" s="408">
        <v>0</v>
      </c>
      <c r="EN527" s="408">
        <v>0</v>
      </c>
      <c r="EO527" s="408">
        <v>0</v>
      </c>
      <c r="EP527" s="408">
        <v>0</v>
      </c>
      <c r="EQ527" s="408">
        <v>0</v>
      </c>
      <c r="ER527" s="408">
        <v>0</v>
      </c>
      <c r="ES527" s="408">
        <v>0</v>
      </c>
      <c r="ET527" s="408">
        <v>0</v>
      </c>
      <c r="EU527" s="408">
        <v>0</v>
      </c>
      <c r="EV527" s="408">
        <v>238</v>
      </c>
      <c r="EW527" s="408">
        <v>0</v>
      </c>
      <c r="EX527" s="408">
        <v>0</v>
      </c>
      <c r="EY527" s="408">
        <v>0</v>
      </c>
      <c r="EZ527" s="408"/>
      <c r="FA527" s="408">
        <v>0</v>
      </c>
      <c r="FB527" s="408"/>
      <c r="FC527" s="408"/>
      <c r="FD527" s="408"/>
      <c r="FE527" s="408"/>
      <c r="FF527" s="408">
        <v>0</v>
      </c>
      <c r="FG527" s="408">
        <v>0</v>
      </c>
      <c r="FH527" s="408">
        <v>0</v>
      </c>
      <c r="FI527" s="408">
        <v>0</v>
      </c>
    </row>
    <row r="528" spans="1:165">
      <c r="A528" s="408">
        <v>532</v>
      </c>
      <c r="B528" s="408" t="s">
        <v>1036</v>
      </c>
      <c r="C528" s="408" t="s">
        <v>2243</v>
      </c>
      <c r="D528" s="408" t="s">
        <v>597</v>
      </c>
      <c r="E528" s="408" t="s">
        <v>974</v>
      </c>
      <c r="F528" s="408" t="s">
        <v>2252</v>
      </c>
      <c r="G528" s="408" t="s">
        <v>1322</v>
      </c>
      <c r="H528" s="408" t="s">
        <v>1322</v>
      </c>
      <c r="I528" s="408" t="s">
        <v>1322</v>
      </c>
      <c r="J528" s="408" t="s">
        <v>2236</v>
      </c>
      <c r="K528" s="824">
        <v>44621</v>
      </c>
      <c r="L528" s="408">
        <v>25178</v>
      </c>
      <c r="M528" s="408">
        <v>24170.880000000001</v>
      </c>
      <c r="N528" s="408">
        <v>0</v>
      </c>
      <c r="O528" s="408">
        <v>0</v>
      </c>
      <c r="P528" s="408">
        <v>0</v>
      </c>
      <c r="Q528" s="408">
        <v>0</v>
      </c>
      <c r="R528" s="408">
        <v>44.35</v>
      </c>
      <c r="S528" s="408"/>
      <c r="T528" s="408"/>
      <c r="U528" s="408">
        <v>1116644.3</v>
      </c>
      <c r="V528" s="408"/>
      <c r="W528" s="408">
        <v>1116644.3</v>
      </c>
      <c r="X528" s="408">
        <v>729406.65999999992</v>
      </c>
      <c r="Y528" s="408">
        <v>0</v>
      </c>
      <c r="Z528" s="408">
        <v>0</v>
      </c>
      <c r="AA528" s="408">
        <v>0</v>
      </c>
      <c r="AB528" s="408">
        <v>0</v>
      </c>
      <c r="AC528" s="408">
        <v>0</v>
      </c>
      <c r="AD528" s="408">
        <v>330387.31953861169</v>
      </c>
      <c r="AE528" s="408">
        <v>723057.93378251279</v>
      </c>
      <c r="AF528" s="408"/>
      <c r="AG528" s="408"/>
      <c r="AH528" s="408"/>
      <c r="AI528" s="408">
        <v>0</v>
      </c>
      <c r="AJ528" s="408">
        <v>0</v>
      </c>
      <c r="AK528" s="408">
        <v>0</v>
      </c>
      <c r="AL528" s="408">
        <v>0</v>
      </c>
      <c r="AM528" s="408"/>
      <c r="AN528" s="408">
        <v>0</v>
      </c>
      <c r="AO528" s="408">
        <v>24969.543574639825</v>
      </c>
      <c r="AP528" s="408">
        <v>38202.362703230399</v>
      </c>
      <c r="AQ528" s="408">
        <v>0</v>
      </c>
      <c r="AR528" s="408">
        <v>0</v>
      </c>
      <c r="AS528" s="408"/>
      <c r="AT528" s="408"/>
      <c r="AU528" s="408">
        <v>0</v>
      </c>
      <c r="AV528" s="408">
        <v>0</v>
      </c>
      <c r="AW528" s="408">
        <v>0</v>
      </c>
      <c r="AX528" s="408"/>
      <c r="AY528" s="408"/>
      <c r="AZ528" s="408">
        <v>0</v>
      </c>
      <c r="BA528" s="408"/>
      <c r="BB528" s="408">
        <v>0</v>
      </c>
      <c r="BC528" s="408">
        <v>0</v>
      </c>
      <c r="BD528" s="408">
        <v>0</v>
      </c>
      <c r="BE528" s="408">
        <v>0</v>
      </c>
      <c r="BF528" s="408"/>
      <c r="BG528" s="408">
        <v>0</v>
      </c>
      <c r="BH528" s="408">
        <v>0</v>
      </c>
      <c r="BI528" s="408">
        <v>2666.16</v>
      </c>
      <c r="BJ528" s="408">
        <v>1231.94</v>
      </c>
      <c r="BK528" s="408">
        <v>1043.3</v>
      </c>
      <c r="BL528" s="408">
        <v>127</v>
      </c>
      <c r="BM528" s="408"/>
      <c r="BN528" s="408"/>
      <c r="BO528" s="408"/>
      <c r="BP528" s="408"/>
      <c r="BQ528" s="408"/>
      <c r="BR528" s="408">
        <v>29176.266399999968</v>
      </c>
      <c r="BS528" s="408"/>
      <c r="BT528" s="408"/>
      <c r="BU528" s="408"/>
      <c r="BV528" s="408">
        <v>0</v>
      </c>
      <c r="BW528" s="408"/>
      <c r="BX528" s="408"/>
      <c r="BY528" s="408"/>
      <c r="BZ528" s="408"/>
      <c r="CA528" s="408"/>
      <c r="CB528" s="408"/>
      <c r="CC528" s="408"/>
      <c r="CD528" s="408"/>
      <c r="CE528" s="408"/>
      <c r="CF528" s="408"/>
      <c r="CG528" s="408"/>
      <c r="CH528" s="408"/>
      <c r="CI528" s="408">
        <v>700230.39359999995</v>
      </c>
      <c r="CJ528" s="408">
        <v>-371748.16440000024</v>
      </c>
      <c r="CK528" s="408"/>
      <c r="CL528" s="408"/>
      <c r="CM528" s="408"/>
      <c r="CN528" s="408"/>
      <c r="CO528" s="408">
        <v>-387237.64000000007</v>
      </c>
      <c r="CP528" s="408">
        <v>0</v>
      </c>
      <c r="CQ528" s="408">
        <v>31</v>
      </c>
      <c r="CR528" s="408">
        <v>18457.774238512444</v>
      </c>
      <c r="CS528" s="408">
        <v>3014.623696447663</v>
      </c>
      <c r="CT528" s="408">
        <v>4612.2488190939694</v>
      </c>
      <c r="CU528" s="408">
        <v>0</v>
      </c>
      <c r="CV528" s="408">
        <v>0</v>
      </c>
      <c r="CW528" s="408"/>
      <c r="CX528" s="408"/>
      <c r="CY528" s="408"/>
      <c r="CZ528" s="408">
        <v>10830.901722970826</v>
      </c>
      <c r="DA528" s="408">
        <v>0</v>
      </c>
      <c r="DB528" s="408">
        <v>0</v>
      </c>
      <c r="DC528" s="408"/>
      <c r="DD528" s="408"/>
      <c r="DE528" s="408">
        <v>0</v>
      </c>
      <c r="DF528" s="408">
        <v>0</v>
      </c>
      <c r="DG528" s="408">
        <v>0</v>
      </c>
      <c r="DH528" s="408">
        <v>0</v>
      </c>
      <c r="DI528" s="408">
        <v>0</v>
      </c>
      <c r="DJ528" s="408"/>
      <c r="DK528" s="408">
        <v>0</v>
      </c>
      <c r="DL528" s="408">
        <v>0</v>
      </c>
      <c r="DM528" s="408"/>
      <c r="DN528" s="408">
        <v>0</v>
      </c>
      <c r="DO528" s="408">
        <v>0</v>
      </c>
      <c r="DP528" s="408">
        <v>0</v>
      </c>
      <c r="DQ528" s="408">
        <v>0</v>
      </c>
      <c r="DR528" s="408">
        <v>0</v>
      </c>
      <c r="DS528" s="408"/>
      <c r="DT528" s="408"/>
      <c r="DU528" s="408">
        <v>723057.93378251279</v>
      </c>
      <c r="DV528" s="408"/>
      <c r="DW528" s="408">
        <v>0</v>
      </c>
      <c r="DX528" s="408">
        <v>0</v>
      </c>
      <c r="DY528" s="408">
        <v>-387237.64000000013</v>
      </c>
      <c r="DZ528" s="408"/>
      <c r="EA528" s="408">
        <v>0</v>
      </c>
      <c r="EB528" s="408"/>
      <c r="EC528" s="408">
        <v>-405628.05277343426</v>
      </c>
      <c r="ED528" s="408"/>
      <c r="EE528" s="408">
        <v>0</v>
      </c>
      <c r="EF528" s="408">
        <v>0</v>
      </c>
      <c r="EG528" s="408"/>
      <c r="EH528" s="408">
        <v>0</v>
      </c>
      <c r="EI528" s="408">
        <v>0</v>
      </c>
      <c r="EJ528" s="408">
        <v>0</v>
      </c>
      <c r="EK528" s="408">
        <v>0</v>
      </c>
      <c r="EL528" s="408">
        <v>0</v>
      </c>
      <c r="EM528" s="408"/>
      <c r="EN528" s="408"/>
      <c r="EO528" s="408">
        <v>0</v>
      </c>
      <c r="EP528" s="408">
        <v>0</v>
      </c>
      <c r="EQ528" s="408"/>
      <c r="ER528" s="408">
        <v>0</v>
      </c>
      <c r="ES528" s="408"/>
      <c r="ET528" s="408">
        <v>0</v>
      </c>
      <c r="EU528" s="408"/>
      <c r="EV528" s="408">
        <v>238</v>
      </c>
      <c r="EW528" s="408"/>
      <c r="EX528" s="408"/>
      <c r="EY528" s="408"/>
      <c r="EZ528" s="408"/>
      <c r="FA528" s="408">
        <v>0</v>
      </c>
      <c r="FB528" s="408"/>
      <c r="FC528" s="408"/>
      <c r="FD528" s="408"/>
      <c r="FE528" s="408"/>
      <c r="FF528" s="408">
        <v>0</v>
      </c>
      <c r="FG528" s="408">
        <v>0</v>
      </c>
      <c r="FH528" s="408">
        <v>0</v>
      </c>
      <c r="FI528" s="408">
        <v>0</v>
      </c>
    </row>
    <row r="529" spans="1:165">
      <c r="A529" s="408">
        <v>533</v>
      </c>
      <c r="B529" s="408" t="s">
        <v>2238</v>
      </c>
      <c r="C529" s="408" t="s">
        <v>2243</v>
      </c>
      <c r="D529" s="408" t="s">
        <v>597</v>
      </c>
      <c r="E529" s="408" t="s">
        <v>974</v>
      </c>
      <c r="F529" s="408" t="s">
        <v>2252</v>
      </c>
      <c r="G529" s="408" t="s">
        <v>1322</v>
      </c>
      <c r="H529" s="408" t="s">
        <v>1322</v>
      </c>
      <c r="I529" s="408" t="s">
        <v>1322</v>
      </c>
      <c r="J529" s="408" t="s">
        <v>2236</v>
      </c>
      <c r="K529" s="824">
        <v>44621</v>
      </c>
      <c r="L529" s="408">
        <v>3755</v>
      </c>
      <c r="M529" s="408">
        <v>3604.8</v>
      </c>
      <c r="N529" s="408">
        <v>0</v>
      </c>
      <c r="O529" s="408">
        <v>0</v>
      </c>
      <c r="P529" s="408">
        <v>0</v>
      </c>
      <c r="Q529" s="408">
        <v>0</v>
      </c>
      <c r="R529" s="408">
        <v>44.35</v>
      </c>
      <c r="S529" s="408"/>
      <c r="T529" s="408"/>
      <c r="U529" s="408">
        <v>166534.25</v>
      </c>
      <c r="V529" s="408"/>
      <c r="W529" s="408">
        <v>166534.25</v>
      </c>
      <c r="X529" s="408">
        <v>108782.34999999999</v>
      </c>
      <c r="Y529" s="408">
        <v>0</v>
      </c>
      <c r="Z529" s="408">
        <v>0</v>
      </c>
      <c r="AA529" s="408">
        <v>0</v>
      </c>
      <c r="AB529" s="408">
        <v>0</v>
      </c>
      <c r="AC529" s="408">
        <v>0</v>
      </c>
      <c r="AD529" s="408">
        <v>49273.349148760302</v>
      </c>
      <c r="AE529" s="408">
        <v>107835.51280297623</v>
      </c>
      <c r="AF529" s="408"/>
      <c r="AG529" s="408"/>
      <c r="AH529" s="408"/>
      <c r="AI529" s="408">
        <v>0</v>
      </c>
      <c r="AJ529" s="408">
        <v>0</v>
      </c>
      <c r="AK529" s="408">
        <v>0</v>
      </c>
      <c r="AL529" s="408">
        <v>0</v>
      </c>
      <c r="AM529" s="408"/>
      <c r="AN529" s="408">
        <v>0</v>
      </c>
      <c r="AO529" s="408">
        <v>3723.9111971869311</v>
      </c>
      <c r="AP529" s="408">
        <v>5697.4291822476034</v>
      </c>
      <c r="AQ529" s="408">
        <v>0</v>
      </c>
      <c r="AR529" s="408">
        <v>0</v>
      </c>
      <c r="AS529" s="408"/>
      <c r="AT529" s="408"/>
      <c r="AU529" s="408">
        <v>0</v>
      </c>
      <c r="AV529" s="408">
        <v>0</v>
      </c>
      <c r="AW529" s="408">
        <v>0</v>
      </c>
      <c r="AX529" s="408"/>
      <c r="AY529" s="408"/>
      <c r="AZ529" s="408">
        <v>0</v>
      </c>
      <c r="BA529" s="408"/>
      <c r="BB529" s="408">
        <v>0</v>
      </c>
      <c r="BC529" s="408">
        <v>0</v>
      </c>
      <c r="BD529" s="408">
        <v>0</v>
      </c>
      <c r="BE529" s="408">
        <v>0</v>
      </c>
      <c r="BF529" s="408"/>
      <c r="BG529" s="408">
        <v>0</v>
      </c>
      <c r="BH529" s="408">
        <v>0</v>
      </c>
      <c r="BI529" s="408">
        <v>315.27</v>
      </c>
      <c r="BJ529" s="408">
        <v>145.68</v>
      </c>
      <c r="BK529" s="408">
        <v>1596.57</v>
      </c>
      <c r="BL529" s="408">
        <v>18</v>
      </c>
      <c r="BM529" s="408"/>
      <c r="BN529" s="408"/>
      <c r="BO529" s="408"/>
      <c r="BP529" s="408"/>
      <c r="BQ529" s="408"/>
      <c r="BR529" s="408">
        <v>4351.2939999999944</v>
      </c>
      <c r="BS529" s="408"/>
      <c r="BT529" s="408"/>
      <c r="BU529" s="408"/>
      <c r="BV529" s="408">
        <v>0</v>
      </c>
      <c r="BW529" s="408"/>
      <c r="BX529" s="408"/>
      <c r="BY529" s="408"/>
      <c r="BZ529" s="408"/>
      <c r="CA529" s="408"/>
      <c r="CB529" s="408"/>
      <c r="CC529" s="408"/>
      <c r="CD529" s="408"/>
      <c r="CE529" s="408"/>
      <c r="CF529" s="408"/>
      <c r="CG529" s="408"/>
      <c r="CH529" s="408"/>
      <c r="CI529" s="408">
        <v>104431.056</v>
      </c>
      <c r="CJ529" s="408">
        <v>-55441.854000000036</v>
      </c>
      <c r="CK529" s="408"/>
      <c r="CL529" s="408"/>
      <c r="CM529" s="408"/>
      <c r="CN529" s="408"/>
      <c r="CO529" s="408">
        <v>-57751.900000000009</v>
      </c>
      <c r="CP529" s="408">
        <v>0</v>
      </c>
      <c r="CQ529" s="408">
        <v>31</v>
      </c>
      <c r="CR529" s="408">
        <v>2752.7580532851862</v>
      </c>
      <c r="CS529" s="408">
        <v>449.59536024151885</v>
      </c>
      <c r="CT529" s="408">
        <v>687.86219380800048</v>
      </c>
      <c r="CU529" s="408">
        <v>0</v>
      </c>
      <c r="CV529" s="408">
        <v>0</v>
      </c>
      <c r="CW529" s="408"/>
      <c r="CX529" s="408"/>
      <c r="CY529" s="408"/>
      <c r="CZ529" s="408">
        <v>1615.3004992356582</v>
      </c>
      <c r="DA529" s="408">
        <v>0</v>
      </c>
      <c r="DB529" s="408">
        <v>0</v>
      </c>
      <c r="DC529" s="408"/>
      <c r="DD529" s="408"/>
      <c r="DE529" s="408">
        <v>0</v>
      </c>
      <c r="DF529" s="408">
        <v>0</v>
      </c>
      <c r="DG529" s="408">
        <v>0</v>
      </c>
      <c r="DH529" s="408">
        <v>0</v>
      </c>
      <c r="DI529" s="408">
        <v>0</v>
      </c>
      <c r="DJ529" s="408"/>
      <c r="DK529" s="408">
        <v>0</v>
      </c>
      <c r="DL529" s="408">
        <v>0</v>
      </c>
      <c r="DM529" s="408"/>
      <c r="DN529" s="408">
        <v>0</v>
      </c>
      <c r="DO529" s="408">
        <v>0</v>
      </c>
      <c r="DP529" s="408">
        <v>0</v>
      </c>
      <c r="DQ529" s="408">
        <v>0</v>
      </c>
      <c r="DR529" s="408">
        <v>0</v>
      </c>
      <c r="DS529" s="408"/>
      <c r="DT529" s="408"/>
      <c r="DU529" s="408">
        <v>107835.51280297623</v>
      </c>
      <c r="DV529" s="408"/>
      <c r="DW529" s="408">
        <v>0</v>
      </c>
      <c r="DX529" s="408">
        <v>0</v>
      </c>
      <c r="DY529" s="408">
        <v>-57751.900000000009</v>
      </c>
      <c r="DZ529" s="408"/>
      <c r="EA529" s="408">
        <v>0</v>
      </c>
      <c r="EB529" s="408"/>
      <c r="EC529" s="408">
        <v>-60494.611889913635</v>
      </c>
      <c r="ED529" s="408"/>
      <c r="EE529" s="408">
        <v>0</v>
      </c>
      <c r="EF529" s="408">
        <v>0</v>
      </c>
      <c r="EG529" s="408"/>
      <c r="EH529" s="408">
        <v>0</v>
      </c>
      <c r="EI529" s="408">
        <v>0</v>
      </c>
      <c r="EJ529" s="408">
        <v>0</v>
      </c>
      <c r="EK529" s="408">
        <v>0</v>
      </c>
      <c r="EL529" s="408">
        <v>0</v>
      </c>
      <c r="EM529" s="408"/>
      <c r="EN529" s="408"/>
      <c r="EO529" s="408">
        <v>0</v>
      </c>
      <c r="EP529" s="408">
        <v>0</v>
      </c>
      <c r="EQ529" s="408"/>
      <c r="ER529" s="408">
        <v>0</v>
      </c>
      <c r="ES529" s="408"/>
      <c r="ET529" s="408">
        <v>0</v>
      </c>
      <c r="EU529" s="408"/>
      <c r="EV529" s="408">
        <v>238</v>
      </c>
      <c r="EW529" s="408"/>
      <c r="EX529" s="408"/>
      <c r="EY529" s="408"/>
      <c r="EZ529" s="408"/>
      <c r="FA529" s="408">
        <v>0</v>
      </c>
      <c r="FB529" s="408"/>
      <c r="FC529" s="408"/>
      <c r="FD529" s="408"/>
      <c r="FE529" s="408"/>
      <c r="FF529" s="408">
        <v>0</v>
      </c>
      <c r="FG529" s="408">
        <v>0</v>
      </c>
      <c r="FH529" s="408">
        <v>0</v>
      </c>
      <c r="FI529" s="408">
        <v>0</v>
      </c>
    </row>
    <row r="530" spans="1:165">
      <c r="A530" s="408">
        <v>534</v>
      </c>
      <c r="B530" s="408" t="s">
        <v>2238</v>
      </c>
      <c r="C530" s="408" t="s">
        <v>2243</v>
      </c>
      <c r="D530" s="408" t="s">
        <v>597</v>
      </c>
      <c r="E530" s="408" t="s">
        <v>974</v>
      </c>
      <c r="F530" s="408" t="s">
        <v>2252</v>
      </c>
      <c r="G530" s="408" t="s">
        <v>2253</v>
      </c>
      <c r="H530" s="408" t="s">
        <v>1322</v>
      </c>
      <c r="I530" s="408" t="s">
        <v>1322</v>
      </c>
      <c r="J530" s="408" t="s">
        <v>2236</v>
      </c>
      <c r="K530" s="824">
        <v>44621</v>
      </c>
      <c r="L530" s="408">
        <v>0</v>
      </c>
      <c r="M530" s="408">
        <v>0</v>
      </c>
      <c r="N530" s="408">
        <v>0</v>
      </c>
      <c r="O530" s="408">
        <v>0</v>
      </c>
      <c r="P530" s="408">
        <v>0</v>
      </c>
      <c r="Q530" s="408">
        <v>0</v>
      </c>
      <c r="R530" s="408"/>
      <c r="S530" s="408"/>
      <c r="T530" s="408"/>
      <c r="U530" s="408"/>
      <c r="V530" s="408"/>
      <c r="W530" s="408"/>
      <c r="X530" s="408"/>
      <c r="Y530" s="408"/>
      <c r="Z530" s="408"/>
      <c r="AA530" s="408">
        <v>0</v>
      </c>
      <c r="AB530" s="408"/>
      <c r="AC530" s="408"/>
      <c r="AD530" s="408"/>
      <c r="AE530" s="408"/>
      <c r="AF530" s="408"/>
      <c r="AG530" s="408"/>
      <c r="AH530" s="408"/>
      <c r="AI530" s="408"/>
      <c r="AJ530" s="408"/>
      <c r="AK530" s="408"/>
      <c r="AL530" s="408"/>
      <c r="AM530" s="408"/>
      <c r="AN530" s="408"/>
      <c r="AO530" s="408"/>
      <c r="AP530" s="408"/>
      <c r="AQ530" s="408"/>
      <c r="AR530" s="408"/>
      <c r="AS530" s="408"/>
      <c r="AT530" s="408"/>
      <c r="AU530" s="408"/>
      <c r="AV530" s="408"/>
      <c r="AW530" s="408"/>
      <c r="AX530" s="408"/>
      <c r="AY530" s="408"/>
      <c r="AZ530" s="408">
        <v>0</v>
      </c>
      <c r="BA530" s="408"/>
      <c r="BB530" s="408"/>
      <c r="BC530" s="408"/>
      <c r="BD530" s="408"/>
      <c r="BE530" s="408"/>
      <c r="BF530" s="408"/>
      <c r="BG530" s="408"/>
      <c r="BH530" s="408"/>
      <c r="BI530" s="408">
        <v>-1.1299999999999999</v>
      </c>
      <c r="BJ530" s="408">
        <v>-5.19</v>
      </c>
      <c r="BK530" s="408">
        <v>0</v>
      </c>
      <c r="BL530" s="408">
        <v>2</v>
      </c>
      <c r="BM530" s="408"/>
      <c r="BN530" s="408"/>
      <c r="BO530" s="408"/>
      <c r="BP530" s="408"/>
      <c r="BQ530" s="408"/>
      <c r="BR530" s="408"/>
      <c r="BS530" s="408"/>
      <c r="BT530" s="408"/>
      <c r="BU530" s="408"/>
      <c r="BV530" s="408"/>
      <c r="BW530" s="408"/>
      <c r="BX530" s="408"/>
      <c r="BY530" s="408"/>
      <c r="BZ530" s="408"/>
      <c r="CA530" s="408"/>
      <c r="CB530" s="408"/>
      <c r="CC530" s="408"/>
      <c r="CD530" s="408"/>
      <c r="CE530" s="408"/>
      <c r="CF530" s="408"/>
      <c r="CG530" s="408"/>
      <c r="CH530" s="408"/>
      <c r="CI530" s="408"/>
      <c r="CJ530" s="408">
        <v>-0.03</v>
      </c>
      <c r="CK530" s="408"/>
      <c r="CL530" s="408"/>
      <c r="CM530" s="408"/>
      <c r="CN530" s="408"/>
      <c r="CO530" s="408">
        <v>0</v>
      </c>
      <c r="CP530" s="408">
        <v>0</v>
      </c>
      <c r="CQ530" s="408">
        <v>31</v>
      </c>
      <c r="CR530" s="408"/>
      <c r="CS530" s="408"/>
      <c r="CT530" s="408"/>
      <c r="CU530" s="408"/>
      <c r="CV530" s="408"/>
      <c r="CW530" s="408"/>
      <c r="CX530" s="408"/>
      <c r="CY530" s="408"/>
      <c r="CZ530" s="408"/>
      <c r="DA530" s="408"/>
      <c r="DB530" s="408"/>
      <c r="DC530" s="408"/>
      <c r="DD530" s="408"/>
      <c r="DE530" s="408"/>
      <c r="DF530" s="408"/>
      <c r="DG530" s="408"/>
      <c r="DH530" s="408"/>
      <c r="DI530" s="408"/>
      <c r="DJ530" s="408"/>
      <c r="DK530" s="408">
        <v>0</v>
      </c>
      <c r="DL530" s="408"/>
      <c r="DM530" s="408"/>
      <c r="DN530" s="408"/>
      <c r="DO530" s="408"/>
      <c r="DP530" s="408"/>
      <c r="DQ530" s="408"/>
      <c r="DR530" s="408"/>
      <c r="DS530" s="408"/>
      <c r="DT530" s="408"/>
      <c r="DU530" s="408"/>
      <c r="DV530" s="408"/>
      <c r="DW530" s="408"/>
      <c r="DX530" s="408"/>
      <c r="DY530" s="408"/>
      <c r="DZ530" s="408"/>
      <c r="EA530" s="408"/>
      <c r="EB530" s="408"/>
      <c r="EC530" s="408"/>
      <c r="ED530" s="408"/>
      <c r="EE530" s="408"/>
      <c r="EF530" s="408"/>
      <c r="EG530" s="408"/>
      <c r="EH530" s="408"/>
      <c r="EI530" s="408"/>
      <c r="EJ530" s="408"/>
      <c r="EK530" s="408"/>
      <c r="EL530" s="408"/>
      <c r="EM530" s="408"/>
      <c r="EN530" s="408"/>
      <c r="EO530" s="408"/>
      <c r="EP530" s="408"/>
      <c r="EQ530" s="408"/>
      <c r="ER530" s="408"/>
      <c r="ES530" s="408"/>
      <c r="ET530" s="408"/>
      <c r="EU530" s="408"/>
      <c r="EV530" s="408">
        <v>238</v>
      </c>
      <c r="EW530" s="408"/>
      <c r="EX530" s="408"/>
      <c r="EY530" s="408"/>
      <c r="EZ530" s="408"/>
      <c r="FA530" s="408">
        <v>0</v>
      </c>
      <c r="FB530" s="408"/>
      <c r="FC530" s="408"/>
      <c r="FD530" s="408"/>
      <c r="FE530" s="408"/>
      <c r="FF530" s="408">
        <v>0</v>
      </c>
      <c r="FG530" s="408">
        <v>0</v>
      </c>
      <c r="FH530" s="408">
        <v>0</v>
      </c>
      <c r="FI530" s="408">
        <v>0</v>
      </c>
    </row>
    <row r="531" spans="1:165">
      <c r="A531" s="408">
        <v>535</v>
      </c>
      <c r="B531" s="408" t="s">
        <v>1036</v>
      </c>
      <c r="C531" s="408" t="s">
        <v>2243</v>
      </c>
      <c r="D531" s="408" t="s">
        <v>597</v>
      </c>
      <c r="E531" s="408" t="s">
        <v>974</v>
      </c>
      <c r="F531" s="408" t="s">
        <v>2252</v>
      </c>
      <c r="G531" s="408" t="s">
        <v>2254</v>
      </c>
      <c r="H531" s="408" t="s">
        <v>1322</v>
      </c>
      <c r="I531" s="408" t="s">
        <v>2244</v>
      </c>
      <c r="J531" s="408" t="s">
        <v>2236</v>
      </c>
      <c r="K531" s="824">
        <v>44621</v>
      </c>
      <c r="L531" s="408">
        <v>0</v>
      </c>
      <c r="M531" s="408">
        <v>0</v>
      </c>
      <c r="N531" s="408">
        <v>944.27800000000002</v>
      </c>
      <c r="O531" s="408">
        <v>283.28339999999997</v>
      </c>
      <c r="P531" s="408">
        <v>944.27800000000002</v>
      </c>
      <c r="Q531" s="408">
        <v>283.28339999999997</v>
      </c>
      <c r="R531" s="408"/>
      <c r="S531" s="408">
        <v>79.7</v>
      </c>
      <c r="T531" s="408">
        <v>209.4</v>
      </c>
      <c r="U531" s="408"/>
      <c r="V531" s="408">
        <v>272990.76980000001</v>
      </c>
      <c r="W531" s="408">
        <v>272990.76980000001</v>
      </c>
      <c r="X531" s="408">
        <v>295105.76056000002</v>
      </c>
      <c r="Y531" s="408">
        <v>0</v>
      </c>
      <c r="Z531" s="408">
        <v>50554.736210747797</v>
      </c>
      <c r="AA531" s="408">
        <v>0</v>
      </c>
      <c r="AB531" s="408">
        <v>0</v>
      </c>
      <c r="AC531" s="408">
        <v>0</v>
      </c>
      <c r="AD531" s="408">
        <v>0</v>
      </c>
      <c r="AE531" s="408">
        <v>0</v>
      </c>
      <c r="AF531" s="408">
        <v>195135.7529340575</v>
      </c>
      <c r="AG531" s="408">
        <v>2599.5642504534599</v>
      </c>
      <c r="AH531" s="408">
        <v>0</v>
      </c>
      <c r="AI531" s="408">
        <v>0</v>
      </c>
      <c r="AJ531" s="408">
        <v>0</v>
      </c>
      <c r="AK531" s="408">
        <v>0</v>
      </c>
      <c r="AL531" s="408">
        <v>8979.7076222549858</v>
      </c>
      <c r="AM531" s="408"/>
      <c r="AN531" s="408">
        <v>1253.8541679494306</v>
      </c>
      <c r="AO531" s="408">
        <v>0</v>
      </c>
      <c r="AP531" s="408">
        <v>0</v>
      </c>
      <c r="AQ531" s="408">
        <v>0</v>
      </c>
      <c r="AR531" s="408">
        <v>0</v>
      </c>
      <c r="AS531" s="408">
        <v>0</v>
      </c>
      <c r="AT531" s="408">
        <v>0</v>
      </c>
      <c r="AU531" s="408">
        <v>0</v>
      </c>
      <c r="AV531" s="408">
        <v>0</v>
      </c>
      <c r="AW531" s="408">
        <v>0</v>
      </c>
      <c r="AX531" s="408">
        <v>0</v>
      </c>
      <c r="AY531" s="408">
        <v>0</v>
      </c>
      <c r="AZ531" s="408">
        <v>0</v>
      </c>
      <c r="BA531" s="408"/>
      <c r="BB531" s="408">
        <v>0</v>
      </c>
      <c r="BC531" s="408">
        <v>0</v>
      </c>
      <c r="BD531" s="408">
        <v>0</v>
      </c>
      <c r="BE531" s="408">
        <v>0</v>
      </c>
      <c r="BF531" s="408">
        <v>0</v>
      </c>
      <c r="BG531" s="408">
        <v>14470.528118300666</v>
      </c>
      <c r="BH531" s="408">
        <v>0</v>
      </c>
      <c r="BI531" s="408">
        <v>0</v>
      </c>
      <c r="BJ531" s="408">
        <v>0</v>
      </c>
      <c r="BK531" s="408">
        <v>0</v>
      </c>
      <c r="BL531" s="408">
        <v>0</v>
      </c>
      <c r="BM531" s="408"/>
      <c r="BN531" s="408"/>
      <c r="BO531" s="408"/>
      <c r="BP531" s="408"/>
      <c r="BQ531" s="408"/>
      <c r="BR531" s="408"/>
      <c r="BS531" s="408">
        <v>206574.03239199999</v>
      </c>
      <c r="BT531" s="408"/>
      <c r="BU531" s="408"/>
      <c r="BV531" s="408">
        <v>209606.28105235816</v>
      </c>
      <c r="BW531" s="408"/>
      <c r="BX531" s="408"/>
      <c r="BY531" s="408"/>
      <c r="BZ531" s="408"/>
      <c r="CA531" s="408"/>
      <c r="CB531" s="408"/>
      <c r="CC531" s="408"/>
      <c r="CD531" s="408"/>
      <c r="CE531" s="408"/>
      <c r="CF531" s="408"/>
      <c r="CG531" s="408"/>
      <c r="CH531" s="408"/>
      <c r="CI531" s="408">
        <v>88530.665599999993</v>
      </c>
      <c r="CJ531" s="408">
        <v>6633.4046600000001</v>
      </c>
      <c r="CK531" s="408"/>
      <c r="CL531" s="408"/>
      <c r="CM531" s="408"/>
      <c r="CN531" s="408"/>
      <c r="CO531" s="408">
        <v>557.12402000000327</v>
      </c>
      <c r="CP531" s="408">
        <v>21557.866739999987</v>
      </c>
      <c r="CQ531" s="408">
        <v>31</v>
      </c>
      <c r="CR531" s="408">
        <v>22107.629259791167</v>
      </c>
      <c r="CS531" s="408">
        <v>0</v>
      </c>
      <c r="CT531" s="408">
        <v>0</v>
      </c>
      <c r="CU531" s="408">
        <v>0</v>
      </c>
      <c r="CV531" s="408">
        <v>0</v>
      </c>
      <c r="CW531" s="408">
        <v>0</v>
      </c>
      <c r="CX531" s="408">
        <v>0</v>
      </c>
      <c r="CY531" s="408">
        <v>0</v>
      </c>
      <c r="CZ531" s="408">
        <v>0</v>
      </c>
      <c r="DA531" s="408">
        <v>0</v>
      </c>
      <c r="DB531" s="408">
        <v>0</v>
      </c>
      <c r="DC531" s="408">
        <v>21551.336232670961</v>
      </c>
      <c r="DD531" s="408">
        <v>0</v>
      </c>
      <c r="DE531" s="408">
        <v>0</v>
      </c>
      <c r="DF531" s="408">
        <v>0</v>
      </c>
      <c r="DG531" s="408">
        <v>1598.1654425327142</v>
      </c>
      <c r="DH531" s="408">
        <v>0</v>
      </c>
      <c r="DI531" s="408">
        <v>-881.27637151451199</v>
      </c>
      <c r="DJ531" s="408"/>
      <c r="DK531" s="408">
        <v>0</v>
      </c>
      <c r="DL531" s="408">
        <v>0</v>
      </c>
      <c r="DM531" s="408">
        <v>0</v>
      </c>
      <c r="DN531" s="408">
        <v>0</v>
      </c>
      <c r="DO531" s="408">
        <v>-131.60634403215954</v>
      </c>
      <c r="DP531" s="408">
        <v>-28.989699865861439</v>
      </c>
      <c r="DQ531" s="408">
        <v>0</v>
      </c>
      <c r="DR531" s="408">
        <v>0</v>
      </c>
      <c r="DS531" s="408"/>
      <c r="DT531" s="408"/>
      <c r="DU531" s="408"/>
      <c r="DV531" s="408">
        <v>0</v>
      </c>
      <c r="DW531" s="408">
        <v>0</v>
      </c>
      <c r="DX531" s="408">
        <v>0</v>
      </c>
      <c r="DY531" s="408">
        <v>557.12402000000293</v>
      </c>
      <c r="DZ531" s="408">
        <v>21557.866739999998</v>
      </c>
      <c r="EA531" s="408">
        <v>0</v>
      </c>
      <c r="EB531" s="408">
        <v>0</v>
      </c>
      <c r="EC531" s="408">
        <v>0</v>
      </c>
      <c r="ED531" s="408">
        <v>0</v>
      </c>
      <c r="EE531" s="408">
        <v>0</v>
      </c>
      <c r="EF531" s="408">
        <v>0</v>
      </c>
      <c r="EG531" s="408">
        <v>0</v>
      </c>
      <c r="EH531" s="408">
        <v>0</v>
      </c>
      <c r="EI531" s="408">
        <v>0</v>
      </c>
      <c r="EJ531" s="408">
        <v>0</v>
      </c>
      <c r="EK531" s="408">
        <v>0</v>
      </c>
      <c r="EL531" s="408">
        <v>0</v>
      </c>
      <c r="EM531" s="408">
        <v>0</v>
      </c>
      <c r="EN531" s="408">
        <v>0</v>
      </c>
      <c r="EO531" s="408">
        <v>0</v>
      </c>
      <c r="EP531" s="408">
        <v>0</v>
      </c>
      <c r="EQ531" s="408">
        <v>0</v>
      </c>
      <c r="ER531" s="408">
        <v>0</v>
      </c>
      <c r="ES531" s="408">
        <v>0</v>
      </c>
      <c r="ET531" s="408">
        <v>0</v>
      </c>
      <c r="EU531" s="408">
        <v>0</v>
      </c>
      <c r="EV531" s="408">
        <v>238</v>
      </c>
      <c r="EW531" s="408">
        <v>0</v>
      </c>
      <c r="EX531" s="408">
        <v>0</v>
      </c>
      <c r="EY531" s="408">
        <v>0</v>
      </c>
      <c r="EZ531" s="408"/>
      <c r="FA531" s="408">
        <v>0</v>
      </c>
      <c r="FB531" s="408"/>
      <c r="FC531" s="408"/>
      <c r="FD531" s="408"/>
      <c r="FE531" s="408"/>
      <c r="FF531" s="408">
        <v>0</v>
      </c>
      <c r="FG531" s="408">
        <v>0</v>
      </c>
      <c r="FH531" s="408">
        <v>0</v>
      </c>
      <c r="FI531" s="408">
        <v>0</v>
      </c>
    </row>
    <row r="532" spans="1:165">
      <c r="A532" s="408">
        <v>536</v>
      </c>
      <c r="B532" s="408" t="s">
        <v>1036</v>
      </c>
      <c r="C532" s="408" t="s">
        <v>2235</v>
      </c>
      <c r="D532" s="408" t="s">
        <v>1955</v>
      </c>
      <c r="E532" s="408" t="s">
        <v>969</v>
      </c>
      <c r="F532" s="408" t="s">
        <v>969</v>
      </c>
      <c r="G532" s="408" t="s">
        <v>1322</v>
      </c>
      <c r="H532" s="408" t="s">
        <v>1322</v>
      </c>
      <c r="I532" s="408" t="s">
        <v>1322</v>
      </c>
      <c r="J532" s="408" t="s">
        <v>2236</v>
      </c>
      <c r="K532" s="824">
        <v>44652</v>
      </c>
      <c r="L532" s="408">
        <v>0</v>
      </c>
      <c r="M532" s="408">
        <v>0</v>
      </c>
      <c r="N532" s="408">
        <v>1322.377</v>
      </c>
      <c r="O532" s="408">
        <v>1322.377</v>
      </c>
      <c r="P532" s="408">
        <v>1322.377</v>
      </c>
      <c r="Q532" s="408">
        <v>1322.377</v>
      </c>
      <c r="R532" s="408"/>
      <c r="S532" s="408">
        <v>581.32000000000005</v>
      </c>
      <c r="T532" s="408">
        <v>209.4</v>
      </c>
      <c r="U532" s="408"/>
      <c r="V532" s="408">
        <v>1045629.94144</v>
      </c>
      <c r="W532" s="408">
        <v>1045629.94144</v>
      </c>
      <c r="X532" s="408">
        <v>798808.27438999992</v>
      </c>
      <c r="Y532" s="408">
        <v>0</v>
      </c>
      <c r="Z532" s="408">
        <v>81376.313475285962</v>
      </c>
      <c r="AA532" s="408">
        <v>0</v>
      </c>
      <c r="AB532" s="408">
        <v>0</v>
      </c>
      <c r="AC532" s="408">
        <v>0</v>
      </c>
      <c r="AD532" s="408">
        <v>98108.663481654774</v>
      </c>
      <c r="AE532" s="408">
        <v>509651.12012089934</v>
      </c>
      <c r="AF532" s="408">
        <v>273270.19326689828</v>
      </c>
      <c r="AG532" s="408">
        <v>3640.4575504479558</v>
      </c>
      <c r="AH532" s="408">
        <v>0</v>
      </c>
      <c r="AI532" s="408">
        <v>0</v>
      </c>
      <c r="AJ532" s="408">
        <v>0</v>
      </c>
      <c r="AK532" s="408">
        <v>0</v>
      </c>
      <c r="AL532" s="408">
        <v>12575.27849467496</v>
      </c>
      <c r="AM532" s="408"/>
      <c r="AN532" s="408">
        <v>2410.6460830728333</v>
      </c>
      <c r="AO532" s="408">
        <v>7536.8622888817827</v>
      </c>
      <c r="AP532" s="408">
        <v>11352.857757614005</v>
      </c>
      <c r="AQ532" s="408">
        <v>0</v>
      </c>
      <c r="AR532" s="408">
        <v>0</v>
      </c>
      <c r="AS532" s="408">
        <v>0</v>
      </c>
      <c r="AT532" s="408">
        <v>0</v>
      </c>
      <c r="AU532" s="408">
        <v>0</v>
      </c>
      <c r="AV532" s="408">
        <v>0</v>
      </c>
      <c r="AW532" s="408">
        <v>0</v>
      </c>
      <c r="AX532" s="408">
        <v>0</v>
      </c>
      <c r="AY532" s="408">
        <v>0</v>
      </c>
      <c r="AZ532" s="408">
        <v>0</v>
      </c>
      <c r="BA532" s="408"/>
      <c r="BB532" s="408">
        <v>0</v>
      </c>
      <c r="BC532" s="408">
        <v>0</v>
      </c>
      <c r="BD532" s="408">
        <v>0</v>
      </c>
      <c r="BE532" s="408">
        <v>0</v>
      </c>
      <c r="BF532" s="408">
        <v>0</v>
      </c>
      <c r="BG532" s="408">
        <v>45717.592481597676</v>
      </c>
      <c r="BH532" s="408">
        <v>0</v>
      </c>
      <c r="BI532" s="408">
        <v>2422.46</v>
      </c>
      <c r="BJ532" s="408">
        <v>11550.58</v>
      </c>
      <c r="BK532" s="408">
        <v>320610.93</v>
      </c>
      <c r="BL532" s="408">
        <v>8617</v>
      </c>
      <c r="BM532" s="408"/>
      <c r="BN532" s="408"/>
      <c r="BO532" s="408"/>
      <c r="BP532" s="408"/>
      <c r="BQ532" s="408"/>
      <c r="BR532" s="408"/>
      <c r="BS532" s="408"/>
      <c r="BT532" s="408"/>
      <c r="BU532" s="408"/>
      <c r="BV532" s="408">
        <v>318987.78574849595</v>
      </c>
      <c r="BW532" s="408"/>
      <c r="BX532" s="408"/>
      <c r="BY532" s="408"/>
      <c r="BZ532" s="408"/>
      <c r="CA532" s="408"/>
      <c r="CB532" s="408"/>
      <c r="CC532" s="408"/>
      <c r="CD532" s="408"/>
      <c r="CE532" s="408"/>
      <c r="CF532" s="408"/>
      <c r="CG532" s="408"/>
      <c r="CH532" s="408"/>
      <c r="CI532" s="408">
        <v>798810.08660000004</v>
      </c>
      <c r="CJ532" s="408">
        <v>-246819.88483999996</v>
      </c>
      <c r="CK532" s="408"/>
      <c r="CL532" s="408"/>
      <c r="CM532" s="408"/>
      <c r="CN532" s="408"/>
      <c r="CO532" s="408">
        <v>-277011.53396000009</v>
      </c>
      <c r="CP532" s="408">
        <v>30189.866909999979</v>
      </c>
      <c r="CQ532" s="408">
        <v>30</v>
      </c>
      <c r="CR532" s="408">
        <v>39068.135116686695</v>
      </c>
      <c r="CS532" s="408">
        <v>909.94068774258085</v>
      </c>
      <c r="CT532" s="408">
        <v>1370.6535690649507</v>
      </c>
      <c r="CU532" s="408">
        <v>0</v>
      </c>
      <c r="CV532" s="408">
        <v>0</v>
      </c>
      <c r="CW532" s="408">
        <v>0</v>
      </c>
      <c r="CX532" s="408">
        <v>0</v>
      </c>
      <c r="CY532" s="408">
        <v>0</v>
      </c>
      <c r="CZ532" s="408">
        <v>3216.2411494050757</v>
      </c>
      <c r="DA532" s="408">
        <v>0</v>
      </c>
      <c r="DB532" s="408">
        <v>0</v>
      </c>
      <c r="DC532" s="408">
        <v>30180.721517763508</v>
      </c>
      <c r="DD532" s="408">
        <v>0</v>
      </c>
      <c r="DE532" s="408">
        <v>0</v>
      </c>
      <c r="DF532" s="408">
        <v>0</v>
      </c>
      <c r="DG532" s="408">
        <v>5049.1782900084872</v>
      </c>
      <c r="DH532" s="408">
        <v>0</v>
      </c>
      <c r="DI532" s="408">
        <v>-1418.5618923569418</v>
      </c>
      <c r="DJ532" s="408"/>
      <c r="DK532" s="408">
        <v>0</v>
      </c>
      <c r="DL532" s="408">
        <v>0</v>
      </c>
      <c r="DM532" s="408">
        <v>0</v>
      </c>
      <c r="DN532" s="408">
        <v>0</v>
      </c>
      <c r="DO532" s="408">
        <v>-184.30293028347114</v>
      </c>
      <c r="DP532" s="408">
        <v>-55.735274657472473</v>
      </c>
      <c r="DQ532" s="408">
        <v>0</v>
      </c>
      <c r="DR532" s="408">
        <v>0</v>
      </c>
      <c r="DS532" s="408"/>
      <c r="DT532" s="408"/>
      <c r="DU532" s="408"/>
      <c r="DV532" s="408">
        <v>509651.12012089934</v>
      </c>
      <c r="DW532" s="408">
        <v>0</v>
      </c>
      <c r="DX532" s="408">
        <v>0</v>
      </c>
      <c r="DY532" s="408">
        <v>-277011.53396000009</v>
      </c>
      <c r="DZ532" s="408">
        <v>30189.866909999982</v>
      </c>
      <c r="EA532" s="408">
        <v>0</v>
      </c>
      <c r="EB532" s="408">
        <v>0</v>
      </c>
      <c r="EC532" s="408">
        <v>-285909.02857117599</v>
      </c>
      <c r="ED532" s="408">
        <v>0</v>
      </c>
      <c r="EE532" s="408">
        <v>0</v>
      </c>
      <c r="EF532" s="408">
        <v>0</v>
      </c>
      <c r="EG532" s="408">
        <v>0</v>
      </c>
      <c r="EH532" s="408">
        <v>0</v>
      </c>
      <c r="EI532" s="408">
        <v>0</v>
      </c>
      <c r="EJ532" s="408">
        <v>0</v>
      </c>
      <c r="EK532" s="408">
        <v>0</v>
      </c>
      <c r="EL532" s="408">
        <v>0</v>
      </c>
      <c r="EM532" s="408">
        <v>0</v>
      </c>
      <c r="EN532" s="408">
        <v>0</v>
      </c>
      <c r="EO532" s="408">
        <v>0</v>
      </c>
      <c r="EP532" s="408">
        <v>0</v>
      </c>
      <c r="EQ532" s="408">
        <v>0</v>
      </c>
      <c r="ER532" s="408">
        <v>0</v>
      </c>
      <c r="ES532" s="408">
        <v>0</v>
      </c>
      <c r="ET532" s="408">
        <v>0</v>
      </c>
      <c r="EU532" s="408">
        <v>0</v>
      </c>
      <c r="EV532" s="408">
        <v>238</v>
      </c>
      <c r="EW532" s="408">
        <v>0</v>
      </c>
      <c r="EX532" s="408">
        <v>0</v>
      </c>
      <c r="EY532" s="408">
        <v>0</v>
      </c>
      <c r="EZ532" s="408"/>
      <c r="FA532" s="408">
        <v>0</v>
      </c>
      <c r="FB532" s="408"/>
      <c r="FC532" s="408"/>
      <c r="FD532" s="408"/>
      <c r="FE532" s="408"/>
      <c r="FF532" s="408">
        <v>0</v>
      </c>
      <c r="FG532" s="408">
        <v>0</v>
      </c>
      <c r="FH532" s="408">
        <v>0</v>
      </c>
      <c r="FI532" s="408">
        <v>0</v>
      </c>
    </row>
    <row r="533" spans="1:165">
      <c r="A533" s="408">
        <v>537</v>
      </c>
      <c r="B533" s="408" t="s">
        <v>2237</v>
      </c>
      <c r="C533" s="408" t="s">
        <v>2235</v>
      </c>
      <c r="D533" s="408" t="s">
        <v>1955</v>
      </c>
      <c r="E533" s="408" t="s">
        <v>969</v>
      </c>
      <c r="F533" s="408" t="s">
        <v>969</v>
      </c>
      <c r="G533" s="408" t="s">
        <v>1322</v>
      </c>
      <c r="H533" s="408" t="s">
        <v>1322</v>
      </c>
      <c r="I533" s="408" t="s">
        <v>1322</v>
      </c>
      <c r="J533" s="408" t="s">
        <v>2236</v>
      </c>
      <c r="K533" s="824">
        <v>44652</v>
      </c>
      <c r="L533" s="408">
        <v>0</v>
      </c>
      <c r="M533" s="408">
        <v>0</v>
      </c>
      <c r="N533" s="408">
        <v>-1.9159999999999999</v>
      </c>
      <c r="O533" s="408">
        <v>-1.9159999999999999</v>
      </c>
      <c r="P533" s="408">
        <v>-1.9159999999999999</v>
      </c>
      <c r="Q533" s="408">
        <v>-1.9159999999999999</v>
      </c>
      <c r="R533" s="408"/>
      <c r="S533" s="408">
        <v>581.32000000000005</v>
      </c>
      <c r="T533" s="408">
        <v>209.4</v>
      </c>
      <c r="U533" s="408"/>
      <c r="V533" s="408">
        <v>-1515.0195200000001</v>
      </c>
      <c r="W533" s="408">
        <v>-1515.0195200000001</v>
      </c>
      <c r="X533" s="408">
        <v>-1157.3981199999998</v>
      </c>
      <c r="Y533" s="408">
        <v>0</v>
      </c>
      <c r="Z533" s="408">
        <v>-117.90663072531351</v>
      </c>
      <c r="AA533" s="408">
        <v>0</v>
      </c>
      <c r="AB533" s="408">
        <v>0</v>
      </c>
      <c r="AC533" s="408">
        <v>0</v>
      </c>
      <c r="AD533" s="408">
        <v>-142.15023342878055</v>
      </c>
      <c r="AE533" s="408">
        <v>-738.43657758085874</v>
      </c>
      <c r="AF533" s="408">
        <v>-395.94282893560387</v>
      </c>
      <c r="AG533" s="408">
        <v>-5.2746808713840929</v>
      </c>
      <c r="AH533" s="408">
        <v>0</v>
      </c>
      <c r="AI533" s="408">
        <v>0</v>
      </c>
      <c r="AJ533" s="408">
        <v>0</v>
      </c>
      <c r="AK533" s="408">
        <v>0</v>
      </c>
      <c r="AL533" s="408">
        <v>-18.220396752058772</v>
      </c>
      <c r="AM533" s="408"/>
      <c r="AN533" s="408">
        <v>-3.4927996291281147</v>
      </c>
      <c r="AO533" s="408">
        <v>-10.920205165015343</v>
      </c>
      <c r="AP533" s="408">
        <v>-16.449223983469491</v>
      </c>
      <c r="AQ533" s="408">
        <v>0</v>
      </c>
      <c r="AR533" s="408">
        <v>0</v>
      </c>
      <c r="AS533" s="408">
        <v>0</v>
      </c>
      <c r="AT533" s="408">
        <v>0</v>
      </c>
      <c r="AU533" s="408">
        <v>0</v>
      </c>
      <c r="AV533" s="408">
        <v>0</v>
      </c>
      <c r="AW533" s="408">
        <v>0</v>
      </c>
      <c r="AX533" s="408">
        <v>0</v>
      </c>
      <c r="AY533" s="408">
        <v>0</v>
      </c>
      <c r="AZ533" s="408">
        <v>0</v>
      </c>
      <c r="BA533" s="408"/>
      <c r="BB533" s="408">
        <v>0</v>
      </c>
      <c r="BC533" s="408">
        <v>0</v>
      </c>
      <c r="BD533" s="408">
        <v>0</v>
      </c>
      <c r="BE533" s="408">
        <v>0</v>
      </c>
      <c r="BF533" s="408">
        <v>0</v>
      </c>
      <c r="BG533" s="408">
        <v>-66.240495104452933</v>
      </c>
      <c r="BH533" s="408">
        <v>0</v>
      </c>
      <c r="BI533" s="408">
        <v>-3.3</v>
      </c>
      <c r="BJ533" s="408">
        <v>-7.65</v>
      </c>
      <c r="BK533" s="408">
        <v>-475.63</v>
      </c>
      <c r="BL533" s="408">
        <v>0</v>
      </c>
      <c r="BM533" s="408"/>
      <c r="BN533" s="408"/>
      <c r="BO533" s="408"/>
      <c r="BP533" s="408"/>
      <c r="BQ533" s="408"/>
      <c r="BR533" s="408"/>
      <c r="BS533" s="408"/>
      <c r="BT533" s="408"/>
      <c r="BU533" s="408"/>
      <c r="BV533" s="408">
        <v>-462.18332404005679</v>
      </c>
      <c r="BW533" s="408"/>
      <c r="BX533" s="408"/>
      <c r="BY533" s="408"/>
      <c r="BZ533" s="408"/>
      <c r="CA533" s="408"/>
      <c r="CB533" s="408"/>
      <c r="CC533" s="408"/>
      <c r="CD533" s="408"/>
      <c r="CE533" s="408"/>
      <c r="CF533" s="408"/>
      <c r="CG533" s="408"/>
      <c r="CH533" s="408"/>
      <c r="CI533" s="408">
        <v>-1159.8144</v>
      </c>
      <c r="CJ533" s="408">
        <v>355.17512000000011</v>
      </c>
      <c r="CK533" s="408"/>
      <c r="CL533" s="408"/>
      <c r="CM533" s="408"/>
      <c r="CN533" s="408"/>
      <c r="CO533" s="408">
        <v>401.3636800000001</v>
      </c>
      <c r="CP533" s="408">
        <v>-43.742279999999965</v>
      </c>
      <c r="CQ533" s="408">
        <v>30</v>
      </c>
      <c r="CR533" s="408">
        <v>-56.606056278634924</v>
      </c>
      <c r="CS533" s="408">
        <v>-1.3184185430590425</v>
      </c>
      <c r="CT533" s="408">
        <v>-1.9859482116888323</v>
      </c>
      <c r="CU533" s="408">
        <v>0</v>
      </c>
      <c r="CV533" s="408">
        <v>0</v>
      </c>
      <c r="CW533" s="408">
        <v>0</v>
      </c>
      <c r="CX533" s="408">
        <v>0</v>
      </c>
      <c r="CY533" s="408">
        <v>0</v>
      </c>
      <c r="CZ533" s="408">
        <v>-4.6600311728502106</v>
      </c>
      <c r="DA533" s="408">
        <v>0</v>
      </c>
      <c r="DB533" s="408">
        <v>0</v>
      </c>
      <c r="DC533" s="408">
        <v>-43.729029186105777</v>
      </c>
      <c r="DD533" s="408">
        <v>0</v>
      </c>
      <c r="DE533" s="408">
        <v>0</v>
      </c>
      <c r="DF533" s="408">
        <v>0</v>
      </c>
      <c r="DG533" s="408">
        <v>-7.3157848356832034</v>
      </c>
      <c r="DH533" s="408">
        <v>0</v>
      </c>
      <c r="DI533" s="408">
        <v>2.0553628698592661</v>
      </c>
      <c r="DJ533" s="408"/>
      <c r="DK533" s="408">
        <v>0</v>
      </c>
      <c r="DL533" s="408">
        <v>0</v>
      </c>
      <c r="DM533" s="408">
        <v>0</v>
      </c>
      <c r="DN533" s="408">
        <v>0</v>
      </c>
      <c r="DO533" s="408">
        <v>0.26703762574752332</v>
      </c>
      <c r="DP533" s="408">
        <v>8.0755175145754698E-2</v>
      </c>
      <c r="DQ533" s="408">
        <v>0</v>
      </c>
      <c r="DR533" s="408">
        <v>0</v>
      </c>
      <c r="DS533" s="408"/>
      <c r="DT533" s="408"/>
      <c r="DU533" s="408"/>
      <c r="DV533" s="408">
        <v>-738.43657758085874</v>
      </c>
      <c r="DW533" s="408">
        <v>0</v>
      </c>
      <c r="DX533" s="408">
        <v>0</v>
      </c>
      <c r="DY533" s="408">
        <v>401.36368000000016</v>
      </c>
      <c r="DZ533" s="408">
        <v>-43.742279999999994</v>
      </c>
      <c r="EA533" s="408">
        <v>0</v>
      </c>
      <c r="EB533" s="408">
        <v>0</v>
      </c>
      <c r="EC533" s="408">
        <v>414.25531353189996</v>
      </c>
      <c r="ED533" s="408">
        <v>0</v>
      </c>
      <c r="EE533" s="408">
        <v>0</v>
      </c>
      <c r="EF533" s="408">
        <v>0</v>
      </c>
      <c r="EG533" s="408">
        <v>0</v>
      </c>
      <c r="EH533" s="408">
        <v>0</v>
      </c>
      <c r="EI533" s="408">
        <v>0</v>
      </c>
      <c r="EJ533" s="408">
        <v>0</v>
      </c>
      <c r="EK533" s="408">
        <v>0</v>
      </c>
      <c r="EL533" s="408">
        <v>0</v>
      </c>
      <c r="EM533" s="408">
        <v>0</v>
      </c>
      <c r="EN533" s="408">
        <v>0</v>
      </c>
      <c r="EO533" s="408">
        <v>0</v>
      </c>
      <c r="EP533" s="408">
        <v>0</v>
      </c>
      <c r="EQ533" s="408">
        <v>0</v>
      </c>
      <c r="ER533" s="408">
        <v>0</v>
      </c>
      <c r="ES533" s="408">
        <v>0</v>
      </c>
      <c r="ET533" s="408">
        <v>0</v>
      </c>
      <c r="EU533" s="408">
        <v>0</v>
      </c>
      <c r="EV533" s="408">
        <v>238</v>
      </c>
      <c r="EW533" s="408">
        <v>0</v>
      </c>
      <c r="EX533" s="408">
        <v>0</v>
      </c>
      <c r="EY533" s="408">
        <v>0</v>
      </c>
      <c r="EZ533" s="408"/>
      <c r="FA533" s="408">
        <v>0</v>
      </c>
      <c r="FB533" s="408"/>
      <c r="FC533" s="408"/>
      <c r="FD533" s="408"/>
      <c r="FE533" s="408"/>
      <c r="FF533" s="408">
        <v>0</v>
      </c>
      <c r="FG533" s="408">
        <v>0</v>
      </c>
      <c r="FH533" s="408">
        <v>0</v>
      </c>
      <c r="FI533" s="408">
        <v>0</v>
      </c>
    </row>
    <row r="534" spans="1:165">
      <c r="A534" s="408">
        <v>538</v>
      </c>
      <c r="B534" s="408" t="s">
        <v>2238</v>
      </c>
      <c r="C534" s="408" t="s">
        <v>2235</v>
      </c>
      <c r="D534" s="408" t="s">
        <v>1955</v>
      </c>
      <c r="E534" s="408" t="s">
        <v>969</v>
      </c>
      <c r="F534" s="408" t="s">
        <v>969</v>
      </c>
      <c r="G534" s="408" t="s">
        <v>1322</v>
      </c>
      <c r="H534" s="408" t="s">
        <v>1322</v>
      </c>
      <c r="I534" s="408" t="s">
        <v>1322</v>
      </c>
      <c r="J534" s="408" t="s">
        <v>2236</v>
      </c>
      <c r="K534" s="824">
        <v>44652</v>
      </c>
      <c r="L534" s="408">
        <v>0</v>
      </c>
      <c r="M534" s="408">
        <v>0</v>
      </c>
      <c r="N534" s="408">
        <v>66.349000000000004</v>
      </c>
      <c r="O534" s="408">
        <v>66.349000000000004</v>
      </c>
      <c r="P534" s="408">
        <v>66.349000000000004</v>
      </c>
      <c r="Q534" s="408">
        <v>66.349000000000004</v>
      </c>
      <c r="R534" s="408"/>
      <c r="S534" s="408">
        <v>581.32000000000005</v>
      </c>
      <c r="T534" s="408">
        <v>209.4</v>
      </c>
      <c r="U534" s="408"/>
      <c r="V534" s="408">
        <v>52463.481280000007</v>
      </c>
      <c r="W534" s="408">
        <v>52463.481280000007</v>
      </c>
      <c r="X534" s="408">
        <v>40079.440430000002</v>
      </c>
      <c r="Y534" s="408">
        <v>0</v>
      </c>
      <c r="Z534" s="408">
        <v>4082.9786231700555</v>
      </c>
      <c r="AA534" s="408">
        <v>0</v>
      </c>
      <c r="AB534" s="408">
        <v>0</v>
      </c>
      <c r="AC534" s="408">
        <v>0</v>
      </c>
      <c r="AD534" s="408">
        <v>4922.5082660574963</v>
      </c>
      <c r="AE534" s="408">
        <v>25571.257038576408</v>
      </c>
      <c r="AF534" s="408">
        <v>13711.070332488718</v>
      </c>
      <c r="AG534" s="408">
        <v>182.65647240890564</v>
      </c>
      <c r="AH534" s="408">
        <v>0</v>
      </c>
      <c r="AI534" s="408">
        <v>0</v>
      </c>
      <c r="AJ534" s="408">
        <v>0</v>
      </c>
      <c r="AK534" s="408">
        <v>0</v>
      </c>
      <c r="AL534" s="408">
        <v>630.95255955237349</v>
      </c>
      <c r="AM534" s="408"/>
      <c r="AN534" s="408">
        <v>120.9518593909297</v>
      </c>
      <c r="AO534" s="408">
        <v>378.15484994446928</v>
      </c>
      <c r="AP534" s="408">
        <v>569.61876935240991</v>
      </c>
      <c r="AQ534" s="408">
        <v>0</v>
      </c>
      <c r="AR534" s="408">
        <v>0</v>
      </c>
      <c r="AS534" s="408">
        <v>0</v>
      </c>
      <c r="AT534" s="408">
        <v>0</v>
      </c>
      <c r="AU534" s="408">
        <v>0</v>
      </c>
      <c r="AV534" s="408">
        <v>0</v>
      </c>
      <c r="AW534" s="408">
        <v>0</v>
      </c>
      <c r="AX534" s="408">
        <v>0</v>
      </c>
      <c r="AY534" s="408">
        <v>0</v>
      </c>
      <c r="AZ534" s="408">
        <v>0</v>
      </c>
      <c r="BA534" s="408"/>
      <c r="BB534" s="408">
        <v>0</v>
      </c>
      <c r="BC534" s="408">
        <v>0</v>
      </c>
      <c r="BD534" s="408">
        <v>0</v>
      </c>
      <c r="BE534" s="408">
        <v>0</v>
      </c>
      <c r="BF534" s="408">
        <v>0</v>
      </c>
      <c r="BG534" s="408">
        <v>2293.8364351176137</v>
      </c>
      <c r="BH534" s="408">
        <v>0</v>
      </c>
      <c r="BI534" s="408">
        <v>119.06</v>
      </c>
      <c r="BJ534" s="408">
        <v>582.09</v>
      </c>
      <c r="BK534" s="408">
        <v>43858.32</v>
      </c>
      <c r="BL534" s="408">
        <v>926</v>
      </c>
      <c r="BM534" s="408"/>
      <c r="BN534" s="408"/>
      <c r="BO534" s="408"/>
      <c r="BP534" s="408"/>
      <c r="BQ534" s="408"/>
      <c r="BR534" s="408"/>
      <c r="BS534" s="408"/>
      <c r="BT534" s="408"/>
      <c r="BU534" s="408"/>
      <c r="BV534" s="408">
        <v>16004.906767606331</v>
      </c>
      <c r="BW534" s="408"/>
      <c r="BX534" s="408"/>
      <c r="BY534" s="408"/>
      <c r="BZ534" s="408"/>
      <c r="CA534" s="408"/>
      <c r="CB534" s="408"/>
      <c r="CC534" s="408"/>
      <c r="CD534" s="408"/>
      <c r="CE534" s="408"/>
      <c r="CF534" s="408"/>
      <c r="CG534" s="408"/>
      <c r="CH534" s="408"/>
      <c r="CI534" s="408">
        <v>40080.044499999989</v>
      </c>
      <c r="CJ534" s="408">
        <v>-12383.466780000024</v>
      </c>
      <c r="CK534" s="408"/>
      <c r="CL534" s="408"/>
      <c r="CM534" s="408"/>
      <c r="CN534" s="408"/>
      <c r="CO534" s="408">
        <v>-13898.788520000006</v>
      </c>
      <c r="CP534" s="408">
        <v>1514.7476699999991</v>
      </c>
      <c r="CQ534" s="408">
        <v>30</v>
      </c>
      <c r="CR534" s="408">
        <v>1960.2062776780331</v>
      </c>
      <c r="CS534" s="408">
        <v>45.655402877570111</v>
      </c>
      <c r="CT534" s="408">
        <v>68.771230635356119</v>
      </c>
      <c r="CU534" s="408">
        <v>0</v>
      </c>
      <c r="CV534" s="408">
        <v>0</v>
      </c>
      <c r="CW534" s="408">
        <v>0</v>
      </c>
      <c r="CX534" s="408">
        <v>0</v>
      </c>
      <c r="CY534" s="408">
        <v>0</v>
      </c>
      <c r="CZ534" s="408">
        <v>161.37182060930991</v>
      </c>
      <c r="DA534" s="408">
        <v>0</v>
      </c>
      <c r="DB534" s="408">
        <v>0</v>
      </c>
      <c r="DC534" s="408">
        <v>1514.2888086998591</v>
      </c>
      <c r="DD534" s="408">
        <v>0</v>
      </c>
      <c r="DE534" s="408">
        <v>0</v>
      </c>
      <c r="DF534" s="408">
        <v>0</v>
      </c>
      <c r="DG534" s="408">
        <v>253.33768688034706</v>
      </c>
      <c r="DH534" s="408">
        <v>0</v>
      </c>
      <c r="DI534" s="408">
        <v>-71.17498489159334</v>
      </c>
      <c r="DJ534" s="408"/>
      <c r="DK534" s="408">
        <v>0</v>
      </c>
      <c r="DL534" s="408">
        <v>0</v>
      </c>
      <c r="DM534" s="408">
        <v>0</v>
      </c>
      <c r="DN534" s="408">
        <v>0</v>
      </c>
      <c r="DO534" s="408">
        <v>-9.2472230849282369</v>
      </c>
      <c r="DP534" s="408">
        <v>-2.7964640478839584</v>
      </c>
      <c r="DQ534" s="408">
        <v>0</v>
      </c>
      <c r="DR534" s="408">
        <v>0</v>
      </c>
      <c r="DS534" s="408"/>
      <c r="DT534" s="408"/>
      <c r="DU534" s="408"/>
      <c r="DV534" s="408">
        <v>25571.257038576408</v>
      </c>
      <c r="DW534" s="408">
        <v>0</v>
      </c>
      <c r="DX534" s="408">
        <v>0</v>
      </c>
      <c r="DY534" s="408">
        <v>-13898.788520000006</v>
      </c>
      <c r="DZ534" s="408">
        <v>1514.7476699999988</v>
      </c>
      <c r="EA534" s="408">
        <v>0</v>
      </c>
      <c r="EB534" s="408">
        <v>0</v>
      </c>
      <c r="EC534" s="408">
        <v>-14345.211794116925</v>
      </c>
      <c r="ED534" s="408">
        <v>0</v>
      </c>
      <c r="EE534" s="408">
        <v>0</v>
      </c>
      <c r="EF534" s="408">
        <v>0</v>
      </c>
      <c r="EG534" s="408">
        <v>0</v>
      </c>
      <c r="EH534" s="408">
        <v>0</v>
      </c>
      <c r="EI534" s="408">
        <v>0</v>
      </c>
      <c r="EJ534" s="408">
        <v>0</v>
      </c>
      <c r="EK534" s="408">
        <v>0</v>
      </c>
      <c r="EL534" s="408">
        <v>0</v>
      </c>
      <c r="EM534" s="408">
        <v>0</v>
      </c>
      <c r="EN534" s="408">
        <v>0</v>
      </c>
      <c r="EO534" s="408">
        <v>0</v>
      </c>
      <c r="EP534" s="408">
        <v>0</v>
      </c>
      <c r="EQ534" s="408">
        <v>0</v>
      </c>
      <c r="ER534" s="408">
        <v>0</v>
      </c>
      <c r="ES534" s="408">
        <v>0</v>
      </c>
      <c r="ET534" s="408">
        <v>0</v>
      </c>
      <c r="EU534" s="408">
        <v>0</v>
      </c>
      <c r="EV534" s="408">
        <v>238</v>
      </c>
      <c r="EW534" s="408">
        <v>0</v>
      </c>
      <c r="EX534" s="408">
        <v>0</v>
      </c>
      <c r="EY534" s="408">
        <v>0</v>
      </c>
      <c r="EZ534" s="408"/>
      <c r="FA534" s="408">
        <v>0</v>
      </c>
      <c r="FB534" s="408"/>
      <c r="FC534" s="408"/>
      <c r="FD534" s="408"/>
      <c r="FE534" s="408"/>
      <c r="FF534" s="408">
        <v>0</v>
      </c>
      <c r="FG534" s="408">
        <v>0</v>
      </c>
      <c r="FH534" s="408">
        <v>0</v>
      </c>
      <c r="FI534" s="408">
        <v>0</v>
      </c>
    </row>
    <row r="535" spans="1:165">
      <c r="A535" s="408">
        <v>539</v>
      </c>
      <c r="B535" s="408" t="s">
        <v>1036</v>
      </c>
      <c r="C535" s="408" t="s">
        <v>2235</v>
      </c>
      <c r="D535" s="408" t="s">
        <v>1955</v>
      </c>
      <c r="E535" s="408" t="s">
        <v>969</v>
      </c>
      <c r="F535" s="408" t="s">
        <v>2239</v>
      </c>
      <c r="G535" s="408" t="s">
        <v>1322</v>
      </c>
      <c r="H535" s="408" t="s">
        <v>1322</v>
      </c>
      <c r="I535" s="408" t="s">
        <v>1322</v>
      </c>
      <c r="J535" s="408" t="s">
        <v>2236</v>
      </c>
      <c r="K535" s="824">
        <v>44652</v>
      </c>
      <c r="L535" s="408">
        <v>0</v>
      </c>
      <c r="M535" s="408">
        <v>0</v>
      </c>
      <c r="N535" s="408">
        <v>57.72</v>
      </c>
      <c r="O535" s="408">
        <v>57.72</v>
      </c>
      <c r="P535" s="408">
        <v>57.72</v>
      </c>
      <c r="Q535" s="408">
        <v>57.72</v>
      </c>
      <c r="R535" s="408"/>
      <c r="S535" s="408">
        <v>510.28</v>
      </c>
      <c r="T535" s="408">
        <v>209.4</v>
      </c>
      <c r="U535" s="408"/>
      <c r="V535" s="408">
        <v>41539.929599999996</v>
      </c>
      <c r="W535" s="408">
        <v>41539.929599999996</v>
      </c>
      <c r="X535" s="408">
        <v>30835.755599999997</v>
      </c>
      <c r="Y535" s="408">
        <v>0</v>
      </c>
      <c r="Z535" s="408">
        <v>0</v>
      </c>
      <c r="AA535" s="408">
        <v>0</v>
      </c>
      <c r="AB535" s="408">
        <v>0</v>
      </c>
      <c r="AC535" s="408">
        <v>0</v>
      </c>
      <c r="AD535" s="408">
        <v>4282.3128776144122</v>
      </c>
      <c r="AE535" s="408">
        <v>22245.594602279314</v>
      </c>
      <c r="AF535" s="408">
        <v>11927.881047057963</v>
      </c>
      <c r="AG535" s="408">
        <v>158.90113773292791</v>
      </c>
      <c r="AH535" s="408">
        <v>0</v>
      </c>
      <c r="AI535" s="408">
        <v>0</v>
      </c>
      <c r="AJ535" s="408">
        <v>0</v>
      </c>
      <c r="AK535" s="408">
        <v>0</v>
      </c>
      <c r="AL535" s="408">
        <v>0</v>
      </c>
      <c r="AM535" s="408"/>
      <c r="AN535" s="408">
        <v>105.22150030964237</v>
      </c>
      <c r="AO535" s="408">
        <v>328.97403033647475</v>
      </c>
      <c r="AP535" s="408">
        <v>495.53716509700365</v>
      </c>
      <c r="AQ535" s="408">
        <v>0</v>
      </c>
      <c r="AR535" s="408">
        <v>0</v>
      </c>
      <c r="AS535" s="408">
        <v>0</v>
      </c>
      <c r="AT535" s="408">
        <v>0</v>
      </c>
      <c r="AU535" s="408">
        <v>0</v>
      </c>
      <c r="AV535" s="408">
        <v>0</v>
      </c>
      <c r="AW535" s="408">
        <v>0</v>
      </c>
      <c r="AX535" s="408">
        <v>0</v>
      </c>
      <c r="AY535" s="408">
        <v>0</v>
      </c>
      <c r="AZ535" s="408">
        <v>0</v>
      </c>
      <c r="BA535" s="408"/>
      <c r="BB535" s="408">
        <v>0</v>
      </c>
      <c r="BC535" s="408">
        <v>0</v>
      </c>
      <c r="BD535" s="408">
        <v>0</v>
      </c>
      <c r="BE535" s="408">
        <v>0</v>
      </c>
      <c r="BF535" s="408">
        <v>0</v>
      </c>
      <c r="BG535" s="408">
        <v>1995.5122011633732</v>
      </c>
      <c r="BH535" s="408">
        <v>0</v>
      </c>
      <c r="BI535" s="408">
        <v>19.239999999999998</v>
      </c>
      <c r="BJ535" s="408">
        <v>134.68</v>
      </c>
      <c r="BK535" s="408">
        <v>3398.5</v>
      </c>
      <c r="BL535" s="408">
        <v>122</v>
      </c>
      <c r="BM535" s="408"/>
      <c r="BN535" s="408"/>
      <c r="BO535" s="408"/>
      <c r="BP535" s="408"/>
      <c r="BQ535" s="408"/>
      <c r="BR535" s="408"/>
      <c r="BS535" s="408"/>
      <c r="BT535" s="408">
        <v>20043.269999999997</v>
      </c>
      <c r="BU535" s="408"/>
      <c r="BV535" s="408">
        <v>13923.393248221337</v>
      </c>
      <c r="BW535" s="408"/>
      <c r="BX535" s="408"/>
      <c r="BY535" s="408"/>
      <c r="BZ535" s="408"/>
      <c r="CA535" s="408"/>
      <c r="CB535" s="408"/>
      <c r="CC535" s="408"/>
      <c r="CD535" s="408"/>
      <c r="CE535" s="408"/>
      <c r="CF535" s="408"/>
      <c r="CG535" s="408"/>
      <c r="CH535" s="408"/>
      <c r="CI535" s="408">
        <v>10792.4856</v>
      </c>
      <c r="CJ535" s="408">
        <v>-3746.6352000000006</v>
      </c>
      <c r="CK535" s="408"/>
      <c r="CL535" s="408"/>
      <c r="CM535" s="408"/>
      <c r="CN535" s="408"/>
      <c r="CO535" s="408">
        <v>-12021.921599999998</v>
      </c>
      <c r="CP535" s="408">
        <v>1317.747599999999</v>
      </c>
      <c r="CQ535" s="408">
        <v>30</v>
      </c>
      <c r="CR535" s="408">
        <v>1775.2351383137793</v>
      </c>
      <c r="CS535" s="408">
        <v>39.717702664597027</v>
      </c>
      <c r="CT535" s="408">
        <v>59.827208130834777</v>
      </c>
      <c r="CU535" s="408">
        <v>0</v>
      </c>
      <c r="CV535" s="408">
        <v>0</v>
      </c>
      <c r="CW535" s="408">
        <v>0</v>
      </c>
      <c r="CX535" s="408">
        <v>0</v>
      </c>
      <c r="CY535" s="408">
        <v>0</v>
      </c>
      <c r="CZ535" s="408">
        <v>140.38465516540418</v>
      </c>
      <c r="DA535" s="408">
        <v>0</v>
      </c>
      <c r="DB535" s="408">
        <v>0</v>
      </c>
      <c r="DC535" s="408">
        <v>1317.3484157734983</v>
      </c>
      <c r="DD535" s="408">
        <v>0</v>
      </c>
      <c r="DE535" s="408">
        <v>0</v>
      </c>
      <c r="DF535" s="408">
        <v>0</v>
      </c>
      <c r="DG535" s="408">
        <v>220.38992730461109</v>
      </c>
      <c r="DH535" s="408">
        <v>0</v>
      </c>
      <c r="DI535" s="408">
        <v>0</v>
      </c>
      <c r="DJ535" s="408"/>
      <c r="DK535" s="408">
        <v>0</v>
      </c>
      <c r="DL535" s="408">
        <v>0</v>
      </c>
      <c r="DM535" s="408">
        <v>0</v>
      </c>
      <c r="DN535" s="408">
        <v>0</v>
      </c>
      <c r="DO535" s="408">
        <v>0</v>
      </c>
      <c r="DP535" s="408">
        <v>-2.432770725163337</v>
      </c>
      <c r="DQ535" s="408">
        <v>0</v>
      </c>
      <c r="DR535" s="408">
        <v>0</v>
      </c>
      <c r="DS535" s="408"/>
      <c r="DT535" s="408"/>
      <c r="DU535" s="408"/>
      <c r="DV535" s="408">
        <v>22245.594602279314</v>
      </c>
      <c r="DW535" s="408">
        <v>0</v>
      </c>
      <c r="DX535" s="408">
        <v>0</v>
      </c>
      <c r="DY535" s="408">
        <v>-12021.921599999998</v>
      </c>
      <c r="DZ535" s="408">
        <v>1317.7476000000006</v>
      </c>
      <c r="EA535" s="408">
        <v>0</v>
      </c>
      <c r="EB535" s="408">
        <v>0</v>
      </c>
      <c r="EC535" s="408">
        <v>-12479.549424353478</v>
      </c>
      <c r="ED535" s="408">
        <v>0</v>
      </c>
      <c r="EE535" s="408">
        <v>0</v>
      </c>
      <c r="EF535" s="408">
        <v>0</v>
      </c>
      <c r="EG535" s="408">
        <v>0</v>
      </c>
      <c r="EH535" s="408">
        <v>0</v>
      </c>
      <c r="EI535" s="408">
        <v>0</v>
      </c>
      <c r="EJ535" s="408">
        <v>0</v>
      </c>
      <c r="EK535" s="408">
        <v>0</v>
      </c>
      <c r="EL535" s="408">
        <v>0</v>
      </c>
      <c r="EM535" s="408">
        <v>0</v>
      </c>
      <c r="EN535" s="408">
        <v>0</v>
      </c>
      <c r="EO535" s="408">
        <v>0</v>
      </c>
      <c r="EP535" s="408">
        <v>0</v>
      </c>
      <c r="EQ535" s="408">
        <v>0</v>
      </c>
      <c r="ER535" s="408">
        <v>0</v>
      </c>
      <c r="ES535" s="408">
        <v>0</v>
      </c>
      <c r="ET535" s="408">
        <v>0</v>
      </c>
      <c r="EU535" s="408">
        <v>0</v>
      </c>
      <c r="EV535" s="408">
        <v>238</v>
      </c>
      <c r="EW535" s="408">
        <v>0</v>
      </c>
      <c r="EX535" s="408">
        <v>0</v>
      </c>
      <c r="EY535" s="408">
        <v>0</v>
      </c>
      <c r="EZ535" s="408"/>
      <c r="FA535" s="408">
        <v>0</v>
      </c>
      <c r="FB535" s="408"/>
      <c r="FC535" s="408"/>
      <c r="FD535" s="408"/>
      <c r="FE535" s="408"/>
      <c r="FF535" s="408">
        <v>0</v>
      </c>
      <c r="FG535" s="408">
        <v>0</v>
      </c>
      <c r="FH535" s="408">
        <v>0</v>
      </c>
      <c r="FI535" s="408">
        <v>0</v>
      </c>
    </row>
    <row r="536" spans="1:165">
      <c r="A536" s="408">
        <v>540</v>
      </c>
      <c r="B536" s="408" t="s">
        <v>2237</v>
      </c>
      <c r="C536" s="408" t="s">
        <v>2235</v>
      </c>
      <c r="D536" s="408" t="s">
        <v>1955</v>
      </c>
      <c r="E536" s="408" t="s">
        <v>969</v>
      </c>
      <c r="F536" s="408" t="s">
        <v>2239</v>
      </c>
      <c r="G536" s="408" t="s">
        <v>1322</v>
      </c>
      <c r="H536" s="408" t="s">
        <v>1322</v>
      </c>
      <c r="I536" s="408" t="s">
        <v>1322</v>
      </c>
      <c r="J536" s="408" t="s">
        <v>2236</v>
      </c>
      <c r="K536" s="824">
        <v>44652</v>
      </c>
      <c r="L536" s="408">
        <v>0</v>
      </c>
      <c r="M536" s="408">
        <v>0</v>
      </c>
      <c r="N536" s="408">
        <v>-0.03</v>
      </c>
      <c r="O536" s="408">
        <v>-0.03</v>
      </c>
      <c r="P536" s="408">
        <v>-0.03</v>
      </c>
      <c r="Q536" s="408">
        <v>-0.03</v>
      </c>
      <c r="R536" s="408"/>
      <c r="S536" s="408">
        <v>510.28</v>
      </c>
      <c r="T536" s="408">
        <v>209.4</v>
      </c>
      <c r="U536" s="408"/>
      <c r="V536" s="408">
        <v>-21.590399999999999</v>
      </c>
      <c r="W536" s="408">
        <v>-21.590399999999999</v>
      </c>
      <c r="X536" s="408">
        <v>-16.026900000000001</v>
      </c>
      <c r="Y536" s="408">
        <v>0</v>
      </c>
      <c r="Z536" s="408">
        <v>0</v>
      </c>
      <c r="AA536" s="408">
        <v>0</v>
      </c>
      <c r="AB536" s="408">
        <v>0</v>
      </c>
      <c r="AC536" s="408">
        <v>0</v>
      </c>
      <c r="AD536" s="408">
        <v>-2.2257343438744348</v>
      </c>
      <c r="AE536" s="408">
        <v>-11.56215935669403</v>
      </c>
      <c r="AF536" s="408">
        <v>-6.1995223737307494</v>
      </c>
      <c r="AG536" s="408">
        <v>-8.25889489256382E-2</v>
      </c>
      <c r="AH536" s="408">
        <v>0</v>
      </c>
      <c r="AI536" s="408">
        <v>0</v>
      </c>
      <c r="AJ536" s="408">
        <v>0</v>
      </c>
      <c r="AK536" s="408">
        <v>0</v>
      </c>
      <c r="AL536" s="408">
        <v>0</v>
      </c>
      <c r="AM536" s="408"/>
      <c r="AN536" s="408">
        <v>-5.4688929474866095E-2</v>
      </c>
      <c r="AO536" s="408">
        <v>-0.17098442325180602</v>
      </c>
      <c r="AP536" s="408">
        <v>-0.25755569911486675</v>
      </c>
      <c r="AQ536" s="408">
        <v>0</v>
      </c>
      <c r="AR536" s="408">
        <v>0</v>
      </c>
      <c r="AS536" s="408">
        <v>0</v>
      </c>
      <c r="AT536" s="408">
        <v>0</v>
      </c>
      <c r="AU536" s="408">
        <v>0</v>
      </c>
      <c r="AV536" s="408">
        <v>0</v>
      </c>
      <c r="AW536" s="408">
        <v>0</v>
      </c>
      <c r="AX536" s="408">
        <v>0</v>
      </c>
      <c r="AY536" s="408">
        <v>0</v>
      </c>
      <c r="AZ536" s="408">
        <v>0</v>
      </c>
      <c r="BA536" s="408"/>
      <c r="BB536" s="408">
        <v>0</v>
      </c>
      <c r="BC536" s="408">
        <v>0</v>
      </c>
      <c r="BD536" s="408">
        <v>0</v>
      </c>
      <c r="BE536" s="408">
        <v>0</v>
      </c>
      <c r="BF536" s="408">
        <v>0</v>
      </c>
      <c r="BG536" s="408">
        <v>-1.037168503723167</v>
      </c>
      <c r="BH536" s="408">
        <v>0</v>
      </c>
      <c r="BI536" s="408">
        <v>-0.01</v>
      </c>
      <c r="BJ536" s="408">
        <v>0</v>
      </c>
      <c r="BK536" s="408">
        <v>-0.76</v>
      </c>
      <c r="BL536" s="408">
        <v>0</v>
      </c>
      <c r="BM536" s="408"/>
      <c r="BN536" s="408"/>
      <c r="BO536" s="408"/>
      <c r="BP536" s="408"/>
      <c r="BQ536" s="408"/>
      <c r="BR536" s="408"/>
      <c r="BS536" s="408"/>
      <c r="BT536" s="408">
        <v>-10.4175</v>
      </c>
      <c r="BU536" s="408"/>
      <c r="BV536" s="408">
        <v>-7.2366908774539169</v>
      </c>
      <c r="BW536" s="408"/>
      <c r="BX536" s="408"/>
      <c r="BY536" s="408"/>
      <c r="BZ536" s="408"/>
      <c r="CA536" s="408"/>
      <c r="CB536" s="408"/>
      <c r="CC536" s="408"/>
      <c r="CD536" s="408"/>
      <c r="CE536" s="408"/>
      <c r="CF536" s="408"/>
      <c r="CG536" s="408"/>
      <c r="CH536" s="408"/>
      <c r="CI536" s="408">
        <v>-5.6093999999999999</v>
      </c>
      <c r="CJ536" s="408">
        <v>1.9173</v>
      </c>
      <c r="CK536" s="408"/>
      <c r="CL536" s="408"/>
      <c r="CM536" s="408"/>
      <c r="CN536" s="408"/>
      <c r="CO536" s="408">
        <v>6.2483999999999993</v>
      </c>
      <c r="CP536" s="408">
        <v>-0.68489999999999951</v>
      </c>
      <c r="CQ536" s="408">
        <v>30</v>
      </c>
      <c r="CR536" s="408">
        <v>-0.9226793858179736</v>
      </c>
      <c r="CS536" s="408">
        <v>-2.0643296603220895E-2</v>
      </c>
      <c r="CT536" s="408">
        <v>-3.1095222521223931E-2</v>
      </c>
      <c r="CU536" s="408">
        <v>0</v>
      </c>
      <c r="CV536" s="408">
        <v>0</v>
      </c>
      <c r="CW536" s="408">
        <v>0</v>
      </c>
      <c r="CX536" s="408">
        <v>0</v>
      </c>
      <c r="CY536" s="408">
        <v>0</v>
      </c>
      <c r="CZ536" s="408">
        <v>-7.2964997487215744E-2</v>
      </c>
      <c r="DA536" s="408">
        <v>0</v>
      </c>
      <c r="DB536" s="408">
        <v>0</v>
      </c>
      <c r="DC536" s="408">
        <v>-0.68469252379080014</v>
      </c>
      <c r="DD536" s="408">
        <v>0</v>
      </c>
      <c r="DE536" s="408">
        <v>0</v>
      </c>
      <c r="DF536" s="408">
        <v>0</v>
      </c>
      <c r="DG536" s="408">
        <v>-0.11454777926435078</v>
      </c>
      <c r="DH536" s="408">
        <v>0</v>
      </c>
      <c r="DI536" s="408">
        <v>0</v>
      </c>
      <c r="DJ536" s="408"/>
      <c r="DK536" s="408">
        <v>0</v>
      </c>
      <c r="DL536" s="408">
        <v>0</v>
      </c>
      <c r="DM536" s="408">
        <v>0</v>
      </c>
      <c r="DN536" s="408">
        <v>0</v>
      </c>
      <c r="DO536" s="408">
        <v>0</v>
      </c>
      <c r="DP536" s="408">
        <v>1.2644338488374957E-3</v>
      </c>
      <c r="DQ536" s="408">
        <v>0</v>
      </c>
      <c r="DR536" s="408">
        <v>0</v>
      </c>
      <c r="DS536" s="408"/>
      <c r="DT536" s="408"/>
      <c r="DU536" s="408"/>
      <c r="DV536" s="408">
        <v>-11.56215935669403</v>
      </c>
      <c r="DW536" s="408">
        <v>0</v>
      </c>
      <c r="DX536" s="408">
        <v>0</v>
      </c>
      <c r="DY536" s="408">
        <v>6.2483999999999984</v>
      </c>
      <c r="DZ536" s="408">
        <v>-0.68489999999999984</v>
      </c>
      <c r="EA536" s="408">
        <v>0</v>
      </c>
      <c r="EB536" s="408">
        <v>0</v>
      </c>
      <c r="EC536" s="408">
        <v>6.4862522995600198</v>
      </c>
      <c r="ED536" s="408">
        <v>0</v>
      </c>
      <c r="EE536" s="408">
        <v>0</v>
      </c>
      <c r="EF536" s="408">
        <v>0</v>
      </c>
      <c r="EG536" s="408">
        <v>0</v>
      </c>
      <c r="EH536" s="408">
        <v>0</v>
      </c>
      <c r="EI536" s="408">
        <v>0</v>
      </c>
      <c r="EJ536" s="408">
        <v>0</v>
      </c>
      <c r="EK536" s="408">
        <v>0</v>
      </c>
      <c r="EL536" s="408">
        <v>0</v>
      </c>
      <c r="EM536" s="408">
        <v>0</v>
      </c>
      <c r="EN536" s="408">
        <v>0</v>
      </c>
      <c r="EO536" s="408">
        <v>0</v>
      </c>
      <c r="EP536" s="408">
        <v>0</v>
      </c>
      <c r="EQ536" s="408">
        <v>0</v>
      </c>
      <c r="ER536" s="408">
        <v>0</v>
      </c>
      <c r="ES536" s="408">
        <v>0</v>
      </c>
      <c r="ET536" s="408">
        <v>0</v>
      </c>
      <c r="EU536" s="408">
        <v>0</v>
      </c>
      <c r="EV536" s="408">
        <v>238</v>
      </c>
      <c r="EW536" s="408">
        <v>0</v>
      </c>
      <c r="EX536" s="408">
        <v>0</v>
      </c>
      <c r="EY536" s="408">
        <v>0</v>
      </c>
      <c r="EZ536" s="408"/>
      <c r="FA536" s="408">
        <v>0</v>
      </c>
      <c r="FB536" s="408"/>
      <c r="FC536" s="408"/>
      <c r="FD536" s="408"/>
      <c r="FE536" s="408"/>
      <c r="FF536" s="408">
        <v>0</v>
      </c>
      <c r="FG536" s="408">
        <v>0</v>
      </c>
      <c r="FH536" s="408">
        <v>0</v>
      </c>
      <c r="FI536" s="408">
        <v>0</v>
      </c>
    </row>
    <row r="537" spans="1:165">
      <c r="A537" s="408">
        <v>541</v>
      </c>
      <c r="B537" s="408" t="s">
        <v>2238</v>
      </c>
      <c r="C537" s="408" t="s">
        <v>2235</v>
      </c>
      <c r="D537" s="408" t="s">
        <v>1955</v>
      </c>
      <c r="E537" s="408" t="s">
        <v>969</v>
      </c>
      <c r="F537" s="408" t="s">
        <v>2239</v>
      </c>
      <c r="G537" s="408" t="s">
        <v>1322</v>
      </c>
      <c r="H537" s="408" t="s">
        <v>1322</v>
      </c>
      <c r="I537" s="408" t="s">
        <v>1322</v>
      </c>
      <c r="J537" s="408" t="s">
        <v>2236</v>
      </c>
      <c r="K537" s="824">
        <v>44652</v>
      </c>
      <c r="L537" s="408">
        <v>0</v>
      </c>
      <c r="M537" s="408">
        <v>0</v>
      </c>
      <c r="N537" s="408">
        <v>8.6999999999999994E-2</v>
      </c>
      <c r="O537" s="408">
        <v>-0.53505000000000003</v>
      </c>
      <c r="P537" s="408">
        <v>8.6999999999999994E-2</v>
      </c>
      <c r="Q537" s="408">
        <v>-0.53505000000000003</v>
      </c>
      <c r="R537" s="408"/>
      <c r="S537" s="408">
        <v>510.28</v>
      </c>
      <c r="T537" s="408">
        <v>209.4</v>
      </c>
      <c r="U537" s="408"/>
      <c r="V537" s="408">
        <v>62.612159999999989</v>
      </c>
      <c r="W537" s="408">
        <v>62.612159999999989</v>
      </c>
      <c r="X537" s="408">
        <v>46.478009999999998</v>
      </c>
      <c r="Y537" s="408">
        <v>0</v>
      </c>
      <c r="Z537" s="408">
        <v>0</v>
      </c>
      <c r="AA537" s="408">
        <v>0</v>
      </c>
      <c r="AB537" s="408">
        <v>0</v>
      </c>
      <c r="AC537" s="408">
        <v>0</v>
      </c>
      <c r="AD537" s="408">
        <v>6.4546295972358605</v>
      </c>
      <c r="AE537" s="408">
        <v>33.530262134412688</v>
      </c>
      <c r="AF537" s="408">
        <v>17.978614883819173</v>
      </c>
      <c r="AG537" s="408">
        <v>0.23950795188435078</v>
      </c>
      <c r="AH537" s="408">
        <v>0</v>
      </c>
      <c r="AI537" s="408">
        <v>0</v>
      </c>
      <c r="AJ537" s="408">
        <v>0</v>
      </c>
      <c r="AK537" s="408">
        <v>0</v>
      </c>
      <c r="AL537" s="408">
        <v>0</v>
      </c>
      <c r="AM537" s="408"/>
      <c r="AN537" s="408">
        <v>0.15859789547711167</v>
      </c>
      <c r="AO537" s="408">
        <v>0.4958548274302374</v>
      </c>
      <c r="AP537" s="408">
        <v>0.74691152743311362</v>
      </c>
      <c r="AQ537" s="408">
        <v>0</v>
      </c>
      <c r="AR537" s="408">
        <v>0</v>
      </c>
      <c r="AS537" s="408">
        <v>0</v>
      </c>
      <c r="AT537" s="408">
        <v>0</v>
      </c>
      <c r="AU537" s="408">
        <v>0</v>
      </c>
      <c r="AV537" s="408">
        <v>0</v>
      </c>
      <c r="AW537" s="408">
        <v>0</v>
      </c>
      <c r="AX537" s="408">
        <v>0</v>
      </c>
      <c r="AY537" s="408">
        <v>0</v>
      </c>
      <c r="AZ537" s="408">
        <v>0</v>
      </c>
      <c r="BA537" s="408"/>
      <c r="BB537" s="408">
        <v>0</v>
      </c>
      <c r="BC537" s="408">
        <v>0</v>
      </c>
      <c r="BD537" s="408">
        <v>0</v>
      </c>
      <c r="BE537" s="408">
        <v>0</v>
      </c>
      <c r="BF537" s="408">
        <v>0</v>
      </c>
      <c r="BG537" s="408">
        <v>3.0077886607971842</v>
      </c>
      <c r="BH537" s="408">
        <v>0</v>
      </c>
      <c r="BI537" s="408">
        <v>0.03</v>
      </c>
      <c r="BJ537" s="408">
        <v>0.19</v>
      </c>
      <c r="BK537" s="408">
        <v>13.98</v>
      </c>
      <c r="BL537" s="408">
        <v>0</v>
      </c>
      <c r="BM537" s="408"/>
      <c r="BN537" s="408"/>
      <c r="BO537" s="408"/>
      <c r="BP537" s="408"/>
      <c r="BQ537" s="408"/>
      <c r="BR537" s="408"/>
      <c r="BS537" s="408"/>
      <c r="BT537" s="408">
        <v>146.521659</v>
      </c>
      <c r="BU537" s="408"/>
      <c r="BV537" s="408">
        <v>20.986403544616358</v>
      </c>
      <c r="BW537" s="408"/>
      <c r="BX537" s="408"/>
      <c r="BY537" s="408"/>
      <c r="BZ537" s="408"/>
      <c r="CA537" s="408"/>
      <c r="CB537" s="408"/>
      <c r="CC537" s="408"/>
      <c r="CD537" s="408"/>
      <c r="CE537" s="408"/>
      <c r="CF537" s="408"/>
      <c r="CG537" s="408"/>
      <c r="CH537" s="408"/>
      <c r="CI537" s="408">
        <v>-100.9692</v>
      </c>
      <c r="CJ537" s="408">
        <v>33.774544500000019</v>
      </c>
      <c r="CK537" s="408"/>
      <c r="CL537" s="408"/>
      <c r="CM537" s="408"/>
      <c r="CN537" s="408"/>
      <c r="CO537" s="408">
        <v>-18.120359999999998</v>
      </c>
      <c r="CP537" s="408">
        <v>1.9862099999999985</v>
      </c>
      <c r="CQ537" s="408">
        <v>30</v>
      </c>
      <c r="CR537" s="408">
        <v>2.675770218872124</v>
      </c>
      <c r="CS537" s="408">
        <v>5.986556014934058E-2</v>
      </c>
      <c r="CT537" s="408">
        <v>9.0176145311549272E-2</v>
      </c>
      <c r="CU537" s="408">
        <v>0</v>
      </c>
      <c r="CV537" s="408">
        <v>0</v>
      </c>
      <c r="CW537" s="408">
        <v>0</v>
      </c>
      <c r="CX537" s="408">
        <v>0</v>
      </c>
      <c r="CY537" s="408">
        <v>0</v>
      </c>
      <c r="CZ537" s="408">
        <v>0.21159849271292686</v>
      </c>
      <c r="DA537" s="408">
        <v>0</v>
      </c>
      <c r="DB537" s="408">
        <v>0</v>
      </c>
      <c r="DC537" s="408">
        <v>1.9856083189933216</v>
      </c>
      <c r="DD537" s="408">
        <v>0</v>
      </c>
      <c r="DE537" s="408">
        <v>0</v>
      </c>
      <c r="DF537" s="408">
        <v>0</v>
      </c>
      <c r="DG537" s="408">
        <v>0.33218855986661744</v>
      </c>
      <c r="DH537" s="408">
        <v>0</v>
      </c>
      <c r="DI537" s="408">
        <v>0</v>
      </c>
      <c r="DJ537" s="408"/>
      <c r="DK537" s="408">
        <v>0</v>
      </c>
      <c r="DL537" s="408">
        <v>0</v>
      </c>
      <c r="DM537" s="408">
        <v>0</v>
      </c>
      <c r="DN537" s="408">
        <v>0</v>
      </c>
      <c r="DO537" s="408">
        <v>0</v>
      </c>
      <c r="DP537" s="408">
        <v>-3.6668581616287332E-3</v>
      </c>
      <c r="DQ537" s="408">
        <v>0</v>
      </c>
      <c r="DR537" s="408">
        <v>0</v>
      </c>
      <c r="DS537" s="408"/>
      <c r="DT537" s="408"/>
      <c r="DU537" s="408"/>
      <c r="DV537" s="408">
        <v>33.530262134412688</v>
      </c>
      <c r="DW537" s="408">
        <v>0</v>
      </c>
      <c r="DX537" s="408">
        <v>0</v>
      </c>
      <c r="DY537" s="408">
        <v>-18.120359999999994</v>
      </c>
      <c r="DZ537" s="408">
        <v>1.9862099999999963</v>
      </c>
      <c r="EA537" s="408">
        <v>0</v>
      </c>
      <c r="EB537" s="408">
        <v>0</v>
      </c>
      <c r="EC537" s="408">
        <v>-18.810131668724061</v>
      </c>
      <c r="ED537" s="408">
        <v>0</v>
      </c>
      <c r="EE537" s="408">
        <v>0</v>
      </c>
      <c r="EF537" s="408">
        <v>0</v>
      </c>
      <c r="EG537" s="408">
        <v>0</v>
      </c>
      <c r="EH537" s="408">
        <v>0</v>
      </c>
      <c r="EI537" s="408">
        <v>0</v>
      </c>
      <c r="EJ537" s="408">
        <v>0</v>
      </c>
      <c r="EK537" s="408">
        <v>0</v>
      </c>
      <c r="EL537" s="408">
        <v>0</v>
      </c>
      <c r="EM537" s="408">
        <v>0</v>
      </c>
      <c r="EN537" s="408">
        <v>0</v>
      </c>
      <c r="EO537" s="408">
        <v>0</v>
      </c>
      <c r="EP537" s="408">
        <v>0</v>
      </c>
      <c r="EQ537" s="408">
        <v>0</v>
      </c>
      <c r="ER537" s="408">
        <v>0</v>
      </c>
      <c r="ES537" s="408">
        <v>0</v>
      </c>
      <c r="ET537" s="408">
        <v>0</v>
      </c>
      <c r="EU537" s="408">
        <v>0</v>
      </c>
      <c r="EV537" s="408">
        <v>238</v>
      </c>
      <c r="EW537" s="408">
        <v>0</v>
      </c>
      <c r="EX537" s="408">
        <v>0</v>
      </c>
      <c r="EY537" s="408">
        <v>0</v>
      </c>
      <c r="EZ537" s="408"/>
      <c r="FA537" s="408">
        <v>0</v>
      </c>
      <c r="FB537" s="408"/>
      <c r="FC537" s="408"/>
      <c r="FD537" s="408"/>
      <c r="FE537" s="408"/>
      <c r="FF537" s="408">
        <v>0</v>
      </c>
      <c r="FG537" s="408">
        <v>0</v>
      </c>
      <c r="FH537" s="408">
        <v>0</v>
      </c>
      <c r="FI537" s="408">
        <v>0</v>
      </c>
    </row>
    <row r="538" spans="1:165">
      <c r="A538" s="408">
        <v>542</v>
      </c>
      <c r="B538" s="408" t="s">
        <v>1036</v>
      </c>
      <c r="C538" s="408" t="s">
        <v>2235</v>
      </c>
      <c r="D538" s="408" t="s">
        <v>1955</v>
      </c>
      <c r="E538" s="408" t="s">
        <v>969</v>
      </c>
      <c r="F538" s="408" t="s">
        <v>2240</v>
      </c>
      <c r="G538" s="408" t="s">
        <v>1322</v>
      </c>
      <c r="H538" s="408" t="s">
        <v>1322</v>
      </c>
      <c r="I538" s="408" t="s">
        <v>1322</v>
      </c>
      <c r="J538" s="408" t="s">
        <v>2236</v>
      </c>
      <c r="K538" s="824">
        <v>44652</v>
      </c>
      <c r="L538" s="408">
        <v>0</v>
      </c>
      <c r="M538" s="408">
        <v>0</v>
      </c>
      <c r="N538" s="408">
        <v>113.15600000000001</v>
      </c>
      <c r="O538" s="408">
        <v>113.15600000000001</v>
      </c>
      <c r="P538" s="408">
        <v>113.15600000000001</v>
      </c>
      <c r="Q538" s="408">
        <v>113.15600000000001</v>
      </c>
      <c r="R538" s="408"/>
      <c r="S538" s="408">
        <v>510.28</v>
      </c>
      <c r="T538" s="408">
        <v>209.4</v>
      </c>
      <c r="U538" s="408"/>
      <c r="V538" s="408">
        <v>81436.110079999999</v>
      </c>
      <c r="W538" s="408">
        <v>81436.110079999999</v>
      </c>
      <c r="X538" s="408">
        <v>60451.329880000005</v>
      </c>
      <c r="Y538" s="408">
        <v>0</v>
      </c>
      <c r="Z538" s="408">
        <v>0</v>
      </c>
      <c r="AA538" s="408">
        <v>0</v>
      </c>
      <c r="AB538" s="408">
        <v>0</v>
      </c>
      <c r="AC538" s="408">
        <v>0</v>
      </c>
      <c r="AD538" s="408">
        <v>8395.1731805151849</v>
      </c>
      <c r="AE538" s="408">
        <v>43610.923472202325</v>
      </c>
      <c r="AF538" s="408">
        <v>23383.771790729228</v>
      </c>
      <c r="AG538" s="408">
        <v>311.51450348765059</v>
      </c>
      <c r="AH538" s="408">
        <v>0</v>
      </c>
      <c r="AI538" s="408">
        <v>0</v>
      </c>
      <c r="AJ538" s="408">
        <v>0</v>
      </c>
      <c r="AK538" s="408">
        <v>0</v>
      </c>
      <c r="AL538" s="408">
        <v>0</v>
      </c>
      <c r="AM538" s="408"/>
      <c r="AN538" s="408">
        <v>206.27935012193163</v>
      </c>
      <c r="AO538" s="408">
        <v>644.93044658271208</v>
      </c>
      <c r="AP538" s="408">
        <v>971.46575630139557</v>
      </c>
      <c r="AQ538" s="408">
        <v>0</v>
      </c>
      <c r="AR538" s="408">
        <v>0</v>
      </c>
      <c r="AS538" s="408">
        <v>0</v>
      </c>
      <c r="AT538" s="408">
        <v>0</v>
      </c>
      <c r="AU538" s="408">
        <v>0</v>
      </c>
      <c r="AV538" s="408">
        <v>0</v>
      </c>
      <c r="AW538" s="408">
        <v>0</v>
      </c>
      <c r="AX538" s="408">
        <v>0</v>
      </c>
      <c r="AY538" s="408">
        <v>0</v>
      </c>
      <c r="AZ538" s="408">
        <v>0</v>
      </c>
      <c r="BA538" s="408"/>
      <c r="BB538" s="408">
        <v>0</v>
      </c>
      <c r="BC538" s="408">
        <v>0</v>
      </c>
      <c r="BD538" s="408">
        <v>0</v>
      </c>
      <c r="BE538" s="408">
        <v>0</v>
      </c>
      <c r="BF538" s="408">
        <v>0</v>
      </c>
      <c r="BG538" s="408">
        <v>3912.0613069099563</v>
      </c>
      <c r="BH538" s="408">
        <v>0</v>
      </c>
      <c r="BI538" s="408">
        <v>89.15</v>
      </c>
      <c r="BJ538" s="408">
        <v>426.78</v>
      </c>
      <c r="BK538" s="408">
        <v>12183.66</v>
      </c>
      <c r="BL538" s="408">
        <v>453</v>
      </c>
      <c r="BM538" s="408"/>
      <c r="BN538" s="408"/>
      <c r="BO538" s="408"/>
      <c r="BP538" s="408"/>
      <c r="BQ538" s="408"/>
      <c r="BR538" s="408"/>
      <c r="BS538" s="408"/>
      <c r="BT538" s="408">
        <v>24180.305639999999</v>
      </c>
      <c r="BU538" s="408"/>
      <c r="BV538" s="408">
        <v>27295.833097639184</v>
      </c>
      <c r="BW538" s="408"/>
      <c r="BX538" s="408"/>
      <c r="BY538" s="408"/>
      <c r="BZ538" s="408"/>
      <c r="CA538" s="408"/>
      <c r="CB538" s="408"/>
      <c r="CC538" s="408"/>
      <c r="CD538" s="408"/>
      <c r="CE538" s="408"/>
      <c r="CF538" s="408"/>
      <c r="CG538" s="408"/>
      <c r="CH538" s="408"/>
      <c r="CI538" s="408">
        <v>36272.306400000001</v>
      </c>
      <c r="CJ538" s="408">
        <v>-12589.61596000001</v>
      </c>
      <c r="CK538" s="408"/>
      <c r="CL538" s="408"/>
      <c r="CM538" s="408"/>
      <c r="CN538" s="408"/>
      <c r="CO538" s="408">
        <v>-23568.131679999999</v>
      </c>
      <c r="CP538" s="408">
        <v>2583.3514799999984</v>
      </c>
      <c r="CQ538" s="408">
        <v>30</v>
      </c>
      <c r="CR538" s="408">
        <v>3480.2236193872814</v>
      </c>
      <c r="CS538" s="408">
        <v>77.863762347802094</v>
      </c>
      <c r="CT538" s="408">
        <v>117.28703332038697</v>
      </c>
      <c r="CU538" s="408">
        <v>0</v>
      </c>
      <c r="CV538" s="408">
        <v>0</v>
      </c>
      <c r="CW538" s="408">
        <v>0</v>
      </c>
      <c r="CX538" s="408">
        <v>0</v>
      </c>
      <c r="CY538" s="408">
        <v>0</v>
      </c>
      <c r="CZ538" s="408">
        <v>275.21424185544856</v>
      </c>
      <c r="DA538" s="408">
        <v>0</v>
      </c>
      <c r="DB538" s="408">
        <v>0</v>
      </c>
      <c r="DC538" s="408">
        <v>2582.5689074023903</v>
      </c>
      <c r="DD538" s="408">
        <v>0</v>
      </c>
      <c r="DE538" s="408">
        <v>0</v>
      </c>
      <c r="DF538" s="408">
        <v>0</v>
      </c>
      <c r="DG538" s="408">
        <v>432.05895034789683</v>
      </c>
      <c r="DH538" s="408">
        <v>0</v>
      </c>
      <c r="DI538" s="408">
        <v>0</v>
      </c>
      <c r="DJ538" s="408"/>
      <c r="DK538" s="408">
        <v>0</v>
      </c>
      <c r="DL538" s="408">
        <v>0</v>
      </c>
      <c r="DM538" s="408">
        <v>0</v>
      </c>
      <c r="DN538" s="408">
        <v>0</v>
      </c>
      <c r="DO538" s="408">
        <v>0</v>
      </c>
      <c r="DP538" s="408">
        <v>-4.7692758866351994</v>
      </c>
      <c r="DQ538" s="408">
        <v>0</v>
      </c>
      <c r="DR538" s="408">
        <v>0</v>
      </c>
      <c r="DS538" s="408"/>
      <c r="DT538" s="408"/>
      <c r="DU538" s="408"/>
      <c r="DV538" s="408">
        <v>43610.923472202325</v>
      </c>
      <c r="DW538" s="408">
        <v>0</v>
      </c>
      <c r="DX538" s="408">
        <v>0</v>
      </c>
      <c r="DY538" s="408">
        <v>-23568.131679999999</v>
      </c>
      <c r="DZ538" s="408">
        <v>2583.3514799999975</v>
      </c>
      <c r="EA538" s="408">
        <v>0</v>
      </c>
      <c r="EB538" s="408">
        <v>0</v>
      </c>
      <c r="EC538" s="408">
        <v>-24465.278840300456</v>
      </c>
      <c r="ED538" s="408">
        <v>0</v>
      </c>
      <c r="EE538" s="408">
        <v>0</v>
      </c>
      <c r="EF538" s="408">
        <v>0</v>
      </c>
      <c r="EG538" s="408">
        <v>0</v>
      </c>
      <c r="EH538" s="408">
        <v>0</v>
      </c>
      <c r="EI538" s="408">
        <v>0</v>
      </c>
      <c r="EJ538" s="408">
        <v>0</v>
      </c>
      <c r="EK538" s="408">
        <v>0</v>
      </c>
      <c r="EL538" s="408">
        <v>0</v>
      </c>
      <c r="EM538" s="408">
        <v>0</v>
      </c>
      <c r="EN538" s="408">
        <v>0</v>
      </c>
      <c r="EO538" s="408">
        <v>0</v>
      </c>
      <c r="EP538" s="408">
        <v>0</v>
      </c>
      <c r="EQ538" s="408">
        <v>0</v>
      </c>
      <c r="ER538" s="408">
        <v>0</v>
      </c>
      <c r="ES538" s="408">
        <v>0</v>
      </c>
      <c r="ET538" s="408">
        <v>0</v>
      </c>
      <c r="EU538" s="408">
        <v>0</v>
      </c>
      <c r="EV538" s="408">
        <v>238</v>
      </c>
      <c r="EW538" s="408">
        <v>0</v>
      </c>
      <c r="EX538" s="408">
        <v>0</v>
      </c>
      <c r="EY538" s="408">
        <v>0</v>
      </c>
      <c r="EZ538" s="408"/>
      <c r="FA538" s="408">
        <v>0</v>
      </c>
      <c r="FB538" s="408"/>
      <c r="FC538" s="408"/>
      <c r="FD538" s="408"/>
      <c r="FE538" s="408"/>
      <c r="FF538" s="408">
        <v>0</v>
      </c>
      <c r="FG538" s="408">
        <v>0</v>
      </c>
      <c r="FH538" s="408">
        <v>0</v>
      </c>
      <c r="FI538" s="408">
        <v>0</v>
      </c>
    </row>
    <row r="539" spans="1:165">
      <c r="A539" s="408">
        <v>543</v>
      </c>
      <c r="B539" s="408" t="s">
        <v>2238</v>
      </c>
      <c r="C539" s="408" t="s">
        <v>2235</v>
      </c>
      <c r="D539" s="408" t="s">
        <v>1955</v>
      </c>
      <c r="E539" s="408" t="s">
        <v>969</v>
      </c>
      <c r="F539" s="408" t="s">
        <v>2240</v>
      </c>
      <c r="G539" s="408" t="s">
        <v>1322</v>
      </c>
      <c r="H539" s="408" t="s">
        <v>1322</v>
      </c>
      <c r="I539" s="408" t="s">
        <v>1322</v>
      </c>
      <c r="J539" s="408" t="s">
        <v>2236</v>
      </c>
      <c r="K539" s="824">
        <v>44652</v>
      </c>
      <c r="L539" s="408">
        <v>0</v>
      </c>
      <c r="M539" s="408">
        <v>0</v>
      </c>
      <c r="N539" s="408">
        <v>0</v>
      </c>
      <c r="O539" s="408">
        <v>0</v>
      </c>
      <c r="P539" s="408">
        <v>0</v>
      </c>
      <c r="Q539" s="408">
        <v>0</v>
      </c>
      <c r="R539" s="408"/>
      <c r="S539" s="408"/>
      <c r="T539" s="408"/>
      <c r="U539" s="408"/>
      <c r="V539" s="408"/>
      <c r="W539" s="408"/>
      <c r="X539" s="408"/>
      <c r="Y539" s="408"/>
      <c r="Z539" s="408"/>
      <c r="AA539" s="408">
        <v>0</v>
      </c>
      <c r="AB539" s="408"/>
      <c r="AC539" s="408"/>
      <c r="AD539" s="408"/>
      <c r="AE539" s="408"/>
      <c r="AF539" s="408"/>
      <c r="AG539" s="408"/>
      <c r="AH539" s="408"/>
      <c r="AI539" s="408"/>
      <c r="AJ539" s="408"/>
      <c r="AK539" s="408"/>
      <c r="AL539" s="408"/>
      <c r="AM539" s="408"/>
      <c r="AN539" s="408"/>
      <c r="AO539" s="408"/>
      <c r="AP539" s="408"/>
      <c r="AQ539" s="408"/>
      <c r="AR539" s="408"/>
      <c r="AS539" s="408"/>
      <c r="AT539" s="408"/>
      <c r="AU539" s="408"/>
      <c r="AV539" s="408"/>
      <c r="AW539" s="408"/>
      <c r="AX539" s="408"/>
      <c r="AY539" s="408"/>
      <c r="AZ539" s="408">
        <v>0</v>
      </c>
      <c r="BA539" s="408"/>
      <c r="BB539" s="408"/>
      <c r="BC539" s="408"/>
      <c r="BD539" s="408"/>
      <c r="BE539" s="408"/>
      <c r="BF539" s="408"/>
      <c r="BG539" s="408"/>
      <c r="BH539" s="408"/>
      <c r="BI539" s="408">
        <v>0</v>
      </c>
      <c r="BJ539" s="408">
        <v>0</v>
      </c>
      <c r="BK539" s="408">
        <v>45.76</v>
      </c>
      <c r="BL539" s="408">
        <v>0</v>
      </c>
      <c r="BM539" s="408"/>
      <c r="BN539" s="408"/>
      <c r="BO539" s="408"/>
      <c r="BP539" s="408"/>
      <c r="BQ539" s="408"/>
      <c r="BR539" s="408"/>
      <c r="BS539" s="408"/>
      <c r="BT539" s="408"/>
      <c r="BU539" s="408"/>
      <c r="BV539" s="408"/>
      <c r="BW539" s="408"/>
      <c r="BX539" s="408"/>
      <c r="BY539" s="408"/>
      <c r="BZ539" s="408"/>
      <c r="CA539" s="408"/>
      <c r="CB539" s="408"/>
      <c r="CC539" s="408"/>
      <c r="CD539" s="408"/>
      <c r="CE539" s="408"/>
      <c r="CF539" s="408"/>
      <c r="CG539" s="408"/>
      <c r="CH539" s="408"/>
      <c r="CI539" s="408"/>
      <c r="CJ539" s="408">
        <v>-0.03</v>
      </c>
      <c r="CK539" s="408"/>
      <c r="CL539" s="408"/>
      <c r="CM539" s="408"/>
      <c r="CN539" s="408"/>
      <c r="CO539" s="408">
        <v>0</v>
      </c>
      <c r="CP539" s="408">
        <v>0</v>
      </c>
      <c r="CQ539" s="408">
        <v>30</v>
      </c>
      <c r="CR539" s="408"/>
      <c r="CS539" s="408"/>
      <c r="CT539" s="408"/>
      <c r="CU539" s="408"/>
      <c r="CV539" s="408"/>
      <c r="CW539" s="408"/>
      <c r="CX539" s="408"/>
      <c r="CY539" s="408"/>
      <c r="CZ539" s="408"/>
      <c r="DA539" s="408"/>
      <c r="DB539" s="408"/>
      <c r="DC539" s="408"/>
      <c r="DD539" s="408"/>
      <c r="DE539" s="408"/>
      <c r="DF539" s="408"/>
      <c r="DG539" s="408"/>
      <c r="DH539" s="408"/>
      <c r="DI539" s="408"/>
      <c r="DJ539" s="408"/>
      <c r="DK539" s="408">
        <v>0</v>
      </c>
      <c r="DL539" s="408"/>
      <c r="DM539" s="408"/>
      <c r="DN539" s="408"/>
      <c r="DO539" s="408"/>
      <c r="DP539" s="408"/>
      <c r="DQ539" s="408"/>
      <c r="DR539" s="408"/>
      <c r="DS539" s="408"/>
      <c r="DT539" s="408"/>
      <c r="DU539" s="408"/>
      <c r="DV539" s="408"/>
      <c r="DW539" s="408"/>
      <c r="DX539" s="408"/>
      <c r="DY539" s="408"/>
      <c r="DZ539" s="408"/>
      <c r="EA539" s="408"/>
      <c r="EB539" s="408"/>
      <c r="EC539" s="408"/>
      <c r="ED539" s="408"/>
      <c r="EE539" s="408"/>
      <c r="EF539" s="408"/>
      <c r="EG539" s="408"/>
      <c r="EH539" s="408"/>
      <c r="EI539" s="408"/>
      <c r="EJ539" s="408"/>
      <c r="EK539" s="408"/>
      <c r="EL539" s="408"/>
      <c r="EM539" s="408"/>
      <c r="EN539" s="408"/>
      <c r="EO539" s="408"/>
      <c r="EP539" s="408"/>
      <c r="EQ539" s="408"/>
      <c r="ER539" s="408"/>
      <c r="ES539" s="408"/>
      <c r="ET539" s="408"/>
      <c r="EU539" s="408"/>
      <c r="EV539" s="408">
        <v>238</v>
      </c>
      <c r="EW539" s="408"/>
      <c r="EX539" s="408"/>
      <c r="EY539" s="408"/>
      <c r="EZ539" s="408"/>
      <c r="FA539" s="408">
        <v>0</v>
      </c>
      <c r="FB539" s="408"/>
      <c r="FC539" s="408"/>
      <c r="FD539" s="408"/>
      <c r="FE539" s="408"/>
      <c r="FF539" s="408">
        <v>0</v>
      </c>
      <c r="FG539" s="408">
        <v>0</v>
      </c>
      <c r="FH539" s="408">
        <v>0</v>
      </c>
      <c r="FI539" s="408">
        <v>0</v>
      </c>
    </row>
    <row r="540" spans="1:165">
      <c r="A540" s="408">
        <v>544</v>
      </c>
      <c r="B540" s="408" t="s">
        <v>1036</v>
      </c>
      <c r="C540" s="408" t="s">
        <v>2235</v>
      </c>
      <c r="D540" s="408" t="s">
        <v>1955</v>
      </c>
      <c r="E540" s="408" t="s">
        <v>969</v>
      </c>
      <c r="F540" s="408" t="s">
        <v>2241</v>
      </c>
      <c r="G540" s="408" t="s">
        <v>1322</v>
      </c>
      <c r="H540" s="408" t="s">
        <v>1322</v>
      </c>
      <c r="I540" s="408" t="s">
        <v>1322</v>
      </c>
      <c r="J540" s="408" t="s">
        <v>2236</v>
      </c>
      <c r="K540" s="824">
        <v>44652</v>
      </c>
      <c r="L540" s="408">
        <v>0</v>
      </c>
      <c r="M540" s="408">
        <v>0</v>
      </c>
      <c r="N540" s="408">
        <v>94.83</v>
      </c>
      <c r="O540" s="408">
        <v>94.83</v>
      </c>
      <c r="P540" s="408">
        <v>94.83</v>
      </c>
      <c r="Q540" s="408">
        <v>94.83</v>
      </c>
      <c r="R540" s="408"/>
      <c r="S540" s="408">
        <v>510.28</v>
      </c>
      <c r="T540" s="408">
        <v>209.4</v>
      </c>
      <c r="U540" s="408"/>
      <c r="V540" s="408">
        <v>68247.254400000005</v>
      </c>
      <c r="W540" s="408">
        <v>68247.254400000005</v>
      </c>
      <c r="X540" s="408">
        <v>50661.030899999998</v>
      </c>
      <c r="Y540" s="408">
        <v>0</v>
      </c>
      <c r="Z540" s="408">
        <v>0</v>
      </c>
      <c r="AA540" s="408">
        <v>0</v>
      </c>
      <c r="AB540" s="408">
        <v>0</v>
      </c>
      <c r="AC540" s="408">
        <v>0</v>
      </c>
      <c r="AD540" s="408">
        <v>7035.5462609870883</v>
      </c>
      <c r="AE540" s="408">
        <v>36547.985726509825</v>
      </c>
      <c r="AF540" s="408">
        <v>19596.690223362901</v>
      </c>
      <c r="AG540" s="408">
        <v>261.06366755394237</v>
      </c>
      <c r="AH540" s="408">
        <v>0</v>
      </c>
      <c r="AI540" s="408">
        <v>0</v>
      </c>
      <c r="AJ540" s="408">
        <v>0</v>
      </c>
      <c r="AK540" s="408">
        <v>0</v>
      </c>
      <c r="AL540" s="408">
        <v>0</v>
      </c>
      <c r="AM540" s="408"/>
      <c r="AN540" s="408">
        <v>172.87170607005174</v>
      </c>
      <c r="AO540" s="408">
        <v>540.48176189895878</v>
      </c>
      <c r="AP540" s="408">
        <v>814.13356490209389</v>
      </c>
      <c r="AQ540" s="408">
        <v>0</v>
      </c>
      <c r="AR540" s="408">
        <v>0</v>
      </c>
      <c r="AS540" s="408">
        <v>0</v>
      </c>
      <c r="AT540" s="408">
        <v>0</v>
      </c>
      <c r="AU540" s="408">
        <v>0</v>
      </c>
      <c r="AV540" s="408">
        <v>0</v>
      </c>
      <c r="AW540" s="408">
        <v>0</v>
      </c>
      <c r="AX540" s="408">
        <v>0</v>
      </c>
      <c r="AY540" s="408">
        <v>0</v>
      </c>
      <c r="AZ540" s="408">
        <v>0</v>
      </c>
      <c r="BA540" s="408"/>
      <c r="BB540" s="408">
        <v>0</v>
      </c>
      <c r="BC540" s="408">
        <v>0</v>
      </c>
      <c r="BD540" s="408">
        <v>0</v>
      </c>
      <c r="BE540" s="408">
        <v>0</v>
      </c>
      <c r="BF540" s="408">
        <v>0</v>
      </c>
      <c r="BG540" s="408">
        <v>3278.489640268931</v>
      </c>
      <c r="BH540" s="408">
        <v>0</v>
      </c>
      <c r="BI540" s="408">
        <v>116.62</v>
      </c>
      <c r="BJ540" s="408">
        <v>538.25</v>
      </c>
      <c r="BK540" s="408">
        <v>15414.42</v>
      </c>
      <c r="BL540" s="408">
        <v>1019</v>
      </c>
      <c r="BM540" s="408"/>
      <c r="BN540" s="408"/>
      <c r="BO540" s="408"/>
      <c r="BP540" s="408"/>
      <c r="BQ540" s="408"/>
      <c r="BR540" s="408"/>
      <c r="BS540" s="408"/>
      <c r="BT540" s="408">
        <v>5066.7668999999987</v>
      </c>
      <c r="BU540" s="408"/>
      <c r="BV540" s="408">
        <v>22875.179863631831</v>
      </c>
      <c r="BW540" s="408"/>
      <c r="BX540" s="408"/>
      <c r="BY540" s="408"/>
      <c r="BZ540" s="408"/>
      <c r="CA540" s="408"/>
      <c r="CB540" s="408"/>
      <c r="CC540" s="408"/>
      <c r="CD540" s="408"/>
      <c r="CE540" s="408"/>
      <c r="CF540" s="408"/>
      <c r="CG540" s="408"/>
      <c r="CH540" s="408"/>
      <c r="CI540" s="408">
        <v>45594.264000000003</v>
      </c>
      <c r="CJ540" s="408">
        <v>-15828.105300000003</v>
      </c>
      <c r="CK540" s="408"/>
      <c r="CL540" s="408"/>
      <c r="CM540" s="408"/>
      <c r="CN540" s="408"/>
      <c r="CO540" s="408">
        <v>-19751.192399999996</v>
      </c>
      <c r="CP540" s="408">
        <v>2164.9688999999985</v>
      </c>
      <c r="CQ540" s="408">
        <v>30</v>
      </c>
      <c r="CR540" s="408">
        <v>2916.5895385706208</v>
      </c>
      <c r="CS540" s="408">
        <v>65.253460562781243</v>
      </c>
      <c r="CT540" s="408">
        <v>98.291998389588684</v>
      </c>
      <c r="CU540" s="408">
        <v>0</v>
      </c>
      <c r="CV540" s="408">
        <v>0</v>
      </c>
      <c r="CW540" s="408">
        <v>0</v>
      </c>
      <c r="CX540" s="408">
        <v>0</v>
      </c>
      <c r="CY540" s="408">
        <v>0</v>
      </c>
      <c r="CZ540" s="408">
        <v>230.64235705708961</v>
      </c>
      <c r="DA540" s="408">
        <v>0</v>
      </c>
      <c r="DB540" s="408">
        <v>0</v>
      </c>
      <c r="DC540" s="408">
        <v>2164.3130677027184</v>
      </c>
      <c r="DD540" s="408">
        <v>0</v>
      </c>
      <c r="DE540" s="408">
        <v>0</v>
      </c>
      <c r="DF540" s="408">
        <v>0</v>
      </c>
      <c r="DG540" s="408">
        <v>362.08553025461288</v>
      </c>
      <c r="DH540" s="408">
        <v>0</v>
      </c>
      <c r="DI540" s="408">
        <v>0</v>
      </c>
      <c r="DJ540" s="408"/>
      <c r="DK540" s="408">
        <v>0</v>
      </c>
      <c r="DL540" s="408">
        <v>0</v>
      </c>
      <c r="DM540" s="408">
        <v>0</v>
      </c>
      <c r="DN540" s="408">
        <v>0</v>
      </c>
      <c r="DO540" s="408">
        <v>0</v>
      </c>
      <c r="DP540" s="408">
        <v>-3.9968753961753407</v>
      </c>
      <c r="DQ540" s="408">
        <v>0</v>
      </c>
      <c r="DR540" s="408">
        <v>0</v>
      </c>
      <c r="DS540" s="408"/>
      <c r="DT540" s="408"/>
      <c r="DU540" s="408"/>
      <c r="DV540" s="408">
        <v>36547.985726509825</v>
      </c>
      <c r="DW540" s="408">
        <v>0</v>
      </c>
      <c r="DX540" s="408">
        <v>0</v>
      </c>
      <c r="DY540" s="408">
        <v>-19751.192399999996</v>
      </c>
      <c r="DZ540" s="408">
        <v>2164.9688999999962</v>
      </c>
      <c r="EA540" s="408">
        <v>0</v>
      </c>
      <c r="EB540" s="408">
        <v>0</v>
      </c>
      <c r="EC540" s="408">
        <v>-20503.043518909217</v>
      </c>
      <c r="ED540" s="408">
        <v>0</v>
      </c>
      <c r="EE540" s="408">
        <v>0</v>
      </c>
      <c r="EF540" s="408">
        <v>0</v>
      </c>
      <c r="EG540" s="408">
        <v>0</v>
      </c>
      <c r="EH540" s="408">
        <v>0</v>
      </c>
      <c r="EI540" s="408">
        <v>0</v>
      </c>
      <c r="EJ540" s="408">
        <v>0</v>
      </c>
      <c r="EK540" s="408">
        <v>0</v>
      </c>
      <c r="EL540" s="408">
        <v>0</v>
      </c>
      <c r="EM540" s="408">
        <v>0</v>
      </c>
      <c r="EN540" s="408">
        <v>0</v>
      </c>
      <c r="EO540" s="408">
        <v>0</v>
      </c>
      <c r="EP540" s="408">
        <v>0</v>
      </c>
      <c r="EQ540" s="408">
        <v>0</v>
      </c>
      <c r="ER540" s="408">
        <v>0</v>
      </c>
      <c r="ES540" s="408">
        <v>0</v>
      </c>
      <c r="ET540" s="408">
        <v>0</v>
      </c>
      <c r="EU540" s="408">
        <v>0</v>
      </c>
      <c r="EV540" s="408">
        <v>238</v>
      </c>
      <c r="EW540" s="408">
        <v>0</v>
      </c>
      <c r="EX540" s="408">
        <v>0</v>
      </c>
      <c r="EY540" s="408">
        <v>0</v>
      </c>
      <c r="EZ540" s="408"/>
      <c r="FA540" s="408">
        <v>0</v>
      </c>
      <c r="FB540" s="408"/>
      <c r="FC540" s="408"/>
      <c r="FD540" s="408"/>
      <c r="FE540" s="408"/>
      <c r="FF540" s="408">
        <v>0</v>
      </c>
      <c r="FG540" s="408">
        <v>0</v>
      </c>
      <c r="FH540" s="408">
        <v>0</v>
      </c>
      <c r="FI540" s="408">
        <v>0</v>
      </c>
    </row>
    <row r="541" spans="1:165">
      <c r="A541" s="408">
        <v>545</v>
      </c>
      <c r="B541" s="408" t="s">
        <v>2238</v>
      </c>
      <c r="C541" s="408" t="s">
        <v>2235</v>
      </c>
      <c r="D541" s="408" t="s">
        <v>1955</v>
      </c>
      <c r="E541" s="408" t="s">
        <v>969</v>
      </c>
      <c r="F541" s="408" t="s">
        <v>2241</v>
      </c>
      <c r="G541" s="408" t="s">
        <v>1322</v>
      </c>
      <c r="H541" s="408" t="s">
        <v>1322</v>
      </c>
      <c r="I541" s="408" t="s">
        <v>1322</v>
      </c>
      <c r="J541" s="408" t="s">
        <v>2236</v>
      </c>
      <c r="K541" s="824">
        <v>44652</v>
      </c>
      <c r="L541" s="408">
        <v>0</v>
      </c>
      <c r="M541" s="408">
        <v>0</v>
      </c>
      <c r="N541" s="408">
        <v>0</v>
      </c>
      <c r="O541" s="408">
        <v>0</v>
      </c>
      <c r="P541" s="408">
        <v>0</v>
      </c>
      <c r="Q541" s="408">
        <v>0</v>
      </c>
      <c r="R541" s="408"/>
      <c r="S541" s="408"/>
      <c r="T541" s="408"/>
      <c r="U541" s="408"/>
      <c r="V541" s="408"/>
      <c r="W541" s="408"/>
      <c r="X541" s="408"/>
      <c r="Y541" s="408"/>
      <c r="Z541" s="408"/>
      <c r="AA541" s="408">
        <v>0</v>
      </c>
      <c r="AB541" s="408"/>
      <c r="AC541" s="408"/>
      <c r="AD541" s="408"/>
      <c r="AE541" s="408"/>
      <c r="AF541" s="408"/>
      <c r="AG541" s="408"/>
      <c r="AH541" s="408"/>
      <c r="AI541" s="408"/>
      <c r="AJ541" s="408"/>
      <c r="AK541" s="408"/>
      <c r="AL541" s="408"/>
      <c r="AM541" s="408"/>
      <c r="AN541" s="408"/>
      <c r="AO541" s="408"/>
      <c r="AP541" s="408"/>
      <c r="AQ541" s="408"/>
      <c r="AR541" s="408"/>
      <c r="AS541" s="408"/>
      <c r="AT541" s="408"/>
      <c r="AU541" s="408"/>
      <c r="AV541" s="408"/>
      <c r="AW541" s="408"/>
      <c r="AX541" s="408"/>
      <c r="AY541" s="408"/>
      <c r="AZ541" s="408">
        <v>0</v>
      </c>
      <c r="BA541" s="408"/>
      <c r="BB541" s="408"/>
      <c r="BC541" s="408"/>
      <c r="BD541" s="408"/>
      <c r="BE541" s="408"/>
      <c r="BF541" s="408"/>
      <c r="BG541" s="408"/>
      <c r="BH541" s="408"/>
      <c r="BI541" s="408">
        <v>0</v>
      </c>
      <c r="BJ541" s="408">
        <v>0</v>
      </c>
      <c r="BK541" s="408">
        <v>89.21</v>
      </c>
      <c r="BL541" s="408">
        <v>7</v>
      </c>
      <c r="BM541" s="408"/>
      <c r="BN541" s="408"/>
      <c r="BO541" s="408"/>
      <c r="BP541" s="408"/>
      <c r="BQ541" s="408"/>
      <c r="BR541" s="408"/>
      <c r="BS541" s="408"/>
      <c r="BT541" s="408"/>
      <c r="BU541" s="408"/>
      <c r="BV541" s="408"/>
      <c r="BW541" s="408"/>
      <c r="BX541" s="408"/>
      <c r="BY541" s="408"/>
      <c r="BZ541" s="408"/>
      <c r="CA541" s="408"/>
      <c r="CB541" s="408"/>
      <c r="CC541" s="408"/>
      <c r="CD541" s="408"/>
      <c r="CE541" s="408"/>
      <c r="CF541" s="408"/>
      <c r="CG541" s="408"/>
      <c r="CH541" s="408"/>
      <c r="CI541" s="408"/>
      <c r="CJ541" s="408">
        <v>-0.03</v>
      </c>
      <c r="CK541" s="408"/>
      <c r="CL541" s="408"/>
      <c r="CM541" s="408"/>
      <c r="CN541" s="408"/>
      <c r="CO541" s="408">
        <v>0</v>
      </c>
      <c r="CP541" s="408">
        <v>0</v>
      </c>
      <c r="CQ541" s="408">
        <v>30</v>
      </c>
      <c r="CR541" s="408"/>
      <c r="CS541" s="408"/>
      <c r="CT541" s="408"/>
      <c r="CU541" s="408"/>
      <c r="CV541" s="408"/>
      <c r="CW541" s="408"/>
      <c r="CX541" s="408"/>
      <c r="CY541" s="408"/>
      <c r="CZ541" s="408"/>
      <c r="DA541" s="408"/>
      <c r="DB541" s="408"/>
      <c r="DC541" s="408"/>
      <c r="DD541" s="408"/>
      <c r="DE541" s="408"/>
      <c r="DF541" s="408"/>
      <c r="DG541" s="408"/>
      <c r="DH541" s="408"/>
      <c r="DI541" s="408"/>
      <c r="DJ541" s="408"/>
      <c r="DK541" s="408">
        <v>0</v>
      </c>
      <c r="DL541" s="408"/>
      <c r="DM541" s="408"/>
      <c r="DN541" s="408"/>
      <c r="DO541" s="408"/>
      <c r="DP541" s="408"/>
      <c r="DQ541" s="408"/>
      <c r="DR541" s="408"/>
      <c r="DS541" s="408"/>
      <c r="DT541" s="408"/>
      <c r="DU541" s="408"/>
      <c r="DV541" s="408"/>
      <c r="DW541" s="408"/>
      <c r="DX541" s="408"/>
      <c r="DY541" s="408"/>
      <c r="DZ541" s="408"/>
      <c r="EA541" s="408"/>
      <c r="EB541" s="408"/>
      <c r="EC541" s="408"/>
      <c r="ED541" s="408"/>
      <c r="EE541" s="408"/>
      <c r="EF541" s="408"/>
      <c r="EG541" s="408"/>
      <c r="EH541" s="408"/>
      <c r="EI541" s="408"/>
      <c r="EJ541" s="408"/>
      <c r="EK541" s="408"/>
      <c r="EL541" s="408"/>
      <c r="EM541" s="408"/>
      <c r="EN541" s="408"/>
      <c r="EO541" s="408"/>
      <c r="EP541" s="408"/>
      <c r="EQ541" s="408"/>
      <c r="ER541" s="408"/>
      <c r="ES541" s="408"/>
      <c r="ET541" s="408"/>
      <c r="EU541" s="408"/>
      <c r="EV541" s="408">
        <v>238</v>
      </c>
      <c r="EW541" s="408"/>
      <c r="EX541" s="408"/>
      <c r="EY541" s="408"/>
      <c r="EZ541" s="408"/>
      <c r="FA541" s="408">
        <v>0</v>
      </c>
      <c r="FB541" s="408"/>
      <c r="FC541" s="408"/>
      <c r="FD541" s="408"/>
      <c r="FE541" s="408"/>
      <c r="FF541" s="408">
        <v>0</v>
      </c>
      <c r="FG541" s="408">
        <v>0</v>
      </c>
      <c r="FH541" s="408">
        <v>0</v>
      </c>
      <c r="FI541" s="408">
        <v>0</v>
      </c>
    </row>
    <row r="542" spans="1:165">
      <c r="A542" s="408">
        <v>546</v>
      </c>
      <c r="B542" s="408" t="s">
        <v>1036</v>
      </c>
      <c r="C542" s="408" t="s">
        <v>2235</v>
      </c>
      <c r="D542" s="408" t="s">
        <v>1955</v>
      </c>
      <c r="E542" s="408" t="s">
        <v>969</v>
      </c>
      <c r="F542" s="408" t="s">
        <v>2242</v>
      </c>
      <c r="G542" s="408" t="s">
        <v>1322</v>
      </c>
      <c r="H542" s="408" t="s">
        <v>1322</v>
      </c>
      <c r="I542" s="408" t="s">
        <v>1322</v>
      </c>
      <c r="J542" s="408" t="s">
        <v>2236</v>
      </c>
      <c r="K542" s="824">
        <v>44652</v>
      </c>
      <c r="L542" s="408">
        <v>0</v>
      </c>
      <c r="M542" s="408">
        <v>0</v>
      </c>
      <c r="N542" s="408">
        <v>25.356999999999999</v>
      </c>
      <c r="O542" s="408">
        <v>25.356999999999999</v>
      </c>
      <c r="P542" s="408">
        <v>25.356999999999999</v>
      </c>
      <c r="Q542" s="408">
        <v>25.356999999999999</v>
      </c>
      <c r="R542" s="408"/>
      <c r="S542" s="408">
        <v>510.28</v>
      </c>
      <c r="T542" s="408">
        <v>209.4</v>
      </c>
      <c r="U542" s="408"/>
      <c r="V542" s="408">
        <v>18248.925759999998</v>
      </c>
      <c r="W542" s="408">
        <v>18248.925759999998</v>
      </c>
      <c r="X542" s="408">
        <v>13546.470109999998</v>
      </c>
      <c r="Y542" s="408">
        <v>0</v>
      </c>
      <c r="Z542" s="408">
        <v>0</v>
      </c>
      <c r="AA542" s="408">
        <v>0</v>
      </c>
      <c r="AB542" s="408">
        <v>0</v>
      </c>
      <c r="AC542" s="408">
        <v>0</v>
      </c>
      <c r="AD542" s="408">
        <v>1881.2648585874681</v>
      </c>
      <c r="AE542" s="408">
        <v>9772.7224935896829</v>
      </c>
      <c r="AF542" s="408">
        <v>5240.0429610230212</v>
      </c>
      <c r="AG542" s="408">
        <v>69.806932596913597</v>
      </c>
      <c r="AH542" s="408">
        <v>0</v>
      </c>
      <c r="AI542" s="408">
        <v>0</v>
      </c>
      <c r="AJ542" s="408">
        <v>0</v>
      </c>
      <c r="AK542" s="408">
        <v>0</v>
      </c>
      <c r="AL542" s="408">
        <v>0</v>
      </c>
      <c r="AM542" s="408"/>
      <c r="AN542" s="408">
        <v>46.224906156472656</v>
      </c>
      <c r="AO542" s="408">
        <v>144.5217340132015</v>
      </c>
      <c r="AP542" s="408">
        <v>217.69466208185588</v>
      </c>
      <c r="AQ542" s="408">
        <v>0</v>
      </c>
      <c r="AR542" s="408">
        <v>0</v>
      </c>
      <c r="AS542" s="408">
        <v>0</v>
      </c>
      <c r="AT542" s="408">
        <v>0</v>
      </c>
      <c r="AU542" s="408">
        <v>0</v>
      </c>
      <c r="AV542" s="408">
        <v>0</v>
      </c>
      <c r="AW542" s="408">
        <v>0</v>
      </c>
      <c r="AX542" s="408">
        <v>0</v>
      </c>
      <c r="AY542" s="408">
        <v>0</v>
      </c>
      <c r="AZ542" s="408">
        <v>0</v>
      </c>
      <c r="BA542" s="408"/>
      <c r="BB542" s="408">
        <v>0</v>
      </c>
      <c r="BC542" s="408">
        <v>0</v>
      </c>
      <c r="BD542" s="408">
        <v>0</v>
      </c>
      <c r="BE542" s="408">
        <v>0</v>
      </c>
      <c r="BF542" s="408">
        <v>0</v>
      </c>
      <c r="BG542" s="408">
        <v>876.64939163027816</v>
      </c>
      <c r="BH542" s="408">
        <v>0</v>
      </c>
      <c r="BI542" s="408">
        <v>34.700000000000003</v>
      </c>
      <c r="BJ542" s="408">
        <v>160.28</v>
      </c>
      <c r="BK542" s="408">
        <v>4578.8999999999996</v>
      </c>
      <c r="BL542" s="408">
        <v>330</v>
      </c>
      <c r="BM542" s="408"/>
      <c r="BN542" s="408"/>
      <c r="BO542" s="408"/>
      <c r="BP542" s="408"/>
      <c r="BQ542" s="408"/>
      <c r="BR542" s="408"/>
      <c r="BS542" s="408"/>
      <c r="BT542" s="408"/>
      <c r="BU542" s="408"/>
      <c r="BV542" s="408">
        <v>6116.6923526532992</v>
      </c>
      <c r="BW542" s="408"/>
      <c r="BX542" s="408"/>
      <c r="BY542" s="408"/>
      <c r="BZ542" s="408"/>
      <c r="CA542" s="408"/>
      <c r="CB542" s="408"/>
      <c r="CC542" s="408"/>
      <c r="CD542" s="408"/>
      <c r="CE542" s="408"/>
      <c r="CF542" s="408"/>
      <c r="CG542" s="408"/>
      <c r="CH542" s="408"/>
      <c r="CI542" s="408">
        <v>13548.0728</v>
      </c>
      <c r="CJ542" s="408">
        <v>-4700.8829599999972</v>
      </c>
      <c r="CK542" s="408"/>
      <c r="CL542" s="408"/>
      <c r="CM542" s="408"/>
      <c r="CN542" s="408"/>
      <c r="CO542" s="408">
        <v>-5281.355959999999</v>
      </c>
      <c r="CP542" s="408">
        <v>578.90030999999954</v>
      </c>
      <c r="CQ542" s="408">
        <v>30</v>
      </c>
      <c r="CR542" s="408">
        <v>779.87937287287605</v>
      </c>
      <c r="CS542" s="408">
        <v>17.44840239892909</v>
      </c>
      <c r="CT542" s="408">
        <v>26.282718582355841</v>
      </c>
      <c r="CU542" s="408">
        <v>0</v>
      </c>
      <c r="CV542" s="408">
        <v>0</v>
      </c>
      <c r="CW542" s="408">
        <v>0</v>
      </c>
      <c r="CX542" s="408">
        <v>0</v>
      </c>
      <c r="CY542" s="408">
        <v>0</v>
      </c>
      <c r="CZ542" s="408">
        <v>61.672448042777887</v>
      </c>
      <c r="DA542" s="408">
        <v>0</v>
      </c>
      <c r="DB542" s="408">
        <v>0</v>
      </c>
      <c r="DC542" s="408">
        <v>578.72494419210943</v>
      </c>
      <c r="DD542" s="408">
        <v>0</v>
      </c>
      <c r="DE542" s="408">
        <v>0</v>
      </c>
      <c r="DF542" s="408">
        <v>0</v>
      </c>
      <c r="DG542" s="408">
        <v>96.819601293538199</v>
      </c>
      <c r="DH542" s="408">
        <v>0</v>
      </c>
      <c r="DI542" s="408">
        <v>0</v>
      </c>
      <c r="DJ542" s="408"/>
      <c r="DK542" s="408">
        <v>0</v>
      </c>
      <c r="DL542" s="408">
        <v>0</v>
      </c>
      <c r="DM542" s="408">
        <v>0</v>
      </c>
      <c r="DN542" s="408">
        <v>0</v>
      </c>
      <c r="DO542" s="408">
        <v>0</v>
      </c>
      <c r="DP542" s="408">
        <v>-1.0687416368324136</v>
      </c>
      <c r="DQ542" s="408">
        <v>0</v>
      </c>
      <c r="DR542" s="408">
        <v>0</v>
      </c>
      <c r="DS542" s="408"/>
      <c r="DT542" s="408"/>
      <c r="DU542" s="408"/>
      <c r="DV542" s="408">
        <v>9772.7224935896829</v>
      </c>
      <c r="DW542" s="408">
        <v>0</v>
      </c>
      <c r="DX542" s="408">
        <v>0</v>
      </c>
      <c r="DY542" s="408">
        <v>-5281.3559599999999</v>
      </c>
      <c r="DZ542" s="408">
        <v>578.90030999999999</v>
      </c>
      <c r="EA542" s="408">
        <v>0</v>
      </c>
      <c r="EB542" s="408">
        <v>0</v>
      </c>
      <c r="EC542" s="408">
        <v>-5482.3966519981132</v>
      </c>
      <c r="ED542" s="408">
        <v>0</v>
      </c>
      <c r="EE542" s="408">
        <v>0</v>
      </c>
      <c r="EF542" s="408">
        <v>0</v>
      </c>
      <c r="EG542" s="408">
        <v>0</v>
      </c>
      <c r="EH542" s="408">
        <v>0</v>
      </c>
      <c r="EI542" s="408">
        <v>0</v>
      </c>
      <c r="EJ542" s="408">
        <v>0</v>
      </c>
      <c r="EK542" s="408">
        <v>0</v>
      </c>
      <c r="EL542" s="408">
        <v>0</v>
      </c>
      <c r="EM542" s="408">
        <v>0</v>
      </c>
      <c r="EN542" s="408">
        <v>0</v>
      </c>
      <c r="EO542" s="408">
        <v>0</v>
      </c>
      <c r="EP542" s="408">
        <v>0</v>
      </c>
      <c r="EQ542" s="408">
        <v>0</v>
      </c>
      <c r="ER542" s="408">
        <v>0</v>
      </c>
      <c r="ES542" s="408">
        <v>0</v>
      </c>
      <c r="ET542" s="408">
        <v>0</v>
      </c>
      <c r="EU542" s="408">
        <v>0</v>
      </c>
      <c r="EV542" s="408">
        <v>238</v>
      </c>
      <c r="EW542" s="408">
        <v>0</v>
      </c>
      <c r="EX542" s="408">
        <v>0</v>
      </c>
      <c r="EY542" s="408">
        <v>0</v>
      </c>
      <c r="EZ542" s="408"/>
      <c r="FA542" s="408">
        <v>0</v>
      </c>
      <c r="FB542" s="408"/>
      <c r="FC542" s="408"/>
      <c r="FD542" s="408"/>
      <c r="FE542" s="408"/>
      <c r="FF542" s="408">
        <v>0</v>
      </c>
      <c r="FG542" s="408">
        <v>0</v>
      </c>
      <c r="FH542" s="408">
        <v>0</v>
      </c>
      <c r="FI542" s="408">
        <v>0</v>
      </c>
    </row>
    <row r="543" spans="1:165">
      <c r="A543" s="408">
        <v>547</v>
      </c>
      <c r="B543" s="408" t="s">
        <v>2238</v>
      </c>
      <c r="C543" s="408" t="s">
        <v>2235</v>
      </c>
      <c r="D543" s="408" t="s">
        <v>1955</v>
      </c>
      <c r="E543" s="408" t="s">
        <v>969</v>
      </c>
      <c r="F543" s="408" t="s">
        <v>2242</v>
      </c>
      <c r="G543" s="408" t="s">
        <v>1322</v>
      </c>
      <c r="H543" s="408" t="s">
        <v>1322</v>
      </c>
      <c r="I543" s="408" t="s">
        <v>1322</v>
      </c>
      <c r="J543" s="408" t="s">
        <v>2236</v>
      </c>
      <c r="K543" s="824">
        <v>44652</v>
      </c>
      <c r="L543" s="408">
        <v>0</v>
      </c>
      <c r="M543" s="408">
        <v>0</v>
      </c>
      <c r="N543" s="408">
        <v>0</v>
      </c>
      <c r="O543" s="408">
        <v>0</v>
      </c>
      <c r="P543" s="408">
        <v>0</v>
      </c>
      <c r="Q543" s="408">
        <v>0</v>
      </c>
      <c r="R543" s="408"/>
      <c r="S543" s="408"/>
      <c r="T543" s="408"/>
      <c r="U543" s="408"/>
      <c r="V543" s="408"/>
      <c r="W543" s="408"/>
      <c r="X543" s="408"/>
      <c r="Y543" s="408"/>
      <c r="Z543" s="408"/>
      <c r="AA543" s="408">
        <v>0</v>
      </c>
      <c r="AB543" s="408"/>
      <c r="AC543" s="408"/>
      <c r="AD543" s="408"/>
      <c r="AE543" s="408"/>
      <c r="AF543" s="408"/>
      <c r="AG543" s="408"/>
      <c r="AH543" s="408"/>
      <c r="AI543" s="408"/>
      <c r="AJ543" s="408"/>
      <c r="AK543" s="408"/>
      <c r="AL543" s="408"/>
      <c r="AM543" s="408"/>
      <c r="AN543" s="408"/>
      <c r="AO543" s="408"/>
      <c r="AP543" s="408"/>
      <c r="AQ543" s="408"/>
      <c r="AR543" s="408"/>
      <c r="AS543" s="408"/>
      <c r="AT543" s="408"/>
      <c r="AU543" s="408"/>
      <c r="AV543" s="408"/>
      <c r="AW543" s="408"/>
      <c r="AX543" s="408"/>
      <c r="AY543" s="408"/>
      <c r="AZ543" s="408">
        <v>0</v>
      </c>
      <c r="BA543" s="408"/>
      <c r="BB543" s="408"/>
      <c r="BC543" s="408"/>
      <c r="BD543" s="408"/>
      <c r="BE543" s="408"/>
      <c r="BF543" s="408"/>
      <c r="BG543" s="408"/>
      <c r="BH543" s="408"/>
      <c r="BI543" s="408">
        <v>0</v>
      </c>
      <c r="BJ543" s="408">
        <v>0</v>
      </c>
      <c r="BK543" s="408">
        <v>13.58</v>
      </c>
      <c r="BL543" s="408">
        <v>4</v>
      </c>
      <c r="BM543" s="408"/>
      <c r="BN543" s="408"/>
      <c r="BO543" s="408"/>
      <c r="BP543" s="408"/>
      <c r="BQ543" s="408"/>
      <c r="BR543" s="408"/>
      <c r="BS543" s="408"/>
      <c r="BT543" s="408"/>
      <c r="BU543" s="408"/>
      <c r="BV543" s="408"/>
      <c r="BW543" s="408"/>
      <c r="BX543" s="408"/>
      <c r="BY543" s="408"/>
      <c r="BZ543" s="408"/>
      <c r="CA543" s="408"/>
      <c r="CB543" s="408"/>
      <c r="CC543" s="408"/>
      <c r="CD543" s="408"/>
      <c r="CE543" s="408"/>
      <c r="CF543" s="408"/>
      <c r="CG543" s="408"/>
      <c r="CH543" s="408"/>
      <c r="CI543" s="408"/>
      <c r="CJ543" s="408">
        <v>-0.03</v>
      </c>
      <c r="CK543" s="408"/>
      <c r="CL543" s="408"/>
      <c r="CM543" s="408"/>
      <c r="CN543" s="408"/>
      <c r="CO543" s="408">
        <v>0</v>
      </c>
      <c r="CP543" s="408">
        <v>0</v>
      </c>
      <c r="CQ543" s="408">
        <v>30</v>
      </c>
      <c r="CR543" s="408"/>
      <c r="CS543" s="408"/>
      <c r="CT543" s="408"/>
      <c r="CU543" s="408"/>
      <c r="CV543" s="408"/>
      <c r="CW543" s="408"/>
      <c r="CX543" s="408"/>
      <c r="CY543" s="408"/>
      <c r="CZ543" s="408"/>
      <c r="DA543" s="408"/>
      <c r="DB543" s="408"/>
      <c r="DC543" s="408"/>
      <c r="DD543" s="408"/>
      <c r="DE543" s="408"/>
      <c r="DF543" s="408"/>
      <c r="DG543" s="408"/>
      <c r="DH543" s="408"/>
      <c r="DI543" s="408"/>
      <c r="DJ543" s="408"/>
      <c r="DK543" s="408">
        <v>0</v>
      </c>
      <c r="DL543" s="408"/>
      <c r="DM543" s="408"/>
      <c r="DN543" s="408"/>
      <c r="DO543" s="408"/>
      <c r="DP543" s="408"/>
      <c r="DQ543" s="408"/>
      <c r="DR543" s="408"/>
      <c r="DS543" s="408"/>
      <c r="DT543" s="408"/>
      <c r="DU543" s="408"/>
      <c r="DV543" s="408"/>
      <c r="DW543" s="408"/>
      <c r="DX543" s="408"/>
      <c r="DY543" s="408"/>
      <c r="DZ543" s="408"/>
      <c r="EA543" s="408"/>
      <c r="EB543" s="408"/>
      <c r="EC543" s="408"/>
      <c r="ED543" s="408"/>
      <c r="EE543" s="408"/>
      <c r="EF543" s="408"/>
      <c r="EG543" s="408"/>
      <c r="EH543" s="408"/>
      <c r="EI543" s="408"/>
      <c r="EJ543" s="408"/>
      <c r="EK543" s="408"/>
      <c r="EL543" s="408"/>
      <c r="EM543" s="408"/>
      <c r="EN543" s="408"/>
      <c r="EO543" s="408"/>
      <c r="EP543" s="408"/>
      <c r="EQ543" s="408"/>
      <c r="ER543" s="408"/>
      <c r="ES543" s="408"/>
      <c r="ET543" s="408"/>
      <c r="EU543" s="408"/>
      <c r="EV543" s="408">
        <v>238</v>
      </c>
      <c r="EW543" s="408"/>
      <c r="EX543" s="408"/>
      <c r="EY543" s="408"/>
      <c r="EZ543" s="408"/>
      <c r="FA543" s="408">
        <v>0</v>
      </c>
      <c r="FB543" s="408"/>
      <c r="FC543" s="408"/>
      <c r="FD543" s="408"/>
      <c r="FE543" s="408"/>
      <c r="FF543" s="408">
        <v>0</v>
      </c>
      <c r="FG543" s="408">
        <v>0</v>
      </c>
      <c r="FH543" s="408">
        <v>0</v>
      </c>
      <c r="FI543" s="408">
        <v>0</v>
      </c>
    </row>
    <row r="544" spans="1:165">
      <c r="A544" s="408">
        <v>548</v>
      </c>
      <c r="B544" s="408" t="s">
        <v>1036</v>
      </c>
      <c r="C544" s="408" t="s">
        <v>2321</v>
      </c>
      <c r="D544" s="408" t="s">
        <v>1955</v>
      </c>
      <c r="E544" s="408" t="s">
        <v>969</v>
      </c>
      <c r="F544" s="408" t="s">
        <v>969</v>
      </c>
      <c r="G544" s="408" t="s">
        <v>1322</v>
      </c>
      <c r="H544" s="408" t="s">
        <v>1322</v>
      </c>
      <c r="I544" s="408" t="s">
        <v>973</v>
      </c>
      <c r="J544" s="408" t="s">
        <v>2236</v>
      </c>
      <c r="K544" s="824">
        <v>44652</v>
      </c>
      <c r="L544" s="408">
        <v>0</v>
      </c>
      <c r="M544" s="408">
        <v>0</v>
      </c>
      <c r="N544" s="408">
        <v>5.2999999999999999E-2</v>
      </c>
      <c r="O544" s="408">
        <v>5.2999999999999999E-2</v>
      </c>
      <c r="P544" s="408">
        <v>5.2999999999999999E-2</v>
      </c>
      <c r="Q544" s="408">
        <v>5.2999999999999999E-2</v>
      </c>
      <c r="R544" s="408"/>
      <c r="S544" s="408">
        <v>1292.1099999999999</v>
      </c>
      <c r="T544" s="408">
        <v>209.4</v>
      </c>
      <c r="U544" s="408"/>
      <c r="V544" s="408">
        <v>79.580029999999994</v>
      </c>
      <c r="W544" s="408">
        <v>79.580029999999994</v>
      </c>
      <c r="X544" s="408">
        <v>52.829340000000002</v>
      </c>
      <c r="Y544" s="408">
        <v>0</v>
      </c>
      <c r="Z544" s="408">
        <v>3.2615090962638913</v>
      </c>
      <c r="AA544" s="408">
        <v>0</v>
      </c>
      <c r="AB544" s="408">
        <v>0</v>
      </c>
      <c r="AC544" s="408">
        <v>0</v>
      </c>
      <c r="AD544" s="408">
        <v>9.8285775169960381</v>
      </c>
      <c r="AE544" s="408">
        <v>51.066221881366367</v>
      </c>
      <c r="AF544" s="408">
        <v>10.952489526924325</v>
      </c>
      <c r="AG544" s="408">
        <v>0.14590714310196082</v>
      </c>
      <c r="AH544" s="408">
        <v>0</v>
      </c>
      <c r="AI544" s="408">
        <v>0</v>
      </c>
      <c r="AJ544" s="408">
        <v>0</v>
      </c>
      <c r="AK544" s="408">
        <v>0</v>
      </c>
      <c r="AL544" s="408">
        <v>0.50400888719160486</v>
      </c>
      <c r="AM544" s="408"/>
      <c r="AN544" s="408">
        <v>9.6617108738930105E-2</v>
      </c>
      <c r="AO544" s="408">
        <v>0.75518800444461465</v>
      </c>
      <c r="AP544" s="408">
        <v>1.1375376710906617</v>
      </c>
      <c r="AQ544" s="408">
        <v>0</v>
      </c>
      <c r="AR544" s="408">
        <v>0</v>
      </c>
      <c r="AS544" s="408">
        <v>0</v>
      </c>
      <c r="AT544" s="408">
        <v>0</v>
      </c>
      <c r="AU544" s="408">
        <v>0</v>
      </c>
      <c r="AV544" s="408">
        <v>0</v>
      </c>
      <c r="AW544" s="408">
        <v>0</v>
      </c>
      <c r="AX544" s="408">
        <v>0</v>
      </c>
      <c r="AY544" s="408">
        <v>0</v>
      </c>
      <c r="AZ544" s="408">
        <v>0</v>
      </c>
      <c r="BA544" s="408"/>
      <c r="BB544" s="408">
        <v>0</v>
      </c>
      <c r="BC544" s="408">
        <v>0</v>
      </c>
      <c r="BD544" s="408">
        <v>0</v>
      </c>
      <c r="BE544" s="408">
        <v>0</v>
      </c>
      <c r="BF544" s="408">
        <v>0</v>
      </c>
      <c r="BG544" s="408">
        <v>1.8323310232442616</v>
      </c>
      <c r="BH544" s="408">
        <v>0</v>
      </c>
      <c r="BI544" s="408">
        <v>0</v>
      </c>
      <c r="BJ544" s="408">
        <v>0</v>
      </c>
      <c r="BK544" s="408">
        <v>0</v>
      </c>
      <c r="BL544" s="408">
        <v>0</v>
      </c>
      <c r="BM544" s="408"/>
      <c r="BN544" s="408"/>
      <c r="BO544" s="408"/>
      <c r="BP544" s="408"/>
      <c r="BQ544" s="408"/>
      <c r="BR544" s="408"/>
      <c r="BS544" s="408"/>
      <c r="BT544" s="408"/>
      <c r="BU544" s="408"/>
      <c r="BV544" s="408">
        <v>12.784820550168586</v>
      </c>
      <c r="BW544" s="408"/>
      <c r="BX544" s="408"/>
      <c r="BY544" s="408"/>
      <c r="BZ544" s="408"/>
      <c r="CA544" s="408"/>
      <c r="CB544" s="408"/>
      <c r="CC544" s="408"/>
      <c r="CD544" s="408"/>
      <c r="CE544" s="408"/>
      <c r="CF544" s="408"/>
      <c r="CG544" s="408"/>
      <c r="CH544" s="408"/>
      <c r="CI544" s="408">
        <v>49.838999999999999</v>
      </c>
      <c r="CJ544" s="408">
        <v>-29.77103000000001</v>
      </c>
      <c r="CK544" s="408"/>
      <c r="CL544" s="408"/>
      <c r="CM544" s="408"/>
      <c r="CN544" s="408"/>
      <c r="CO544" s="408">
        <v>-27.960679999999996</v>
      </c>
      <c r="CP544" s="408">
        <v>1.2099899999999992</v>
      </c>
      <c r="CQ544" s="408">
        <v>30</v>
      </c>
      <c r="CR544" s="408">
        <v>1.8962329457864513</v>
      </c>
      <c r="CS544" s="408">
        <v>9.1175381186545668E-2</v>
      </c>
      <c r="CT544" s="408">
        <v>0.137337232802071</v>
      </c>
      <c r="CU544" s="408">
        <v>0</v>
      </c>
      <c r="CV544" s="408">
        <v>0</v>
      </c>
      <c r="CW544" s="408">
        <v>0</v>
      </c>
      <c r="CX544" s="408">
        <v>0</v>
      </c>
      <c r="CY544" s="408">
        <v>0</v>
      </c>
      <c r="CZ544" s="408">
        <v>0.32220473022949569</v>
      </c>
      <c r="DA544" s="408">
        <v>0</v>
      </c>
      <c r="DB544" s="408">
        <v>0</v>
      </c>
      <c r="DC544" s="408">
        <v>1.2096234586970791</v>
      </c>
      <c r="DD544" s="408">
        <v>0</v>
      </c>
      <c r="DE544" s="408">
        <v>0</v>
      </c>
      <c r="DF544" s="408">
        <v>0</v>
      </c>
      <c r="DG544" s="408">
        <v>0.20236774336702013</v>
      </c>
      <c r="DH544" s="408">
        <v>0</v>
      </c>
      <c r="DI544" s="408">
        <v>-5.6855027193392971E-2</v>
      </c>
      <c r="DJ544" s="408"/>
      <c r="DK544" s="408">
        <v>0</v>
      </c>
      <c r="DL544" s="408">
        <v>0</v>
      </c>
      <c r="DM544" s="408">
        <v>0</v>
      </c>
      <c r="DN544" s="408">
        <v>0</v>
      </c>
      <c r="DO544" s="408">
        <v>-7.3867401694251988E-3</v>
      </c>
      <c r="DP544" s="408">
        <v>-2.2338331329462419E-3</v>
      </c>
      <c r="DQ544" s="408">
        <v>0</v>
      </c>
      <c r="DR544" s="408">
        <v>0</v>
      </c>
      <c r="DS544" s="408"/>
      <c r="DT544" s="408"/>
      <c r="DU544" s="408"/>
      <c r="DV544" s="408">
        <v>51.066221881366367</v>
      </c>
      <c r="DW544" s="408">
        <v>0</v>
      </c>
      <c r="DX544" s="408">
        <v>0</v>
      </c>
      <c r="DY544" s="408">
        <v>-27.960679999999989</v>
      </c>
      <c r="DZ544" s="408">
        <v>1.2099899999999995</v>
      </c>
      <c r="EA544" s="408">
        <v>0</v>
      </c>
      <c r="EB544" s="408">
        <v>0</v>
      </c>
      <c r="EC544" s="408">
        <v>-28.647624452268673</v>
      </c>
      <c r="ED544" s="408">
        <v>0</v>
      </c>
      <c r="EE544" s="408">
        <v>0</v>
      </c>
      <c r="EF544" s="408">
        <v>0</v>
      </c>
      <c r="EG544" s="408">
        <v>0</v>
      </c>
      <c r="EH544" s="408">
        <v>0</v>
      </c>
      <c r="EI544" s="408">
        <v>0</v>
      </c>
      <c r="EJ544" s="408">
        <v>0</v>
      </c>
      <c r="EK544" s="408">
        <v>0</v>
      </c>
      <c r="EL544" s="408">
        <v>0</v>
      </c>
      <c r="EM544" s="408">
        <v>0</v>
      </c>
      <c r="EN544" s="408">
        <v>0</v>
      </c>
      <c r="EO544" s="408">
        <v>0</v>
      </c>
      <c r="EP544" s="408">
        <v>0</v>
      </c>
      <c r="EQ544" s="408">
        <v>0</v>
      </c>
      <c r="ER544" s="408">
        <v>0</v>
      </c>
      <c r="ES544" s="408">
        <v>0</v>
      </c>
      <c r="ET544" s="408">
        <v>0</v>
      </c>
      <c r="EU544" s="408">
        <v>0</v>
      </c>
      <c r="EV544" s="408">
        <v>238</v>
      </c>
      <c r="EW544" s="408">
        <v>0</v>
      </c>
      <c r="EX544" s="408">
        <v>0</v>
      </c>
      <c r="EY544" s="408">
        <v>0</v>
      </c>
      <c r="EZ544" s="408"/>
      <c r="FA544" s="408">
        <v>0</v>
      </c>
      <c r="FB544" s="408"/>
      <c r="FC544" s="408"/>
      <c r="FD544" s="408"/>
      <c r="FE544" s="408"/>
      <c r="FF544" s="408">
        <v>0</v>
      </c>
      <c r="FG544" s="408">
        <v>0</v>
      </c>
      <c r="FH544" s="408">
        <v>0</v>
      </c>
      <c r="FI544" s="408">
        <v>0</v>
      </c>
    </row>
    <row r="545" spans="1:165">
      <c r="A545" s="408">
        <v>549</v>
      </c>
      <c r="B545" s="408" t="s">
        <v>1036</v>
      </c>
      <c r="C545" s="408" t="s">
        <v>2321</v>
      </c>
      <c r="D545" s="408" t="s">
        <v>1955</v>
      </c>
      <c r="E545" s="408" t="s">
        <v>969</v>
      </c>
      <c r="F545" s="408" t="s">
        <v>969</v>
      </c>
      <c r="G545" s="408" t="s">
        <v>1322</v>
      </c>
      <c r="H545" s="408" t="s">
        <v>1322</v>
      </c>
      <c r="I545" s="408" t="s">
        <v>2244</v>
      </c>
      <c r="J545" s="408" t="s">
        <v>2236</v>
      </c>
      <c r="K545" s="824">
        <v>44652</v>
      </c>
      <c r="L545" s="408">
        <v>0</v>
      </c>
      <c r="M545" s="408">
        <v>0</v>
      </c>
      <c r="N545" s="408">
        <v>0.51500000000000001</v>
      </c>
      <c r="O545" s="408">
        <v>0.51500000000000001</v>
      </c>
      <c r="P545" s="408">
        <v>0.51500000000000001</v>
      </c>
      <c r="Q545" s="408">
        <v>0.51500000000000001</v>
      </c>
      <c r="R545" s="408"/>
      <c r="S545" s="408">
        <v>344.38</v>
      </c>
      <c r="T545" s="408">
        <v>209.4</v>
      </c>
      <c r="U545" s="408"/>
      <c r="V545" s="408">
        <v>285.19670000000002</v>
      </c>
      <c r="W545" s="408">
        <v>285.19670000000002</v>
      </c>
      <c r="X545" s="408">
        <v>243.67224999999999</v>
      </c>
      <c r="Y545" s="408">
        <v>0</v>
      </c>
      <c r="Z545" s="408">
        <v>31.692022350488759</v>
      </c>
      <c r="AA545" s="408">
        <v>0</v>
      </c>
      <c r="AB545" s="408">
        <v>0</v>
      </c>
      <c r="AC545" s="408">
        <v>0</v>
      </c>
      <c r="AD545" s="408">
        <v>19.104219784922257</v>
      </c>
      <c r="AE545" s="408">
        <v>99.241867811624019</v>
      </c>
      <c r="AF545" s="408">
        <v>106.42513408237788</v>
      </c>
      <c r="AG545" s="408">
        <v>1.4177769565567893</v>
      </c>
      <c r="AH545" s="408">
        <v>0</v>
      </c>
      <c r="AI545" s="408">
        <v>0</v>
      </c>
      <c r="AJ545" s="408">
        <v>0</v>
      </c>
      <c r="AK545" s="408">
        <v>0</v>
      </c>
      <c r="AL545" s="408">
        <v>4.8974448472391794</v>
      </c>
      <c r="AM545" s="408"/>
      <c r="AN545" s="408">
        <v>0.93882662265186811</v>
      </c>
      <c r="AO545" s="408">
        <v>1.4676162995780015</v>
      </c>
      <c r="AP545" s="408">
        <v>2.2106864174026066</v>
      </c>
      <c r="AQ545" s="408">
        <v>0</v>
      </c>
      <c r="AR545" s="408">
        <v>0</v>
      </c>
      <c r="AS545" s="408">
        <v>0</v>
      </c>
      <c r="AT545" s="408">
        <v>0</v>
      </c>
      <c r="AU545" s="408">
        <v>0</v>
      </c>
      <c r="AV545" s="408">
        <v>0</v>
      </c>
      <c r="AW545" s="408">
        <v>0</v>
      </c>
      <c r="AX545" s="408">
        <v>0</v>
      </c>
      <c r="AY545" s="408">
        <v>0</v>
      </c>
      <c r="AZ545" s="408">
        <v>0</v>
      </c>
      <c r="BA545" s="408"/>
      <c r="BB545" s="408">
        <v>0</v>
      </c>
      <c r="BC545" s="408">
        <v>0</v>
      </c>
      <c r="BD545" s="408">
        <v>0</v>
      </c>
      <c r="BE545" s="408">
        <v>0</v>
      </c>
      <c r="BF545" s="408">
        <v>0</v>
      </c>
      <c r="BG545" s="408">
        <v>17.804725980581033</v>
      </c>
      <c r="BH545" s="408">
        <v>0</v>
      </c>
      <c r="BI545" s="408">
        <v>0</v>
      </c>
      <c r="BJ545" s="408">
        <v>0</v>
      </c>
      <c r="BK545" s="408">
        <v>0</v>
      </c>
      <c r="BL545" s="408">
        <v>0</v>
      </c>
      <c r="BM545" s="408"/>
      <c r="BN545" s="408"/>
      <c r="BO545" s="408"/>
      <c r="BP545" s="408"/>
      <c r="BQ545" s="408"/>
      <c r="BR545" s="408"/>
      <c r="BS545" s="408"/>
      <c r="BT545" s="408"/>
      <c r="BU545" s="408"/>
      <c r="BV545" s="408">
        <v>124.22986006295892</v>
      </c>
      <c r="BW545" s="408"/>
      <c r="BX545" s="408"/>
      <c r="BY545" s="408"/>
      <c r="BZ545" s="408"/>
      <c r="CA545" s="408"/>
      <c r="CB545" s="408"/>
      <c r="CC545" s="408"/>
      <c r="CD545" s="408"/>
      <c r="CE545" s="408"/>
      <c r="CF545" s="408"/>
      <c r="CG545" s="408"/>
      <c r="CH545" s="408"/>
      <c r="CI545" s="408">
        <v>246.03800000000001</v>
      </c>
      <c r="CJ545" s="408">
        <v>-39.188699999999983</v>
      </c>
      <c r="CK545" s="408"/>
      <c r="CL545" s="408"/>
      <c r="CM545" s="408"/>
      <c r="CN545" s="408"/>
      <c r="CO545" s="408">
        <v>-53.281900000000007</v>
      </c>
      <c r="CP545" s="408">
        <v>11.757449999999992</v>
      </c>
      <c r="CQ545" s="408">
        <v>30</v>
      </c>
      <c r="CR545" s="408">
        <v>14.144721564269446</v>
      </c>
      <c r="CS545" s="408">
        <v>0.17718829584431006</v>
      </c>
      <c r="CT545" s="408">
        <v>0.26690065997384105</v>
      </c>
      <c r="CU545" s="408">
        <v>0</v>
      </c>
      <c r="CV545" s="408">
        <v>0</v>
      </c>
      <c r="CW545" s="408">
        <v>0</v>
      </c>
      <c r="CX545" s="408">
        <v>0</v>
      </c>
      <c r="CY545" s="408">
        <v>0</v>
      </c>
      <c r="CZ545" s="408">
        <v>0.6262828950986048</v>
      </c>
      <c r="DA545" s="408">
        <v>0</v>
      </c>
      <c r="DB545" s="408">
        <v>0</v>
      </c>
      <c r="DC545" s="408">
        <v>11.753888325075394</v>
      </c>
      <c r="DD545" s="408">
        <v>0</v>
      </c>
      <c r="DE545" s="408">
        <v>0</v>
      </c>
      <c r="DF545" s="408">
        <v>0</v>
      </c>
      <c r="DG545" s="408">
        <v>1.9664035440380268</v>
      </c>
      <c r="DH545" s="408">
        <v>0</v>
      </c>
      <c r="DI545" s="408">
        <v>-0.55245922650184198</v>
      </c>
      <c r="DJ545" s="408"/>
      <c r="DK545" s="408">
        <v>0</v>
      </c>
      <c r="DL545" s="408">
        <v>0</v>
      </c>
      <c r="DM545" s="408">
        <v>0</v>
      </c>
      <c r="DN545" s="408">
        <v>0</v>
      </c>
      <c r="DO545" s="408">
        <v>-7.1776814853848236E-2</v>
      </c>
      <c r="DP545" s="408">
        <v>-2.1706114405043775E-2</v>
      </c>
      <c r="DQ545" s="408">
        <v>0</v>
      </c>
      <c r="DR545" s="408">
        <v>0</v>
      </c>
      <c r="DS545" s="408"/>
      <c r="DT545" s="408"/>
      <c r="DU545" s="408"/>
      <c r="DV545" s="408">
        <v>99.241867811624019</v>
      </c>
      <c r="DW545" s="408">
        <v>0</v>
      </c>
      <c r="DX545" s="408">
        <v>0</v>
      </c>
      <c r="DY545" s="408">
        <v>-53.281900000000022</v>
      </c>
      <c r="DZ545" s="408">
        <v>11.757449999999992</v>
      </c>
      <c r="EA545" s="408">
        <v>0</v>
      </c>
      <c r="EB545" s="408">
        <v>0</v>
      </c>
      <c r="EC545" s="408">
        <v>-55.673665571223765</v>
      </c>
      <c r="ED545" s="408">
        <v>0</v>
      </c>
      <c r="EE545" s="408">
        <v>0</v>
      </c>
      <c r="EF545" s="408">
        <v>0</v>
      </c>
      <c r="EG545" s="408">
        <v>0</v>
      </c>
      <c r="EH545" s="408">
        <v>0</v>
      </c>
      <c r="EI545" s="408">
        <v>0</v>
      </c>
      <c r="EJ545" s="408">
        <v>0</v>
      </c>
      <c r="EK545" s="408">
        <v>0</v>
      </c>
      <c r="EL545" s="408">
        <v>0</v>
      </c>
      <c r="EM545" s="408">
        <v>0</v>
      </c>
      <c r="EN545" s="408">
        <v>0</v>
      </c>
      <c r="EO545" s="408">
        <v>0</v>
      </c>
      <c r="EP545" s="408">
        <v>0</v>
      </c>
      <c r="EQ545" s="408">
        <v>0</v>
      </c>
      <c r="ER545" s="408">
        <v>0</v>
      </c>
      <c r="ES545" s="408">
        <v>0</v>
      </c>
      <c r="ET545" s="408">
        <v>0</v>
      </c>
      <c r="EU545" s="408">
        <v>0</v>
      </c>
      <c r="EV545" s="408">
        <v>238</v>
      </c>
      <c r="EW545" s="408">
        <v>0</v>
      </c>
      <c r="EX545" s="408">
        <v>0</v>
      </c>
      <c r="EY545" s="408">
        <v>0</v>
      </c>
      <c r="EZ545" s="408"/>
      <c r="FA545" s="408">
        <v>0</v>
      </c>
      <c r="FB545" s="408"/>
      <c r="FC545" s="408"/>
      <c r="FD545" s="408"/>
      <c r="FE545" s="408"/>
      <c r="FF545" s="408">
        <v>0</v>
      </c>
      <c r="FG545" s="408">
        <v>0</v>
      </c>
      <c r="FH545" s="408">
        <v>0</v>
      </c>
      <c r="FI545" s="408">
        <v>0</v>
      </c>
    </row>
    <row r="546" spans="1:165">
      <c r="A546" s="408">
        <v>550</v>
      </c>
      <c r="B546" s="408" t="s">
        <v>1036</v>
      </c>
      <c r="C546" s="408" t="s">
        <v>2321</v>
      </c>
      <c r="D546" s="408" t="s">
        <v>1955</v>
      </c>
      <c r="E546" s="408" t="s">
        <v>969</v>
      </c>
      <c r="F546" s="408" t="s">
        <v>969</v>
      </c>
      <c r="G546" s="408" t="s">
        <v>1322</v>
      </c>
      <c r="H546" s="408" t="s">
        <v>1322</v>
      </c>
      <c r="I546" s="408" t="s">
        <v>1322</v>
      </c>
      <c r="J546" s="408" t="s">
        <v>2236</v>
      </c>
      <c r="K546" s="824">
        <v>44652</v>
      </c>
      <c r="L546" s="408">
        <v>0</v>
      </c>
      <c r="M546" s="408">
        <v>0</v>
      </c>
      <c r="N546" s="408">
        <v>0</v>
      </c>
      <c r="O546" s="408">
        <v>0</v>
      </c>
      <c r="P546" s="408">
        <v>0</v>
      </c>
      <c r="Q546" s="408">
        <v>0</v>
      </c>
      <c r="R546" s="408"/>
      <c r="S546" s="408"/>
      <c r="T546" s="408"/>
      <c r="U546" s="408"/>
      <c r="V546" s="408"/>
      <c r="W546" s="408"/>
      <c r="X546" s="408"/>
      <c r="Y546" s="408"/>
      <c r="Z546" s="408"/>
      <c r="AA546" s="408">
        <v>0</v>
      </c>
      <c r="AB546" s="408"/>
      <c r="AC546" s="408"/>
      <c r="AD546" s="408"/>
      <c r="AE546" s="408"/>
      <c r="AF546" s="408"/>
      <c r="AG546" s="408"/>
      <c r="AH546" s="408"/>
      <c r="AI546" s="408"/>
      <c r="AJ546" s="408"/>
      <c r="AK546" s="408"/>
      <c r="AL546" s="408"/>
      <c r="AM546" s="408"/>
      <c r="AN546" s="408"/>
      <c r="AO546" s="408"/>
      <c r="AP546" s="408"/>
      <c r="AQ546" s="408"/>
      <c r="AR546" s="408"/>
      <c r="AS546" s="408"/>
      <c r="AT546" s="408"/>
      <c r="AU546" s="408"/>
      <c r="AV546" s="408"/>
      <c r="AW546" s="408"/>
      <c r="AX546" s="408"/>
      <c r="AY546" s="408"/>
      <c r="AZ546" s="408">
        <v>0</v>
      </c>
      <c r="BA546" s="408"/>
      <c r="BB546" s="408"/>
      <c r="BC546" s="408"/>
      <c r="BD546" s="408"/>
      <c r="BE546" s="408"/>
      <c r="BF546" s="408"/>
      <c r="BG546" s="408"/>
      <c r="BH546" s="408"/>
      <c r="BI546" s="408">
        <v>0.99</v>
      </c>
      <c r="BJ546" s="408">
        <v>4.7</v>
      </c>
      <c r="BK546" s="408">
        <v>133.63</v>
      </c>
      <c r="BL546" s="408">
        <v>2</v>
      </c>
      <c r="BM546" s="408"/>
      <c r="BN546" s="408"/>
      <c r="BO546" s="408"/>
      <c r="BP546" s="408"/>
      <c r="BQ546" s="408"/>
      <c r="BR546" s="408"/>
      <c r="BS546" s="408"/>
      <c r="BT546" s="408"/>
      <c r="BU546" s="408"/>
      <c r="BV546" s="408"/>
      <c r="BW546" s="408"/>
      <c r="BX546" s="408"/>
      <c r="BY546" s="408"/>
      <c r="BZ546" s="408"/>
      <c r="CA546" s="408"/>
      <c r="CB546" s="408"/>
      <c r="CC546" s="408"/>
      <c r="CD546" s="408"/>
      <c r="CE546" s="408"/>
      <c r="CF546" s="408"/>
      <c r="CG546" s="408"/>
      <c r="CH546" s="408"/>
      <c r="CI546" s="408"/>
      <c r="CJ546" s="408">
        <v>-0.03</v>
      </c>
      <c r="CK546" s="408"/>
      <c r="CL546" s="408"/>
      <c r="CM546" s="408"/>
      <c r="CN546" s="408"/>
      <c r="CO546" s="408">
        <v>0</v>
      </c>
      <c r="CP546" s="408">
        <v>0</v>
      </c>
      <c r="CQ546" s="408">
        <v>30</v>
      </c>
      <c r="CR546" s="408"/>
      <c r="CS546" s="408"/>
      <c r="CT546" s="408"/>
      <c r="CU546" s="408"/>
      <c r="CV546" s="408"/>
      <c r="CW546" s="408"/>
      <c r="CX546" s="408"/>
      <c r="CY546" s="408"/>
      <c r="CZ546" s="408"/>
      <c r="DA546" s="408"/>
      <c r="DB546" s="408"/>
      <c r="DC546" s="408"/>
      <c r="DD546" s="408"/>
      <c r="DE546" s="408"/>
      <c r="DF546" s="408"/>
      <c r="DG546" s="408"/>
      <c r="DH546" s="408"/>
      <c r="DI546" s="408"/>
      <c r="DJ546" s="408"/>
      <c r="DK546" s="408">
        <v>0</v>
      </c>
      <c r="DL546" s="408"/>
      <c r="DM546" s="408"/>
      <c r="DN546" s="408"/>
      <c r="DO546" s="408"/>
      <c r="DP546" s="408"/>
      <c r="DQ546" s="408"/>
      <c r="DR546" s="408"/>
      <c r="DS546" s="408"/>
      <c r="DT546" s="408"/>
      <c r="DU546" s="408"/>
      <c r="DV546" s="408"/>
      <c r="DW546" s="408"/>
      <c r="DX546" s="408"/>
      <c r="DY546" s="408"/>
      <c r="DZ546" s="408"/>
      <c r="EA546" s="408"/>
      <c r="EB546" s="408"/>
      <c r="EC546" s="408"/>
      <c r="ED546" s="408"/>
      <c r="EE546" s="408"/>
      <c r="EF546" s="408"/>
      <c r="EG546" s="408"/>
      <c r="EH546" s="408"/>
      <c r="EI546" s="408"/>
      <c r="EJ546" s="408"/>
      <c r="EK546" s="408"/>
      <c r="EL546" s="408"/>
      <c r="EM546" s="408"/>
      <c r="EN546" s="408"/>
      <c r="EO546" s="408"/>
      <c r="EP546" s="408"/>
      <c r="EQ546" s="408"/>
      <c r="ER546" s="408"/>
      <c r="ES546" s="408"/>
      <c r="ET546" s="408"/>
      <c r="EU546" s="408"/>
      <c r="EV546" s="408">
        <v>238</v>
      </c>
      <c r="EW546" s="408"/>
      <c r="EX546" s="408"/>
      <c r="EY546" s="408"/>
      <c r="EZ546" s="408"/>
      <c r="FA546" s="408">
        <v>0</v>
      </c>
      <c r="FB546" s="408"/>
      <c r="FC546" s="408"/>
      <c r="FD546" s="408"/>
      <c r="FE546" s="408"/>
      <c r="FF546" s="408">
        <v>0</v>
      </c>
      <c r="FG546" s="408">
        <v>0</v>
      </c>
      <c r="FH546" s="408">
        <v>0</v>
      </c>
      <c r="FI546" s="408">
        <v>0</v>
      </c>
    </row>
    <row r="547" spans="1:165">
      <c r="A547" s="408">
        <v>551</v>
      </c>
      <c r="B547" s="408" t="s">
        <v>1036</v>
      </c>
      <c r="C547" s="408" t="s">
        <v>2321</v>
      </c>
      <c r="D547" s="408" t="s">
        <v>1955</v>
      </c>
      <c r="E547" s="408" t="s">
        <v>969</v>
      </c>
      <c r="F547" s="408" t="s">
        <v>969</v>
      </c>
      <c r="G547" s="408" t="s">
        <v>1322</v>
      </c>
      <c r="H547" s="408" t="s">
        <v>1322</v>
      </c>
      <c r="I547" s="408" t="s">
        <v>2322</v>
      </c>
      <c r="J547" s="408" t="s">
        <v>2236</v>
      </c>
      <c r="K547" s="824">
        <v>44652</v>
      </c>
      <c r="L547" s="408">
        <v>0</v>
      </c>
      <c r="M547" s="408">
        <v>0</v>
      </c>
      <c r="N547" s="408">
        <v>4.2999999999999997E-2</v>
      </c>
      <c r="O547" s="408">
        <v>4.2999999999999997E-2</v>
      </c>
      <c r="P547" s="408">
        <v>4.2999999999999997E-2</v>
      </c>
      <c r="Q547" s="408">
        <v>4.2999999999999997E-2</v>
      </c>
      <c r="R547" s="408"/>
      <c r="S547" s="408">
        <v>818.26</v>
      </c>
      <c r="T547" s="408">
        <v>209.4</v>
      </c>
      <c r="U547" s="408"/>
      <c r="V547" s="408">
        <v>44.189379999999993</v>
      </c>
      <c r="W547" s="408">
        <v>44.189379999999993</v>
      </c>
      <c r="X547" s="408">
        <v>31.604140000000001</v>
      </c>
      <c r="Y547" s="408">
        <v>0</v>
      </c>
      <c r="Z547" s="408">
        <v>2.6461300214971195</v>
      </c>
      <c r="AA547" s="408">
        <v>0</v>
      </c>
      <c r="AB547" s="408">
        <v>0</v>
      </c>
      <c r="AC547" s="408">
        <v>0</v>
      </c>
      <c r="AD547" s="408">
        <v>4.7853288393300453</v>
      </c>
      <c r="AE547" s="408">
        <v>24.858657266073532</v>
      </c>
      <c r="AF547" s="408">
        <v>8.8859820690140747</v>
      </c>
      <c r="AG547" s="408">
        <v>0.11837749346008142</v>
      </c>
      <c r="AH547" s="408">
        <v>0</v>
      </c>
      <c r="AI547" s="408">
        <v>0</v>
      </c>
      <c r="AJ547" s="408">
        <v>0</v>
      </c>
      <c r="AK547" s="408">
        <v>0</v>
      </c>
      <c r="AL547" s="408">
        <v>0.40891287074035865</v>
      </c>
      <c r="AM547" s="408"/>
      <c r="AN547" s="408">
        <v>7.8387465580641399E-2</v>
      </c>
      <c r="AO547" s="408">
        <v>0.36762202839162916</v>
      </c>
      <c r="AP547" s="408">
        <v>0.55374475309696181</v>
      </c>
      <c r="AQ547" s="408">
        <v>0</v>
      </c>
      <c r="AR547" s="408">
        <v>0</v>
      </c>
      <c r="AS547" s="408">
        <v>0</v>
      </c>
      <c r="AT547" s="408">
        <v>0</v>
      </c>
      <c r="AU547" s="408">
        <v>0</v>
      </c>
      <c r="AV547" s="408">
        <v>0</v>
      </c>
      <c r="AW547" s="408">
        <v>0</v>
      </c>
      <c r="AX547" s="408">
        <v>0</v>
      </c>
      <c r="AY547" s="408">
        <v>0</v>
      </c>
      <c r="AZ547" s="408">
        <v>0</v>
      </c>
      <c r="BA547" s="408"/>
      <c r="BB547" s="408">
        <v>0</v>
      </c>
      <c r="BC547" s="408">
        <v>0</v>
      </c>
      <c r="BD547" s="408">
        <v>0</v>
      </c>
      <c r="BE547" s="408">
        <v>0</v>
      </c>
      <c r="BF547" s="408">
        <v>0</v>
      </c>
      <c r="BG547" s="408">
        <v>1.4866081886698725</v>
      </c>
      <c r="BH547" s="408">
        <v>0</v>
      </c>
      <c r="BI547" s="408">
        <v>0</v>
      </c>
      <c r="BJ547" s="408">
        <v>0</v>
      </c>
      <c r="BK547" s="408">
        <v>0</v>
      </c>
      <c r="BL547" s="408">
        <v>0</v>
      </c>
      <c r="BM547" s="408"/>
      <c r="BN547" s="408"/>
      <c r="BO547" s="408"/>
      <c r="BP547" s="408"/>
      <c r="BQ547" s="408"/>
      <c r="BR547" s="408"/>
      <c r="BS547" s="408"/>
      <c r="BT547" s="408"/>
      <c r="BU547" s="408"/>
      <c r="BV547" s="408">
        <v>10.372590257683948</v>
      </c>
      <c r="BW547" s="408"/>
      <c r="BX547" s="408"/>
      <c r="BY547" s="408"/>
      <c r="BZ547" s="408"/>
      <c r="CA547" s="408"/>
      <c r="CB547" s="408"/>
      <c r="CC547" s="408"/>
      <c r="CD547" s="408"/>
      <c r="CE547" s="408"/>
      <c r="CF547" s="408"/>
      <c r="CG547" s="408"/>
      <c r="CH547" s="408"/>
      <c r="CI547" s="408">
        <v>29.3992</v>
      </c>
      <c r="CJ547" s="408">
        <v>-14.820179999999986</v>
      </c>
      <c r="CK547" s="408"/>
      <c r="CL547" s="408"/>
      <c r="CM547" s="408"/>
      <c r="CN547" s="408"/>
      <c r="CO547" s="408">
        <v>-13.566929999999999</v>
      </c>
      <c r="CP547" s="408">
        <v>0.98168999999999929</v>
      </c>
      <c r="CQ547" s="408">
        <v>30</v>
      </c>
      <c r="CR547" s="408">
        <v>1.3597579603106382</v>
      </c>
      <c r="CS547" s="408">
        <v>4.438375394459132E-2</v>
      </c>
      <c r="CT547" s="408">
        <v>6.6854728420631671E-2</v>
      </c>
      <c r="CU547" s="408">
        <v>0</v>
      </c>
      <c r="CV547" s="408">
        <v>0</v>
      </c>
      <c r="CW547" s="408">
        <v>0</v>
      </c>
      <c r="CX547" s="408">
        <v>0</v>
      </c>
      <c r="CY547" s="408">
        <v>0</v>
      </c>
      <c r="CZ547" s="408">
        <v>0.15687474459752337</v>
      </c>
      <c r="DA547" s="408">
        <v>0</v>
      </c>
      <c r="DB547" s="408">
        <v>0</v>
      </c>
      <c r="DC547" s="408">
        <v>0.98139261743347816</v>
      </c>
      <c r="DD547" s="408">
        <v>0</v>
      </c>
      <c r="DE547" s="408">
        <v>0</v>
      </c>
      <c r="DF547" s="408">
        <v>0</v>
      </c>
      <c r="DG547" s="408">
        <v>0.1641851502789029</v>
      </c>
      <c r="DH547" s="408">
        <v>0</v>
      </c>
      <c r="DI547" s="408">
        <v>-4.612766357199849E-2</v>
      </c>
      <c r="DJ547" s="408"/>
      <c r="DK547" s="408">
        <v>0</v>
      </c>
      <c r="DL547" s="408">
        <v>0</v>
      </c>
      <c r="DM547" s="408">
        <v>0</v>
      </c>
      <c r="DN547" s="408">
        <v>0</v>
      </c>
      <c r="DO547" s="408">
        <v>-5.9930156091563269E-3</v>
      </c>
      <c r="DP547" s="408">
        <v>-1.8123551833337387E-3</v>
      </c>
      <c r="DQ547" s="408">
        <v>0</v>
      </c>
      <c r="DR547" s="408">
        <v>0</v>
      </c>
      <c r="DS547" s="408"/>
      <c r="DT547" s="408"/>
      <c r="DU547" s="408"/>
      <c r="DV547" s="408">
        <v>24.858657266073532</v>
      </c>
      <c r="DW547" s="408">
        <v>0</v>
      </c>
      <c r="DX547" s="408">
        <v>0</v>
      </c>
      <c r="DY547" s="408">
        <v>-13.566929999999996</v>
      </c>
      <c r="DZ547" s="408">
        <v>0.9816900000000004</v>
      </c>
      <c r="EA547" s="408">
        <v>0</v>
      </c>
      <c r="EB547" s="408">
        <v>0</v>
      </c>
      <c r="EC547" s="408">
        <v>-13.945450662093899</v>
      </c>
      <c r="ED547" s="408">
        <v>0</v>
      </c>
      <c r="EE547" s="408">
        <v>0</v>
      </c>
      <c r="EF547" s="408">
        <v>0</v>
      </c>
      <c r="EG547" s="408">
        <v>0</v>
      </c>
      <c r="EH547" s="408">
        <v>0</v>
      </c>
      <c r="EI547" s="408">
        <v>0</v>
      </c>
      <c r="EJ547" s="408">
        <v>0</v>
      </c>
      <c r="EK547" s="408">
        <v>0</v>
      </c>
      <c r="EL547" s="408">
        <v>0</v>
      </c>
      <c r="EM547" s="408">
        <v>0</v>
      </c>
      <c r="EN547" s="408">
        <v>0</v>
      </c>
      <c r="EO547" s="408">
        <v>0</v>
      </c>
      <c r="EP547" s="408">
        <v>0</v>
      </c>
      <c r="EQ547" s="408">
        <v>0</v>
      </c>
      <c r="ER547" s="408">
        <v>0</v>
      </c>
      <c r="ES547" s="408">
        <v>0</v>
      </c>
      <c r="ET547" s="408">
        <v>0</v>
      </c>
      <c r="EU547" s="408">
        <v>0</v>
      </c>
      <c r="EV547" s="408">
        <v>238</v>
      </c>
      <c r="EW547" s="408">
        <v>0</v>
      </c>
      <c r="EX547" s="408">
        <v>0</v>
      </c>
      <c r="EY547" s="408">
        <v>0</v>
      </c>
      <c r="EZ547" s="408"/>
      <c r="FA547" s="408">
        <v>0</v>
      </c>
      <c r="FB547" s="408"/>
      <c r="FC547" s="408"/>
      <c r="FD547" s="408"/>
      <c r="FE547" s="408"/>
      <c r="FF547" s="408">
        <v>0</v>
      </c>
      <c r="FG547" s="408">
        <v>0</v>
      </c>
      <c r="FH547" s="408">
        <v>0</v>
      </c>
      <c r="FI547" s="408">
        <v>0</v>
      </c>
    </row>
    <row r="548" spans="1:165">
      <c r="A548" s="408">
        <v>552</v>
      </c>
      <c r="B548" s="408" t="s">
        <v>1036</v>
      </c>
      <c r="C548" s="408" t="s">
        <v>2235</v>
      </c>
      <c r="D548" s="408" t="s">
        <v>1958</v>
      </c>
      <c r="E548" s="408" t="s">
        <v>970</v>
      </c>
      <c r="F548" s="408" t="s">
        <v>1322</v>
      </c>
      <c r="G548" s="408" t="s">
        <v>1322</v>
      </c>
      <c r="H548" s="408" t="s">
        <v>1322</v>
      </c>
      <c r="I548" s="408" t="s">
        <v>1322</v>
      </c>
      <c r="J548" s="408" t="s">
        <v>2236</v>
      </c>
      <c r="K548" s="824">
        <v>44652</v>
      </c>
      <c r="L548" s="408">
        <v>0</v>
      </c>
      <c r="M548" s="408">
        <v>0</v>
      </c>
      <c r="N548" s="408">
        <v>8.6530000000000005</v>
      </c>
      <c r="O548" s="408">
        <v>8.6530000000000005</v>
      </c>
      <c r="P548" s="408">
        <v>8.6530000000000005</v>
      </c>
      <c r="Q548" s="408">
        <v>8.6530000000000005</v>
      </c>
      <c r="R548" s="408"/>
      <c r="S548" s="408">
        <v>581.32000000000005</v>
      </c>
      <c r="T548" s="408">
        <v>209.4</v>
      </c>
      <c r="U548" s="408"/>
      <c r="V548" s="408">
        <v>6842.10016</v>
      </c>
      <c r="W548" s="408">
        <v>6842.10016</v>
      </c>
      <c r="X548" s="408">
        <v>5227.0177100000001</v>
      </c>
      <c r="Y548" s="408">
        <v>0</v>
      </c>
      <c r="Z548" s="408">
        <v>532.48751339568787</v>
      </c>
      <c r="AA548" s="408">
        <v>0</v>
      </c>
      <c r="AB548" s="408">
        <v>0</v>
      </c>
      <c r="AC548" s="408">
        <v>0</v>
      </c>
      <c r="AD548" s="408">
        <v>641.97597591818283</v>
      </c>
      <c r="AE548" s="408">
        <v>3334.9121637824483</v>
      </c>
      <c r="AF548" s="408">
        <v>1788.1489033297394</v>
      </c>
      <c r="AG548" s="408">
        <v>23.821405835118249</v>
      </c>
      <c r="AH548" s="408">
        <v>0</v>
      </c>
      <c r="AI548" s="408">
        <v>0</v>
      </c>
      <c r="AJ548" s="408">
        <v>0</v>
      </c>
      <c r="AK548" s="408">
        <v>0</v>
      </c>
      <c r="AL548" s="408">
        <v>82.286583035263348</v>
      </c>
      <c r="AM548" s="408"/>
      <c r="AN548" s="408">
        <v>15.774110224867213</v>
      </c>
      <c r="AO548" s="408">
        <v>49.317607146595918</v>
      </c>
      <c r="AP548" s="408">
        <v>74.287648814698073</v>
      </c>
      <c r="AQ548" s="408">
        <v>0</v>
      </c>
      <c r="AR548" s="408">
        <v>0</v>
      </c>
      <c r="AS548" s="408">
        <v>0</v>
      </c>
      <c r="AT548" s="408">
        <v>0</v>
      </c>
      <c r="AU548" s="408">
        <v>0</v>
      </c>
      <c r="AV548" s="408">
        <v>0</v>
      </c>
      <c r="AW548" s="408">
        <v>0</v>
      </c>
      <c r="AX548" s="408">
        <v>0</v>
      </c>
      <c r="AY548" s="408">
        <v>0</v>
      </c>
      <c r="AZ548" s="408">
        <v>0</v>
      </c>
      <c r="BA548" s="408"/>
      <c r="BB548" s="408">
        <v>0</v>
      </c>
      <c r="BC548" s="408">
        <v>0</v>
      </c>
      <c r="BD548" s="408">
        <v>0</v>
      </c>
      <c r="BE548" s="408">
        <v>0</v>
      </c>
      <c r="BF548" s="408">
        <v>0</v>
      </c>
      <c r="BG548" s="408">
        <v>299.15396875721882</v>
      </c>
      <c r="BH548" s="408">
        <v>0</v>
      </c>
      <c r="BI548" s="408">
        <v>15.71</v>
      </c>
      <c r="BJ548" s="408">
        <v>73.36</v>
      </c>
      <c r="BK548" s="408">
        <v>1288.8900000000001</v>
      </c>
      <c r="BL548" s="408">
        <v>7</v>
      </c>
      <c r="BM548" s="408"/>
      <c r="BN548" s="408"/>
      <c r="BO548" s="408"/>
      <c r="BP548" s="408"/>
      <c r="BQ548" s="408"/>
      <c r="BR548" s="408"/>
      <c r="BS548" s="408"/>
      <c r="BT548" s="408"/>
      <c r="BU548" s="408"/>
      <c r="BV548" s="408">
        <v>2087.3028720869584</v>
      </c>
      <c r="BW548" s="408"/>
      <c r="BX548" s="408"/>
      <c r="BY548" s="408"/>
      <c r="BZ548" s="408"/>
      <c r="CA548" s="408"/>
      <c r="CB548" s="408"/>
      <c r="CC548" s="408"/>
      <c r="CD548" s="408"/>
      <c r="CE548" s="408"/>
      <c r="CF548" s="408"/>
      <c r="CG548" s="408"/>
      <c r="CH548" s="408"/>
      <c r="CI548" s="408">
        <v>5225.2055</v>
      </c>
      <c r="CJ548" s="408">
        <v>-1616.9246600000006</v>
      </c>
      <c r="CK548" s="408"/>
      <c r="CL548" s="408"/>
      <c r="CM548" s="408"/>
      <c r="CN548" s="408"/>
      <c r="CO548" s="408">
        <v>-1812.6304400000008</v>
      </c>
      <c r="CP548" s="408">
        <v>197.54798999999988</v>
      </c>
      <c r="CQ548" s="408">
        <v>30</v>
      </c>
      <c r="CR548" s="408">
        <v>255.64311324583696</v>
      </c>
      <c r="CS548" s="408">
        <v>5.9542148502556813</v>
      </c>
      <c r="CT548" s="408">
        <v>8.9688986825383523</v>
      </c>
      <c r="CU548" s="408">
        <v>0</v>
      </c>
      <c r="CV548" s="408">
        <v>0</v>
      </c>
      <c r="CW548" s="408">
        <v>0</v>
      </c>
      <c r="CX548" s="408">
        <v>0</v>
      </c>
      <c r="CY548" s="408">
        <v>0</v>
      </c>
      <c r="CZ548" s="408">
        <v>21.045537441896045</v>
      </c>
      <c r="DA548" s="408">
        <v>0</v>
      </c>
      <c r="DB548" s="408">
        <v>0</v>
      </c>
      <c r="DC548" s="408">
        <v>197.48814694539305</v>
      </c>
      <c r="DD548" s="408">
        <v>0</v>
      </c>
      <c r="DE548" s="408">
        <v>0</v>
      </c>
      <c r="DF548" s="408">
        <v>0</v>
      </c>
      <c r="DG548" s="408">
        <v>33.039397799147594</v>
      </c>
      <c r="DH548" s="408">
        <v>0</v>
      </c>
      <c r="DI548" s="408">
        <v>-9.2823877415930838</v>
      </c>
      <c r="DJ548" s="408"/>
      <c r="DK548" s="408">
        <v>0</v>
      </c>
      <c r="DL548" s="408">
        <v>0</v>
      </c>
      <c r="DM548" s="408">
        <v>0</v>
      </c>
      <c r="DN548" s="408">
        <v>0</v>
      </c>
      <c r="DO548" s="408">
        <v>-1.2059898620006919</v>
      </c>
      <c r="DP548" s="408">
        <v>-0.36470486979969508</v>
      </c>
      <c r="DQ548" s="408">
        <v>0</v>
      </c>
      <c r="DR548" s="408">
        <v>0</v>
      </c>
      <c r="DS548" s="408"/>
      <c r="DT548" s="408"/>
      <c r="DU548" s="408"/>
      <c r="DV548" s="408">
        <v>3334.9121637824483</v>
      </c>
      <c r="DW548" s="408">
        <v>0</v>
      </c>
      <c r="DX548" s="408">
        <v>0</v>
      </c>
      <c r="DY548" s="408">
        <v>-1812.6304400000004</v>
      </c>
      <c r="DZ548" s="408">
        <v>197.54799000000003</v>
      </c>
      <c r="EA548" s="408">
        <v>0</v>
      </c>
      <c r="EB548" s="408">
        <v>0</v>
      </c>
      <c r="EC548" s="408">
        <v>-1870.8513716030952</v>
      </c>
      <c r="ED548" s="408">
        <v>0</v>
      </c>
      <c r="EE548" s="408">
        <v>0</v>
      </c>
      <c r="EF548" s="408">
        <v>0</v>
      </c>
      <c r="EG548" s="408">
        <v>0</v>
      </c>
      <c r="EH548" s="408">
        <v>0</v>
      </c>
      <c r="EI548" s="408">
        <v>0</v>
      </c>
      <c r="EJ548" s="408">
        <v>0</v>
      </c>
      <c r="EK548" s="408">
        <v>0</v>
      </c>
      <c r="EL548" s="408">
        <v>0</v>
      </c>
      <c r="EM548" s="408">
        <v>0</v>
      </c>
      <c r="EN548" s="408">
        <v>0</v>
      </c>
      <c r="EO548" s="408">
        <v>0</v>
      </c>
      <c r="EP548" s="408">
        <v>0</v>
      </c>
      <c r="EQ548" s="408">
        <v>0</v>
      </c>
      <c r="ER548" s="408">
        <v>0</v>
      </c>
      <c r="ES548" s="408">
        <v>0</v>
      </c>
      <c r="ET548" s="408">
        <v>0</v>
      </c>
      <c r="EU548" s="408">
        <v>0</v>
      </c>
      <c r="EV548" s="408">
        <v>238</v>
      </c>
      <c r="EW548" s="408">
        <v>0</v>
      </c>
      <c r="EX548" s="408">
        <v>0</v>
      </c>
      <c r="EY548" s="408">
        <v>0</v>
      </c>
      <c r="EZ548" s="408"/>
      <c r="FA548" s="408">
        <v>0</v>
      </c>
      <c r="FB548" s="408"/>
      <c r="FC548" s="408"/>
      <c r="FD548" s="408"/>
      <c r="FE548" s="408"/>
      <c r="FF548" s="408">
        <v>0</v>
      </c>
      <c r="FG548" s="408">
        <v>0</v>
      </c>
      <c r="FH548" s="408">
        <v>0</v>
      </c>
      <c r="FI548" s="408">
        <v>0</v>
      </c>
    </row>
    <row r="549" spans="1:165">
      <c r="A549" s="408">
        <v>553</v>
      </c>
      <c r="B549" s="408" t="s">
        <v>2238</v>
      </c>
      <c r="C549" s="408" t="s">
        <v>2235</v>
      </c>
      <c r="D549" s="408" t="s">
        <v>1958</v>
      </c>
      <c r="E549" s="408" t="s">
        <v>970</v>
      </c>
      <c r="F549" s="408" t="s">
        <v>1322</v>
      </c>
      <c r="G549" s="408" t="s">
        <v>1322</v>
      </c>
      <c r="H549" s="408" t="s">
        <v>1322</v>
      </c>
      <c r="I549" s="408" t="s">
        <v>1322</v>
      </c>
      <c r="J549" s="408" t="s">
        <v>2236</v>
      </c>
      <c r="K549" s="824">
        <v>44652</v>
      </c>
      <c r="L549" s="408">
        <v>0</v>
      </c>
      <c r="M549" s="408">
        <v>0</v>
      </c>
      <c r="N549" s="408">
        <v>2.2890000000000001</v>
      </c>
      <c r="O549" s="408">
        <v>2.2890000000000001</v>
      </c>
      <c r="P549" s="408">
        <v>2.2890000000000001</v>
      </c>
      <c r="Q549" s="408">
        <v>2.2890000000000001</v>
      </c>
      <c r="R549" s="408"/>
      <c r="S549" s="408">
        <v>581.32000000000005</v>
      </c>
      <c r="T549" s="408">
        <v>209.4</v>
      </c>
      <c r="U549" s="408"/>
      <c r="V549" s="408">
        <v>1809.9580800000003</v>
      </c>
      <c r="W549" s="408">
        <v>1809.9580800000003</v>
      </c>
      <c r="X549" s="408">
        <v>1382.71623</v>
      </c>
      <c r="Y549" s="408">
        <v>0</v>
      </c>
      <c r="Z549" s="408">
        <v>140.86027021411411</v>
      </c>
      <c r="AA549" s="408">
        <v>0</v>
      </c>
      <c r="AB549" s="408">
        <v>0</v>
      </c>
      <c r="AC549" s="408">
        <v>0</v>
      </c>
      <c r="AD549" s="408">
        <v>169.82353043761938</v>
      </c>
      <c r="AE549" s="408">
        <v>882.19275891575455</v>
      </c>
      <c r="AF549" s="408">
        <v>473.02355711565627</v>
      </c>
      <c r="AG549" s="408">
        <v>6.3015368030261953</v>
      </c>
      <c r="AH549" s="408">
        <v>0</v>
      </c>
      <c r="AI549" s="408">
        <v>0</v>
      </c>
      <c r="AJ549" s="408">
        <v>0</v>
      </c>
      <c r="AK549" s="408">
        <v>0</v>
      </c>
      <c r="AL549" s="408">
        <v>21.767478165690257</v>
      </c>
      <c r="AM549" s="408"/>
      <c r="AN549" s="408">
        <v>4.1727653189322833</v>
      </c>
      <c r="AO549" s="408">
        <v>13.0461114941128</v>
      </c>
      <c r="AP549" s="408">
        <v>19.651499842464336</v>
      </c>
      <c r="AQ549" s="408">
        <v>0</v>
      </c>
      <c r="AR549" s="408">
        <v>0</v>
      </c>
      <c r="AS549" s="408">
        <v>0</v>
      </c>
      <c r="AT549" s="408">
        <v>0</v>
      </c>
      <c r="AU549" s="408">
        <v>0</v>
      </c>
      <c r="AV549" s="408">
        <v>0</v>
      </c>
      <c r="AW549" s="408">
        <v>0</v>
      </c>
      <c r="AX549" s="408">
        <v>0</v>
      </c>
      <c r="AY549" s="408">
        <v>0</v>
      </c>
      <c r="AZ549" s="408">
        <v>0</v>
      </c>
      <c r="BA549" s="408"/>
      <c r="BB549" s="408">
        <v>0</v>
      </c>
      <c r="BC549" s="408">
        <v>0</v>
      </c>
      <c r="BD549" s="408">
        <v>0</v>
      </c>
      <c r="BE549" s="408">
        <v>0</v>
      </c>
      <c r="BF549" s="408">
        <v>0</v>
      </c>
      <c r="BG549" s="408">
        <v>79.135956834077646</v>
      </c>
      <c r="BH549" s="408">
        <v>0</v>
      </c>
      <c r="BI549" s="408">
        <v>4.1399999999999997</v>
      </c>
      <c r="BJ549" s="408">
        <v>19.39</v>
      </c>
      <c r="BK549" s="408">
        <v>424.29</v>
      </c>
      <c r="BL549" s="408">
        <v>3</v>
      </c>
      <c r="BM549" s="408"/>
      <c r="BN549" s="408"/>
      <c r="BO549" s="408"/>
      <c r="BP549" s="408"/>
      <c r="BQ549" s="408"/>
      <c r="BR549" s="408"/>
      <c r="BS549" s="408"/>
      <c r="BT549" s="408"/>
      <c r="BU549" s="408"/>
      <c r="BV549" s="408">
        <v>552.15951394973388</v>
      </c>
      <c r="BW549" s="408"/>
      <c r="BX549" s="408"/>
      <c r="BY549" s="408"/>
      <c r="BZ549" s="408"/>
      <c r="CA549" s="408"/>
      <c r="CB549" s="408"/>
      <c r="CC549" s="408"/>
      <c r="CD549" s="408"/>
      <c r="CE549" s="408"/>
      <c r="CF549" s="408"/>
      <c r="CG549" s="408"/>
      <c r="CH549" s="408"/>
      <c r="CI549" s="408">
        <v>1383.3202999999999</v>
      </c>
      <c r="CJ549" s="408">
        <v>-426.66778000000045</v>
      </c>
      <c r="CK549" s="408"/>
      <c r="CL549" s="408"/>
      <c r="CM549" s="408"/>
      <c r="CN549" s="408"/>
      <c r="CO549" s="408">
        <v>-479.4997200000002</v>
      </c>
      <c r="CP549" s="408">
        <v>52.257869999999969</v>
      </c>
      <c r="CQ549" s="408">
        <v>30</v>
      </c>
      <c r="CR549" s="408">
        <v>67.625920053128539</v>
      </c>
      <c r="CS549" s="408">
        <v>1.5750835308257543</v>
      </c>
      <c r="CT549" s="408">
        <v>2.3725654783693848</v>
      </c>
      <c r="CU549" s="408">
        <v>0</v>
      </c>
      <c r="CV549" s="408">
        <v>0</v>
      </c>
      <c r="CW549" s="408">
        <v>0</v>
      </c>
      <c r="CX549" s="408">
        <v>0</v>
      </c>
      <c r="CY549" s="408">
        <v>0</v>
      </c>
      <c r="CZ549" s="408">
        <v>5.5672293082745909</v>
      </c>
      <c r="DA549" s="408">
        <v>0</v>
      </c>
      <c r="DB549" s="408">
        <v>0</v>
      </c>
      <c r="DC549" s="408">
        <v>52.242039565238031</v>
      </c>
      <c r="DD549" s="408">
        <v>0</v>
      </c>
      <c r="DE549" s="408">
        <v>0</v>
      </c>
      <c r="DF549" s="408">
        <v>0</v>
      </c>
      <c r="DG549" s="408">
        <v>8.7399955578699746</v>
      </c>
      <c r="DH549" s="408">
        <v>0</v>
      </c>
      <c r="DI549" s="408">
        <v>-2.4554935329373109</v>
      </c>
      <c r="DJ549" s="408"/>
      <c r="DK549" s="408">
        <v>0</v>
      </c>
      <c r="DL549" s="408">
        <v>0</v>
      </c>
      <c r="DM549" s="408">
        <v>0</v>
      </c>
      <c r="DN549" s="408">
        <v>0</v>
      </c>
      <c r="DO549" s="408">
        <v>-0.31902355184555375</v>
      </c>
      <c r="DP549" s="408">
        <v>-9.6476302666300917E-2</v>
      </c>
      <c r="DQ549" s="408">
        <v>0</v>
      </c>
      <c r="DR549" s="408">
        <v>0</v>
      </c>
      <c r="DS549" s="408"/>
      <c r="DT549" s="408"/>
      <c r="DU549" s="408"/>
      <c r="DV549" s="408">
        <v>882.19275891575455</v>
      </c>
      <c r="DW549" s="408">
        <v>0</v>
      </c>
      <c r="DX549" s="408">
        <v>0</v>
      </c>
      <c r="DY549" s="408">
        <v>-479.49972000000025</v>
      </c>
      <c r="DZ549" s="408">
        <v>52.257869999999969</v>
      </c>
      <c r="EA549" s="408">
        <v>0</v>
      </c>
      <c r="EB549" s="408">
        <v>0</v>
      </c>
      <c r="EC549" s="408">
        <v>-494.90105045642952</v>
      </c>
      <c r="ED549" s="408">
        <v>0</v>
      </c>
      <c r="EE549" s="408">
        <v>0</v>
      </c>
      <c r="EF549" s="408">
        <v>0</v>
      </c>
      <c r="EG549" s="408">
        <v>0</v>
      </c>
      <c r="EH549" s="408">
        <v>0</v>
      </c>
      <c r="EI549" s="408">
        <v>0</v>
      </c>
      <c r="EJ549" s="408">
        <v>0</v>
      </c>
      <c r="EK549" s="408">
        <v>0</v>
      </c>
      <c r="EL549" s="408">
        <v>0</v>
      </c>
      <c r="EM549" s="408">
        <v>0</v>
      </c>
      <c r="EN549" s="408">
        <v>0</v>
      </c>
      <c r="EO549" s="408">
        <v>0</v>
      </c>
      <c r="EP549" s="408">
        <v>0</v>
      </c>
      <c r="EQ549" s="408">
        <v>0</v>
      </c>
      <c r="ER549" s="408">
        <v>0</v>
      </c>
      <c r="ES549" s="408">
        <v>0</v>
      </c>
      <c r="ET549" s="408">
        <v>0</v>
      </c>
      <c r="EU549" s="408">
        <v>0</v>
      </c>
      <c r="EV549" s="408">
        <v>238</v>
      </c>
      <c r="EW549" s="408">
        <v>0</v>
      </c>
      <c r="EX549" s="408">
        <v>0</v>
      </c>
      <c r="EY549" s="408">
        <v>0</v>
      </c>
      <c r="EZ549" s="408"/>
      <c r="FA549" s="408">
        <v>0</v>
      </c>
      <c r="FB549" s="408"/>
      <c r="FC549" s="408"/>
      <c r="FD549" s="408"/>
      <c r="FE549" s="408"/>
      <c r="FF549" s="408">
        <v>0</v>
      </c>
      <c r="FG549" s="408">
        <v>0</v>
      </c>
      <c r="FH549" s="408">
        <v>0</v>
      </c>
      <c r="FI549" s="408">
        <v>0</v>
      </c>
    </row>
    <row r="550" spans="1:165">
      <c r="A550" s="408">
        <v>554</v>
      </c>
      <c r="B550" s="408" t="s">
        <v>1036</v>
      </c>
      <c r="C550" s="408" t="s">
        <v>2243</v>
      </c>
      <c r="D550" s="408" t="s">
        <v>597</v>
      </c>
      <c r="E550" s="408" t="s">
        <v>970</v>
      </c>
      <c r="F550" s="408" t="s">
        <v>1322</v>
      </c>
      <c r="G550" s="408" t="s">
        <v>1322</v>
      </c>
      <c r="H550" s="408" t="s">
        <v>1322</v>
      </c>
      <c r="I550" s="408" t="s">
        <v>973</v>
      </c>
      <c r="J550" s="408" t="s">
        <v>2236</v>
      </c>
      <c r="K550" s="824">
        <v>44652</v>
      </c>
      <c r="L550" s="408">
        <v>0</v>
      </c>
      <c r="M550" s="408">
        <v>0</v>
      </c>
      <c r="N550" s="408">
        <v>8.6080000000000005</v>
      </c>
      <c r="O550" s="408">
        <v>8.6080000000000005</v>
      </c>
      <c r="P550" s="408">
        <v>8.6080000000000005</v>
      </c>
      <c r="Q550" s="408">
        <v>8.6080000000000005</v>
      </c>
      <c r="R550" s="408"/>
      <c r="S550" s="408">
        <v>1614.19</v>
      </c>
      <c r="T550" s="408">
        <v>209.4</v>
      </c>
      <c r="U550" s="408"/>
      <c r="V550" s="408">
        <v>15697.462720000001</v>
      </c>
      <c r="W550" s="408">
        <v>15697.462720000001</v>
      </c>
      <c r="X550" s="408">
        <v>10434.1872</v>
      </c>
      <c r="Y550" s="408">
        <v>0</v>
      </c>
      <c r="Z550" s="408">
        <v>460.8549275765368</v>
      </c>
      <c r="AA550" s="408">
        <v>0</v>
      </c>
      <c r="AB550" s="408">
        <v>0</v>
      </c>
      <c r="AC550" s="408">
        <v>0</v>
      </c>
      <c r="AD550" s="408">
        <v>2680.6860608811267</v>
      </c>
      <c r="AE550" s="408">
        <v>10009.697591753436</v>
      </c>
      <c r="AF550" s="408">
        <v>1778.8496197691434</v>
      </c>
      <c r="AG550" s="408">
        <v>23.697522411729789</v>
      </c>
      <c r="AH550" s="408">
        <v>0</v>
      </c>
      <c r="AI550" s="408">
        <v>0</v>
      </c>
      <c r="AJ550" s="408">
        <v>0</v>
      </c>
      <c r="AK550" s="408">
        <v>0</v>
      </c>
      <c r="AL550" s="408">
        <v>81.85865096123274</v>
      </c>
      <c r="AM550" s="408"/>
      <c r="AN550" s="408">
        <v>11.430083807637898</v>
      </c>
      <c r="AO550" s="408">
        <v>208.26991760874651</v>
      </c>
      <c r="AP550" s="408">
        <v>310.22116260596255</v>
      </c>
      <c r="AQ550" s="408">
        <v>0</v>
      </c>
      <c r="AR550" s="408">
        <v>0</v>
      </c>
      <c r="AS550" s="408">
        <v>0</v>
      </c>
      <c r="AT550" s="408">
        <v>0</v>
      </c>
      <c r="AU550" s="408">
        <v>0</v>
      </c>
      <c r="AV550" s="408">
        <v>0</v>
      </c>
      <c r="AW550" s="408">
        <v>0</v>
      </c>
      <c r="AX550" s="408">
        <v>0</v>
      </c>
      <c r="AY550" s="408">
        <v>0</v>
      </c>
      <c r="AZ550" s="408">
        <v>0</v>
      </c>
      <c r="BA550" s="408"/>
      <c r="BB550" s="408">
        <v>0</v>
      </c>
      <c r="BC550" s="408">
        <v>0</v>
      </c>
      <c r="BD550" s="408">
        <v>0</v>
      </c>
      <c r="BE550" s="408">
        <v>0</v>
      </c>
      <c r="BF550" s="408">
        <v>0</v>
      </c>
      <c r="BG550" s="408">
        <v>131.91274819738695</v>
      </c>
      <c r="BH550" s="408">
        <v>0</v>
      </c>
      <c r="BI550" s="408">
        <v>0</v>
      </c>
      <c r="BJ550" s="408">
        <v>0</v>
      </c>
      <c r="BK550" s="408">
        <v>0</v>
      </c>
      <c r="BL550" s="408">
        <v>0</v>
      </c>
      <c r="BM550" s="408"/>
      <c r="BN550" s="408"/>
      <c r="BO550" s="408"/>
      <c r="BP550" s="408"/>
      <c r="BQ550" s="408"/>
      <c r="BR550" s="408"/>
      <c r="BS550" s="408"/>
      <c r="BT550" s="408"/>
      <c r="BU550" s="408"/>
      <c r="BV550" s="408">
        <v>1910.7623679665303</v>
      </c>
      <c r="BW550" s="408"/>
      <c r="BX550" s="408"/>
      <c r="BY550" s="408"/>
      <c r="BZ550" s="408"/>
      <c r="CA550" s="408"/>
      <c r="CB550" s="408"/>
      <c r="CC550" s="408"/>
      <c r="CD550" s="408"/>
      <c r="CE550" s="408"/>
      <c r="CF550" s="408"/>
      <c r="CG550" s="408"/>
      <c r="CH550" s="408"/>
      <c r="CI550" s="408">
        <v>10436.611499999999</v>
      </c>
      <c r="CJ550" s="408">
        <v>-5260.8812200000029</v>
      </c>
      <c r="CK550" s="408"/>
      <c r="CL550" s="408"/>
      <c r="CM550" s="408"/>
      <c r="CN550" s="408"/>
      <c r="CO550" s="408">
        <v>-5459.7961600000008</v>
      </c>
      <c r="CP550" s="408">
        <v>196.52063999999987</v>
      </c>
      <c r="CQ550" s="408">
        <v>30</v>
      </c>
      <c r="CR550" s="408">
        <v>352.01015758429276</v>
      </c>
      <c r="CS550" s="408">
        <v>25.144850045164617</v>
      </c>
      <c r="CT550" s="408">
        <v>37.453630865776972</v>
      </c>
      <c r="CU550" s="408">
        <v>0</v>
      </c>
      <c r="CV550" s="408">
        <v>0</v>
      </c>
      <c r="CW550" s="408">
        <v>0</v>
      </c>
      <c r="CX550" s="408">
        <v>0</v>
      </c>
      <c r="CY550" s="408">
        <v>0</v>
      </c>
      <c r="CZ550" s="408">
        <v>87.879423811077231</v>
      </c>
      <c r="DA550" s="408">
        <v>0</v>
      </c>
      <c r="DB550" s="408">
        <v>0</v>
      </c>
      <c r="DC550" s="408">
        <v>196.46110815970678</v>
      </c>
      <c r="DD550" s="408">
        <v>0</v>
      </c>
      <c r="DE550" s="408">
        <v>0</v>
      </c>
      <c r="DF550" s="408">
        <v>0</v>
      </c>
      <c r="DG550" s="408">
        <v>14.568811440403778</v>
      </c>
      <c r="DH550" s="408">
        <v>0</v>
      </c>
      <c r="DI550" s="408">
        <v>-8.0336797066084955</v>
      </c>
      <c r="DJ550" s="408"/>
      <c r="DK550" s="408">
        <v>0</v>
      </c>
      <c r="DL550" s="408">
        <v>0</v>
      </c>
      <c r="DM550" s="408">
        <v>0</v>
      </c>
      <c r="DN550" s="408">
        <v>0</v>
      </c>
      <c r="DO550" s="408">
        <v>-1.1997181014794762</v>
      </c>
      <c r="DP550" s="408">
        <v>-0.26426892974879834</v>
      </c>
      <c r="DQ550" s="408">
        <v>0</v>
      </c>
      <c r="DR550" s="408">
        <v>0</v>
      </c>
      <c r="DS550" s="408"/>
      <c r="DT550" s="408"/>
      <c r="DU550" s="408"/>
      <c r="DV550" s="408">
        <v>10009.697591753436</v>
      </c>
      <c r="DW550" s="408">
        <v>0</v>
      </c>
      <c r="DX550" s="408">
        <v>0</v>
      </c>
      <c r="DY550" s="408">
        <v>-5459.7961600000017</v>
      </c>
      <c r="DZ550" s="408">
        <v>196.52063999999996</v>
      </c>
      <c r="EA550" s="408">
        <v>0</v>
      </c>
      <c r="EB550" s="408">
        <v>0</v>
      </c>
      <c r="EC550" s="408">
        <v>-5615.3372410337997</v>
      </c>
      <c r="ED550" s="408">
        <v>0</v>
      </c>
      <c r="EE550" s="408">
        <v>0</v>
      </c>
      <c r="EF550" s="408">
        <v>0</v>
      </c>
      <c r="EG550" s="408">
        <v>0</v>
      </c>
      <c r="EH550" s="408">
        <v>0</v>
      </c>
      <c r="EI550" s="408">
        <v>0</v>
      </c>
      <c r="EJ550" s="408">
        <v>0</v>
      </c>
      <c r="EK550" s="408">
        <v>0</v>
      </c>
      <c r="EL550" s="408">
        <v>0</v>
      </c>
      <c r="EM550" s="408">
        <v>0</v>
      </c>
      <c r="EN550" s="408">
        <v>0</v>
      </c>
      <c r="EO550" s="408">
        <v>0</v>
      </c>
      <c r="EP550" s="408">
        <v>0</v>
      </c>
      <c r="EQ550" s="408">
        <v>0</v>
      </c>
      <c r="ER550" s="408">
        <v>0</v>
      </c>
      <c r="ES550" s="408">
        <v>0</v>
      </c>
      <c r="ET550" s="408">
        <v>0</v>
      </c>
      <c r="EU550" s="408">
        <v>0</v>
      </c>
      <c r="EV550" s="408">
        <v>238</v>
      </c>
      <c r="EW550" s="408">
        <v>0</v>
      </c>
      <c r="EX550" s="408">
        <v>0</v>
      </c>
      <c r="EY550" s="408">
        <v>0</v>
      </c>
      <c r="EZ550" s="408"/>
      <c r="FA550" s="408">
        <v>0</v>
      </c>
      <c r="FB550" s="408"/>
      <c r="FC550" s="408"/>
      <c r="FD550" s="408"/>
      <c r="FE550" s="408"/>
      <c r="FF550" s="408">
        <v>0</v>
      </c>
      <c r="FG550" s="408">
        <v>0</v>
      </c>
      <c r="FH550" s="408">
        <v>0</v>
      </c>
      <c r="FI550" s="408">
        <v>0</v>
      </c>
    </row>
    <row r="551" spans="1:165">
      <c r="A551" s="408">
        <v>555</v>
      </c>
      <c r="B551" s="408" t="s">
        <v>1036</v>
      </c>
      <c r="C551" s="408" t="s">
        <v>2243</v>
      </c>
      <c r="D551" s="408" t="s">
        <v>597</v>
      </c>
      <c r="E551" s="408" t="s">
        <v>970</v>
      </c>
      <c r="F551" s="408" t="s">
        <v>1322</v>
      </c>
      <c r="G551" s="408" t="s">
        <v>1322</v>
      </c>
      <c r="H551" s="408" t="s">
        <v>1322</v>
      </c>
      <c r="I551" s="408" t="s">
        <v>2244</v>
      </c>
      <c r="J551" s="408" t="s">
        <v>2236</v>
      </c>
      <c r="K551" s="824">
        <v>44652</v>
      </c>
      <c r="L551" s="408">
        <v>0</v>
      </c>
      <c r="M551" s="408">
        <v>0</v>
      </c>
      <c r="N551" s="408">
        <v>300.53899999999999</v>
      </c>
      <c r="O551" s="408">
        <v>300.53899999999999</v>
      </c>
      <c r="P551" s="408">
        <v>300.53899999999999</v>
      </c>
      <c r="Q551" s="408">
        <v>300.53899999999999</v>
      </c>
      <c r="R551" s="408"/>
      <c r="S551" s="408">
        <v>79.7</v>
      </c>
      <c r="T551" s="408">
        <v>209.4</v>
      </c>
      <c r="U551" s="408"/>
      <c r="V551" s="408">
        <v>86885.824900000007</v>
      </c>
      <c r="W551" s="408">
        <v>86885.824900000007</v>
      </c>
      <c r="X551" s="408">
        <v>93924.448279999997</v>
      </c>
      <c r="Y551" s="408">
        <v>0</v>
      </c>
      <c r="Z551" s="408">
        <v>16090.250822365797</v>
      </c>
      <c r="AA551" s="408">
        <v>0</v>
      </c>
      <c r="AB551" s="408">
        <v>0</v>
      </c>
      <c r="AC551" s="408">
        <v>0</v>
      </c>
      <c r="AD551" s="408">
        <v>0</v>
      </c>
      <c r="AE551" s="408">
        <v>0</v>
      </c>
      <c r="AF551" s="408">
        <v>62106.608489288861</v>
      </c>
      <c r="AG551" s="408">
        <v>827.37333737207928</v>
      </c>
      <c r="AH551" s="408">
        <v>0</v>
      </c>
      <c r="AI551" s="408">
        <v>0</v>
      </c>
      <c r="AJ551" s="408">
        <v>0</v>
      </c>
      <c r="AK551" s="408">
        <v>0</v>
      </c>
      <c r="AL551" s="408">
        <v>2858.006168824108</v>
      </c>
      <c r="AM551" s="408"/>
      <c r="AN551" s="408">
        <v>399.06900063472187</v>
      </c>
      <c r="AO551" s="408">
        <v>0</v>
      </c>
      <c r="AP551" s="408">
        <v>0</v>
      </c>
      <c r="AQ551" s="408">
        <v>0</v>
      </c>
      <c r="AR551" s="408">
        <v>0</v>
      </c>
      <c r="AS551" s="408">
        <v>0</v>
      </c>
      <c r="AT551" s="408">
        <v>0</v>
      </c>
      <c r="AU551" s="408">
        <v>0</v>
      </c>
      <c r="AV551" s="408">
        <v>0</v>
      </c>
      <c r="AW551" s="408">
        <v>0</v>
      </c>
      <c r="AX551" s="408">
        <v>0</v>
      </c>
      <c r="AY551" s="408">
        <v>0</v>
      </c>
      <c r="AZ551" s="408">
        <v>0</v>
      </c>
      <c r="BA551" s="408"/>
      <c r="BB551" s="408">
        <v>0</v>
      </c>
      <c r="BC551" s="408">
        <v>0</v>
      </c>
      <c r="BD551" s="408">
        <v>0</v>
      </c>
      <c r="BE551" s="408">
        <v>0</v>
      </c>
      <c r="BF551" s="408">
        <v>0</v>
      </c>
      <c r="BG551" s="408">
        <v>4605.5907795648782</v>
      </c>
      <c r="BH551" s="408">
        <v>0</v>
      </c>
      <c r="BI551" s="408">
        <v>0</v>
      </c>
      <c r="BJ551" s="408">
        <v>0</v>
      </c>
      <c r="BK551" s="408">
        <v>0</v>
      </c>
      <c r="BL551" s="408">
        <v>0</v>
      </c>
      <c r="BM551" s="408"/>
      <c r="BN551" s="408"/>
      <c r="BO551" s="408"/>
      <c r="BP551" s="408"/>
      <c r="BQ551" s="408"/>
      <c r="BR551" s="408"/>
      <c r="BS551" s="408"/>
      <c r="BT551" s="408"/>
      <c r="BU551" s="408"/>
      <c r="BV551" s="408">
        <v>66712.199268853743</v>
      </c>
      <c r="BW551" s="408"/>
      <c r="BX551" s="408"/>
      <c r="BY551" s="408"/>
      <c r="BZ551" s="408"/>
      <c r="CA551" s="408"/>
      <c r="CB551" s="408"/>
      <c r="CC551" s="408"/>
      <c r="CD551" s="408"/>
      <c r="CE551" s="408"/>
      <c r="CF551" s="408"/>
      <c r="CG551" s="408"/>
      <c r="CH551" s="408"/>
      <c r="CI551" s="408">
        <v>93924.760800000004</v>
      </c>
      <c r="CJ551" s="408">
        <v>7038.9059000000125</v>
      </c>
      <c r="CK551" s="408"/>
      <c r="CL551" s="408"/>
      <c r="CM551" s="408"/>
      <c r="CN551" s="408"/>
      <c r="CO551" s="408">
        <v>177.31801000000101</v>
      </c>
      <c r="CP551" s="408">
        <v>6861.3053699999946</v>
      </c>
      <c r="CQ551" s="408">
        <v>30</v>
      </c>
      <c r="CR551" s="408">
        <v>7036.2804069441045</v>
      </c>
      <c r="CS551" s="408">
        <v>0</v>
      </c>
      <c r="CT551" s="408">
        <v>0</v>
      </c>
      <c r="CU551" s="408">
        <v>0</v>
      </c>
      <c r="CV551" s="408">
        <v>0</v>
      </c>
      <c r="CW551" s="408">
        <v>0</v>
      </c>
      <c r="CX551" s="408">
        <v>0</v>
      </c>
      <c r="CY551" s="408">
        <v>0</v>
      </c>
      <c r="CZ551" s="408">
        <v>0</v>
      </c>
      <c r="DA551" s="408">
        <v>0</v>
      </c>
      <c r="DB551" s="408">
        <v>0</v>
      </c>
      <c r="DC551" s="408">
        <v>6859.2268802520994</v>
      </c>
      <c r="DD551" s="408">
        <v>0</v>
      </c>
      <c r="DE551" s="408">
        <v>0</v>
      </c>
      <c r="DF551" s="408">
        <v>0</v>
      </c>
      <c r="DG551" s="408">
        <v>508.65427758916212</v>
      </c>
      <c r="DH551" s="408">
        <v>0</v>
      </c>
      <c r="DI551" s="408">
        <v>-280.48722878071749</v>
      </c>
      <c r="DJ551" s="408"/>
      <c r="DK551" s="408">
        <v>0</v>
      </c>
      <c r="DL551" s="408">
        <v>0</v>
      </c>
      <c r="DM551" s="408">
        <v>0</v>
      </c>
      <c r="DN551" s="408">
        <v>0</v>
      </c>
      <c r="DO551" s="408">
        <v>-41.886858561865665</v>
      </c>
      <c r="DP551" s="408">
        <v>-9.2266635545741451</v>
      </c>
      <c r="DQ551" s="408">
        <v>0</v>
      </c>
      <c r="DR551" s="408">
        <v>0</v>
      </c>
      <c r="DS551" s="408"/>
      <c r="DT551" s="408"/>
      <c r="DU551" s="408"/>
      <c r="DV551" s="408">
        <v>0</v>
      </c>
      <c r="DW551" s="408">
        <v>0</v>
      </c>
      <c r="DX551" s="408">
        <v>0</v>
      </c>
      <c r="DY551" s="408">
        <v>177.31801000000269</v>
      </c>
      <c r="DZ551" s="408">
        <v>6861.3053699999946</v>
      </c>
      <c r="EA551" s="408">
        <v>0</v>
      </c>
      <c r="EB551" s="408">
        <v>0</v>
      </c>
      <c r="EC551" s="408">
        <v>0</v>
      </c>
      <c r="ED551" s="408">
        <v>0</v>
      </c>
      <c r="EE551" s="408">
        <v>0</v>
      </c>
      <c r="EF551" s="408">
        <v>0</v>
      </c>
      <c r="EG551" s="408">
        <v>0</v>
      </c>
      <c r="EH551" s="408">
        <v>0</v>
      </c>
      <c r="EI551" s="408">
        <v>0</v>
      </c>
      <c r="EJ551" s="408">
        <v>0</v>
      </c>
      <c r="EK551" s="408">
        <v>0</v>
      </c>
      <c r="EL551" s="408">
        <v>0</v>
      </c>
      <c r="EM551" s="408">
        <v>0</v>
      </c>
      <c r="EN551" s="408">
        <v>0</v>
      </c>
      <c r="EO551" s="408">
        <v>0</v>
      </c>
      <c r="EP551" s="408">
        <v>0</v>
      </c>
      <c r="EQ551" s="408">
        <v>0</v>
      </c>
      <c r="ER551" s="408">
        <v>0</v>
      </c>
      <c r="ES551" s="408">
        <v>0</v>
      </c>
      <c r="ET551" s="408">
        <v>0</v>
      </c>
      <c r="EU551" s="408">
        <v>0</v>
      </c>
      <c r="EV551" s="408">
        <v>238</v>
      </c>
      <c r="EW551" s="408">
        <v>0</v>
      </c>
      <c r="EX551" s="408">
        <v>0</v>
      </c>
      <c r="EY551" s="408">
        <v>0</v>
      </c>
      <c r="EZ551" s="408"/>
      <c r="FA551" s="408">
        <v>0</v>
      </c>
      <c r="FB551" s="408"/>
      <c r="FC551" s="408"/>
      <c r="FD551" s="408"/>
      <c r="FE551" s="408"/>
      <c r="FF551" s="408">
        <v>0</v>
      </c>
      <c r="FG551" s="408">
        <v>0</v>
      </c>
      <c r="FH551" s="408">
        <v>0</v>
      </c>
      <c r="FI551" s="408">
        <v>0</v>
      </c>
    </row>
    <row r="552" spans="1:165">
      <c r="A552" s="408">
        <v>556</v>
      </c>
      <c r="B552" s="408" t="s">
        <v>1036</v>
      </c>
      <c r="C552" s="408" t="s">
        <v>2243</v>
      </c>
      <c r="D552" s="408" t="s">
        <v>597</v>
      </c>
      <c r="E552" s="408" t="s">
        <v>970</v>
      </c>
      <c r="F552" s="408" t="s">
        <v>1322</v>
      </c>
      <c r="G552" s="408" t="s">
        <v>1322</v>
      </c>
      <c r="H552" s="408" t="s">
        <v>1322</v>
      </c>
      <c r="I552" s="408" t="s">
        <v>1322</v>
      </c>
      <c r="J552" s="408" t="s">
        <v>2236</v>
      </c>
      <c r="K552" s="824">
        <v>44652</v>
      </c>
      <c r="L552" s="408">
        <v>1645</v>
      </c>
      <c r="M552" s="408">
        <v>1645</v>
      </c>
      <c r="N552" s="408">
        <v>0</v>
      </c>
      <c r="O552" s="408">
        <v>0</v>
      </c>
      <c r="P552" s="408">
        <v>0</v>
      </c>
      <c r="Q552" s="408">
        <v>0</v>
      </c>
      <c r="R552" s="408">
        <v>44.35</v>
      </c>
      <c r="S552" s="408"/>
      <c r="T552" s="408"/>
      <c r="U552" s="408">
        <v>72955.75</v>
      </c>
      <c r="V552" s="408"/>
      <c r="W552" s="408">
        <v>72955.75</v>
      </c>
      <c r="X552" s="408">
        <v>47655.65</v>
      </c>
      <c r="Y552" s="408">
        <v>0</v>
      </c>
      <c r="Z552" s="408">
        <v>0</v>
      </c>
      <c r="AA552" s="408">
        <v>0</v>
      </c>
      <c r="AB552" s="408">
        <v>0</v>
      </c>
      <c r="AC552" s="408">
        <v>0</v>
      </c>
      <c r="AD552" s="408">
        <v>21585.794766900319</v>
      </c>
      <c r="AE552" s="408">
        <v>47240.857140052169</v>
      </c>
      <c r="AF552" s="408"/>
      <c r="AG552" s="408"/>
      <c r="AH552" s="408"/>
      <c r="AI552" s="408">
        <v>0</v>
      </c>
      <c r="AJ552" s="408">
        <v>0</v>
      </c>
      <c r="AK552" s="408">
        <v>0</v>
      </c>
      <c r="AL552" s="408">
        <v>0</v>
      </c>
      <c r="AM552" s="408"/>
      <c r="AN552" s="408">
        <v>0</v>
      </c>
      <c r="AO552" s="408">
        <v>1631.3805377822907</v>
      </c>
      <c r="AP552" s="408">
        <v>2495.9443421564069</v>
      </c>
      <c r="AQ552" s="408">
        <v>0</v>
      </c>
      <c r="AR552" s="408">
        <v>0</v>
      </c>
      <c r="AS552" s="408"/>
      <c r="AT552" s="408"/>
      <c r="AU552" s="408">
        <v>0</v>
      </c>
      <c r="AV552" s="408">
        <v>0</v>
      </c>
      <c r="AW552" s="408">
        <v>0</v>
      </c>
      <c r="AX552" s="408"/>
      <c r="AY552" s="408"/>
      <c r="AZ552" s="408">
        <v>0</v>
      </c>
      <c r="BA552" s="408"/>
      <c r="BB552" s="408">
        <v>0</v>
      </c>
      <c r="BC552" s="408">
        <v>0</v>
      </c>
      <c r="BD552" s="408">
        <v>0</v>
      </c>
      <c r="BE552" s="408">
        <v>0</v>
      </c>
      <c r="BF552" s="408"/>
      <c r="BG552" s="408">
        <v>0</v>
      </c>
      <c r="BH552" s="408">
        <v>0</v>
      </c>
      <c r="BI552" s="408">
        <v>441.54</v>
      </c>
      <c r="BJ552" s="408">
        <v>2052.27</v>
      </c>
      <c r="BK552" s="408">
        <v>34805.51</v>
      </c>
      <c r="BL552" s="408">
        <v>7</v>
      </c>
      <c r="BM552" s="408"/>
      <c r="BN552" s="408"/>
      <c r="BO552" s="408"/>
      <c r="BP552" s="408"/>
      <c r="BQ552" s="408"/>
      <c r="BR552" s="408"/>
      <c r="BS552" s="408"/>
      <c r="BT552" s="408"/>
      <c r="BU552" s="408"/>
      <c r="BV552" s="408">
        <v>0</v>
      </c>
      <c r="BW552" s="408"/>
      <c r="BX552" s="408"/>
      <c r="BY552" s="408"/>
      <c r="BZ552" s="408"/>
      <c r="CA552" s="408"/>
      <c r="CB552" s="408"/>
      <c r="CC552" s="408"/>
      <c r="CD552" s="408"/>
      <c r="CE552" s="408"/>
      <c r="CF552" s="408"/>
      <c r="CG552" s="408"/>
      <c r="CH552" s="408"/>
      <c r="CI552" s="408">
        <v>47655.65</v>
      </c>
      <c r="CJ552" s="408">
        <v>-25300.129999999983</v>
      </c>
      <c r="CK552" s="408"/>
      <c r="CL552" s="408"/>
      <c r="CM552" s="408"/>
      <c r="CN552" s="408"/>
      <c r="CO552" s="408">
        <v>-25300.100000000006</v>
      </c>
      <c r="CP552" s="408">
        <v>0</v>
      </c>
      <c r="CQ552" s="408">
        <v>30</v>
      </c>
      <c r="CR552" s="408">
        <v>1205.93528566022</v>
      </c>
      <c r="CS552" s="408">
        <v>196.95988484615145</v>
      </c>
      <c r="CT552" s="408">
        <v>301.34042844584837</v>
      </c>
      <c r="CU552" s="408">
        <v>0</v>
      </c>
      <c r="CV552" s="408">
        <v>0</v>
      </c>
      <c r="CW552" s="408"/>
      <c r="CX552" s="408"/>
      <c r="CY552" s="408"/>
      <c r="CZ552" s="408">
        <v>707.63497236821786</v>
      </c>
      <c r="DA552" s="408">
        <v>0</v>
      </c>
      <c r="DB552" s="408">
        <v>0</v>
      </c>
      <c r="DC552" s="408"/>
      <c r="DD552" s="408"/>
      <c r="DE552" s="408">
        <v>0</v>
      </c>
      <c r="DF552" s="408">
        <v>0</v>
      </c>
      <c r="DG552" s="408">
        <v>0</v>
      </c>
      <c r="DH552" s="408">
        <v>0</v>
      </c>
      <c r="DI552" s="408">
        <v>0</v>
      </c>
      <c r="DJ552" s="408"/>
      <c r="DK552" s="408">
        <v>0</v>
      </c>
      <c r="DL552" s="408">
        <v>0</v>
      </c>
      <c r="DM552" s="408"/>
      <c r="DN552" s="408">
        <v>0</v>
      </c>
      <c r="DO552" s="408">
        <v>0</v>
      </c>
      <c r="DP552" s="408">
        <v>0</v>
      </c>
      <c r="DQ552" s="408">
        <v>0</v>
      </c>
      <c r="DR552" s="408">
        <v>0</v>
      </c>
      <c r="DS552" s="408"/>
      <c r="DT552" s="408"/>
      <c r="DU552" s="408">
        <v>47240.857140052169</v>
      </c>
      <c r="DV552" s="408"/>
      <c r="DW552" s="408">
        <v>0</v>
      </c>
      <c r="DX552" s="408">
        <v>0</v>
      </c>
      <c r="DY552" s="408">
        <v>-25300.1</v>
      </c>
      <c r="DZ552" s="408"/>
      <c r="EA552" s="408">
        <v>0</v>
      </c>
      <c r="EB552" s="408"/>
      <c r="EC552" s="408">
        <v>-26501.634236726481</v>
      </c>
      <c r="ED552" s="408"/>
      <c r="EE552" s="408">
        <v>0</v>
      </c>
      <c r="EF552" s="408">
        <v>0</v>
      </c>
      <c r="EG552" s="408"/>
      <c r="EH552" s="408">
        <v>0</v>
      </c>
      <c r="EI552" s="408">
        <v>0</v>
      </c>
      <c r="EJ552" s="408">
        <v>0</v>
      </c>
      <c r="EK552" s="408">
        <v>0</v>
      </c>
      <c r="EL552" s="408">
        <v>0</v>
      </c>
      <c r="EM552" s="408"/>
      <c r="EN552" s="408"/>
      <c r="EO552" s="408">
        <v>0</v>
      </c>
      <c r="EP552" s="408">
        <v>0</v>
      </c>
      <c r="EQ552" s="408"/>
      <c r="ER552" s="408">
        <v>0</v>
      </c>
      <c r="ES552" s="408"/>
      <c r="ET552" s="408">
        <v>0</v>
      </c>
      <c r="EU552" s="408"/>
      <c r="EV552" s="408">
        <v>238</v>
      </c>
      <c r="EW552" s="408"/>
      <c r="EX552" s="408"/>
      <c r="EY552" s="408"/>
      <c r="EZ552" s="408"/>
      <c r="FA552" s="408">
        <v>0</v>
      </c>
      <c r="FB552" s="408"/>
      <c r="FC552" s="408"/>
      <c r="FD552" s="408"/>
      <c r="FE552" s="408"/>
      <c r="FF552" s="408">
        <v>0</v>
      </c>
      <c r="FG552" s="408">
        <v>0</v>
      </c>
      <c r="FH552" s="408">
        <v>0</v>
      </c>
      <c r="FI552" s="408">
        <v>0</v>
      </c>
    </row>
    <row r="553" spans="1:165">
      <c r="A553" s="408">
        <v>557</v>
      </c>
      <c r="B553" s="408" t="s">
        <v>1036</v>
      </c>
      <c r="C553" s="408" t="s">
        <v>2235</v>
      </c>
      <c r="D553" s="408" t="s">
        <v>1958</v>
      </c>
      <c r="E553" s="408" t="s">
        <v>998</v>
      </c>
      <c r="F553" s="408" t="s">
        <v>1322</v>
      </c>
      <c r="G553" s="408" t="s">
        <v>1322</v>
      </c>
      <c r="H553" s="408" t="s">
        <v>1322</v>
      </c>
      <c r="I553" s="408" t="s">
        <v>1322</v>
      </c>
      <c r="J553" s="408" t="s">
        <v>2236</v>
      </c>
      <c r="K553" s="824">
        <v>44652</v>
      </c>
      <c r="L553" s="408">
        <v>0</v>
      </c>
      <c r="M553" s="408">
        <v>0</v>
      </c>
      <c r="N553" s="408">
        <v>322.11500000000001</v>
      </c>
      <c r="O553" s="408">
        <v>322.11500000000001</v>
      </c>
      <c r="P553" s="408">
        <v>322.11500000000001</v>
      </c>
      <c r="Q553" s="408">
        <v>322.11500000000001</v>
      </c>
      <c r="R553" s="408"/>
      <c r="S553" s="408">
        <v>581.32000000000005</v>
      </c>
      <c r="T553" s="408">
        <v>209.4</v>
      </c>
      <c r="U553" s="408"/>
      <c r="V553" s="408">
        <v>254702.77280000004</v>
      </c>
      <c r="W553" s="408">
        <v>254702.77280000004</v>
      </c>
      <c r="X553" s="408">
        <v>194580.00805</v>
      </c>
      <c r="Y553" s="408">
        <v>0</v>
      </c>
      <c r="Z553" s="408">
        <v>19822.283066849875</v>
      </c>
      <c r="AA553" s="408">
        <v>0</v>
      </c>
      <c r="AB553" s="408">
        <v>0</v>
      </c>
      <c r="AC553" s="408">
        <v>0</v>
      </c>
      <c r="AD553" s="408">
        <v>23898.080605903786</v>
      </c>
      <c r="AE553" s="408">
        <v>124144.83203938325</v>
      </c>
      <c r="AF553" s="408">
        <v>66565.304980476023</v>
      </c>
      <c r="AG553" s="408">
        <v>886.77130943939835</v>
      </c>
      <c r="AH553" s="408">
        <v>0</v>
      </c>
      <c r="AI553" s="408">
        <v>0</v>
      </c>
      <c r="AJ553" s="408">
        <v>0</v>
      </c>
      <c r="AK553" s="408">
        <v>0</v>
      </c>
      <c r="AL553" s="408">
        <v>3063.1853339193171</v>
      </c>
      <c r="AM553" s="408"/>
      <c r="AN553" s="408">
        <v>587.20415059321647</v>
      </c>
      <c r="AO553" s="408">
        <v>1835.8882498585165</v>
      </c>
      <c r="AP553" s="408">
        <v>2765.4184673461773</v>
      </c>
      <c r="AQ553" s="408">
        <v>0</v>
      </c>
      <c r="AR553" s="408">
        <v>0</v>
      </c>
      <c r="AS553" s="408">
        <v>0</v>
      </c>
      <c r="AT553" s="408">
        <v>0</v>
      </c>
      <c r="AU553" s="408">
        <v>0</v>
      </c>
      <c r="AV553" s="408">
        <v>0</v>
      </c>
      <c r="AW553" s="408">
        <v>0</v>
      </c>
      <c r="AX553" s="408">
        <v>0</v>
      </c>
      <c r="AY553" s="408">
        <v>0</v>
      </c>
      <c r="AZ553" s="408">
        <v>0</v>
      </c>
      <c r="BA553" s="408"/>
      <c r="BB553" s="408">
        <v>0</v>
      </c>
      <c r="BC553" s="408">
        <v>0</v>
      </c>
      <c r="BD553" s="408">
        <v>0</v>
      </c>
      <c r="BE553" s="408">
        <v>0</v>
      </c>
      <c r="BF553" s="408">
        <v>0</v>
      </c>
      <c r="BG553" s="408">
        <v>11136.251085892931</v>
      </c>
      <c r="BH553" s="408">
        <v>0</v>
      </c>
      <c r="BI553" s="408">
        <v>593.85</v>
      </c>
      <c r="BJ553" s="408">
        <v>2799.04</v>
      </c>
      <c r="BK553" s="408">
        <v>79770.75</v>
      </c>
      <c r="BL553" s="408">
        <v>813</v>
      </c>
      <c r="BM553" s="408"/>
      <c r="BN553" s="408"/>
      <c r="BO553" s="408"/>
      <c r="BP553" s="408"/>
      <c r="BQ553" s="408"/>
      <c r="BR553" s="408"/>
      <c r="BS553" s="408"/>
      <c r="BT553" s="408"/>
      <c r="BU553" s="408"/>
      <c r="BV553" s="408">
        <v>77701.556066368954</v>
      </c>
      <c r="BW553" s="408"/>
      <c r="BX553" s="408"/>
      <c r="BY553" s="408"/>
      <c r="BZ553" s="408"/>
      <c r="CA553" s="408"/>
      <c r="CB553" s="408"/>
      <c r="CC553" s="408"/>
      <c r="CD553" s="408"/>
      <c r="CE553" s="408"/>
      <c r="CF553" s="408"/>
      <c r="CG553" s="408"/>
      <c r="CH553" s="408"/>
      <c r="CI553" s="408">
        <v>194583.02840000001</v>
      </c>
      <c r="CJ553" s="408">
        <v>-60119.774400000053</v>
      </c>
      <c r="CK553" s="408"/>
      <c r="CL553" s="408"/>
      <c r="CM553" s="408"/>
      <c r="CN553" s="408"/>
      <c r="CO553" s="408">
        <v>-67476.650200000033</v>
      </c>
      <c r="CP553" s="408">
        <v>7353.8854499999952</v>
      </c>
      <c r="CQ553" s="408">
        <v>30</v>
      </c>
      <c r="CR553" s="408">
        <v>9516.5239134615549</v>
      </c>
      <c r="CS553" s="408">
        <v>221.65051617821678</v>
      </c>
      <c r="CT553" s="408">
        <v>333.87458674746767</v>
      </c>
      <c r="CU553" s="408">
        <v>0</v>
      </c>
      <c r="CV553" s="408">
        <v>0</v>
      </c>
      <c r="CW553" s="408">
        <v>0</v>
      </c>
      <c r="CX553" s="408">
        <v>0</v>
      </c>
      <c r="CY553" s="408">
        <v>0</v>
      </c>
      <c r="CZ553" s="408">
        <v>783.43733885315305</v>
      </c>
      <c r="DA553" s="408">
        <v>0</v>
      </c>
      <c r="DB553" s="408">
        <v>0</v>
      </c>
      <c r="DC553" s="408">
        <v>7351.6577433624479</v>
      </c>
      <c r="DD553" s="408">
        <v>0</v>
      </c>
      <c r="DE553" s="408">
        <v>0</v>
      </c>
      <c r="DF553" s="408">
        <v>0</v>
      </c>
      <c r="DG553" s="408">
        <v>1229.9185972578798</v>
      </c>
      <c r="DH553" s="408">
        <v>0</v>
      </c>
      <c r="DI553" s="408">
        <v>-345.54447329056347</v>
      </c>
      <c r="DJ553" s="408"/>
      <c r="DK553" s="408">
        <v>0</v>
      </c>
      <c r="DL553" s="408">
        <v>0</v>
      </c>
      <c r="DM553" s="408">
        <v>0</v>
      </c>
      <c r="DN553" s="408">
        <v>0</v>
      </c>
      <c r="DO553" s="408">
        <v>-44.893958673101679</v>
      </c>
      <c r="DP553" s="408">
        <v>-13.576436973943032</v>
      </c>
      <c r="DQ553" s="408">
        <v>0</v>
      </c>
      <c r="DR553" s="408">
        <v>0</v>
      </c>
      <c r="DS553" s="408"/>
      <c r="DT553" s="408"/>
      <c r="DU553" s="408"/>
      <c r="DV553" s="408">
        <v>124144.83203938325</v>
      </c>
      <c r="DW553" s="408">
        <v>0</v>
      </c>
      <c r="DX553" s="408">
        <v>0</v>
      </c>
      <c r="DY553" s="408">
        <v>-67476.650200000018</v>
      </c>
      <c r="DZ553" s="408">
        <v>7353.885449999987</v>
      </c>
      <c r="EA553" s="408">
        <v>0</v>
      </c>
      <c r="EB553" s="408">
        <v>0</v>
      </c>
      <c r="EC553" s="408">
        <v>-69643.971982425865</v>
      </c>
      <c r="ED553" s="408">
        <v>0</v>
      </c>
      <c r="EE553" s="408">
        <v>0</v>
      </c>
      <c r="EF553" s="408">
        <v>0</v>
      </c>
      <c r="EG553" s="408">
        <v>0</v>
      </c>
      <c r="EH553" s="408">
        <v>0</v>
      </c>
      <c r="EI553" s="408">
        <v>0</v>
      </c>
      <c r="EJ553" s="408">
        <v>0</v>
      </c>
      <c r="EK553" s="408">
        <v>0</v>
      </c>
      <c r="EL553" s="408">
        <v>0</v>
      </c>
      <c r="EM553" s="408">
        <v>0</v>
      </c>
      <c r="EN553" s="408">
        <v>0</v>
      </c>
      <c r="EO553" s="408">
        <v>0</v>
      </c>
      <c r="EP553" s="408">
        <v>0</v>
      </c>
      <c r="EQ553" s="408">
        <v>0</v>
      </c>
      <c r="ER553" s="408">
        <v>0</v>
      </c>
      <c r="ES553" s="408">
        <v>0</v>
      </c>
      <c r="ET553" s="408">
        <v>0</v>
      </c>
      <c r="EU553" s="408">
        <v>0</v>
      </c>
      <c r="EV553" s="408">
        <v>238</v>
      </c>
      <c r="EW553" s="408">
        <v>0</v>
      </c>
      <c r="EX553" s="408">
        <v>0</v>
      </c>
      <c r="EY553" s="408">
        <v>0</v>
      </c>
      <c r="EZ553" s="408"/>
      <c r="FA553" s="408">
        <v>0</v>
      </c>
      <c r="FB553" s="408"/>
      <c r="FC553" s="408"/>
      <c r="FD553" s="408"/>
      <c r="FE553" s="408"/>
      <c r="FF553" s="408">
        <v>0</v>
      </c>
      <c r="FG553" s="408">
        <v>0</v>
      </c>
      <c r="FH553" s="408">
        <v>0</v>
      </c>
      <c r="FI553" s="408">
        <v>0</v>
      </c>
    </row>
    <row r="554" spans="1:165">
      <c r="A554" s="408">
        <v>558</v>
      </c>
      <c r="B554" s="408" t="s">
        <v>2237</v>
      </c>
      <c r="C554" s="408" t="s">
        <v>2235</v>
      </c>
      <c r="D554" s="408" t="s">
        <v>1958</v>
      </c>
      <c r="E554" s="408" t="s">
        <v>998</v>
      </c>
      <c r="F554" s="408" t="s">
        <v>1322</v>
      </c>
      <c r="G554" s="408" t="s">
        <v>1322</v>
      </c>
      <c r="H554" s="408" t="s">
        <v>1322</v>
      </c>
      <c r="I554" s="408" t="s">
        <v>1322</v>
      </c>
      <c r="J554" s="408" t="s">
        <v>2236</v>
      </c>
      <c r="K554" s="824">
        <v>44652</v>
      </c>
      <c r="L554" s="408">
        <v>0</v>
      </c>
      <c r="M554" s="408">
        <v>0</v>
      </c>
      <c r="N554" s="408">
        <v>-4.992</v>
      </c>
      <c r="O554" s="408">
        <v>-4.992</v>
      </c>
      <c r="P554" s="408">
        <v>-4.992</v>
      </c>
      <c r="Q554" s="408">
        <v>-4.992</v>
      </c>
      <c r="R554" s="408"/>
      <c r="S554" s="408">
        <v>581.32000000000005</v>
      </c>
      <c r="T554" s="408">
        <v>209.4</v>
      </c>
      <c r="U554" s="408"/>
      <c r="V554" s="408">
        <v>-3947.2742400000006</v>
      </c>
      <c r="W554" s="408">
        <v>-3947.2742400000006</v>
      </c>
      <c r="X554" s="408">
        <v>-3015.5174399999996</v>
      </c>
      <c r="Y554" s="408">
        <v>0</v>
      </c>
      <c r="Z554" s="408">
        <v>-307.19723412357257</v>
      </c>
      <c r="AA554" s="408">
        <v>0</v>
      </c>
      <c r="AB554" s="408">
        <v>0</v>
      </c>
      <c r="AC554" s="408">
        <v>0</v>
      </c>
      <c r="AD554" s="408">
        <v>-370.36219482070595</v>
      </c>
      <c r="AE554" s="408">
        <v>-1923.9433169538866</v>
      </c>
      <c r="AF554" s="408">
        <v>-1031.6005229887969</v>
      </c>
      <c r="AG554" s="408">
        <v>-13.742801101226197</v>
      </c>
      <c r="AH554" s="408">
        <v>0</v>
      </c>
      <c r="AI554" s="408">
        <v>0</v>
      </c>
      <c r="AJ554" s="408">
        <v>0</v>
      </c>
      <c r="AK554" s="408">
        <v>0</v>
      </c>
      <c r="AL554" s="408">
        <v>-47.471931412462105</v>
      </c>
      <c r="AM554" s="408"/>
      <c r="AN554" s="408">
        <v>-9.1002378646177196</v>
      </c>
      <c r="AO554" s="408">
        <v>-28.451808029100519</v>
      </c>
      <c r="AP554" s="408">
        <v>-42.857268332713829</v>
      </c>
      <c r="AQ554" s="408">
        <v>0</v>
      </c>
      <c r="AR554" s="408">
        <v>0</v>
      </c>
      <c r="AS554" s="408">
        <v>0</v>
      </c>
      <c r="AT554" s="408">
        <v>0</v>
      </c>
      <c r="AU554" s="408">
        <v>0</v>
      </c>
      <c r="AV554" s="408">
        <v>0</v>
      </c>
      <c r="AW554" s="408">
        <v>0</v>
      </c>
      <c r="AX554" s="408">
        <v>0</v>
      </c>
      <c r="AY554" s="408">
        <v>0</v>
      </c>
      <c r="AZ554" s="408">
        <v>0</v>
      </c>
      <c r="BA554" s="408"/>
      <c r="BB554" s="408">
        <v>0</v>
      </c>
      <c r="BC554" s="408">
        <v>0</v>
      </c>
      <c r="BD554" s="408">
        <v>0</v>
      </c>
      <c r="BE554" s="408">
        <v>0</v>
      </c>
      <c r="BF554" s="408">
        <v>0</v>
      </c>
      <c r="BG554" s="408">
        <v>-172.584839019535</v>
      </c>
      <c r="BH554" s="408">
        <v>0</v>
      </c>
      <c r="BI554" s="408">
        <v>-7.84</v>
      </c>
      <c r="BJ554" s="408">
        <v>-3.63</v>
      </c>
      <c r="BK554" s="408">
        <v>-1245.29</v>
      </c>
      <c r="BL554" s="408">
        <v>0</v>
      </c>
      <c r="BM554" s="408"/>
      <c r="BN554" s="408"/>
      <c r="BO554" s="408"/>
      <c r="BP554" s="408"/>
      <c r="BQ554" s="408"/>
      <c r="BR554" s="408"/>
      <c r="BS554" s="408"/>
      <c r="BT554" s="408"/>
      <c r="BU554" s="408"/>
      <c r="BV554" s="408">
        <v>-1204.1853620083318</v>
      </c>
      <c r="BW554" s="408"/>
      <c r="BX554" s="408"/>
      <c r="BY554" s="408"/>
      <c r="BZ554" s="408"/>
      <c r="CA554" s="408"/>
      <c r="CB554" s="408"/>
      <c r="CC554" s="408"/>
      <c r="CD554" s="408"/>
      <c r="CE554" s="408"/>
      <c r="CF554" s="408"/>
      <c r="CG554" s="408"/>
      <c r="CH554" s="408"/>
      <c r="CI554" s="408">
        <v>-3014.3092999999999</v>
      </c>
      <c r="CJ554" s="408">
        <v>932.9349400000001</v>
      </c>
      <c r="CK554" s="408"/>
      <c r="CL554" s="408"/>
      <c r="CM554" s="408"/>
      <c r="CN554" s="408"/>
      <c r="CO554" s="408">
        <v>1045.7241600000004</v>
      </c>
      <c r="CP554" s="408">
        <v>-113.96735999999991</v>
      </c>
      <c r="CQ554" s="408">
        <v>30</v>
      </c>
      <c r="CR554" s="408">
        <v>-147.48300257982442</v>
      </c>
      <c r="CS554" s="408">
        <v>-3.4350445547759598</v>
      </c>
      <c r="CT554" s="408">
        <v>-5.1742450275316614</v>
      </c>
      <c r="CU554" s="408">
        <v>0</v>
      </c>
      <c r="CV554" s="408">
        <v>0</v>
      </c>
      <c r="CW554" s="408">
        <v>0</v>
      </c>
      <c r="CX554" s="408">
        <v>0</v>
      </c>
      <c r="CY554" s="408">
        <v>0</v>
      </c>
      <c r="CZ554" s="408">
        <v>-12.141375581872751</v>
      </c>
      <c r="DA554" s="408">
        <v>0</v>
      </c>
      <c r="DB554" s="408">
        <v>0</v>
      </c>
      <c r="DC554" s="408">
        <v>-113.93283595878893</v>
      </c>
      <c r="DD554" s="408">
        <v>0</v>
      </c>
      <c r="DE554" s="408">
        <v>0</v>
      </c>
      <c r="DF554" s="408">
        <v>0</v>
      </c>
      <c r="DG554" s="408">
        <v>-19.060750469587987</v>
      </c>
      <c r="DH554" s="408">
        <v>0</v>
      </c>
      <c r="DI554" s="408">
        <v>5.3550999198003524</v>
      </c>
      <c r="DJ554" s="408"/>
      <c r="DK554" s="408">
        <v>0</v>
      </c>
      <c r="DL554" s="408">
        <v>0</v>
      </c>
      <c r="DM554" s="408">
        <v>0</v>
      </c>
      <c r="DN554" s="408">
        <v>0</v>
      </c>
      <c r="DO554" s="408">
        <v>0.69574730048623934</v>
      </c>
      <c r="DP554" s="408">
        <v>0.21040179244656088</v>
      </c>
      <c r="DQ554" s="408">
        <v>0</v>
      </c>
      <c r="DR554" s="408">
        <v>0</v>
      </c>
      <c r="DS554" s="408"/>
      <c r="DT554" s="408"/>
      <c r="DU554" s="408"/>
      <c r="DV554" s="408">
        <v>-1923.9433169538866</v>
      </c>
      <c r="DW554" s="408">
        <v>0</v>
      </c>
      <c r="DX554" s="408">
        <v>0</v>
      </c>
      <c r="DY554" s="408">
        <v>1045.7241600000004</v>
      </c>
      <c r="DZ554" s="408">
        <v>-113.96735999999987</v>
      </c>
      <c r="EA554" s="408">
        <v>0</v>
      </c>
      <c r="EB554" s="408">
        <v>0</v>
      </c>
      <c r="EC554" s="408">
        <v>1079.3123826467872</v>
      </c>
      <c r="ED554" s="408">
        <v>0</v>
      </c>
      <c r="EE554" s="408">
        <v>0</v>
      </c>
      <c r="EF554" s="408">
        <v>0</v>
      </c>
      <c r="EG554" s="408">
        <v>0</v>
      </c>
      <c r="EH554" s="408">
        <v>0</v>
      </c>
      <c r="EI554" s="408">
        <v>0</v>
      </c>
      <c r="EJ554" s="408">
        <v>0</v>
      </c>
      <c r="EK554" s="408">
        <v>0</v>
      </c>
      <c r="EL554" s="408">
        <v>0</v>
      </c>
      <c r="EM554" s="408">
        <v>0</v>
      </c>
      <c r="EN554" s="408">
        <v>0</v>
      </c>
      <c r="EO554" s="408">
        <v>0</v>
      </c>
      <c r="EP554" s="408">
        <v>0</v>
      </c>
      <c r="EQ554" s="408">
        <v>0</v>
      </c>
      <c r="ER554" s="408">
        <v>0</v>
      </c>
      <c r="ES554" s="408">
        <v>0</v>
      </c>
      <c r="ET554" s="408">
        <v>0</v>
      </c>
      <c r="EU554" s="408">
        <v>0</v>
      </c>
      <c r="EV554" s="408">
        <v>238</v>
      </c>
      <c r="EW554" s="408">
        <v>0</v>
      </c>
      <c r="EX554" s="408">
        <v>0</v>
      </c>
      <c r="EY554" s="408">
        <v>0</v>
      </c>
      <c r="EZ554" s="408"/>
      <c r="FA554" s="408">
        <v>0</v>
      </c>
      <c r="FB554" s="408"/>
      <c r="FC554" s="408"/>
      <c r="FD554" s="408"/>
      <c r="FE554" s="408"/>
      <c r="FF554" s="408">
        <v>0</v>
      </c>
      <c r="FG554" s="408">
        <v>0</v>
      </c>
      <c r="FH554" s="408">
        <v>0</v>
      </c>
      <c r="FI554" s="408">
        <v>0</v>
      </c>
    </row>
    <row r="555" spans="1:165">
      <c r="A555" s="408">
        <v>559</v>
      </c>
      <c r="B555" s="408" t="s">
        <v>2238</v>
      </c>
      <c r="C555" s="408" t="s">
        <v>2235</v>
      </c>
      <c r="D555" s="408" t="s">
        <v>1958</v>
      </c>
      <c r="E555" s="408" t="s">
        <v>998</v>
      </c>
      <c r="F555" s="408" t="s">
        <v>1322</v>
      </c>
      <c r="G555" s="408" t="s">
        <v>1322</v>
      </c>
      <c r="H555" s="408" t="s">
        <v>1322</v>
      </c>
      <c r="I555" s="408" t="s">
        <v>1322</v>
      </c>
      <c r="J555" s="408" t="s">
        <v>2236</v>
      </c>
      <c r="K555" s="824">
        <v>44652</v>
      </c>
      <c r="L555" s="408">
        <v>0</v>
      </c>
      <c r="M555" s="408">
        <v>0</v>
      </c>
      <c r="N555" s="408">
        <v>43.276000000000003</v>
      </c>
      <c r="O555" s="408">
        <v>43.276000000000003</v>
      </c>
      <c r="P555" s="408">
        <v>43.276000000000003</v>
      </c>
      <c r="Q555" s="408">
        <v>43.276000000000003</v>
      </c>
      <c r="R555" s="408"/>
      <c r="S555" s="408">
        <v>581.32000000000005</v>
      </c>
      <c r="T555" s="408">
        <v>209.4</v>
      </c>
      <c r="U555" s="408"/>
      <c r="V555" s="408">
        <v>34219.198720000008</v>
      </c>
      <c r="W555" s="408">
        <v>34219.198720000008</v>
      </c>
      <c r="X555" s="408">
        <v>26141.733319999999</v>
      </c>
      <c r="Y555" s="408">
        <v>0</v>
      </c>
      <c r="Z555" s="408">
        <v>2663.1144839606827</v>
      </c>
      <c r="AA555" s="408">
        <v>0</v>
      </c>
      <c r="AB555" s="408">
        <v>0</v>
      </c>
      <c r="AC555" s="408">
        <v>0</v>
      </c>
      <c r="AD555" s="408">
        <v>3210.6959821836685</v>
      </c>
      <c r="AE555" s="408">
        <v>16678.800277343031</v>
      </c>
      <c r="AF555" s="408">
        <v>8943.0176748523991</v>
      </c>
      <c r="AG555" s="408">
        <v>119.1373117901973</v>
      </c>
      <c r="AH555" s="408">
        <v>0</v>
      </c>
      <c r="AI555" s="408">
        <v>0</v>
      </c>
      <c r="AJ555" s="408">
        <v>0</v>
      </c>
      <c r="AK555" s="408">
        <v>0</v>
      </c>
      <c r="AL555" s="408">
        <v>411.53752079441313</v>
      </c>
      <c r="AM555" s="408"/>
      <c r="AN555" s="408">
        <v>78.890603731810188</v>
      </c>
      <c r="AO555" s="408">
        <v>246.65073002150524</v>
      </c>
      <c r="AP555" s="408">
        <v>371.53268116316588</v>
      </c>
      <c r="AQ555" s="408">
        <v>0</v>
      </c>
      <c r="AR555" s="408">
        <v>0</v>
      </c>
      <c r="AS555" s="408">
        <v>0</v>
      </c>
      <c r="AT555" s="408">
        <v>0</v>
      </c>
      <c r="AU555" s="408">
        <v>0</v>
      </c>
      <c r="AV555" s="408">
        <v>0</v>
      </c>
      <c r="AW555" s="408">
        <v>0</v>
      </c>
      <c r="AX555" s="408">
        <v>0</v>
      </c>
      <c r="AY555" s="408">
        <v>0</v>
      </c>
      <c r="AZ555" s="408">
        <v>0</v>
      </c>
      <c r="BA555" s="408"/>
      <c r="BB555" s="408">
        <v>0</v>
      </c>
      <c r="BC555" s="408">
        <v>0</v>
      </c>
      <c r="BD555" s="408">
        <v>0</v>
      </c>
      <c r="BE555" s="408">
        <v>0</v>
      </c>
      <c r="BF555" s="408">
        <v>0</v>
      </c>
      <c r="BG555" s="408">
        <v>1496.1501389041259</v>
      </c>
      <c r="BH555" s="408">
        <v>0</v>
      </c>
      <c r="BI555" s="408">
        <v>83.76</v>
      </c>
      <c r="BJ555" s="408">
        <v>393.85</v>
      </c>
      <c r="BK555" s="408">
        <v>26932.12</v>
      </c>
      <c r="BL555" s="408">
        <v>102</v>
      </c>
      <c r="BM555" s="408"/>
      <c r="BN555" s="408"/>
      <c r="BO555" s="408"/>
      <c r="BP555" s="408"/>
      <c r="BQ555" s="408"/>
      <c r="BR555" s="408"/>
      <c r="BS555" s="408"/>
      <c r="BT555" s="408"/>
      <c r="BU555" s="408"/>
      <c r="BV555" s="408">
        <v>10439.167813756525</v>
      </c>
      <c r="BW555" s="408"/>
      <c r="BX555" s="408"/>
      <c r="BY555" s="408"/>
      <c r="BZ555" s="408"/>
      <c r="CA555" s="408"/>
      <c r="CB555" s="408"/>
      <c r="CC555" s="408"/>
      <c r="CD555" s="408"/>
      <c r="CE555" s="408"/>
      <c r="CF555" s="408"/>
      <c r="CG555" s="408"/>
      <c r="CH555" s="408"/>
      <c r="CI555" s="408">
        <v>26144.149599999997</v>
      </c>
      <c r="CJ555" s="408">
        <v>-8075.0791200000094</v>
      </c>
      <c r="CK555" s="408"/>
      <c r="CL555" s="408"/>
      <c r="CM555" s="408"/>
      <c r="CN555" s="408"/>
      <c r="CO555" s="408">
        <v>-9065.4564800000044</v>
      </c>
      <c r="CP555" s="408">
        <v>987.99107999999944</v>
      </c>
      <c r="CQ555" s="408">
        <v>30</v>
      </c>
      <c r="CR555" s="408">
        <v>1278.540548806981</v>
      </c>
      <c r="CS555" s="408">
        <v>29.778643460032924</v>
      </c>
      <c r="CT555" s="408">
        <v>44.855894994282835</v>
      </c>
      <c r="CU555" s="408">
        <v>0</v>
      </c>
      <c r="CV555" s="408">
        <v>0</v>
      </c>
      <c r="CW555" s="408">
        <v>0</v>
      </c>
      <c r="CX555" s="408">
        <v>0</v>
      </c>
      <c r="CY555" s="408">
        <v>0</v>
      </c>
      <c r="CZ555" s="408">
        <v>105.25444104189182</v>
      </c>
      <c r="DA555" s="408">
        <v>0</v>
      </c>
      <c r="DB555" s="408">
        <v>0</v>
      </c>
      <c r="DC555" s="408">
        <v>987.69178865235517</v>
      </c>
      <c r="DD555" s="408">
        <v>0</v>
      </c>
      <c r="DE555" s="408">
        <v>0</v>
      </c>
      <c r="DF555" s="408">
        <v>0</v>
      </c>
      <c r="DG555" s="408">
        <v>165.23898984813513</v>
      </c>
      <c r="DH555" s="408">
        <v>0</v>
      </c>
      <c r="DI555" s="408">
        <v>-46.423738807948666</v>
      </c>
      <c r="DJ555" s="408"/>
      <c r="DK555" s="408">
        <v>0</v>
      </c>
      <c r="DL555" s="408">
        <v>0</v>
      </c>
      <c r="DM555" s="408">
        <v>0</v>
      </c>
      <c r="DN555" s="408">
        <v>0</v>
      </c>
      <c r="DO555" s="408">
        <v>-6.0314824070197233</v>
      </c>
      <c r="DP555" s="408">
        <v>-1.8239879747430479</v>
      </c>
      <c r="DQ555" s="408">
        <v>0</v>
      </c>
      <c r="DR555" s="408">
        <v>0</v>
      </c>
      <c r="DS555" s="408"/>
      <c r="DT555" s="408"/>
      <c r="DU555" s="408"/>
      <c r="DV555" s="408">
        <v>16678.800277343031</v>
      </c>
      <c r="DW555" s="408">
        <v>0</v>
      </c>
      <c r="DX555" s="408">
        <v>0</v>
      </c>
      <c r="DY555" s="408">
        <v>-9065.4564800000044</v>
      </c>
      <c r="DZ555" s="408">
        <v>987.99107999999978</v>
      </c>
      <c r="EA555" s="408">
        <v>0</v>
      </c>
      <c r="EB555" s="408">
        <v>0</v>
      </c>
      <c r="EC555" s="408">
        <v>-9356.6351505253151</v>
      </c>
      <c r="ED555" s="408">
        <v>0</v>
      </c>
      <c r="EE555" s="408">
        <v>0</v>
      </c>
      <c r="EF555" s="408">
        <v>0</v>
      </c>
      <c r="EG555" s="408">
        <v>0</v>
      </c>
      <c r="EH555" s="408">
        <v>0</v>
      </c>
      <c r="EI555" s="408">
        <v>0</v>
      </c>
      <c r="EJ555" s="408">
        <v>0</v>
      </c>
      <c r="EK555" s="408">
        <v>0</v>
      </c>
      <c r="EL555" s="408">
        <v>0</v>
      </c>
      <c r="EM555" s="408">
        <v>0</v>
      </c>
      <c r="EN555" s="408">
        <v>0</v>
      </c>
      <c r="EO555" s="408">
        <v>0</v>
      </c>
      <c r="EP555" s="408">
        <v>0</v>
      </c>
      <c r="EQ555" s="408">
        <v>0</v>
      </c>
      <c r="ER555" s="408">
        <v>0</v>
      </c>
      <c r="ES555" s="408">
        <v>0</v>
      </c>
      <c r="ET555" s="408">
        <v>0</v>
      </c>
      <c r="EU555" s="408">
        <v>0</v>
      </c>
      <c r="EV555" s="408">
        <v>238</v>
      </c>
      <c r="EW555" s="408">
        <v>0</v>
      </c>
      <c r="EX555" s="408">
        <v>0</v>
      </c>
      <c r="EY555" s="408">
        <v>0</v>
      </c>
      <c r="EZ555" s="408"/>
      <c r="FA555" s="408">
        <v>0</v>
      </c>
      <c r="FB555" s="408"/>
      <c r="FC555" s="408"/>
      <c r="FD555" s="408"/>
      <c r="FE555" s="408"/>
      <c r="FF555" s="408">
        <v>0</v>
      </c>
      <c r="FG555" s="408">
        <v>0</v>
      </c>
      <c r="FH555" s="408">
        <v>0</v>
      </c>
      <c r="FI555" s="408">
        <v>0</v>
      </c>
    </row>
    <row r="556" spans="1:165">
      <c r="A556" s="408">
        <v>560</v>
      </c>
      <c r="B556" s="408" t="s">
        <v>1036</v>
      </c>
      <c r="C556" s="408" t="s">
        <v>2243</v>
      </c>
      <c r="D556" s="408" t="s">
        <v>597</v>
      </c>
      <c r="E556" s="408" t="s">
        <v>998</v>
      </c>
      <c r="F556" s="408" t="s">
        <v>1322</v>
      </c>
      <c r="G556" s="408" t="s">
        <v>1322</v>
      </c>
      <c r="H556" s="408" t="s">
        <v>1322</v>
      </c>
      <c r="I556" s="408" t="s">
        <v>973</v>
      </c>
      <c r="J556" s="408" t="s">
        <v>2236</v>
      </c>
      <c r="K556" s="824">
        <v>44652</v>
      </c>
      <c r="L556" s="408">
        <v>0</v>
      </c>
      <c r="M556" s="408">
        <v>0</v>
      </c>
      <c r="N556" s="408">
        <v>28.748000000000001</v>
      </c>
      <c r="O556" s="408">
        <v>28.748000000000001</v>
      </c>
      <c r="P556" s="408">
        <v>28.748000000000001</v>
      </c>
      <c r="Q556" s="408">
        <v>28.748000000000001</v>
      </c>
      <c r="R556" s="408"/>
      <c r="S556" s="408">
        <v>1614.19</v>
      </c>
      <c r="T556" s="408">
        <v>209.4</v>
      </c>
      <c r="U556" s="408"/>
      <c r="V556" s="408">
        <v>52424.565320000002</v>
      </c>
      <c r="W556" s="408">
        <v>52424.565320000002</v>
      </c>
      <c r="X556" s="408">
        <v>34846.888200000001</v>
      </c>
      <c r="Y556" s="408">
        <v>0</v>
      </c>
      <c r="Z556" s="408">
        <v>1539.1098348013802</v>
      </c>
      <c r="AA556" s="408">
        <v>0</v>
      </c>
      <c r="AB556" s="408">
        <v>0</v>
      </c>
      <c r="AC556" s="408">
        <v>0</v>
      </c>
      <c r="AD556" s="408">
        <v>8952.6443864092271</v>
      </c>
      <c r="AE556" s="408">
        <v>33429.227040860569</v>
      </c>
      <c r="AF556" s="408">
        <v>5940.7956400003868</v>
      </c>
      <c r="AG556" s="408">
        <v>79.142236790474911</v>
      </c>
      <c r="AH556" s="408">
        <v>0</v>
      </c>
      <c r="AI556" s="408">
        <v>0</v>
      </c>
      <c r="AJ556" s="408">
        <v>0</v>
      </c>
      <c r="AK556" s="408">
        <v>0</v>
      </c>
      <c r="AL556" s="408">
        <v>273.3820280940426</v>
      </c>
      <c r="AM556" s="408"/>
      <c r="AN556" s="408">
        <v>38.172868180991436</v>
      </c>
      <c r="AO556" s="408">
        <v>695.55571461619934</v>
      </c>
      <c r="AP556" s="408">
        <v>1036.0406578294856</v>
      </c>
      <c r="AQ556" s="408">
        <v>0</v>
      </c>
      <c r="AR556" s="408">
        <v>0</v>
      </c>
      <c r="AS556" s="408">
        <v>0</v>
      </c>
      <c r="AT556" s="408">
        <v>0</v>
      </c>
      <c r="AU556" s="408">
        <v>0</v>
      </c>
      <c r="AV556" s="408">
        <v>0</v>
      </c>
      <c r="AW556" s="408">
        <v>0</v>
      </c>
      <c r="AX556" s="408">
        <v>0</v>
      </c>
      <c r="AY556" s="408">
        <v>0</v>
      </c>
      <c r="AZ556" s="408">
        <v>0</v>
      </c>
      <c r="BA556" s="408"/>
      <c r="BB556" s="408">
        <v>0</v>
      </c>
      <c r="BC556" s="408">
        <v>0</v>
      </c>
      <c r="BD556" s="408">
        <v>0</v>
      </c>
      <c r="BE556" s="408">
        <v>0</v>
      </c>
      <c r="BF556" s="408">
        <v>0</v>
      </c>
      <c r="BG556" s="408">
        <v>440.54689651236981</v>
      </c>
      <c r="BH556" s="408">
        <v>0</v>
      </c>
      <c r="BI556" s="408">
        <v>0</v>
      </c>
      <c r="BJ556" s="408">
        <v>0</v>
      </c>
      <c r="BK556" s="408">
        <v>0</v>
      </c>
      <c r="BL556" s="408">
        <v>0</v>
      </c>
      <c r="BM556" s="408"/>
      <c r="BN556" s="408"/>
      <c r="BO556" s="408"/>
      <c r="BP556" s="408"/>
      <c r="BQ556" s="408"/>
      <c r="BR556" s="408"/>
      <c r="BS556" s="408"/>
      <c r="BT556" s="408"/>
      <c r="BU556" s="408"/>
      <c r="BV556" s="408">
        <v>6381.3425365127569</v>
      </c>
      <c r="BW556" s="408"/>
      <c r="BX556" s="408"/>
      <c r="BY556" s="408"/>
      <c r="BZ556" s="408"/>
      <c r="CA556" s="408"/>
      <c r="CB556" s="408"/>
      <c r="CC556" s="408"/>
      <c r="CD556" s="408"/>
      <c r="CE556" s="408"/>
      <c r="CF556" s="408"/>
      <c r="CG556" s="408"/>
      <c r="CH556" s="408"/>
      <c r="CI556" s="408">
        <v>34849.3125</v>
      </c>
      <c r="CJ556" s="408">
        <v>-17575.282820000008</v>
      </c>
      <c r="CK556" s="408"/>
      <c r="CL556" s="408"/>
      <c r="CM556" s="408"/>
      <c r="CN556" s="408"/>
      <c r="CO556" s="408">
        <v>-18233.993960000003</v>
      </c>
      <c r="CP556" s="408">
        <v>656.31683999999962</v>
      </c>
      <c r="CQ556" s="408">
        <v>30</v>
      </c>
      <c r="CR556" s="408">
        <v>1175.6026963560944</v>
      </c>
      <c r="CS556" s="408">
        <v>83.9758537521368</v>
      </c>
      <c r="CT556" s="408">
        <v>125.08329230127288</v>
      </c>
      <c r="CU556" s="408">
        <v>0</v>
      </c>
      <c r="CV556" s="408">
        <v>0</v>
      </c>
      <c r="CW556" s="408">
        <v>0</v>
      </c>
      <c r="CX556" s="408">
        <v>0</v>
      </c>
      <c r="CY556" s="408">
        <v>0</v>
      </c>
      <c r="CZ556" s="408">
        <v>293.48950693783081</v>
      </c>
      <c r="DA556" s="408">
        <v>0</v>
      </c>
      <c r="DB556" s="408">
        <v>0</v>
      </c>
      <c r="DC556" s="408">
        <v>656.11802246459683</v>
      </c>
      <c r="DD556" s="408">
        <v>0</v>
      </c>
      <c r="DE556" s="408">
        <v>0</v>
      </c>
      <c r="DF556" s="408">
        <v>0</v>
      </c>
      <c r="DG556" s="408">
        <v>48.655226683170099</v>
      </c>
      <c r="DH556" s="408">
        <v>0</v>
      </c>
      <c r="DI556" s="408">
        <v>-26.829951696745184</v>
      </c>
      <c r="DJ556" s="408"/>
      <c r="DK556" s="408">
        <v>0</v>
      </c>
      <c r="DL556" s="408">
        <v>0</v>
      </c>
      <c r="DM556" s="408">
        <v>0</v>
      </c>
      <c r="DN556" s="408">
        <v>0</v>
      </c>
      <c r="DO556" s="408">
        <v>-4.0066793658610322</v>
      </c>
      <c r="DP556" s="408">
        <v>-0.88257472030883832</v>
      </c>
      <c r="DQ556" s="408">
        <v>0</v>
      </c>
      <c r="DR556" s="408">
        <v>0</v>
      </c>
      <c r="DS556" s="408"/>
      <c r="DT556" s="408"/>
      <c r="DU556" s="408"/>
      <c r="DV556" s="408">
        <v>33429.227040860569</v>
      </c>
      <c r="DW556" s="408">
        <v>0</v>
      </c>
      <c r="DX556" s="408">
        <v>0</v>
      </c>
      <c r="DY556" s="408">
        <v>-18233.99396</v>
      </c>
      <c r="DZ556" s="408">
        <v>656.3168399999995</v>
      </c>
      <c r="EA556" s="408">
        <v>0</v>
      </c>
      <c r="EB556" s="408">
        <v>0</v>
      </c>
      <c r="EC556" s="408">
        <v>-18753.452021984162</v>
      </c>
      <c r="ED556" s="408">
        <v>0</v>
      </c>
      <c r="EE556" s="408">
        <v>0</v>
      </c>
      <c r="EF556" s="408">
        <v>0</v>
      </c>
      <c r="EG556" s="408">
        <v>0</v>
      </c>
      <c r="EH556" s="408">
        <v>0</v>
      </c>
      <c r="EI556" s="408">
        <v>0</v>
      </c>
      <c r="EJ556" s="408">
        <v>0</v>
      </c>
      <c r="EK556" s="408">
        <v>0</v>
      </c>
      <c r="EL556" s="408">
        <v>0</v>
      </c>
      <c r="EM556" s="408">
        <v>0</v>
      </c>
      <c r="EN556" s="408">
        <v>0</v>
      </c>
      <c r="EO556" s="408">
        <v>0</v>
      </c>
      <c r="EP556" s="408">
        <v>0</v>
      </c>
      <c r="EQ556" s="408">
        <v>0</v>
      </c>
      <c r="ER556" s="408">
        <v>0</v>
      </c>
      <c r="ES556" s="408">
        <v>0</v>
      </c>
      <c r="ET556" s="408">
        <v>0</v>
      </c>
      <c r="EU556" s="408">
        <v>0</v>
      </c>
      <c r="EV556" s="408">
        <v>238</v>
      </c>
      <c r="EW556" s="408">
        <v>0</v>
      </c>
      <c r="EX556" s="408">
        <v>0</v>
      </c>
      <c r="EY556" s="408">
        <v>0</v>
      </c>
      <c r="EZ556" s="408"/>
      <c r="FA556" s="408">
        <v>0</v>
      </c>
      <c r="FB556" s="408"/>
      <c r="FC556" s="408"/>
      <c r="FD556" s="408"/>
      <c r="FE556" s="408"/>
      <c r="FF556" s="408">
        <v>0</v>
      </c>
      <c r="FG556" s="408">
        <v>0</v>
      </c>
      <c r="FH556" s="408">
        <v>0</v>
      </c>
      <c r="FI556" s="408">
        <v>0</v>
      </c>
    </row>
    <row r="557" spans="1:165">
      <c r="A557" s="408">
        <v>561</v>
      </c>
      <c r="B557" s="408" t="s">
        <v>1036</v>
      </c>
      <c r="C557" s="408" t="s">
        <v>2243</v>
      </c>
      <c r="D557" s="408" t="s">
        <v>597</v>
      </c>
      <c r="E557" s="408" t="s">
        <v>998</v>
      </c>
      <c r="F557" s="408" t="s">
        <v>1322</v>
      </c>
      <c r="G557" s="408" t="s">
        <v>1322</v>
      </c>
      <c r="H557" s="408" t="s">
        <v>1322</v>
      </c>
      <c r="I557" s="408" t="s">
        <v>2244</v>
      </c>
      <c r="J557" s="408" t="s">
        <v>2236</v>
      </c>
      <c r="K557" s="824">
        <v>44652</v>
      </c>
      <c r="L557" s="408">
        <v>0</v>
      </c>
      <c r="M557" s="408">
        <v>0</v>
      </c>
      <c r="N557" s="408">
        <v>451.25900000000001</v>
      </c>
      <c r="O557" s="408">
        <v>451.25900000000001</v>
      </c>
      <c r="P557" s="408">
        <v>451.25900000000001</v>
      </c>
      <c r="Q557" s="408">
        <v>451.25900000000001</v>
      </c>
      <c r="R557" s="408"/>
      <c r="S557" s="408">
        <v>79.7</v>
      </c>
      <c r="T557" s="408">
        <v>209.4</v>
      </c>
      <c r="U557" s="408"/>
      <c r="V557" s="408">
        <v>130458.97690000001</v>
      </c>
      <c r="W557" s="408">
        <v>130458.97690000001</v>
      </c>
      <c r="X557" s="408">
        <v>141027.46268</v>
      </c>
      <c r="Y557" s="408">
        <v>0</v>
      </c>
      <c r="Z557" s="408">
        <v>24159.495093315571</v>
      </c>
      <c r="AA557" s="408">
        <v>0</v>
      </c>
      <c r="AB557" s="408">
        <v>0</v>
      </c>
      <c r="AC557" s="408">
        <v>0</v>
      </c>
      <c r="AD557" s="408">
        <v>0</v>
      </c>
      <c r="AE557" s="408">
        <v>0</v>
      </c>
      <c r="AF557" s="408">
        <v>93253.008894912156</v>
      </c>
      <c r="AG557" s="408">
        <v>1242.3002167744858</v>
      </c>
      <c r="AH557" s="408">
        <v>0</v>
      </c>
      <c r="AI557" s="408">
        <v>0</v>
      </c>
      <c r="AJ557" s="408">
        <v>0</v>
      </c>
      <c r="AK557" s="408">
        <v>0</v>
      </c>
      <c r="AL557" s="408">
        <v>4291.2933287772912</v>
      </c>
      <c r="AM557" s="408"/>
      <c r="AN557" s="408">
        <v>599.20169481306573</v>
      </c>
      <c r="AO557" s="408">
        <v>0</v>
      </c>
      <c r="AP557" s="408">
        <v>0</v>
      </c>
      <c r="AQ557" s="408">
        <v>0</v>
      </c>
      <c r="AR557" s="408">
        <v>0</v>
      </c>
      <c r="AS557" s="408">
        <v>0</v>
      </c>
      <c r="AT557" s="408">
        <v>0</v>
      </c>
      <c r="AU557" s="408">
        <v>0</v>
      </c>
      <c r="AV557" s="408">
        <v>0</v>
      </c>
      <c r="AW557" s="408">
        <v>0</v>
      </c>
      <c r="AX557" s="408">
        <v>0</v>
      </c>
      <c r="AY557" s="408">
        <v>0</v>
      </c>
      <c r="AZ557" s="408">
        <v>0</v>
      </c>
      <c r="BA557" s="408"/>
      <c r="BB557" s="408">
        <v>0</v>
      </c>
      <c r="BC557" s="408">
        <v>0</v>
      </c>
      <c r="BD557" s="408">
        <v>0</v>
      </c>
      <c r="BE557" s="408">
        <v>0</v>
      </c>
      <c r="BF557" s="408">
        <v>0</v>
      </c>
      <c r="BG557" s="408">
        <v>6915.2898279280471</v>
      </c>
      <c r="BH557" s="408">
        <v>0</v>
      </c>
      <c r="BI557" s="408">
        <v>0</v>
      </c>
      <c r="BJ557" s="408">
        <v>0</v>
      </c>
      <c r="BK557" s="408">
        <v>0</v>
      </c>
      <c r="BL557" s="408">
        <v>0</v>
      </c>
      <c r="BM557" s="408"/>
      <c r="BN557" s="408"/>
      <c r="BO557" s="408"/>
      <c r="BP557" s="408"/>
      <c r="BQ557" s="408"/>
      <c r="BR557" s="408"/>
      <c r="BS557" s="408"/>
      <c r="BT557" s="408"/>
      <c r="BU557" s="408"/>
      <c r="BV557" s="408">
        <v>100168.29872284021</v>
      </c>
      <c r="BW557" s="408"/>
      <c r="BX557" s="408"/>
      <c r="BY557" s="408"/>
      <c r="BZ557" s="408"/>
      <c r="CA557" s="408"/>
      <c r="CB557" s="408"/>
      <c r="CC557" s="408"/>
      <c r="CD557" s="408"/>
      <c r="CE557" s="408"/>
      <c r="CF557" s="408"/>
      <c r="CG557" s="408"/>
      <c r="CH557" s="408"/>
      <c r="CI557" s="408">
        <v>141027.7752</v>
      </c>
      <c r="CJ557" s="408">
        <v>10568.768299999996</v>
      </c>
      <c r="CK557" s="408"/>
      <c r="CL557" s="408"/>
      <c r="CM557" s="408"/>
      <c r="CN557" s="408"/>
      <c r="CO557" s="408">
        <v>266.24281000000155</v>
      </c>
      <c r="CP557" s="408">
        <v>10302.242969999994</v>
      </c>
      <c r="CQ557" s="408">
        <v>30</v>
      </c>
      <c r="CR557" s="408">
        <v>10564.967808361631</v>
      </c>
      <c r="CS557" s="408">
        <v>0</v>
      </c>
      <c r="CT557" s="408">
        <v>0</v>
      </c>
      <c r="CU557" s="408">
        <v>0</v>
      </c>
      <c r="CV557" s="408">
        <v>0</v>
      </c>
      <c r="CW557" s="408">
        <v>0</v>
      </c>
      <c r="CX557" s="408">
        <v>0</v>
      </c>
      <c r="CY557" s="408">
        <v>0</v>
      </c>
      <c r="CZ557" s="408">
        <v>0</v>
      </c>
      <c r="DA557" s="408">
        <v>0</v>
      </c>
      <c r="DB557" s="408">
        <v>0</v>
      </c>
      <c r="DC557" s="408">
        <v>10299.122119777079</v>
      </c>
      <c r="DD557" s="408">
        <v>0</v>
      </c>
      <c r="DE557" s="408">
        <v>0</v>
      </c>
      <c r="DF557" s="408">
        <v>0</v>
      </c>
      <c r="DG557" s="408">
        <v>763.74387567206941</v>
      </c>
      <c r="DH557" s="408">
        <v>0</v>
      </c>
      <c r="DI557" s="408">
        <v>-421.15128609717431</v>
      </c>
      <c r="DJ557" s="408"/>
      <c r="DK557" s="408">
        <v>0</v>
      </c>
      <c r="DL557" s="408">
        <v>0</v>
      </c>
      <c r="DM557" s="408">
        <v>0</v>
      </c>
      <c r="DN557" s="408">
        <v>0</v>
      </c>
      <c r="DO557" s="408">
        <v>-62.893075134238643</v>
      </c>
      <c r="DP557" s="408">
        <v>-13.853825856123763</v>
      </c>
      <c r="DQ557" s="408">
        <v>0</v>
      </c>
      <c r="DR557" s="408">
        <v>0</v>
      </c>
      <c r="DS557" s="408"/>
      <c r="DT557" s="408"/>
      <c r="DU557" s="408"/>
      <c r="DV557" s="408">
        <v>0</v>
      </c>
      <c r="DW557" s="408">
        <v>0</v>
      </c>
      <c r="DX557" s="408">
        <v>0</v>
      </c>
      <c r="DY557" s="408">
        <v>266.24281000000337</v>
      </c>
      <c r="DZ557" s="408">
        <v>10302.242969999992</v>
      </c>
      <c r="EA557" s="408">
        <v>0</v>
      </c>
      <c r="EB557" s="408">
        <v>0</v>
      </c>
      <c r="EC557" s="408">
        <v>0</v>
      </c>
      <c r="ED557" s="408">
        <v>0</v>
      </c>
      <c r="EE557" s="408">
        <v>0</v>
      </c>
      <c r="EF557" s="408">
        <v>0</v>
      </c>
      <c r="EG557" s="408">
        <v>0</v>
      </c>
      <c r="EH557" s="408">
        <v>0</v>
      </c>
      <c r="EI557" s="408">
        <v>0</v>
      </c>
      <c r="EJ557" s="408">
        <v>0</v>
      </c>
      <c r="EK557" s="408">
        <v>0</v>
      </c>
      <c r="EL557" s="408">
        <v>0</v>
      </c>
      <c r="EM557" s="408">
        <v>0</v>
      </c>
      <c r="EN557" s="408">
        <v>0</v>
      </c>
      <c r="EO557" s="408">
        <v>0</v>
      </c>
      <c r="EP557" s="408">
        <v>0</v>
      </c>
      <c r="EQ557" s="408">
        <v>0</v>
      </c>
      <c r="ER557" s="408">
        <v>0</v>
      </c>
      <c r="ES557" s="408">
        <v>0</v>
      </c>
      <c r="ET557" s="408">
        <v>0</v>
      </c>
      <c r="EU557" s="408">
        <v>0</v>
      </c>
      <c r="EV557" s="408">
        <v>238</v>
      </c>
      <c r="EW557" s="408">
        <v>0</v>
      </c>
      <c r="EX557" s="408">
        <v>0</v>
      </c>
      <c r="EY557" s="408">
        <v>0</v>
      </c>
      <c r="EZ557" s="408"/>
      <c r="FA557" s="408">
        <v>0</v>
      </c>
      <c r="FB557" s="408"/>
      <c r="FC557" s="408"/>
      <c r="FD557" s="408"/>
      <c r="FE557" s="408"/>
      <c r="FF557" s="408">
        <v>0</v>
      </c>
      <c r="FG557" s="408">
        <v>0</v>
      </c>
      <c r="FH557" s="408">
        <v>0</v>
      </c>
      <c r="FI557" s="408">
        <v>0</v>
      </c>
    </row>
    <row r="558" spans="1:165">
      <c r="A558" s="408">
        <v>562</v>
      </c>
      <c r="B558" s="408" t="s">
        <v>1036</v>
      </c>
      <c r="C558" s="408" t="s">
        <v>2243</v>
      </c>
      <c r="D558" s="408" t="s">
        <v>597</v>
      </c>
      <c r="E558" s="408" t="s">
        <v>998</v>
      </c>
      <c r="F558" s="408" t="s">
        <v>1322</v>
      </c>
      <c r="G558" s="408" t="s">
        <v>1322</v>
      </c>
      <c r="H558" s="408" t="s">
        <v>1322</v>
      </c>
      <c r="I558" s="408" t="s">
        <v>1322</v>
      </c>
      <c r="J558" s="408" t="s">
        <v>2236</v>
      </c>
      <c r="K558" s="824">
        <v>44652</v>
      </c>
      <c r="L558" s="408">
        <v>4521</v>
      </c>
      <c r="M558" s="408">
        <v>4521</v>
      </c>
      <c r="N558" s="408">
        <v>0</v>
      </c>
      <c r="O558" s="408">
        <v>0</v>
      </c>
      <c r="P558" s="408">
        <v>0</v>
      </c>
      <c r="Q558" s="408">
        <v>0</v>
      </c>
      <c r="R558" s="408">
        <v>44.35</v>
      </c>
      <c r="S558" s="408"/>
      <c r="T558" s="408"/>
      <c r="U558" s="408">
        <v>200506.35</v>
      </c>
      <c r="V558" s="408"/>
      <c r="W558" s="408">
        <v>200506.35</v>
      </c>
      <c r="X558" s="408">
        <v>130973.37</v>
      </c>
      <c r="Y558" s="408">
        <v>0</v>
      </c>
      <c r="Z558" s="408">
        <v>0</v>
      </c>
      <c r="AA558" s="408">
        <v>0</v>
      </c>
      <c r="AB558" s="408">
        <v>0</v>
      </c>
      <c r="AC558" s="408">
        <v>0</v>
      </c>
      <c r="AD558" s="408">
        <v>59324.849933833641</v>
      </c>
      <c r="AE558" s="408">
        <v>129833.38305785766</v>
      </c>
      <c r="AF558" s="408"/>
      <c r="AG558" s="408"/>
      <c r="AH558" s="408"/>
      <c r="AI558" s="408">
        <v>0</v>
      </c>
      <c r="AJ558" s="408">
        <v>0</v>
      </c>
      <c r="AK558" s="408">
        <v>0</v>
      </c>
      <c r="AL558" s="408">
        <v>0</v>
      </c>
      <c r="AM558" s="408"/>
      <c r="AN558" s="408">
        <v>0</v>
      </c>
      <c r="AO558" s="408">
        <v>4483.5692469992318</v>
      </c>
      <c r="AP558" s="408">
        <v>6859.6743895982463</v>
      </c>
      <c r="AQ558" s="408">
        <v>0</v>
      </c>
      <c r="AR558" s="408">
        <v>0</v>
      </c>
      <c r="AS558" s="408"/>
      <c r="AT558" s="408"/>
      <c r="AU558" s="408">
        <v>0</v>
      </c>
      <c r="AV558" s="408">
        <v>0</v>
      </c>
      <c r="AW558" s="408">
        <v>0</v>
      </c>
      <c r="AX558" s="408"/>
      <c r="AY558" s="408"/>
      <c r="AZ558" s="408">
        <v>0</v>
      </c>
      <c r="BA558" s="408"/>
      <c r="BB558" s="408">
        <v>0</v>
      </c>
      <c r="BC558" s="408">
        <v>0</v>
      </c>
      <c r="BD558" s="408">
        <v>0</v>
      </c>
      <c r="BE558" s="408">
        <v>0</v>
      </c>
      <c r="BF558" s="408"/>
      <c r="BG558" s="408">
        <v>0</v>
      </c>
      <c r="BH558" s="408">
        <v>0</v>
      </c>
      <c r="BI558" s="408">
        <v>898.51</v>
      </c>
      <c r="BJ558" s="408">
        <v>4194.1499999999996</v>
      </c>
      <c r="BK558" s="408">
        <v>116587.21</v>
      </c>
      <c r="BL558" s="408">
        <v>33</v>
      </c>
      <c r="BM558" s="408"/>
      <c r="BN558" s="408"/>
      <c r="BO558" s="408"/>
      <c r="BP558" s="408"/>
      <c r="BQ558" s="408"/>
      <c r="BR558" s="408"/>
      <c r="BS558" s="408"/>
      <c r="BT558" s="408"/>
      <c r="BU558" s="408"/>
      <c r="BV558" s="408">
        <v>0</v>
      </c>
      <c r="BW558" s="408"/>
      <c r="BX558" s="408"/>
      <c r="BY558" s="408"/>
      <c r="BZ558" s="408"/>
      <c r="CA558" s="408"/>
      <c r="CB558" s="408"/>
      <c r="CC558" s="408"/>
      <c r="CD558" s="408"/>
      <c r="CE558" s="408"/>
      <c r="CF558" s="408"/>
      <c r="CG558" s="408"/>
      <c r="CH558" s="408"/>
      <c r="CI558" s="408">
        <v>130973.37</v>
      </c>
      <c r="CJ558" s="408">
        <v>-69533.010000000038</v>
      </c>
      <c r="CK558" s="408"/>
      <c r="CL558" s="408"/>
      <c r="CM558" s="408"/>
      <c r="CN558" s="408"/>
      <c r="CO558" s="408">
        <v>-69532.98000000001</v>
      </c>
      <c r="CP558" s="408">
        <v>0</v>
      </c>
      <c r="CQ558" s="408">
        <v>30</v>
      </c>
      <c r="CR558" s="408">
        <v>3314.3060343281686</v>
      </c>
      <c r="CS558" s="408">
        <v>541.31041908173302</v>
      </c>
      <c r="CT558" s="408">
        <v>828.18241763141759</v>
      </c>
      <c r="CU558" s="408">
        <v>0</v>
      </c>
      <c r="CV558" s="408">
        <v>0</v>
      </c>
      <c r="CW558" s="408"/>
      <c r="CX558" s="408"/>
      <c r="CY558" s="408"/>
      <c r="CZ558" s="408">
        <v>1944.8131976150253</v>
      </c>
      <c r="DA558" s="408">
        <v>0</v>
      </c>
      <c r="DB558" s="408">
        <v>0</v>
      </c>
      <c r="DC558" s="408"/>
      <c r="DD558" s="408"/>
      <c r="DE558" s="408">
        <v>0</v>
      </c>
      <c r="DF558" s="408">
        <v>0</v>
      </c>
      <c r="DG558" s="408">
        <v>0</v>
      </c>
      <c r="DH558" s="408">
        <v>0</v>
      </c>
      <c r="DI558" s="408">
        <v>0</v>
      </c>
      <c r="DJ558" s="408"/>
      <c r="DK558" s="408">
        <v>0</v>
      </c>
      <c r="DL558" s="408">
        <v>0</v>
      </c>
      <c r="DM558" s="408"/>
      <c r="DN558" s="408">
        <v>0</v>
      </c>
      <c r="DO558" s="408">
        <v>0</v>
      </c>
      <c r="DP558" s="408">
        <v>0</v>
      </c>
      <c r="DQ558" s="408">
        <v>0</v>
      </c>
      <c r="DR558" s="408">
        <v>0</v>
      </c>
      <c r="DS558" s="408"/>
      <c r="DT558" s="408"/>
      <c r="DU558" s="408">
        <v>129833.38305785766</v>
      </c>
      <c r="DV558" s="408"/>
      <c r="DW558" s="408">
        <v>0</v>
      </c>
      <c r="DX558" s="408">
        <v>0</v>
      </c>
      <c r="DY558" s="408">
        <v>-69532.98000000001</v>
      </c>
      <c r="DZ558" s="408"/>
      <c r="EA558" s="408">
        <v>0</v>
      </c>
      <c r="EB558" s="408"/>
      <c r="EC558" s="408">
        <v>-72835.190507137027</v>
      </c>
      <c r="ED558" s="408"/>
      <c r="EE558" s="408">
        <v>0</v>
      </c>
      <c r="EF558" s="408">
        <v>0</v>
      </c>
      <c r="EG558" s="408"/>
      <c r="EH558" s="408">
        <v>0</v>
      </c>
      <c r="EI558" s="408">
        <v>0</v>
      </c>
      <c r="EJ558" s="408">
        <v>0</v>
      </c>
      <c r="EK558" s="408">
        <v>0</v>
      </c>
      <c r="EL558" s="408">
        <v>0</v>
      </c>
      <c r="EM558" s="408"/>
      <c r="EN558" s="408"/>
      <c r="EO558" s="408">
        <v>0</v>
      </c>
      <c r="EP558" s="408">
        <v>0</v>
      </c>
      <c r="EQ558" s="408"/>
      <c r="ER558" s="408">
        <v>0</v>
      </c>
      <c r="ES558" s="408"/>
      <c r="ET558" s="408">
        <v>0</v>
      </c>
      <c r="EU558" s="408"/>
      <c r="EV558" s="408">
        <v>238</v>
      </c>
      <c r="EW558" s="408"/>
      <c r="EX558" s="408"/>
      <c r="EY558" s="408"/>
      <c r="EZ558" s="408"/>
      <c r="FA558" s="408">
        <v>0</v>
      </c>
      <c r="FB558" s="408"/>
      <c r="FC558" s="408"/>
      <c r="FD558" s="408"/>
      <c r="FE558" s="408"/>
      <c r="FF558" s="408">
        <v>0</v>
      </c>
      <c r="FG558" s="408">
        <v>0</v>
      </c>
      <c r="FH558" s="408">
        <v>0</v>
      </c>
      <c r="FI558" s="408">
        <v>0</v>
      </c>
    </row>
    <row r="559" spans="1:165">
      <c r="A559" s="408">
        <v>563</v>
      </c>
      <c r="B559" s="408" t="s">
        <v>2238</v>
      </c>
      <c r="C559" s="408" t="s">
        <v>2243</v>
      </c>
      <c r="D559" s="408" t="s">
        <v>597</v>
      </c>
      <c r="E559" s="408" t="s">
        <v>998</v>
      </c>
      <c r="F559" s="408" t="s">
        <v>1322</v>
      </c>
      <c r="G559" s="408" t="s">
        <v>1322</v>
      </c>
      <c r="H559" s="408" t="s">
        <v>1322</v>
      </c>
      <c r="I559" s="408" t="s">
        <v>1322</v>
      </c>
      <c r="J559" s="408" t="s">
        <v>2236</v>
      </c>
      <c r="K559" s="824">
        <v>44652</v>
      </c>
      <c r="L559" s="408">
        <v>587</v>
      </c>
      <c r="M559" s="408">
        <v>587</v>
      </c>
      <c r="N559" s="408">
        <v>0</v>
      </c>
      <c r="O559" s="408">
        <v>0</v>
      </c>
      <c r="P559" s="408">
        <v>0</v>
      </c>
      <c r="Q559" s="408">
        <v>0</v>
      </c>
      <c r="R559" s="408">
        <v>44.35</v>
      </c>
      <c r="S559" s="408"/>
      <c r="T559" s="408"/>
      <c r="U559" s="408">
        <v>26033.45</v>
      </c>
      <c r="V559" s="408"/>
      <c r="W559" s="408">
        <v>26033.45</v>
      </c>
      <c r="X559" s="408">
        <v>17005.39</v>
      </c>
      <c r="Y559" s="408">
        <v>0</v>
      </c>
      <c r="Z559" s="408">
        <v>0</v>
      </c>
      <c r="AA559" s="408">
        <v>0</v>
      </c>
      <c r="AB559" s="408">
        <v>0</v>
      </c>
      <c r="AC559" s="408">
        <v>0</v>
      </c>
      <c r="AD559" s="408">
        <v>7702.6513849060711</v>
      </c>
      <c r="AE559" s="408">
        <v>16857.375769732902</v>
      </c>
      <c r="AF559" s="408"/>
      <c r="AG559" s="408"/>
      <c r="AH559" s="408"/>
      <c r="AI559" s="408">
        <v>0</v>
      </c>
      <c r="AJ559" s="408">
        <v>0</v>
      </c>
      <c r="AK559" s="408">
        <v>0</v>
      </c>
      <c r="AL559" s="408">
        <v>0</v>
      </c>
      <c r="AM559" s="408"/>
      <c r="AN559" s="408">
        <v>0</v>
      </c>
      <c r="AO559" s="408">
        <v>582.14004600498765</v>
      </c>
      <c r="AP559" s="408">
        <v>890.65004793058404</v>
      </c>
      <c r="AQ559" s="408">
        <v>0</v>
      </c>
      <c r="AR559" s="408">
        <v>0</v>
      </c>
      <c r="AS559" s="408"/>
      <c r="AT559" s="408"/>
      <c r="AU559" s="408">
        <v>0</v>
      </c>
      <c r="AV559" s="408">
        <v>0</v>
      </c>
      <c r="AW559" s="408">
        <v>0</v>
      </c>
      <c r="AX559" s="408"/>
      <c r="AY559" s="408"/>
      <c r="AZ559" s="408">
        <v>0</v>
      </c>
      <c r="BA559" s="408"/>
      <c r="BB559" s="408">
        <v>0</v>
      </c>
      <c r="BC559" s="408">
        <v>0</v>
      </c>
      <c r="BD559" s="408">
        <v>0</v>
      </c>
      <c r="BE559" s="408">
        <v>0</v>
      </c>
      <c r="BF559" s="408"/>
      <c r="BG559" s="408">
        <v>0</v>
      </c>
      <c r="BH559" s="408">
        <v>0</v>
      </c>
      <c r="BI559" s="408">
        <v>49.48</v>
      </c>
      <c r="BJ559" s="408">
        <v>231.61</v>
      </c>
      <c r="BK559" s="408">
        <v>8371.81</v>
      </c>
      <c r="BL559" s="408">
        <v>4</v>
      </c>
      <c r="BM559" s="408"/>
      <c r="BN559" s="408"/>
      <c r="BO559" s="408"/>
      <c r="BP559" s="408"/>
      <c r="BQ559" s="408"/>
      <c r="BR559" s="408"/>
      <c r="BS559" s="408"/>
      <c r="BT559" s="408"/>
      <c r="BU559" s="408"/>
      <c r="BV559" s="408">
        <v>0</v>
      </c>
      <c r="BW559" s="408"/>
      <c r="BX559" s="408"/>
      <c r="BY559" s="408"/>
      <c r="BZ559" s="408"/>
      <c r="CA559" s="408"/>
      <c r="CB559" s="408"/>
      <c r="CC559" s="408"/>
      <c r="CD559" s="408"/>
      <c r="CE559" s="408"/>
      <c r="CF559" s="408"/>
      <c r="CG559" s="408"/>
      <c r="CH559" s="408"/>
      <c r="CI559" s="408">
        <v>17005.39</v>
      </c>
      <c r="CJ559" s="408">
        <v>-9028.0899999999965</v>
      </c>
      <c r="CK559" s="408"/>
      <c r="CL559" s="408"/>
      <c r="CM559" s="408"/>
      <c r="CN559" s="408"/>
      <c r="CO559" s="408">
        <v>-9028.0600000000013</v>
      </c>
      <c r="CP559" s="408">
        <v>0</v>
      </c>
      <c r="CQ559" s="408">
        <v>30</v>
      </c>
      <c r="CR559" s="408">
        <v>430.32462777054752</v>
      </c>
      <c r="CS559" s="408">
        <v>70.282949790085581</v>
      </c>
      <c r="CT559" s="408">
        <v>107.52998875240928</v>
      </c>
      <c r="CU559" s="408">
        <v>0</v>
      </c>
      <c r="CV559" s="408">
        <v>0</v>
      </c>
      <c r="CW559" s="408"/>
      <c r="CX559" s="408"/>
      <c r="CY559" s="408"/>
      <c r="CZ559" s="408">
        <v>252.51168922805118</v>
      </c>
      <c r="DA559" s="408">
        <v>0</v>
      </c>
      <c r="DB559" s="408">
        <v>0</v>
      </c>
      <c r="DC559" s="408"/>
      <c r="DD559" s="408"/>
      <c r="DE559" s="408">
        <v>0</v>
      </c>
      <c r="DF559" s="408">
        <v>0</v>
      </c>
      <c r="DG559" s="408">
        <v>0</v>
      </c>
      <c r="DH559" s="408">
        <v>0</v>
      </c>
      <c r="DI559" s="408">
        <v>0</v>
      </c>
      <c r="DJ559" s="408"/>
      <c r="DK559" s="408">
        <v>0</v>
      </c>
      <c r="DL559" s="408">
        <v>0</v>
      </c>
      <c r="DM559" s="408"/>
      <c r="DN559" s="408">
        <v>0</v>
      </c>
      <c r="DO559" s="408">
        <v>0</v>
      </c>
      <c r="DP559" s="408">
        <v>0</v>
      </c>
      <c r="DQ559" s="408">
        <v>0</v>
      </c>
      <c r="DR559" s="408">
        <v>0</v>
      </c>
      <c r="DS559" s="408"/>
      <c r="DT559" s="408"/>
      <c r="DU559" s="408">
        <v>16857.375769732902</v>
      </c>
      <c r="DV559" s="408"/>
      <c r="DW559" s="408">
        <v>0</v>
      </c>
      <c r="DX559" s="408">
        <v>0</v>
      </c>
      <c r="DY559" s="408">
        <v>-9028.0600000000013</v>
      </c>
      <c r="DZ559" s="408"/>
      <c r="EA559" s="408">
        <v>0</v>
      </c>
      <c r="EB559" s="408"/>
      <c r="EC559" s="408">
        <v>-9456.8141622847688</v>
      </c>
      <c r="ED559" s="408"/>
      <c r="EE559" s="408">
        <v>0</v>
      </c>
      <c r="EF559" s="408">
        <v>0</v>
      </c>
      <c r="EG559" s="408"/>
      <c r="EH559" s="408">
        <v>0</v>
      </c>
      <c r="EI559" s="408">
        <v>0</v>
      </c>
      <c r="EJ559" s="408">
        <v>0</v>
      </c>
      <c r="EK559" s="408">
        <v>0</v>
      </c>
      <c r="EL559" s="408">
        <v>0</v>
      </c>
      <c r="EM559" s="408"/>
      <c r="EN559" s="408"/>
      <c r="EO559" s="408">
        <v>0</v>
      </c>
      <c r="EP559" s="408">
        <v>0</v>
      </c>
      <c r="EQ559" s="408"/>
      <c r="ER559" s="408">
        <v>0</v>
      </c>
      <c r="ES559" s="408"/>
      <c r="ET559" s="408">
        <v>0</v>
      </c>
      <c r="EU559" s="408"/>
      <c r="EV559" s="408">
        <v>238</v>
      </c>
      <c r="EW559" s="408"/>
      <c r="EX559" s="408"/>
      <c r="EY559" s="408"/>
      <c r="EZ559" s="408"/>
      <c r="FA559" s="408">
        <v>0</v>
      </c>
      <c r="FB559" s="408"/>
      <c r="FC559" s="408"/>
      <c r="FD559" s="408"/>
      <c r="FE559" s="408"/>
      <c r="FF559" s="408">
        <v>0</v>
      </c>
      <c r="FG559" s="408">
        <v>0</v>
      </c>
      <c r="FH559" s="408">
        <v>0</v>
      </c>
      <c r="FI559" s="408">
        <v>0</v>
      </c>
    </row>
    <row r="560" spans="1:165">
      <c r="A560" s="408">
        <v>564</v>
      </c>
      <c r="B560" s="408" t="s">
        <v>1036</v>
      </c>
      <c r="C560" s="408" t="s">
        <v>2235</v>
      </c>
      <c r="D560" s="408" t="s">
        <v>2245</v>
      </c>
      <c r="E560" s="408" t="s">
        <v>974</v>
      </c>
      <c r="F560" s="408" t="s">
        <v>1322</v>
      </c>
      <c r="G560" s="408" t="s">
        <v>1322</v>
      </c>
      <c r="H560" s="408" t="s">
        <v>1322</v>
      </c>
      <c r="I560" s="408" t="s">
        <v>1322</v>
      </c>
      <c r="J560" s="408" t="s">
        <v>2236</v>
      </c>
      <c r="K560" s="824">
        <v>44652</v>
      </c>
      <c r="L560" s="408">
        <v>0</v>
      </c>
      <c r="M560" s="408">
        <v>0</v>
      </c>
      <c r="N560" s="408">
        <v>4058.8209999999999</v>
      </c>
      <c r="O560" s="408">
        <v>4058.8209999999999</v>
      </c>
      <c r="P560" s="408">
        <v>4058.8209999999999</v>
      </c>
      <c r="Q560" s="408">
        <v>4058.8209999999999</v>
      </c>
      <c r="R560" s="408"/>
      <c r="S560" s="408">
        <v>581.32000000000005</v>
      </c>
      <c r="T560" s="408">
        <v>209.4</v>
      </c>
      <c r="U560" s="408"/>
      <c r="V560" s="408">
        <v>3209390.9411200001</v>
      </c>
      <c r="W560" s="408">
        <v>3209390.9411200001</v>
      </c>
      <c r="X560" s="408">
        <v>2451812.0014699996</v>
      </c>
      <c r="Y560" s="408">
        <v>0</v>
      </c>
      <c r="Z560" s="408">
        <v>249771.35116239442</v>
      </c>
      <c r="AA560" s="408">
        <v>0</v>
      </c>
      <c r="AB560" s="408">
        <v>0</v>
      </c>
      <c r="AC560" s="408">
        <v>0</v>
      </c>
      <c r="AD560" s="408">
        <v>301128.5765112926</v>
      </c>
      <c r="AE560" s="408">
        <v>1564291.1734098739</v>
      </c>
      <c r="AF560" s="408">
        <v>838758.38668227382</v>
      </c>
      <c r="AG560" s="408">
        <v>11173.792008910259</v>
      </c>
      <c r="AH560" s="408">
        <v>0</v>
      </c>
      <c r="AI560" s="408">
        <v>0</v>
      </c>
      <c r="AJ560" s="408">
        <v>0</v>
      </c>
      <c r="AK560" s="408">
        <v>0</v>
      </c>
      <c r="AL560" s="408">
        <v>38597.770858866359</v>
      </c>
      <c r="AM560" s="408"/>
      <c r="AN560" s="408">
        <v>7399.0858473368498</v>
      </c>
      <c r="AO560" s="408">
        <v>23133.172258910618</v>
      </c>
      <c r="AP560" s="408">
        <v>34845.749341236755</v>
      </c>
      <c r="AQ560" s="408">
        <v>0</v>
      </c>
      <c r="AR560" s="408">
        <v>0</v>
      </c>
      <c r="AS560" s="408">
        <v>0</v>
      </c>
      <c r="AT560" s="408">
        <v>0</v>
      </c>
      <c r="AU560" s="408">
        <v>0</v>
      </c>
      <c r="AV560" s="408">
        <v>0</v>
      </c>
      <c r="AW560" s="408">
        <v>0</v>
      </c>
      <c r="AX560" s="408">
        <v>0</v>
      </c>
      <c r="AY560" s="408">
        <v>0</v>
      </c>
      <c r="AZ560" s="408">
        <v>0</v>
      </c>
      <c r="BA560" s="408"/>
      <c r="BB560" s="408">
        <v>0</v>
      </c>
      <c r="BC560" s="408">
        <v>0</v>
      </c>
      <c r="BD560" s="408">
        <v>0</v>
      </c>
      <c r="BE560" s="408">
        <v>0</v>
      </c>
      <c r="BF560" s="408">
        <v>0</v>
      </c>
      <c r="BG560" s="408">
        <v>140322.71011500561</v>
      </c>
      <c r="BH560" s="408">
        <v>0</v>
      </c>
      <c r="BI560" s="408">
        <v>6808.14</v>
      </c>
      <c r="BJ560" s="408">
        <v>32141.27</v>
      </c>
      <c r="BK560" s="408">
        <v>249646.23</v>
      </c>
      <c r="BL560" s="408">
        <v>13402</v>
      </c>
      <c r="BM560" s="408"/>
      <c r="BN560" s="408"/>
      <c r="BO560" s="408"/>
      <c r="BP560" s="408"/>
      <c r="BQ560" s="408"/>
      <c r="BR560" s="408">
        <v>294223.93428999971</v>
      </c>
      <c r="BS560" s="408"/>
      <c r="BT560" s="408"/>
      <c r="BU560" s="408"/>
      <c r="BV560" s="408">
        <v>979081.09679727943</v>
      </c>
      <c r="BW560" s="408"/>
      <c r="BX560" s="408"/>
      <c r="BY560" s="408"/>
      <c r="BZ560" s="408"/>
      <c r="CA560" s="408"/>
      <c r="CB560" s="408"/>
      <c r="CC560" s="408"/>
      <c r="CD560" s="408"/>
      <c r="CE560" s="408"/>
      <c r="CF560" s="408"/>
      <c r="CG560" s="408"/>
      <c r="CH560" s="408"/>
      <c r="CI560" s="408">
        <v>2157587.5356000001</v>
      </c>
      <c r="CJ560" s="408">
        <v>-666743.08724999987</v>
      </c>
      <c r="CK560" s="408"/>
      <c r="CL560" s="408"/>
      <c r="CM560" s="408"/>
      <c r="CN560" s="408"/>
      <c r="CO560" s="408">
        <v>-850241.82308000023</v>
      </c>
      <c r="CP560" s="408">
        <v>92662.883429999929</v>
      </c>
      <c r="CQ560" s="408">
        <v>30</v>
      </c>
      <c r="CR560" s="408">
        <v>119913.2828553773</v>
      </c>
      <c r="CS560" s="408">
        <v>2792.914858746055</v>
      </c>
      <c r="CT560" s="408">
        <v>4206.9980722938853</v>
      </c>
      <c r="CU560" s="408">
        <v>0</v>
      </c>
      <c r="CV560" s="408">
        <v>0</v>
      </c>
      <c r="CW560" s="408">
        <v>0</v>
      </c>
      <c r="CX560" s="408">
        <v>0</v>
      </c>
      <c r="CY560" s="408">
        <v>0</v>
      </c>
      <c r="CZ560" s="408">
        <v>9871.7288022019784</v>
      </c>
      <c r="DA560" s="408">
        <v>0</v>
      </c>
      <c r="DB560" s="408">
        <v>0</v>
      </c>
      <c r="DC560" s="408">
        <v>92634.81313683663</v>
      </c>
      <c r="DD560" s="408">
        <v>0</v>
      </c>
      <c r="DE560" s="408">
        <v>0</v>
      </c>
      <c r="DF560" s="408">
        <v>0</v>
      </c>
      <c r="DG560" s="408">
        <v>15497.63106605041</v>
      </c>
      <c r="DH560" s="408">
        <v>0</v>
      </c>
      <c r="DI560" s="408">
        <v>-4354.0448741153814</v>
      </c>
      <c r="DJ560" s="408"/>
      <c r="DK560" s="408">
        <v>0</v>
      </c>
      <c r="DL560" s="408">
        <v>0</v>
      </c>
      <c r="DM560" s="408">
        <v>0</v>
      </c>
      <c r="DN560" s="408">
        <v>0</v>
      </c>
      <c r="DO560" s="408">
        <v>-565.6878513435222</v>
      </c>
      <c r="DP560" s="408">
        <v>-171.07035529241512</v>
      </c>
      <c r="DQ560" s="408">
        <v>0</v>
      </c>
      <c r="DR560" s="408">
        <v>0</v>
      </c>
      <c r="DS560" s="408"/>
      <c r="DT560" s="408"/>
      <c r="DU560" s="408"/>
      <c r="DV560" s="408">
        <v>1564291.1734098739</v>
      </c>
      <c r="DW560" s="408">
        <v>0</v>
      </c>
      <c r="DX560" s="408">
        <v>0</v>
      </c>
      <c r="DY560" s="408">
        <v>-850241.82308000047</v>
      </c>
      <c r="DZ560" s="408">
        <v>92662.883429999929</v>
      </c>
      <c r="EA560" s="408">
        <v>0</v>
      </c>
      <c r="EB560" s="408">
        <v>0</v>
      </c>
      <c r="EC560" s="408">
        <v>-877551.23482508317</v>
      </c>
      <c r="ED560" s="408">
        <v>0</v>
      </c>
      <c r="EE560" s="408">
        <v>0</v>
      </c>
      <c r="EF560" s="408">
        <v>0</v>
      </c>
      <c r="EG560" s="408">
        <v>0</v>
      </c>
      <c r="EH560" s="408">
        <v>0</v>
      </c>
      <c r="EI560" s="408">
        <v>0</v>
      </c>
      <c r="EJ560" s="408">
        <v>0</v>
      </c>
      <c r="EK560" s="408">
        <v>0</v>
      </c>
      <c r="EL560" s="408">
        <v>0</v>
      </c>
      <c r="EM560" s="408">
        <v>0</v>
      </c>
      <c r="EN560" s="408">
        <v>0</v>
      </c>
      <c r="EO560" s="408">
        <v>0</v>
      </c>
      <c r="EP560" s="408">
        <v>0</v>
      </c>
      <c r="EQ560" s="408">
        <v>0</v>
      </c>
      <c r="ER560" s="408">
        <v>0</v>
      </c>
      <c r="ES560" s="408">
        <v>0</v>
      </c>
      <c r="ET560" s="408">
        <v>0</v>
      </c>
      <c r="EU560" s="408">
        <v>0</v>
      </c>
      <c r="EV560" s="408">
        <v>238</v>
      </c>
      <c r="EW560" s="408">
        <v>0</v>
      </c>
      <c r="EX560" s="408">
        <v>0</v>
      </c>
      <c r="EY560" s="408">
        <v>0</v>
      </c>
      <c r="EZ560" s="408"/>
      <c r="FA560" s="408">
        <v>0</v>
      </c>
      <c r="FB560" s="408"/>
      <c r="FC560" s="408"/>
      <c r="FD560" s="408"/>
      <c r="FE560" s="408"/>
      <c r="FF560" s="408">
        <v>0</v>
      </c>
      <c r="FG560" s="408">
        <v>0</v>
      </c>
      <c r="FH560" s="408">
        <v>0</v>
      </c>
      <c r="FI560" s="408">
        <v>0</v>
      </c>
    </row>
    <row r="561" spans="1:165">
      <c r="A561" s="408">
        <v>565</v>
      </c>
      <c r="B561" s="408" t="s">
        <v>2237</v>
      </c>
      <c r="C561" s="408" t="s">
        <v>2235</v>
      </c>
      <c r="D561" s="408" t="s">
        <v>2245</v>
      </c>
      <c r="E561" s="408" t="s">
        <v>974</v>
      </c>
      <c r="F561" s="408" t="s">
        <v>1322</v>
      </c>
      <c r="G561" s="408" t="s">
        <v>1322</v>
      </c>
      <c r="H561" s="408" t="s">
        <v>1322</v>
      </c>
      <c r="I561" s="408" t="s">
        <v>1322</v>
      </c>
      <c r="J561" s="408" t="s">
        <v>2236</v>
      </c>
      <c r="K561" s="824">
        <v>44652</v>
      </c>
      <c r="L561" s="408">
        <v>0</v>
      </c>
      <c r="M561" s="408">
        <v>0</v>
      </c>
      <c r="N561" s="408">
        <v>-17.402999999999999</v>
      </c>
      <c r="O561" s="408">
        <v>-17.402999999999999</v>
      </c>
      <c r="P561" s="408">
        <v>-17.402999999999999</v>
      </c>
      <c r="Q561" s="408">
        <v>-17.402999999999999</v>
      </c>
      <c r="R561" s="408"/>
      <c r="S561" s="408">
        <v>581.32000000000005</v>
      </c>
      <c r="T561" s="408">
        <v>209.4</v>
      </c>
      <c r="U561" s="408"/>
      <c r="V561" s="408">
        <v>-13760.900160000001</v>
      </c>
      <c r="W561" s="408">
        <v>-13760.900160000001</v>
      </c>
      <c r="X561" s="408">
        <v>-10512.630209999999</v>
      </c>
      <c r="Y561" s="408">
        <v>0</v>
      </c>
      <c r="Z561" s="408">
        <v>-1070.9442038166133</v>
      </c>
      <c r="AA561" s="408">
        <v>0</v>
      </c>
      <c r="AB561" s="408">
        <v>0</v>
      </c>
      <c r="AC561" s="408">
        <v>0</v>
      </c>
      <c r="AD561" s="408">
        <v>-1291.1484928815596</v>
      </c>
      <c r="AE561" s="408">
        <v>-6707.2086428182065</v>
      </c>
      <c r="AF561" s="408">
        <v>-3596.3429290012077</v>
      </c>
      <c r="AG561" s="408">
        <v>-47.909849271762717</v>
      </c>
      <c r="AH561" s="408">
        <v>0</v>
      </c>
      <c r="AI561" s="408">
        <v>0</v>
      </c>
      <c r="AJ561" s="408">
        <v>0</v>
      </c>
      <c r="AK561" s="408">
        <v>0</v>
      </c>
      <c r="AL561" s="408">
        <v>-165.49559743010374</v>
      </c>
      <c r="AM561" s="408"/>
      <c r="AN561" s="408">
        <v>-31.725047988369823</v>
      </c>
      <c r="AO561" s="408">
        <v>-99.188063928372657</v>
      </c>
      <c r="AP561" s="408">
        <v>-149.40806105653419</v>
      </c>
      <c r="AQ561" s="408">
        <v>0</v>
      </c>
      <c r="AR561" s="408">
        <v>0</v>
      </c>
      <c r="AS561" s="408">
        <v>0</v>
      </c>
      <c r="AT561" s="408">
        <v>0</v>
      </c>
      <c r="AU561" s="408">
        <v>0</v>
      </c>
      <c r="AV561" s="408">
        <v>0</v>
      </c>
      <c r="AW561" s="408">
        <v>0</v>
      </c>
      <c r="AX561" s="408">
        <v>0</v>
      </c>
      <c r="AY561" s="408">
        <v>0</v>
      </c>
      <c r="AZ561" s="408">
        <v>0</v>
      </c>
      <c r="BA561" s="408"/>
      <c r="BB561" s="408">
        <v>0</v>
      </c>
      <c r="BC561" s="408">
        <v>0</v>
      </c>
      <c r="BD561" s="408">
        <v>0</v>
      </c>
      <c r="BE561" s="408">
        <v>0</v>
      </c>
      <c r="BF561" s="408">
        <v>0</v>
      </c>
      <c r="BG561" s="408">
        <v>-601.66144900980908</v>
      </c>
      <c r="BH561" s="408">
        <v>0</v>
      </c>
      <c r="BI561" s="408">
        <v>-25.15</v>
      </c>
      <c r="BJ561" s="408">
        <v>-22.21</v>
      </c>
      <c r="BK561" s="408">
        <v>-346.31</v>
      </c>
      <c r="BL561" s="408">
        <v>0</v>
      </c>
      <c r="BM561" s="408"/>
      <c r="BN561" s="408"/>
      <c r="BO561" s="408"/>
      <c r="BP561" s="408"/>
      <c r="BQ561" s="408"/>
      <c r="BR561" s="408">
        <v>-1261.5434699999987</v>
      </c>
      <c r="BS561" s="408"/>
      <c r="BT561" s="408"/>
      <c r="BU561" s="408"/>
      <c r="BV561" s="408">
        <v>-4198.0043780110173</v>
      </c>
      <c r="BW561" s="408"/>
      <c r="BX561" s="408"/>
      <c r="BY561" s="408"/>
      <c r="BZ561" s="408"/>
      <c r="CA561" s="408"/>
      <c r="CB561" s="408"/>
      <c r="CC561" s="408"/>
      <c r="CD561" s="408"/>
      <c r="CE561" s="408"/>
      <c r="CF561" s="408"/>
      <c r="CG561" s="408"/>
      <c r="CH561" s="408"/>
      <c r="CI561" s="408">
        <v>-9249.4920000000002</v>
      </c>
      <c r="CJ561" s="408">
        <v>2860.3555499999984</v>
      </c>
      <c r="CK561" s="408"/>
      <c r="CL561" s="408"/>
      <c r="CM561" s="408"/>
      <c r="CN561" s="408"/>
      <c r="CO561" s="408">
        <v>3645.5804400000011</v>
      </c>
      <c r="CP561" s="408">
        <v>-397.31048999999967</v>
      </c>
      <c r="CQ561" s="408">
        <v>30</v>
      </c>
      <c r="CR561" s="408">
        <v>-514.15198195045741</v>
      </c>
      <c r="CS561" s="408">
        <v>-11.975176359528447</v>
      </c>
      <c r="CT561" s="408">
        <v>-18.038338584561984</v>
      </c>
      <c r="CU561" s="408">
        <v>0</v>
      </c>
      <c r="CV561" s="408">
        <v>0</v>
      </c>
      <c r="CW561" s="408">
        <v>0</v>
      </c>
      <c r="CX561" s="408">
        <v>0</v>
      </c>
      <c r="CY561" s="408">
        <v>0</v>
      </c>
      <c r="CZ561" s="408">
        <v>-42.32699504233392</v>
      </c>
      <c r="DA561" s="408">
        <v>0</v>
      </c>
      <c r="DB561" s="408">
        <v>0</v>
      </c>
      <c r="DC561" s="408">
        <v>-397.19013305104318</v>
      </c>
      <c r="DD561" s="408">
        <v>0</v>
      </c>
      <c r="DE561" s="408">
        <v>0</v>
      </c>
      <c r="DF561" s="408">
        <v>0</v>
      </c>
      <c r="DG561" s="408">
        <v>-66.449166751250004</v>
      </c>
      <c r="DH561" s="408">
        <v>0</v>
      </c>
      <c r="DI561" s="408">
        <v>18.668830910313773</v>
      </c>
      <c r="DJ561" s="408"/>
      <c r="DK561" s="408">
        <v>0</v>
      </c>
      <c r="DL561" s="408">
        <v>0</v>
      </c>
      <c r="DM561" s="408">
        <v>0</v>
      </c>
      <c r="DN561" s="408">
        <v>0</v>
      </c>
      <c r="DO561" s="408">
        <v>2.4254988522359611</v>
      </c>
      <c r="DP561" s="408">
        <v>0.73349807571063153</v>
      </c>
      <c r="DQ561" s="408">
        <v>0</v>
      </c>
      <c r="DR561" s="408">
        <v>0</v>
      </c>
      <c r="DS561" s="408"/>
      <c r="DT561" s="408"/>
      <c r="DU561" s="408"/>
      <c r="DV561" s="408">
        <v>-6707.2086428182065</v>
      </c>
      <c r="DW561" s="408">
        <v>0</v>
      </c>
      <c r="DX561" s="408">
        <v>0</v>
      </c>
      <c r="DY561" s="408">
        <v>3645.5804400000015</v>
      </c>
      <c r="DZ561" s="408">
        <v>-397.31048999999939</v>
      </c>
      <c r="EA561" s="408">
        <v>0</v>
      </c>
      <c r="EB561" s="408">
        <v>0</v>
      </c>
      <c r="EC561" s="408">
        <v>3762.6749589747674</v>
      </c>
      <c r="ED561" s="408">
        <v>0</v>
      </c>
      <c r="EE561" s="408">
        <v>0</v>
      </c>
      <c r="EF561" s="408">
        <v>0</v>
      </c>
      <c r="EG561" s="408">
        <v>0</v>
      </c>
      <c r="EH561" s="408">
        <v>0</v>
      </c>
      <c r="EI561" s="408">
        <v>0</v>
      </c>
      <c r="EJ561" s="408">
        <v>0</v>
      </c>
      <c r="EK561" s="408">
        <v>0</v>
      </c>
      <c r="EL561" s="408">
        <v>0</v>
      </c>
      <c r="EM561" s="408">
        <v>0</v>
      </c>
      <c r="EN561" s="408">
        <v>0</v>
      </c>
      <c r="EO561" s="408">
        <v>0</v>
      </c>
      <c r="EP561" s="408">
        <v>0</v>
      </c>
      <c r="EQ561" s="408">
        <v>0</v>
      </c>
      <c r="ER561" s="408">
        <v>0</v>
      </c>
      <c r="ES561" s="408">
        <v>0</v>
      </c>
      <c r="ET561" s="408">
        <v>0</v>
      </c>
      <c r="EU561" s="408">
        <v>0</v>
      </c>
      <c r="EV561" s="408">
        <v>238</v>
      </c>
      <c r="EW561" s="408">
        <v>0</v>
      </c>
      <c r="EX561" s="408">
        <v>0</v>
      </c>
      <c r="EY561" s="408">
        <v>0</v>
      </c>
      <c r="EZ561" s="408"/>
      <c r="FA561" s="408">
        <v>0</v>
      </c>
      <c r="FB561" s="408"/>
      <c r="FC561" s="408"/>
      <c r="FD561" s="408"/>
      <c r="FE561" s="408"/>
      <c r="FF561" s="408">
        <v>0</v>
      </c>
      <c r="FG561" s="408">
        <v>0</v>
      </c>
      <c r="FH561" s="408">
        <v>0</v>
      </c>
      <c r="FI561" s="408">
        <v>0</v>
      </c>
    </row>
    <row r="562" spans="1:165">
      <c r="A562" s="408">
        <v>566</v>
      </c>
      <c r="B562" s="408" t="s">
        <v>2238</v>
      </c>
      <c r="C562" s="408" t="s">
        <v>2235</v>
      </c>
      <c r="D562" s="408" t="s">
        <v>2245</v>
      </c>
      <c r="E562" s="408" t="s">
        <v>974</v>
      </c>
      <c r="F562" s="408" t="s">
        <v>1322</v>
      </c>
      <c r="G562" s="408" t="s">
        <v>1322</v>
      </c>
      <c r="H562" s="408" t="s">
        <v>1322</v>
      </c>
      <c r="I562" s="408" t="s">
        <v>1322</v>
      </c>
      <c r="J562" s="408" t="s">
        <v>2236</v>
      </c>
      <c r="K562" s="824">
        <v>44652</v>
      </c>
      <c r="L562" s="408">
        <v>0</v>
      </c>
      <c r="M562" s="408">
        <v>0</v>
      </c>
      <c r="N562" s="408">
        <v>159.28700000000001</v>
      </c>
      <c r="O562" s="408">
        <v>159.28700000000001</v>
      </c>
      <c r="P562" s="408">
        <v>159.28700000000001</v>
      </c>
      <c r="Q562" s="408">
        <v>159.28700000000001</v>
      </c>
      <c r="R562" s="408"/>
      <c r="S562" s="408">
        <v>581.32000000000005</v>
      </c>
      <c r="T562" s="408">
        <v>209.4</v>
      </c>
      <c r="U562" s="408"/>
      <c r="V562" s="408">
        <v>125951.41664000001</v>
      </c>
      <c r="W562" s="408">
        <v>125951.41664000001</v>
      </c>
      <c r="X562" s="408">
        <v>96220.498089999994</v>
      </c>
      <c r="Y562" s="408">
        <v>0</v>
      </c>
      <c r="Z562" s="408">
        <v>9802.1886682374807</v>
      </c>
      <c r="AA562" s="408">
        <v>0</v>
      </c>
      <c r="AB562" s="408">
        <v>0</v>
      </c>
      <c r="AC562" s="408">
        <v>0</v>
      </c>
      <c r="AD562" s="408">
        <v>11817.684881090903</v>
      </c>
      <c r="AE562" s="408">
        <v>61390.055914990735</v>
      </c>
      <c r="AF562" s="408">
        <v>32916.777344815004</v>
      </c>
      <c r="AG562" s="408">
        <v>438.51153025060444</v>
      </c>
      <c r="AH562" s="408">
        <v>0</v>
      </c>
      <c r="AI562" s="408">
        <v>0</v>
      </c>
      <c r="AJ562" s="408">
        <v>0</v>
      </c>
      <c r="AK562" s="408">
        <v>0</v>
      </c>
      <c r="AL562" s="408">
        <v>1514.7559172469655</v>
      </c>
      <c r="AM562" s="408"/>
      <c r="AN562" s="408">
        <v>290.37451697543321</v>
      </c>
      <c r="AO562" s="408">
        <v>907.85319421701422</v>
      </c>
      <c r="AP562" s="408">
        <v>1367.5091548303262</v>
      </c>
      <c r="AQ562" s="408">
        <v>0</v>
      </c>
      <c r="AR562" s="408">
        <v>0</v>
      </c>
      <c r="AS562" s="408">
        <v>0</v>
      </c>
      <c r="AT562" s="408">
        <v>0</v>
      </c>
      <c r="AU562" s="408">
        <v>0</v>
      </c>
      <c r="AV562" s="408">
        <v>0</v>
      </c>
      <c r="AW562" s="408">
        <v>0</v>
      </c>
      <c r="AX562" s="408">
        <v>0</v>
      </c>
      <c r="AY562" s="408">
        <v>0</v>
      </c>
      <c r="AZ562" s="408">
        <v>0</v>
      </c>
      <c r="BA562" s="408"/>
      <c r="BB562" s="408">
        <v>0</v>
      </c>
      <c r="BC562" s="408">
        <v>0</v>
      </c>
      <c r="BD562" s="408">
        <v>0</v>
      </c>
      <c r="BE562" s="408">
        <v>0</v>
      </c>
      <c r="BF562" s="408">
        <v>0</v>
      </c>
      <c r="BG562" s="408">
        <v>5506.9153150850707</v>
      </c>
      <c r="BH562" s="408">
        <v>0</v>
      </c>
      <c r="BI562" s="408">
        <v>265.32</v>
      </c>
      <c r="BJ562" s="408">
        <v>1253.97</v>
      </c>
      <c r="BK562" s="408">
        <v>10107.49</v>
      </c>
      <c r="BL562" s="408">
        <v>961</v>
      </c>
      <c r="BM562" s="408"/>
      <c r="BN562" s="408"/>
      <c r="BO562" s="408"/>
      <c r="BP562" s="408"/>
      <c r="BQ562" s="408"/>
      <c r="BR562" s="408">
        <v>11546.714629999988</v>
      </c>
      <c r="BS562" s="408"/>
      <c r="BT562" s="408"/>
      <c r="BU562" s="408"/>
      <c r="BV562" s="408">
        <v>38423.692659900073</v>
      </c>
      <c r="BW562" s="408"/>
      <c r="BX562" s="408"/>
      <c r="BY562" s="408"/>
      <c r="BZ562" s="408"/>
      <c r="CA562" s="408"/>
      <c r="CB562" s="408"/>
      <c r="CC562" s="408"/>
      <c r="CD562" s="408"/>
      <c r="CE562" s="408"/>
      <c r="CF562" s="408"/>
      <c r="CG562" s="408"/>
      <c r="CH562" s="408"/>
      <c r="CI562" s="408">
        <v>84675.378200000006</v>
      </c>
      <c r="CJ562" s="408">
        <v>-26164.510749999987</v>
      </c>
      <c r="CK562" s="408"/>
      <c r="CL562" s="408"/>
      <c r="CM562" s="408"/>
      <c r="CN562" s="408"/>
      <c r="CO562" s="408">
        <v>-33367.440760000012</v>
      </c>
      <c r="CP562" s="408">
        <v>3636.5222099999978</v>
      </c>
      <c r="CQ562" s="408">
        <v>30</v>
      </c>
      <c r="CR562" s="408">
        <v>4705.9545336403171</v>
      </c>
      <c r="CS562" s="408">
        <v>109.60695953457491</v>
      </c>
      <c r="CT562" s="408">
        <v>165.10215699127298</v>
      </c>
      <c r="CU562" s="408">
        <v>0</v>
      </c>
      <c r="CV562" s="408">
        <v>0</v>
      </c>
      <c r="CW562" s="408">
        <v>0</v>
      </c>
      <c r="CX562" s="408">
        <v>0</v>
      </c>
      <c r="CY562" s="408">
        <v>0</v>
      </c>
      <c r="CZ562" s="408">
        <v>387.41251849153923</v>
      </c>
      <c r="DA562" s="408">
        <v>0</v>
      </c>
      <c r="DB562" s="408">
        <v>0</v>
      </c>
      <c r="DC562" s="408">
        <v>3635.4206012354989</v>
      </c>
      <c r="DD562" s="408">
        <v>0</v>
      </c>
      <c r="DE562" s="408">
        <v>0</v>
      </c>
      <c r="DF562" s="408">
        <v>0</v>
      </c>
      <c r="DG562" s="408">
        <v>608.19907052268809</v>
      </c>
      <c r="DH562" s="408">
        <v>0</v>
      </c>
      <c r="DI562" s="408">
        <v>-170.87295691611325</v>
      </c>
      <c r="DJ562" s="408"/>
      <c r="DK562" s="408">
        <v>0</v>
      </c>
      <c r="DL562" s="408">
        <v>0</v>
      </c>
      <c r="DM562" s="408">
        <v>0</v>
      </c>
      <c r="DN562" s="408">
        <v>0</v>
      </c>
      <c r="DO562" s="408">
        <v>-22.200220403155299</v>
      </c>
      <c r="DP562" s="408">
        <v>-6.713595815992619</v>
      </c>
      <c r="DQ562" s="408">
        <v>0</v>
      </c>
      <c r="DR562" s="408">
        <v>0</v>
      </c>
      <c r="DS562" s="408"/>
      <c r="DT562" s="408"/>
      <c r="DU562" s="408"/>
      <c r="DV562" s="408">
        <v>61390.055914990735</v>
      </c>
      <c r="DW562" s="408">
        <v>0</v>
      </c>
      <c r="DX562" s="408">
        <v>0</v>
      </c>
      <c r="DY562" s="408">
        <v>-33367.44076000002</v>
      </c>
      <c r="DZ562" s="408">
        <v>3636.5222099999955</v>
      </c>
      <c r="EA562" s="408">
        <v>0</v>
      </c>
      <c r="EB562" s="408">
        <v>0</v>
      </c>
      <c r="EC562" s="408">
        <v>-34439.1890013339</v>
      </c>
      <c r="ED562" s="408">
        <v>0</v>
      </c>
      <c r="EE562" s="408">
        <v>0</v>
      </c>
      <c r="EF562" s="408">
        <v>0</v>
      </c>
      <c r="EG562" s="408">
        <v>0</v>
      </c>
      <c r="EH562" s="408">
        <v>0</v>
      </c>
      <c r="EI562" s="408">
        <v>0</v>
      </c>
      <c r="EJ562" s="408">
        <v>0</v>
      </c>
      <c r="EK562" s="408">
        <v>0</v>
      </c>
      <c r="EL562" s="408">
        <v>0</v>
      </c>
      <c r="EM562" s="408">
        <v>0</v>
      </c>
      <c r="EN562" s="408">
        <v>0</v>
      </c>
      <c r="EO562" s="408">
        <v>0</v>
      </c>
      <c r="EP562" s="408">
        <v>0</v>
      </c>
      <c r="EQ562" s="408">
        <v>0</v>
      </c>
      <c r="ER562" s="408">
        <v>0</v>
      </c>
      <c r="ES562" s="408">
        <v>0</v>
      </c>
      <c r="ET562" s="408">
        <v>0</v>
      </c>
      <c r="EU562" s="408">
        <v>0</v>
      </c>
      <c r="EV562" s="408">
        <v>238</v>
      </c>
      <c r="EW562" s="408">
        <v>0</v>
      </c>
      <c r="EX562" s="408">
        <v>0</v>
      </c>
      <c r="EY562" s="408">
        <v>0</v>
      </c>
      <c r="EZ562" s="408"/>
      <c r="FA562" s="408">
        <v>0</v>
      </c>
      <c r="FB562" s="408"/>
      <c r="FC562" s="408"/>
      <c r="FD562" s="408"/>
      <c r="FE562" s="408"/>
      <c r="FF562" s="408">
        <v>0</v>
      </c>
      <c r="FG562" s="408">
        <v>0</v>
      </c>
      <c r="FH562" s="408">
        <v>0</v>
      </c>
      <c r="FI562" s="408">
        <v>0</v>
      </c>
    </row>
    <row r="563" spans="1:165">
      <c r="A563" s="408">
        <v>567</v>
      </c>
      <c r="B563" s="408" t="s">
        <v>1036</v>
      </c>
      <c r="C563" s="408" t="s">
        <v>2243</v>
      </c>
      <c r="D563" s="408" t="s">
        <v>597</v>
      </c>
      <c r="E563" s="408" t="s">
        <v>974</v>
      </c>
      <c r="F563" s="408" t="s">
        <v>1322</v>
      </c>
      <c r="G563" s="408" t="s">
        <v>1322</v>
      </c>
      <c r="H563" s="408" t="s">
        <v>1322</v>
      </c>
      <c r="I563" s="408" t="s">
        <v>973</v>
      </c>
      <c r="J563" s="408" t="s">
        <v>2236</v>
      </c>
      <c r="K563" s="824">
        <v>44652</v>
      </c>
      <c r="L563" s="408">
        <v>0</v>
      </c>
      <c r="M563" s="408">
        <v>0</v>
      </c>
      <c r="N563" s="408">
        <v>27.064</v>
      </c>
      <c r="O563" s="408">
        <v>25.981439999999999</v>
      </c>
      <c r="P563" s="408">
        <v>27.064</v>
      </c>
      <c r="Q563" s="408">
        <v>25.981439999999999</v>
      </c>
      <c r="R563" s="408"/>
      <c r="S563" s="408">
        <v>1614.19</v>
      </c>
      <c r="T563" s="408">
        <v>209.4</v>
      </c>
      <c r="U563" s="408"/>
      <c r="V563" s="408">
        <v>49353.639760000005</v>
      </c>
      <c r="W563" s="408">
        <v>49353.639760000005</v>
      </c>
      <c r="X563" s="408">
        <v>32805.6276</v>
      </c>
      <c r="Y563" s="408">
        <v>0</v>
      </c>
      <c r="Z563" s="408">
        <v>1448.9518773154498</v>
      </c>
      <c r="AA563" s="408">
        <v>0</v>
      </c>
      <c r="AB563" s="408">
        <v>0</v>
      </c>
      <c r="AC563" s="408">
        <v>0</v>
      </c>
      <c r="AD563" s="408">
        <v>8428.2164906699345</v>
      </c>
      <c r="AE563" s="408">
        <v>31471.010179276833</v>
      </c>
      <c r="AF563" s="408">
        <v>5592.7957840883009</v>
      </c>
      <c r="AG563" s="408">
        <v>74.506243790782406</v>
      </c>
      <c r="AH563" s="408">
        <v>0</v>
      </c>
      <c r="AI563" s="408">
        <v>0</v>
      </c>
      <c r="AJ563" s="408">
        <v>0</v>
      </c>
      <c r="AK563" s="408">
        <v>0</v>
      </c>
      <c r="AL563" s="408">
        <v>257.3678589236527</v>
      </c>
      <c r="AM563" s="408"/>
      <c r="AN563" s="408">
        <v>35.936778365463759</v>
      </c>
      <c r="AO563" s="408">
        <v>654.81146028846592</v>
      </c>
      <c r="AP563" s="408">
        <v>975.35148057246408</v>
      </c>
      <c r="AQ563" s="408">
        <v>0</v>
      </c>
      <c r="AR563" s="408">
        <v>0</v>
      </c>
      <c r="AS563" s="408">
        <v>0</v>
      </c>
      <c r="AT563" s="408">
        <v>0</v>
      </c>
      <c r="AU563" s="408">
        <v>0</v>
      </c>
      <c r="AV563" s="408">
        <v>0</v>
      </c>
      <c r="AW563" s="408">
        <v>0</v>
      </c>
      <c r="AX563" s="408">
        <v>0</v>
      </c>
      <c r="AY563" s="408">
        <v>0</v>
      </c>
      <c r="AZ563" s="408">
        <v>0</v>
      </c>
      <c r="BA563" s="408"/>
      <c r="BB563" s="408">
        <v>0</v>
      </c>
      <c r="BC563" s="408">
        <v>0</v>
      </c>
      <c r="BD563" s="408">
        <v>0</v>
      </c>
      <c r="BE563" s="408">
        <v>0</v>
      </c>
      <c r="BF563" s="408">
        <v>0</v>
      </c>
      <c r="BG563" s="408">
        <v>414.74054568007432</v>
      </c>
      <c r="BH563" s="408">
        <v>0</v>
      </c>
      <c r="BI563" s="408">
        <v>0</v>
      </c>
      <c r="BJ563" s="408">
        <v>0</v>
      </c>
      <c r="BK563" s="408">
        <v>0</v>
      </c>
      <c r="BL563" s="408">
        <v>0</v>
      </c>
      <c r="BM563" s="408"/>
      <c r="BN563" s="408"/>
      <c r="BO563" s="408"/>
      <c r="BP563" s="408"/>
      <c r="BQ563" s="408"/>
      <c r="BR563" s="408">
        <v>1312.225104000001</v>
      </c>
      <c r="BS563" s="408"/>
      <c r="BT563" s="408"/>
      <c r="BU563" s="408"/>
      <c r="BV563" s="408">
        <v>6007.5363297683753</v>
      </c>
      <c r="BW563" s="408"/>
      <c r="BX563" s="408"/>
      <c r="BY563" s="408"/>
      <c r="BZ563" s="408"/>
      <c r="CA563" s="408"/>
      <c r="CB563" s="408"/>
      <c r="CC563" s="408"/>
      <c r="CD563" s="408"/>
      <c r="CE563" s="408"/>
      <c r="CF563" s="408"/>
      <c r="CG563" s="408"/>
      <c r="CH563" s="408"/>
      <c r="CI563" s="408">
        <v>31491.656999999999</v>
      </c>
      <c r="CJ563" s="408">
        <v>-15887.867169600002</v>
      </c>
      <c r="CK563" s="408"/>
      <c r="CL563" s="408"/>
      <c r="CM563" s="408"/>
      <c r="CN563" s="408"/>
      <c r="CO563" s="408">
        <v>-17165.883280000002</v>
      </c>
      <c r="CP563" s="408">
        <v>617.87111999999956</v>
      </c>
      <c r="CQ563" s="408">
        <v>30</v>
      </c>
      <c r="CR563" s="408">
        <v>1106.7382556762714</v>
      </c>
      <c r="CS563" s="408">
        <v>79.056717195903389</v>
      </c>
      <c r="CT563" s="408">
        <v>117.75616470160173</v>
      </c>
      <c r="CU563" s="408">
        <v>0</v>
      </c>
      <c r="CV563" s="408">
        <v>0</v>
      </c>
      <c r="CW563" s="408">
        <v>0</v>
      </c>
      <c r="CX563" s="408">
        <v>0</v>
      </c>
      <c r="CY563" s="408">
        <v>0</v>
      </c>
      <c r="CZ563" s="408">
        <v>276.29748211233891</v>
      </c>
      <c r="DA563" s="408">
        <v>0</v>
      </c>
      <c r="DB563" s="408">
        <v>0</v>
      </c>
      <c r="DC563" s="408">
        <v>617.68394879580683</v>
      </c>
      <c r="DD563" s="408">
        <v>0</v>
      </c>
      <c r="DE563" s="408">
        <v>0</v>
      </c>
      <c r="DF563" s="408">
        <v>0</v>
      </c>
      <c r="DG563" s="408">
        <v>45.805101396734187</v>
      </c>
      <c r="DH563" s="408">
        <v>0</v>
      </c>
      <c r="DI563" s="408">
        <v>-25.258307107301789</v>
      </c>
      <c r="DJ563" s="408"/>
      <c r="DK563" s="408">
        <v>0</v>
      </c>
      <c r="DL563" s="408">
        <v>0</v>
      </c>
      <c r="DM563" s="408">
        <v>0</v>
      </c>
      <c r="DN563" s="408">
        <v>0</v>
      </c>
      <c r="DO563" s="408">
        <v>-3.771976149911751</v>
      </c>
      <c r="DP563" s="408">
        <v>-0.83087526890351882</v>
      </c>
      <c r="DQ563" s="408">
        <v>0</v>
      </c>
      <c r="DR563" s="408">
        <v>0</v>
      </c>
      <c r="DS563" s="408"/>
      <c r="DT563" s="408"/>
      <c r="DU563" s="408"/>
      <c r="DV563" s="408">
        <v>31471.010179276833</v>
      </c>
      <c r="DW563" s="408">
        <v>0</v>
      </c>
      <c r="DX563" s="408">
        <v>0</v>
      </c>
      <c r="DY563" s="408">
        <v>-17165.883280000005</v>
      </c>
      <c r="DZ563" s="408">
        <v>617.87111999999979</v>
      </c>
      <c r="EA563" s="408">
        <v>0</v>
      </c>
      <c r="EB563" s="408">
        <v>0</v>
      </c>
      <c r="EC563" s="408">
        <v>-17654.912533845112</v>
      </c>
      <c r="ED563" s="408">
        <v>0</v>
      </c>
      <c r="EE563" s="408">
        <v>0</v>
      </c>
      <c r="EF563" s="408">
        <v>0</v>
      </c>
      <c r="EG563" s="408">
        <v>0</v>
      </c>
      <c r="EH563" s="408">
        <v>0</v>
      </c>
      <c r="EI563" s="408">
        <v>0</v>
      </c>
      <c r="EJ563" s="408">
        <v>0</v>
      </c>
      <c r="EK563" s="408">
        <v>0</v>
      </c>
      <c r="EL563" s="408">
        <v>0</v>
      </c>
      <c r="EM563" s="408">
        <v>0</v>
      </c>
      <c r="EN563" s="408">
        <v>0</v>
      </c>
      <c r="EO563" s="408">
        <v>0</v>
      </c>
      <c r="EP563" s="408">
        <v>0</v>
      </c>
      <c r="EQ563" s="408">
        <v>0</v>
      </c>
      <c r="ER563" s="408">
        <v>0</v>
      </c>
      <c r="ES563" s="408">
        <v>0</v>
      </c>
      <c r="ET563" s="408">
        <v>0</v>
      </c>
      <c r="EU563" s="408">
        <v>0</v>
      </c>
      <c r="EV563" s="408">
        <v>238</v>
      </c>
      <c r="EW563" s="408">
        <v>0</v>
      </c>
      <c r="EX563" s="408">
        <v>0</v>
      </c>
      <c r="EY563" s="408">
        <v>0</v>
      </c>
      <c r="EZ563" s="408"/>
      <c r="FA563" s="408">
        <v>0</v>
      </c>
      <c r="FB563" s="408"/>
      <c r="FC563" s="408"/>
      <c r="FD563" s="408"/>
      <c r="FE563" s="408"/>
      <c r="FF563" s="408">
        <v>0</v>
      </c>
      <c r="FG563" s="408">
        <v>0</v>
      </c>
      <c r="FH563" s="408">
        <v>0</v>
      </c>
      <c r="FI563" s="408">
        <v>0</v>
      </c>
    </row>
    <row r="564" spans="1:165">
      <c r="A564" s="408">
        <v>568</v>
      </c>
      <c r="B564" s="408" t="s">
        <v>2238</v>
      </c>
      <c r="C564" s="408" t="s">
        <v>2243</v>
      </c>
      <c r="D564" s="408" t="s">
        <v>597</v>
      </c>
      <c r="E564" s="408" t="s">
        <v>974</v>
      </c>
      <c r="F564" s="408" t="s">
        <v>1322</v>
      </c>
      <c r="G564" s="408" t="s">
        <v>1322</v>
      </c>
      <c r="H564" s="408" t="s">
        <v>1322</v>
      </c>
      <c r="I564" s="408" t="s">
        <v>973</v>
      </c>
      <c r="J564" s="408" t="s">
        <v>2236</v>
      </c>
      <c r="K564" s="824">
        <v>44652</v>
      </c>
      <c r="L564" s="408">
        <v>0</v>
      </c>
      <c r="M564" s="408">
        <v>0</v>
      </c>
      <c r="N564" s="408">
        <v>3.2890000000000001</v>
      </c>
      <c r="O564" s="408">
        <v>3.1574399999999998</v>
      </c>
      <c r="P564" s="408">
        <v>3.2890000000000001</v>
      </c>
      <c r="Q564" s="408">
        <v>3.1574399999999998</v>
      </c>
      <c r="R564" s="408"/>
      <c r="S564" s="408">
        <v>1614.19</v>
      </c>
      <c r="T564" s="408">
        <v>209.4</v>
      </c>
      <c r="U564" s="408"/>
      <c r="V564" s="408">
        <v>5997.7875100000001</v>
      </c>
      <c r="W564" s="408">
        <v>5997.7875100000001</v>
      </c>
      <c r="X564" s="408">
        <v>3986.7613500000002</v>
      </c>
      <c r="Y564" s="408">
        <v>0</v>
      </c>
      <c r="Z564" s="408">
        <v>176.08641459098857</v>
      </c>
      <c r="AA564" s="408">
        <v>0</v>
      </c>
      <c r="AB564" s="408">
        <v>0</v>
      </c>
      <c r="AC564" s="408">
        <v>0</v>
      </c>
      <c r="AD564" s="408">
        <v>1024.2537702414063</v>
      </c>
      <c r="AE564" s="408">
        <v>3824.5696304922226</v>
      </c>
      <c r="AF564" s="408">
        <v>679.67430290668131</v>
      </c>
      <c r="AG564" s="408">
        <v>9.0545017672141359</v>
      </c>
      <c r="AH564" s="408">
        <v>0</v>
      </c>
      <c r="AI564" s="408">
        <v>0</v>
      </c>
      <c r="AJ564" s="408">
        <v>0</v>
      </c>
      <c r="AK564" s="408">
        <v>0</v>
      </c>
      <c r="AL564" s="408">
        <v>31.277079810814879</v>
      </c>
      <c r="AM564" s="408"/>
      <c r="AN564" s="408">
        <v>4.3672799306832069</v>
      </c>
      <c r="AO564" s="408">
        <v>79.577109551018495</v>
      </c>
      <c r="AP564" s="408">
        <v>118.53129691113044</v>
      </c>
      <c r="AQ564" s="408">
        <v>0</v>
      </c>
      <c r="AR564" s="408">
        <v>0</v>
      </c>
      <c r="AS564" s="408">
        <v>0</v>
      </c>
      <c r="AT564" s="408">
        <v>0</v>
      </c>
      <c r="AU564" s="408">
        <v>0</v>
      </c>
      <c r="AV564" s="408">
        <v>0</v>
      </c>
      <c r="AW564" s="408">
        <v>0</v>
      </c>
      <c r="AX564" s="408">
        <v>0</v>
      </c>
      <c r="AY564" s="408">
        <v>0</v>
      </c>
      <c r="AZ564" s="408">
        <v>0</v>
      </c>
      <c r="BA564" s="408"/>
      <c r="BB564" s="408">
        <v>0</v>
      </c>
      <c r="BC564" s="408">
        <v>0</v>
      </c>
      <c r="BD564" s="408">
        <v>0</v>
      </c>
      <c r="BE564" s="408">
        <v>0</v>
      </c>
      <c r="BF564" s="408">
        <v>0</v>
      </c>
      <c r="BG564" s="408">
        <v>50.402071192054557</v>
      </c>
      <c r="BH564" s="408">
        <v>0</v>
      </c>
      <c r="BI564" s="408">
        <v>0</v>
      </c>
      <c r="BJ564" s="408">
        <v>0</v>
      </c>
      <c r="BK564" s="408">
        <v>0</v>
      </c>
      <c r="BL564" s="408">
        <v>0</v>
      </c>
      <c r="BM564" s="408"/>
      <c r="BN564" s="408"/>
      <c r="BO564" s="408"/>
      <c r="BP564" s="408"/>
      <c r="BQ564" s="408"/>
      <c r="BR564" s="408">
        <v>159.47045400000042</v>
      </c>
      <c r="BS564" s="408"/>
      <c r="BT564" s="408"/>
      <c r="BU564" s="408"/>
      <c r="BV564" s="408">
        <v>730.07637409873587</v>
      </c>
      <c r="BW564" s="408"/>
      <c r="BX564" s="408"/>
      <c r="BY564" s="408"/>
      <c r="BZ564" s="408"/>
      <c r="CA564" s="408"/>
      <c r="CB564" s="408"/>
      <c r="CC564" s="408"/>
      <c r="CD564" s="408"/>
      <c r="CE564" s="408"/>
      <c r="CF564" s="408"/>
      <c r="CG564" s="408"/>
      <c r="CH564" s="408"/>
      <c r="CI564" s="408">
        <v>3830.3940000000002</v>
      </c>
      <c r="CJ564" s="408">
        <v>-1927.5120096000001</v>
      </c>
      <c r="CK564" s="408"/>
      <c r="CL564" s="408"/>
      <c r="CM564" s="408"/>
      <c r="CN564" s="408"/>
      <c r="CO564" s="408">
        <v>-2086.1140300000002</v>
      </c>
      <c r="CP564" s="408">
        <v>75.087869999999953</v>
      </c>
      <c r="CQ564" s="408">
        <v>30</v>
      </c>
      <c r="CR564" s="408">
        <v>134.49830486695328</v>
      </c>
      <c r="CS564" s="408">
        <v>9.6075060174891433</v>
      </c>
      <c r="CT564" s="408">
        <v>14.310524153989363</v>
      </c>
      <c r="CU564" s="408">
        <v>0</v>
      </c>
      <c r="CV564" s="408">
        <v>0</v>
      </c>
      <c r="CW564" s="408">
        <v>0</v>
      </c>
      <c r="CX564" s="408">
        <v>0</v>
      </c>
      <c r="CY564" s="408">
        <v>0</v>
      </c>
      <c r="CZ564" s="408">
        <v>33.577535422238952</v>
      </c>
      <c r="DA564" s="408">
        <v>0</v>
      </c>
      <c r="DB564" s="408">
        <v>0</v>
      </c>
      <c r="DC564" s="408">
        <v>75.065123691597933</v>
      </c>
      <c r="DD564" s="408">
        <v>0</v>
      </c>
      <c r="DE564" s="408">
        <v>0</v>
      </c>
      <c r="DF564" s="408">
        <v>0</v>
      </c>
      <c r="DG564" s="408">
        <v>5.5665451704795572</v>
      </c>
      <c r="DH564" s="408">
        <v>0</v>
      </c>
      <c r="DI564" s="408">
        <v>-3.0695600087169623</v>
      </c>
      <c r="DJ564" s="408"/>
      <c r="DK564" s="408">
        <v>0</v>
      </c>
      <c r="DL564" s="408">
        <v>0</v>
      </c>
      <c r="DM564" s="408">
        <v>0</v>
      </c>
      <c r="DN564" s="408">
        <v>0</v>
      </c>
      <c r="DO564" s="408">
        <v>-0.4583960078724445</v>
      </c>
      <c r="DP564" s="408">
        <v>-0.10097357225183501</v>
      </c>
      <c r="DQ564" s="408">
        <v>0</v>
      </c>
      <c r="DR564" s="408">
        <v>0</v>
      </c>
      <c r="DS564" s="408"/>
      <c r="DT564" s="408"/>
      <c r="DU564" s="408"/>
      <c r="DV564" s="408">
        <v>3824.5696304922226</v>
      </c>
      <c r="DW564" s="408">
        <v>0</v>
      </c>
      <c r="DX564" s="408">
        <v>0</v>
      </c>
      <c r="DY564" s="408">
        <v>-2086.1140300000002</v>
      </c>
      <c r="DZ564" s="408">
        <v>75.087869999999953</v>
      </c>
      <c r="EA564" s="408">
        <v>0</v>
      </c>
      <c r="EB564" s="408">
        <v>0</v>
      </c>
      <c r="EC564" s="408">
        <v>-2145.5441665613575</v>
      </c>
      <c r="ED564" s="408">
        <v>0</v>
      </c>
      <c r="EE564" s="408">
        <v>0</v>
      </c>
      <c r="EF564" s="408">
        <v>0</v>
      </c>
      <c r="EG564" s="408">
        <v>0</v>
      </c>
      <c r="EH564" s="408">
        <v>0</v>
      </c>
      <c r="EI564" s="408">
        <v>0</v>
      </c>
      <c r="EJ564" s="408">
        <v>0</v>
      </c>
      <c r="EK564" s="408">
        <v>0</v>
      </c>
      <c r="EL564" s="408">
        <v>0</v>
      </c>
      <c r="EM564" s="408">
        <v>0</v>
      </c>
      <c r="EN564" s="408">
        <v>0</v>
      </c>
      <c r="EO564" s="408">
        <v>0</v>
      </c>
      <c r="EP564" s="408">
        <v>0</v>
      </c>
      <c r="EQ564" s="408">
        <v>0</v>
      </c>
      <c r="ER564" s="408">
        <v>0</v>
      </c>
      <c r="ES564" s="408">
        <v>0</v>
      </c>
      <c r="ET564" s="408">
        <v>0</v>
      </c>
      <c r="EU564" s="408">
        <v>0</v>
      </c>
      <c r="EV564" s="408">
        <v>238</v>
      </c>
      <c r="EW564" s="408">
        <v>0</v>
      </c>
      <c r="EX564" s="408">
        <v>0</v>
      </c>
      <c r="EY564" s="408">
        <v>0</v>
      </c>
      <c r="EZ564" s="408"/>
      <c r="FA564" s="408">
        <v>0</v>
      </c>
      <c r="FB564" s="408"/>
      <c r="FC564" s="408"/>
      <c r="FD564" s="408"/>
      <c r="FE564" s="408"/>
      <c r="FF564" s="408">
        <v>0</v>
      </c>
      <c r="FG564" s="408">
        <v>0</v>
      </c>
      <c r="FH564" s="408">
        <v>0</v>
      </c>
      <c r="FI564" s="408">
        <v>0</v>
      </c>
    </row>
    <row r="565" spans="1:165">
      <c r="A565" s="408">
        <v>569</v>
      </c>
      <c r="B565" s="408" t="s">
        <v>1036</v>
      </c>
      <c r="C565" s="408" t="s">
        <v>2243</v>
      </c>
      <c r="D565" s="408" t="s">
        <v>597</v>
      </c>
      <c r="E565" s="408" t="s">
        <v>974</v>
      </c>
      <c r="F565" s="408" t="s">
        <v>1322</v>
      </c>
      <c r="G565" s="408" t="s">
        <v>1322</v>
      </c>
      <c r="H565" s="408" t="s">
        <v>1322</v>
      </c>
      <c r="I565" s="408" t="s">
        <v>2244</v>
      </c>
      <c r="J565" s="408" t="s">
        <v>2236</v>
      </c>
      <c r="K565" s="824">
        <v>44652</v>
      </c>
      <c r="L565" s="408">
        <v>0</v>
      </c>
      <c r="M565" s="408">
        <v>0</v>
      </c>
      <c r="N565" s="408">
        <v>321.10500000000002</v>
      </c>
      <c r="O565" s="408">
        <v>308.26080000000002</v>
      </c>
      <c r="P565" s="408">
        <v>321.10500000000002</v>
      </c>
      <c r="Q565" s="408">
        <v>308.26080000000002</v>
      </c>
      <c r="R565" s="408"/>
      <c r="S565" s="408">
        <v>79.7</v>
      </c>
      <c r="T565" s="408">
        <v>209.4</v>
      </c>
      <c r="U565" s="408"/>
      <c r="V565" s="408">
        <v>92831.455500000011</v>
      </c>
      <c r="W565" s="408">
        <v>92831.455500000011</v>
      </c>
      <c r="X565" s="408">
        <v>100351.7346</v>
      </c>
      <c r="Y565" s="408">
        <v>0</v>
      </c>
      <c r="Z565" s="408">
        <v>17191.312908859647</v>
      </c>
      <c r="AA565" s="408">
        <v>0</v>
      </c>
      <c r="AB565" s="408">
        <v>0</v>
      </c>
      <c r="AC565" s="408">
        <v>0</v>
      </c>
      <c r="AD565" s="408">
        <v>0</v>
      </c>
      <c r="AE565" s="408">
        <v>0</v>
      </c>
      <c r="AF565" s="408">
        <v>66356.587727227088</v>
      </c>
      <c r="AG565" s="408">
        <v>883.99081482556858</v>
      </c>
      <c r="AH565" s="408">
        <v>0</v>
      </c>
      <c r="AI565" s="408">
        <v>0</v>
      </c>
      <c r="AJ565" s="408">
        <v>0</v>
      </c>
      <c r="AK565" s="408">
        <v>0</v>
      </c>
      <c r="AL565" s="408">
        <v>3053.5806362577414</v>
      </c>
      <c r="AM565" s="408"/>
      <c r="AN565" s="408">
        <v>426.3774466834999</v>
      </c>
      <c r="AO565" s="408">
        <v>0</v>
      </c>
      <c r="AP565" s="408">
        <v>0</v>
      </c>
      <c r="AQ565" s="408">
        <v>0</v>
      </c>
      <c r="AR565" s="408">
        <v>0</v>
      </c>
      <c r="AS565" s="408">
        <v>0</v>
      </c>
      <c r="AT565" s="408">
        <v>0</v>
      </c>
      <c r="AU565" s="408">
        <v>0</v>
      </c>
      <c r="AV565" s="408">
        <v>0</v>
      </c>
      <c r="AW565" s="408">
        <v>0</v>
      </c>
      <c r="AX565" s="408">
        <v>0</v>
      </c>
      <c r="AY565" s="408">
        <v>0</v>
      </c>
      <c r="AZ565" s="408">
        <v>0</v>
      </c>
      <c r="BA565" s="408"/>
      <c r="BB565" s="408">
        <v>0</v>
      </c>
      <c r="BC565" s="408">
        <v>0</v>
      </c>
      <c r="BD565" s="408">
        <v>0</v>
      </c>
      <c r="BE565" s="408">
        <v>0</v>
      </c>
      <c r="BF565" s="408">
        <v>0</v>
      </c>
      <c r="BG565" s="408">
        <v>4920.7531377697414</v>
      </c>
      <c r="BH565" s="408">
        <v>0</v>
      </c>
      <c r="BI565" s="408">
        <v>0</v>
      </c>
      <c r="BJ565" s="408">
        <v>0</v>
      </c>
      <c r="BK565" s="408">
        <v>0</v>
      </c>
      <c r="BL565" s="408">
        <v>0</v>
      </c>
      <c r="BM565" s="408"/>
      <c r="BN565" s="408"/>
      <c r="BO565" s="408"/>
      <c r="BP565" s="408"/>
      <c r="BQ565" s="408"/>
      <c r="BR565" s="408">
        <v>4014.0693840000004</v>
      </c>
      <c r="BS565" s="408"/>
      <c r="BT565" s="408"/>
      <c r="BU565" s="408"/>
      <c r="BV565" s="408">
        <v>71277.340864996833</v>
      </c>
      <c r="BW565" s="408"/>
      <c r="BX565" s="408"/>
      <c r="BY565" s="408"/>
      <c r="BZ565" s="408"/>
      <c r="CA565" s="408"/>
      <c r="CB565" s="408"/>
      <c r="CC565" s="408"/>
      <c r="CD565" s="408"/>
      <c r="CE565" s="408"/>
      <c r="CF565" s="408"/>
      <c r="CG565" s="408"/>
      <c r="CH565" s="408"/>
      <c r="CI565" s="408">
        <v>96337.415199999989</v>
      </c>
      <c r="CJ565" s="408">
        <v>7219.1879199999967</v>
      </c>
      <c r="CK565" s="408"/>
      <c r="CL565" s="408"/>
      <c r="CM565" s="408"/>
      <c r="CN565" s="408"/>
      <c r="CO565" s="408">
        <v>189.45195000000112</v>
      </c>
      <c r="CP565" s="408">
        <v>7330.8271499999955</v>
      </c>
      <c r="CQ565" s="408">
        <v>30</v>
      </c>
      <c r="CR565" s="408">
        <v>7517.7757963917829</v>
      </c>
      <c r="CS565" s="408">
        <v>0</v>
      </c>
      <c r="CT565" s="408">
        <v>0</v>
      </c>
      <c r="CU565" s="408">
        <v>0</v>
      </c>
      <c r="CV565" s="408">
        <v>0</v>
      </c>
      <c r="CW565" s="408">
        <v>0</v>
      </c>
      <c r="CX565" s="408">
        <v>0</v>
      </c>
      <c r="CY565" s="408">
        <v>0</v>
      </c>
      <c r="CZ565" s="408">
        <v>0</v>
      </c>
      <c r="DA565" s="408">
        <v>0</v>
      </c>
      <c r="DB565" s="408">
        <v>0</v>
      </c>
      <c r="DC565" s="408">
        <v>7328.6064283948217</v>
      </c>
      <c r="DD565" s="408">
        <v>0</v>
      </c>
      <c r="DE565" s="408">
        <v>0</v>
      </c>
      <c r="DF565" s="408">
        <v>0</v>
      </c>
      <c r="DG565" s="408">
        <v>543.46168652077813</v>
      </c>
      <c r="DH565" s="408">
        <v>0</v>
      </c>
      <c r="DI565" s="408">
        <v>-299.6810783213914</v>
      </c>
      <c r="DJ565" s="408"/>
      <c r="DK565" s="408">
        <v>0</v>
      </c>
      <c r="DL565" s="408">
        <v>0</v>
      </c>
      <c r="DM565" s="408">
        <v>0</v>
      </c>
      <c r="DN565" s="408">
        <v>0</v>
      </c>
      <c r="DO565" s="408">
        <v>-44.7531924925147</v>
      </c>
      <c r="DP565" s="408">
        <v>-9.8580477099196173</v>
      </c>
      <c r="DQ565" s="408">
        <v>0</v>
      </c>
      <c r="DR565" s="408">
        <v>0</v>
      </c>
      <c r="DS565" s="408"/>
      <c r="DT565" s="408"/>
      <c r="DU565" s="408"/>
      <c r="DV565" s="408">
        <v>0</v>
      </c>
      <c r="DW565" s="408">
        <v>0</v>
      </c>
      <c r="DX565" s="408">
        <v>0</v>
      </c>
      <c r="DY565" s="408">
        <v>189.4519500000024</v>
      </c>
      <c r="DZ565" s="408">
        <v>7330.8271499999973</v>
      </c>
      <c r="EA565" s="408">
        <v>0</v>
      </c>
      <c r="EB565" s="408">
        <v>0</v>
      </c>
      <c r="EC565" s="408">
        <v>0</v>
      </c>
      <c r="ED565" s="408">
        <v>0</v>
      </c>
      <c r="EE565" s="408">
        <v>0</v>
      </c>
      <c r="EF565" s="408">
        <v>0</v>
      </c>
      <c r="EG565" s="408">
        <v>0</v>
      </c>
      <c r="EH565" s="408">
        <v>0</v>
      </c>
      <c r="EI565" s="408">
        <v>0</v>
      </c>
      <c r="EJ565" s="408">
        <v>0</v>
      </c>
      <c r="EK565" s="408">
        <v>0</v>
      </c>
      <c r="EL565" s="408">
        <v>0</v>
      </c>
      <c r="EM565" s="408">
        <v>0</v>
      </c>
      <c r="EN565" s="408">
        <v>0</v>
      </c>
      <c r="EO565" s="408">
        <v>0</v>
      </c>
      <c r="EP565" s="408">
        <v>0</v>
      </c>
      <c r="EQ565" s="408">
        <v>0</v>
      </c>
      <c r="ER565" s="408">
        <v>0</v>
      </c>
      <c r="ES565" s="408">
        <v>0</v>
      </c>
      <c r="ET565" s="408">
        <v>0</v>
      </c>
      <c r="EU565" s="408">
        <v>0</v>
      </c>
      <c r="EV565" s="408">
        <v>238</v>
      </c>
      <c r="EW565" s="408">
        <v>0</v>
      </c>
      <c r="EX565" s="408">
        <v>0</v>
      </c>
      <c r="EY565" s="408">
        <v>0</v>
      </c>
      <c r="EZ565" s="408"/>
      <c r="FA565" s="408">
        <v>0</v>
      </c>
      <c r="FB565" s="408"/>
      <c r="FC565" s="408"/>
      <c r="FD565" s="408"/>
      <c r="FE565" s="408"/>
      <c r="FF565" s="408">
        <v>0</v>
      </c>
      <c r="FG565" s="408">
        <v>0</v>
      </c>
      <c r="FH565" s="408">
        <v>0</v>
      </c>
      <c r="FI565" s="408">
        <v>0</v>
      </c>
    </row>
    <row r="566" spans="1:165">
      <c r="A566" s="408">
        <v>570</v>
      </c>
      <c r="B566" s="408" t="s">
        <v>2238</v>
      </c>
      <c r="C566" s="408" t="s">
        <v>2243</v>
      </c>
      <c r="D566" s="408" t="s">
        <v>597</v>
      </c>
      <c r="E566" s="408" t="s">
        <v>974</v>
      </c>
      <c r="F566" s="408" t="s">
        <v>1322</v>
      </c>
      <c r="G566" s="408" t="s">
        <v>1322</v>
      </c>
      <c r="H566" s="408" t="s">
        <v>1322</v>
      </c>
      <c r="I566" s="408" t="s">
        <v>2244</v>
      </c>
      <c r="J566" s="408" t="s">
        <v>2236</v>
      </c>
      <c r="K566" s="824">
        <v>44652</v>
      </c>
      <c r="L566" s="408">
        <v>0</v>
      </c>
      <c r="M566" s="408">
        <v>0</v>
      </c>
      <c r="N566" s="408">
        <v>12.613</v>
      </c>
      <c r="O566" s="408">
        <v>12.10848</v>
      </c>
      <c r="P566" s="408">
        <v>12.613</v>
      </c>
      <c r="Q566" s="408">
        <v>12.10848</v>
      </c>
      <c r="R566" s="408"/>
      <c r="S566" s="408">
        <v>79.7</v>
      </c>
      <c r="T566" s="408">
        <v>209.4</v>
      </c>
      <c r="U566" s="408"/>
      <c r="V566" s="408">
        <v>3646.4182999999998</v>
      </c>
      <c r="W566" s="408">
        <v>3646.4182999999998</v>
      </c>
      <c r="X566" s="408">
        <v>3941.8147600000002</v>
      </c>
      <c r="Y566" s="408">
        <v>0</v>
      </c>
      <c r="Z566" s="408">
        <v>675.27453549289714</v>
      </c>
      <c r="AA566" s="408">
        <v>0</v>
      </c>
      <c r="AB566" s="408">
        <v>0</v>
      </c>
      <c r="AC566" s="408">
        <v>0</v>
      </c>
      <c r="AD566" s="408">
        <v>0</v>
      </c>
      <c r="AE566" s="408">
        <v>0</v>
      </c>
      <c r="AF566" s="408">
        <v>2606.4858566621983</v>
      </c>
      <c r="AG566" s="408">
        <v>34.723147093302487</v>
      </c>
      <c r="AH566" s="408">
        <v>0</v>
      </c>
      <c r="AI566" s="408">
        <v>0</v>
      </c>
      <c r="AJ566" s="408">
        <v>0</v>
      </c>
      <c r="AK566" s="408">
        <v>0</v>
      </c>
      <c r="AL566" s="408">
        <v>119.94460554995683</v>
      </c>
      <c r="AM566" s="408"/>
      <c r="AN566" s="408">
        <v>16.748100263212915</v>
      </c>
      <c r="AO566" s="408">
        <v>0</v>
      </c>
      <c r="AP566" s="408">
        <v>0</v>
      </c>
      <c r="AQ566" s="408">
        <v>0</v>
      </c>
      <c r="AR566" s="408">
        <v>0</v>
      </c>
      <c r="AS566" s="408">
        <v>0</v>
      </c>
      <c r="AT566" s="408">
        <v>0</v>
      </c>
      <c r="AU566" s="408">
        <v>0</v>
      </c>
      <c r="AV566" s="408">
        <v>0</v>
      </c>
      <c r="AW566" s="408">
        <v>0</v>
      </c>
      <c r="AX566" s="408">
        <v>0</v>
      </c>
      <c r="AY566" s="408">
        <v>0</v>
      </c>
      <c r="AZ566" s="408">
        <v>0</v>
      </c>
      <c r="BA566" s="408"/>
      <c r="BB566" s="408">
        <v>0</v>
      </c>
      <c r="BC566" s="408">
        <v>0</v>
      </c>
      <c r="BD566" s="408">
        <v>0</v>
      </c>
      <c r="BE566" s="408">
        <v>0</v>
      </c>
      <c r="BF566" s="408">
        <v>0</v>
      </c>
      <c r="BG566" s="408">
        <v>193.28711582407541</v>
      </c>
      <c r="BH566" s="408">
        <v>0</v>
      </c>
      <c r="BI566" s="408">
        <v>0</v>
      </c>
      <c r="BJ566" s="408">
        <v>0</v>
      </c>
      <c r="BK566" s="408">
        <v>0</v>
      </c>
      <c r="BL566" s="408">
        <v>0</v>
      </c>
      <c r="BM566" s="408"/>
      <c r="BN566" s="408"/>
      <c r="BO566" s="408"/>
      <c r="BP566" s="408"/>
      <c r="BQ566" s="408"/>
      <c r="BR566" s="408">
        <v>157.67259039999982</v>
      </c>
      <c r="BS566" s="408"/>
      <c r="BT566" s="408"/>
      <c r="BU566" s="408"/>
      <c r="BV566" s="408">
        <v>2799.7729724862738</v>
      </c>
      <c r="BW566" s="408"/>
      <c r="BX566" s="408"/>
      <c r="BY566" s="408"/>
      <c r="BZ566" s="408"/>
      <c r="CA566" s="408"/>
      <c r="CB566" s="408"/>
      <c r="CC566" s="408"/>
      <c r="CD566" s="408"/>
      <c r="CE566" s="408"/>
      <c r="CF566" s="408"/>
      <c r="CG566" s="408"/>
      <c r="CH566" s="408"/>
      <c r="CI566" s="408">
        <v>3784.6171999999997</v>
      </c>
      <c r="CJ566" s="408">
        <v>284.0256319999994</v>
      </c>
      <c r="CK566" s="408"/>
      <c r="CL566" s="408"/>
      <c r="CM566" s="408"/>
      <c r="CN566" s="408"/>
      <c r="CO566" s="408">
        <v>7.4416700000000429</v>
      </c>
      <c r="CP566" s="408">
        <v>287.95478999999978</v>
      </c>
      <c r="CQ566" s="408">
        <v>30</v>
      </c>
      <c r="CR566" s="408">
        <v>295.29813026857028</v>
      </c>
      <c r="CS566" s="408">
        <v>0</v>
      </c>
      <c r="CT566" s="408">
        <v>0</v>
      </c>
      <c r="CU566" s="408">
        <v>0</v>
      </c>
      <c r="CV566" s="408">
        <v>0</v>
      </c>
      <c r="CW566" s="408">
        <v>0</v>
      </c>
      <c r="CX566" s="408">
        <v>0</v>
      </c>
      <c r="CY566" s="408">
        <v>0</v>
      </c>
      <c r="CZ566" s="408">
        <v>0</v>
      </c>
      <c r="DA566" s="408">
        <v>0</v>
      </c>
      <c r="DB566" s="408">
        <v>0</v>
      </c>
      <c r="DC566" s="408">
        <v>287.86756008577822</v>
      </c>
      <c r="DD566" s="408">
        <v>0</v>
      </c>
      <c r="DE566" s="408">
        <v>0</v>
      </c>
      <c r="DF566" s="408">
        <v>0</v>
      </c>
      <c r="DG566" s="408">
        <v>21.347167599653005</v>
      </c>
      <c r="DH566" s="408">
        <v>0</v>
      </c>
      <c r="DI566" s="408">
        <v>-11.771468650029533</v>
      </c>
      <c r="DJ566" s="408"/>
      <c r="DK566" s="408">
        <v>0</v>
      </c>
      <c r="DL566" s="408">
        <v>0</v>
      </c>
      <c r="DM566" s="408">
        <v>0</v>
      </c>
      <c r="DN566" s="408">
        <v>0</v>
      </c>
      <c r="DO566" s="408">
        <v>-1.7579047878671759</v>
      </c>
      <c r="DP566" s="408">
        <v>-0.38722397896393801</v>
      </c>
      <c r="DQ566" s="408">
        <v>0</v>
      </c>
      <c r="DR566" s="408">
        <v>0</v>
      </c>
      <c r="DS566" s="408"/>
      <c r="DT566" s="408"/>
      <c r="DU566" s="408"/>
      <c r="DV566" s="408">
        <v>0</v>
      </c>
      <c r="DW566" s="408">
        <v>0</v>
      </c>
      <c r="DX566" s="408">
        <v>0</v>
      </c>
      <c r="DY566" s="408">
        <v>7.4416700000000446</v>
      </c>
      <c r="DZ566" s="408">
        <v>287.95479000000023</v>
      </c>
      <c r="EA566" s="408">
        <v>0</v>
      </c>
      <c r="EB566" s="408">
        <v>0</v>
      </c>
      <c r="EC566" s="408">
        <v>0</v>
      </c>
      <c r="ED566" s="408">
        <v>0</v>
      </c>
      <c r="EE566" s="408">
        <v>0</v>
      </c>
      <c r="EF566" s="408">
        <v>0</v>
      </c>
      <c r="EG566" s="408">
        <v>0</v>
      </c>
      <c r="EH566" s="408">
        <v>0</v>
      </c>
      <c r="EI566" s="408">
        <v>0</v>
      </c>
      <c r="EJ566" s="408">
        <v>0</v>
      </c>
      <c r="EK566" s="408">
        <v>0</v>
      </c>
      <c r="EL566" s="408">
        <v>0</v>
      </c>
      <c r="EM566" s="408">
        <v>0</v>
      </c>
      <c r="EN566" s="408">
        <v>0</v>
      </c>
      <c r="EO566" s="408">
        <v>0</v>
      </c>
      <c r="EP566" s="408">
        <v>0</v>
      </c>
      <c r="EQ566" s="408">
        <v>0</v>
      </c>
      <c r="ER566" s="408">
        <v>0</v>
      </c>
      <c r="ES566" s="408">
        <v>0</v>
      </c>
      <c r="ET566" s="408">
        <v>0</v>
      </c>
      <c r="EU566" s="408">
        <v>0</v>
      </c>
      <c r="EV566" s="408">
        <v>238</v>
      </c>
      <c r="EW566" s="408">
        <v>0</v>
      </c>
      <c r="EX566" s="408">
        <v>0</v>
      </c>
      <c r="EY566" s="408">
        <v>0</v>
      </c>
      <c r="EZ566" s="408"/>
      <c r="FA566" s="408">
        <v>0</v>
      </c>
      <c r="FB566" s="408"/>
      <c r="FC566" s="408"/>
      <c r="FD566" s="408"/>
      <c r="FE566" s="408"/>
      <c r="FF566" s="408">
        <v>0</v>
      </c>
      <c r="FG566" s="408">
        <v>0</v>
      </c>
      <c r="FH566" s="408">
        <v>0</v>
      </c>
      <c r="FI566" s="408">
        <v>0</v>
      </c>
    </row>
    <row r="567" spans="1:165">
      <c r="A567" s="408">
        <v>571</v>
      </c>
      <c r="B567" s="408" t="s">
        <v>1036</v>
      </c>
      <c r="C567" s="408" t="s">
        <v>2243</v>
      </c>
      <c r="D567" s="408" t="s">
        <v>597</v>
      </c>
      <c r="E567" s="408" t="s">
        <v>974</v>
      </c>
      <c r="F567" s="408" t="s">
        <v>1322</v>
      </c>
      <c r="G567" s="408" t="s">
        <v>1322</v>
      </c>
      <c r="H567" s="408" t="s">
        <v>1322</v>
      </c>
      <c r="I567" s="408" t="s">
        <v>1322</v>
      </c>
      <c r="J567" s="408" t="s">
        <v>2236</v>
      </c>
      <c r="K567" s="824">
        <v>44652</v>
      </c>
      <c r="L567" s="408">
        <v>2343</v>
      </c>
      <c r="M567" s="408">
        <v>2249.2800000000002</v>
      </c>
      <c r="N567" s="408">
        <v>0</v>
      </c>
      <c r="O567" s="408">
        <v>0</v>
      </c>
      <c r="P567" s="408">
        <v>0</v>
      </c>
      <c r="Q567" s="408">
        <v>0</v>
      </c>
      <c r="R567" s="408">
        <v>44.35</v>
      </c>
      <c r="S567" s="408"/>
      <c r="T567" s="408"/>
      <c r="U567" s="408">
        <v>103912.05</v>
      </c>
      <c r="V567" s="408"/>
      <c r="W567" s="408">
        <v>103912.05</v>
      </c>
      <c r="X567" s="408">
        <v>67876.709999999992</v>
      </c>
      <c r="Y567" s="408">
        <v>0</v>
      </c>
      <c r="Z567" s="408">
        <v>0</v>
      </c>
      <c r="AA567" s="408">
        <v>0</v>
      </c>
      <c r="AB567" s="408">
        <v>0</v>
      </c>
      <c r="AC567" s="408">
        <v>0</v>
      </c>
      <c r="AD567" s="408">
        <v>30744.995221183857</v>
      </c>
      <c r="AE567" s="408">
        <v>67285.913847502874</v>
      </c>
      <c r="AF567" s="408"/>
      <c r="AG567" s="408"/>
      <c r="AH567" s="408"/>
      <c r="AI567" s="408">
        <v>0</v>
      </c>
      <c r="AJ567" s="408">
        <v>0</v>
      </c>
      <c r="AK567" s="408">
        <v>0</v>
      </c>
      <c r="AL567" s="408">
        <v>0</v>
      </c>
      <c r="AM567" s="408"/>
      <c r="AN567" s="408">
        <v>0</v>
      </c>
      <c r="AO567" s="408">
        <v>2323.6015805616457</v>
      </c>
      <c r="AP567" s="408">
        <v>3555.0137347552954</v>
      </c>
      <c r="AQ567" s="408">
        <v>0</v>
      </c>
      <c r="AR567" s="408">
        <v>0</v>
      </c>
      <c r="AS567" s="408"/>
      <c r="AT567" s="408"/>
      <c r="AU567" s="408">
        <v>0</v>
      </c>
      <c r="AV567" s="408">
        <v>0</v>
      </c>
      <c r="AW567" s="408">
        <v>0</v>
      </c>
      <c r="AX567" s="408"/>
      <c r="AY567" s="408"/>
      <c r="AZ567" s="408">
        <v>0</v>
      </c>
      <c r="BA567" s="408"/>
      <c r="BB567" s="408">
        <v>0</v>
      </c>
      <c r="BC567" s="408">
        <v>0</v>
      </c>
      <c r="BD567" s="408">
        <v>0</v>
      </c>
      <c r="BE567" s="408">
        <v>0</v>
      </c>
      <c r="BF567" s="408"/>
      <c r="BG567" s="408">
        <v>0</v>
      </c>
      <c r="BH567" s="408">
        <v>0</v>
      </c>
      <c r="BI567" s="408">
        <v>552.04</v>
      </c>
      <c r="BJ567" s="408">
        <v>2583.96</v>
      </c>
      <c r="BK567" s="408">
        <v>107.48</v>
      </c>
      <c r="BL567" s="408">
        <v>15</v>
      </c>
      <c r="BM567" s="408"/>
      <c r="BN567" s="408"/>
      <c r="BO567" s="408"/>
      <c r="BP567" s="408"/>
      <c r="BQ567" s="408"/>
      <c r="BR567" s="408">
        <v>2715.0683999999942</v>
      </c>
      <c r="BS567" s="408"/>
      <c r="BT567" s="408"/>
      <c r="BU567" s="408"/>
      <c r="BV567" s="408">
        <v>0</v>
      </c>
      <c r="BW567" s="408"/>
      <c r="BX567" s="408"/>
      <c r="BY567" s="408"/>
      <c r="BZ567" s="408"/>
      <c r="CA567" s="408"/>
      <c r="CB567" s="408"/>
      <c r="CC567" s="408"/>
      <c r="CD567" s="408"/>
      <c r="CE567" s="408"/>
      <c r="CF567" s="408"/>
      <c r="CG567" s="408"/>
      <c r="CH567" s="408"/>
      <c r="CI567" s="408">
        <v>65161.641600000003</v>
      </c>
      <c r="CJ567" s="408">
        <v>-34593.956399999995</v>
      </c>
      <c r="CK567" s="408"/>
      <c r="CL567" s="408"/>
      <c r="CM567" s="408"/>
      <c r="CN567" s="408"/>
      <c r="CO567" s="408">
        <v>-36035.340000000004</v>
      </c>
      <c r="CP567" s="408">
        <v>0</v>
      </c>
      <c r="CQ567" s="408">
        <v>30</v>
      </c>
      <c r="CR567" s="408">
        <v>1717.6330542868673</v>
      </c>
      <c r="CS567" s="408">
        <v>280.53313689637253</v>
      </c>
      <c r="CT567" s="408">
        <v>429.20402665569827</v>
      </c>
      <c r="CU567" s="408">
        <v>0</v>
      </c>
      <c r="CV567" s="408">
        <v>0</v>
      </c>
      <c r="CW567" s="408"/>
      <c r="CX567" s="408"/>
      <c r="CY567" s="408"/>
      <c r="CZ567" s="408">
        <v>1007.8958907347951</v>
      </c>
      <c r="DA567" s="408">
        <v>0</v>
      </c>
      <c r="DB567" s="408">
        <v>0</v>
      </c>
      <c r="DC567" s="408"/>
      <c r="DD567" s="408"/>
      <c r="DE567" s="408">
        <v>0</v>
      </c>
      <c r="DF567" s="408">
        <v>0</v>
      </c>
      <c r="DG567" s="408">
        <v>0</v>
      </c>
      <c r="DH567" s="408">
        <v>0</v>
      </c>
      <c r="DI567" s="408">
        <v>0</v>
      </c>
      <c r="DJ567" s="408"/>
      <c r="DK567" s="408">
        <v>0</v>
      </c>
      <c r="DL567" s="408">
        <v>0</v>
      </c>
      <c r="DM567" s="408"/>
      <c r="DN567" s="408">
        <v>0</v>
      </c>
      <c r="DO567" s="408">
        <v>0</v>
      </c>
      <c r="DP567" s="408">
        <v>0</v>
      </c>
      <c r="DQ567" s="408">
        <v>0</v>
      </c>
      <c r="DR567" s="408">
        <v>0</v>
      </c>
      <c r="DS567" s="408"/>
      <c r="DT567" s="408"/>
      <c r="DU567" s="408">
        <v>67285.913847502874</v>
      </c>
      <c r="DV567" s="408"/>
      <c r="DW567" s="408">
        <v>0</v>
      </c>
      <c r="DX567" s="408">
        <v>0</v>
      </c>
      <c r="DY567" s="408">
        <v>-36035.340000000011</v>
      </c>
      <c r="DZ567" s="408"/>
      <c r="EA567" s="408">
        <v>0</v>
      </c>
      <c r="EB567" s="408"/>
      <c r="EC567" s="408">
        <v>-37746.704569392183</v>
      </c>
      <c r="ED567" s="408"/>
      <c r="EE567" s="408">
        <v>0</v>
      </c>
      <c r="EF567" s="408">
        <v>0</v>
      </c>
      <c r="EG567" s="408"/>
      <c r="EH567" s="408">
        <v>0</v>
      </c>
      <c r="EI567" s="408">
        <v>0</v>
      </c>
      <c r="EJ567" s="408">
        <v>0</v>
      </c>
      <c r="EK567" s="408">
        <v>0</v>
      </c>
      <c r="EL567" s="408">
        <v>0</v>
      </c>
      <c r="EM567" s="408"/>
      <c r="EN567" s="408"/>
      <c r="EO567" s="408">
        <v>0</v>
      </c>
      <c r="EP567" s="408">
        <v>0</v>
      </c>
      <c r="EQ567" s="408"/>
      <c r="ER567" s="408">
        <v>0</v>
      </c>
      <c r="ES567" s="408"/>
      <c r="ET567" s="408">
        <v>0</v>
      </c>
      <c r="EU567" s="408"/>
      <c r="EV567" s="408">
        <v>238</v>
      </c>
      <c r="EW567" s="408"/>
      <c r="EX567" s="408"/>
      <c r="EY567" s="408"/>
      <c r="EZ567" s="408"/>
      <c r="FA567" s="408">
        <v>0</v>
      </c>
      <c r="FB567" s="408"/>
      <c r="FC567" s="408"/>
      <c r="FD567" s="408"/>
      <c r="FE567" s="408"/>
      <c r="FF567" s="408">
        <v>0</v>
      </c>
      <c r="FG567" s="408">
        <v>0</v>
      </c>
      <c r="FH567" s="408">
        <v>0</v>
      </c>
      <c r="FI567" s="408">
        <v>0</v>
      </c>
    </row>
    <row r="568" spans="1:165">
      <c r="A568" s="408">
        <v>572</v>
      </c>
      <c r="B568" s="408" t="s">
        <v>2238</v>
      </c>
      <c r="C568" s="408" t="s">
        <v>2243</v>
      </c>
      <c r="D568" s="408" t="s">
        <v>597</v>
      </c>
      <c r="E568" s="408" t="s">
        <v>974</v>
      </c>
      <c r="F568" s="408" t="s">
        <v>1322</v>
      </c>
      <c r="G568" s="408" t="s">
        <v>1322</v>
      </c>
      <c r="H568" s="408" t="s">
        <v>1322</v>
      </c>
      <c r="I568" s="408" t="s">
        <v>1322</v>
      </c>
      <c r="J568" s="408" t="s">
        <v>2236</v>
      </c>
      <c r="K568" s="824">
        <v>44652</v>
      </c>
      <c r="L568" s="408">
        <v>795</v>
      </c>
      <c r="M568" s="408">
        <v>763.2</v>
      </c>
      <c r="N568" s="408">
        <v>0</v>
      </c>
      <c r="O568" s="408">
        <v>0</v>
      </c>
      <c r="P568" s="408">
        <v>0</v>
      </c>
      <c r="Q568" s="408">
        <v>0</v>
      </c>
      <c r="R568" s="408">
        <v>44.35</v>
      </c>
      <c r="S568" s="408"/>
      <c r="T568" s="408"/>
      <c r="U568" s="408">
        <v>35258.25</v>
      </c>
      <c r="V568" s="408"/>
      <c r="W568" s="408">
        <v>35258.25</v>
      </c>
      <c r="X568" s="408">
        <v>23031.149999999998</v>
      </c>
      <c r="Y568" s="408">
        <v>0</v>
      </c>
      <c r="Z568" s="408">
        <v>0</v>
      </c>
      <c r="AA568" s="408">
        <v>0</v>
      </c>
      <c r="AB568" s="408">
        <v>0</v>
      </c>
      <c r="AC568" s="408">
        <v>0</v>
      </c>
      <c r="AD568" s="408">
        <v>10432.040632027813</v>
      </c>
      <c r="AE568" s="408">
        <v>22830.68779716807</v>
      </c>
      <c r="AF568" s="408"/>
      <c r="AG568" s="408"/>
      <c r="AH568" s="408"/>
      <c r="AI568" s="408">
        <v>0</v>
      </c>
      <c r="AJ568" s="408">
        <v>0</v>
      </c>
      <c r="AK568" s="408">
        <v>0</v>
      </c>
      <c r="AL568" s="408">
        <v>0</v>
      </c>
      <c r="AM568" s="408"/>
      <c r="AN568" s="408">
        <v>0</v>
      </c>
      <c r="AO568" s="408">
        <v>788.41794987046876</v>
      </c>
      <c r="AP568" s="408">
        <v>1206.2466577594791</v>
      </c>
      <c r="AQ568" s="408">
        <v>0</v>
      </c>
      <c r="AR568" s="408">
        <v>0</v>
      </c>
      <c r="AS568" s="408"/>
      <c r="AT568" s="408"/>
      <c r="AU568" s="408">
        <v>0</v>
      </c>
      <c r="AV568" s="408">
        <v>0</v>
      </c>
      <c r="AW568" s="408">
        <v>0</v>
      </c>
      <c r="AX568" s="408"/>
      <c r="AY568" s="408"/>
      <c r="AZ568" s="408">
        <v>0</v>
      </c>
      <c r="BA568" s="408"/>
      <c r="BB568" s="408">
        <v>0</v>
      </c>
      <c r="BC568" s="408">
        <v>0</v>
      </c>
      <c r="BD568" s="408">
        <v>0</v>
      </c>
      <c r="BE568" s="408">
        <v>0</v>
      </c>
      <c r="BF568" s="408"/>
      <c r="BG568" s="408">
        <v>0</v>
      </c>
      <c r="BH568" s="408">
        <v>0</v>
      </c>
      <c r="BI568" s="408">
        <v>87.61</v>
      </c>
      <c r="BJ568" s="408">
        <v>410.24</v>
      </c>
      <c r="BK568" s="408">
        <v>51.12</v>
      </c>
      <c r="BL568" s="408">
        <v>9</v>
      </c>
      <c r="BM568" s="408"/>
      <c r="BN568" s="408"/>
      <c r="BO568" s="408"/>
      <c r="BP568" s="408"/>
      <c r="BQ568" s="408"/>
      <c r="BR568" s="408">
        <v>921.24599999999862</v>
      </c>
      <c r="BS568" s="408"/>
      <c r="BT568" s="408"/>
      <c r="BU568" s="408"/>
      <c r="BV568" s="408">
        <v>0</v>
      </c>
      <c r="BW568" s="408"/>
      <c r="BX568" s="408"/>
      <c r="BY568" s="408"/>
      <c r="BZ568" s="408"/>
      <c r="CA568" s="408"/>
      <c r="CB568" s="408"/>
      <c r="CC568" s="408"/>
      <c r="CD568" s="408"/>
      <c r="CE568" s="408"/>
      <c r="CF568" s="408"/>
      <c r="CG568" s="408"/>
      <c r="CH568" s="408"/>
      <c r="CI568" s="408">
        <v>22109.903999999999</v>
      </c>
      <c r="CJ568" s="408">
        <v>-11738.046000000013</v>
      </c>
      <c r="CK568" s="408"/>
      <c r="CL568" s="408"/>
      <c r="CM568" s="408"/>
      <c r="CN568" s="408"/>
      <c r="CO568" s="408">
        <v>-12227.100000000002</v>
      </c>
      <c r="CP568" s="408">
        <v>0</v>
      </c>
      <c r="CQ568" s="408">
        <v>30</v>
      </c>
      <c r="CR568" s="408">
        <v>582.80763045585263</v>
      </c>
      <c r="CS568" s="408">
        <v>95.18729997124035</v>
      </c>
      <c r="CT568" s="408">
        <v>145.63260827626141</v>
      </c>
      <c r="CU568" s="408">
        <v>0</v>
      </c>
      <c r="CV568" s="408">
        <v>0</v>
      </c>
      <c r="CW568" s="408"/>
      <c r="CX568" s="408"/>
      <c r="CY568" s="408"/>
      <c r="CZ568" s="408">
        <v>341.98772220835053</v>
      </c>
      <c r="DA568" s="408">
        <v>0</v>
      </c>
      <c r="DB568" s="408">
        <v>0</v>
      </c>
      <c r="DC568" s="408"/>
      <c r="DD568" s="408"/>
      <c r="DE568" s="408">
        <v>0</v>
      </c>
      <c r="DF568" s="408">
        <v>0</v>
      </c>
      <c r="DG568" s="408">
        <v>0</v>
      </c>
      <c r="DH568" s="408">
        <v>0</v>
      </c>
      <c r="DI568" s="408">
        <v>0</v>
      </c>
      <c r="DJ568" s="408"/>
      <c r="DK568" s="408">
        <v>0</v>
      </c>
      <c r="DL568" s="408">
        <v>0</v>
      </c>
      <c r="DM568" s="408"/>
      <c r="DN568" s="408">
        <v>0</v>
      </c>
      <c r="DO568" s="408">
        <v>0</v>
      </c>
      <c r="DP568" s="408">
        <v>0</v>
      </c>
      <c r="DQ568" s="408">
        <v>0</v>
      </c>
      <c r="DR568" s="408">
        <v>0</v>
      </c>
      <c r="DS568" s="408"/>
      <c r="DT568" s="408"/>
      <c r="DU568" s="408">
        <v>22830.68779716807</v>
      </c>
      <c r="DV568" s="408"/>
      <c r="DW568" s="408">
        <v>0</v>
      </c>
      <c r="DX568" s="408">
        <v>0</v>
      </c>
      <c r="DY568" s="408">
        <v>-12227.100000000002</v>
      </c>
      <c r="DZ568" s="408"/>
      <c r="EA568" s="408">
        <v>0</v>
      </c>
      <c r="EB568" s="408"/>
      <c r="EC568" s="408">
        <v>-12807.780679755351</v>
      </c>
      <c r="ED568" s="408"/>
      <c r="EE568" s="408">
        <v>0</v>
      </c>
      <c r="EF568" s="408">
        <v>0</v>
      </c>
      <c r="EG568" s="408"/>
      <c r="EH568" s="408">
        <v>0</v>
      </c>
      <c r="EI568" s="408">
        <v>0</v>
      </c>
      <c r="EJ568" s="408">
        <v>0</v>
      </c>
      <c r="EK568" s="408">
        <v>0</v>
      </c>
      <c r="EL568" s="408">
        <v>0</v>
      </c>
      <c r="EM568" s="408"/>
      <c r="EN568" s="408"/>
      <c r="EO568" s="408">
        <v>0</v>
      </c>
      <c r="EP568" s="408">
        <v>0</v>
      </c>
      <c r="EQ568" s="408"/>
      <c r="ER568" s="408">
        <v>0</v>
      </c>
      <c r="ES568" s="408"/>
      <c r="ET568" s="408">
        <v>0</v>
      </c>
      <c r="EU568" s="408"/>
      <c r="EV568" s="408">
        <v>238</v>
      </c>
      <c r="EW568" s="408"/>
      <c r="EX568" s="408"/>
      <c r="EY568" s="408"/>
      <c r="EZ568" s="408"/>
      <c r="FA568" s="408">
        <v>0</v>
      </c>
      <c r="FB568" s="408"/>
      <c r="FC568" s="408"/>
      <c r="FD568" s="408"/>
      <c r="FE568" s="408"/>
      <c r="FF568" s="408">
        <v>0</v>
      </c>
      <c r="FG568" s="408">
        <v>0</v>
      </c>
      <c r="FH568" s="408">
        <v>0</v>
      </c>
      <c r="FI568" s="408">
        <v>0</v>
      </c>
    </row>
    <row r="569" spans="1:165">
      <c r="A569" s="408">
        <v>573</v>
      </c>
      <c r="B569" s="408" t="s">
        <v>1036</v>
      </c>
      <c r="C569" s="408" t="s">
        <v>2235</v>
      </c>
      <c r="D569" s="408" t="s">
        <v>1958</v>
      </c>
      <c r="E569" s="408" t="s">
        <v>2246</v>
      </c>
      <c r="F569" s="408" t="s">
        <v>1322</v>
      </c>
      <c r="G569" s="408" t="s">
        <v>1322</v>
      </c>
      <c r="H569" s="408" t="s">
        <v>1322</v>
      </c>
      <c r="I569" s="408" t="s">
        <v>1322</v>
      </c>
      <c r="J569" s="408" t="s">
        <v>2236</v>
      </c>
      <c r="K569" s="824">
        <v>44652</v>
      </c>
      <c r="L569" s="408">
        <v>0</v>
      </c>
      <c r="M569" s="408">
        <v>0</v>
      </c>
      <c r="N569" s="408">
        <v>277.18700000000001</v>
      </c>
      <c r="O569" s="408">
        <v>277.18700000000001</v>
      </c>
      <c r="P569" s="408">
        <v>277.18700000000001</v>
      </c>
      <c r="Q569" s="408">
        <v>277.18700000000001</v>
      </c>
      <c r="R569" s="408"/>
      <c r="S569" s="408">
        <v>581.32000000000005</v>
      </c>
      <c r="T569" s="408">
        <v>209.4</v>
      </c>
      <c r="U569" s="408"/>
      <c r="V569" s="408">
        <v>219177.30464000002</v>
      </c>
      <c r="W569" s="408">
        <v>219177.30464000002</v>
      </c>
      <c r="X569" s="408">
        <v>167440.35108999998</v>
      </c>
      <c r="Y569" s="408">
        <v>0</v>
      </c>
      <c r="Z569" s="408">
        <v>17057.507959737723</v>
      </c>
      <c r="AA569" s="408">
        <v>0</v>
      </c>
      <c r="AB569" s="408">
        <v>0</v>
      </c>
      <c r="AC569" s="408">
        <v>0</v>
      </c>
      <c r="AD569" s="408">
        <v>20564.820852517434</v>
      </c>
      <c r="AE569" s="408">
        <v>106829.34218679827</v>
      </c>
      <c r="AF569" s="408">
        <v>57280.900273576852</v>
      </c>
      <c r="AG569" s="408">
        <v>763.08609952836264</v>
      </c>
      <c r="AH569" s="408">
        <v>0</v>
      </c>
      <c r="AI569" s="408">
        <v>0</v>
      </c>
      <c r="AJ569" s="408">
        <v>0</v>
      </c>
      <c r="AK569" s="408">
        <v>0</v>
      </c>
      <c r="AL569" s="408">
        <v>2635.9379512071582</v>
      </c>
      <c r="AM569" s="408"/>
      <c r="AN569" s="408">
        <v>505.302009811657</v>
      </c>
      <c r="AO569" s="408">
        <v>1579.8219775966118</v>
      </c>
      <c r="AP569" s="408">
        <v>2379.7030523517528</v>
      </c>
      <c r="AQ569" s="408">
        <v>0</v>
      </c>
      <c r="AR569" s="408">
        <v>0</v>
      </c>
      <c r="AS569" s="408">
        <v>0</v>
      </c>
      <c r="AT569" s="408">
        <v>0</v>
      </c>
      <c r="AU569" s="408">
        <v>0</v>
      </c>
      <c r="AV569" s="408">
        <v>0</v>
      </c>
      <c r="AW569" s="408">
        <v>0</v>
      </c>
      <c r="AX569" s="408">
        <v>0</v>
      </c>
      <c r="AY569" s="408">
        <v>0</v>
      </c>
      <c r="AZ569" s="408">
        <v>0</v>
      </c>
      <c r="BA569" s="408"/>
      <c r="BB569" s="408">
        <v>0</v>
      </c>
      <c r="BC569" s="408">
        <v>0</v>
      </c>
      <c r="BD569" s="408">
        <v>0</v>
      </c>
      <c r="BE569" s="408">
        <v>0</v>
      </c>
      <c r="BF569" s="408">
        <v>0</v>
      </c>
      <c r="BG569" s="408">
        <v>9582.9875347171164</v>
      </c>
      <c r="BH569" s="408">
        <v>0</v>
      </c>
      <c r="BI569" s="408">
        <v>514.1</v>
      </c>
      <c r="BJ569" s="408">
        <v>2417.52</v>
      </c>
      <c r="BK569" s="408">
        <v>59396.77</v>
      </c>
      <c r="BL569" s="408">
        <v>482</v>
      </c>
      <c r="BM569" s="408"/>
      <c r="BN569" s="408"/>
      <c r="BO569" s="408"/>
      <c r="BP569" s="408"/>
      <c r="BQ569" s="408"/>
      <c r="BR569" s="408"/>
      <c r="BS569" s="408"/>
      <c r="BT569" s="408"/>
      <c r="BU569" s="408"/>
      <c r="BV569" s="408">
        <v>66863.887808293963</v>
      </c>
      <c r="BW569" s="408"/>
      <c r="BX569" s="408"/>
      <c r="BY569" s="408"/>
      <c r="BZ569" s="408"/>
      <c r="CA569" s="408"/>
      <c r="CB569" s="408"/>
      <c r="CC569" s="408"/>
      <c r="CD569" s="408"/>
      <c r="CE569" s="408"/>
      <c r="CF569" s="408"/>
      <c r="CG569" s="408"/>
      <c r="CH569" s="408"/>
      <c r="CI569" s="408">
        <v>167442.16329999999</v>
      </c>
      <c r="CJ569" s="408">
        <v>-51735.171340000059</v>
      </c>
      <c r="CK569" s="408"/>
      <c r="CL569" s="408"/>
      <c r="CM569" s="408"/>
      <c r="CN569" s="408"/>
      <c r="CO569" s="408">
        <v>-58065.132760000022</v>
      </c>
      <c r="CP569" s="408">
        <v>6328.1792099999957</v>
      </c>
      <c r="CQ569" s="408">
        <v>30</v>
      </c>
      <c r="CR569" s="408">
        <v>8189.1768902431504</v>
      </c>
      <c r="CS569" s="408">
        <v>190.7351151852331</v>
      </c>
      <c r="CT569" s="408">
        <v>287.30638149968308</v>
      </c>
      <c r="CU569" s="408">
        <v>0</v>
      </c>
      <c r="CV569" s="408">
        <v>0</v>
      </c>
      <c r="CW569" s="408">
        <v>0</v>
      </c>
      <c r="CX569" s="408">
        <v>0</v>
      </c>
      <c r="CY569" s="408">
        <v>0</v>
      </c>
      <c r="CZ569" s="408">
        <v>674.16495861629664</v>
      </c>
      <c r="DA569" s="408">
        <v>0</v>
      </c>
      <c r="DB569" s="408">
        <v>0</v>
      </c>
      <c r="DC569" s="408">
        <v>6326.2622197333476</v>
      </c>
      <c r="DD569" s="408">
        <v>0</v>
      </c>
      <c r="DE569" s="408">
        <v>0</v>
      </c>
      <c r="DF569" s="408">
        <v>0</v>
      </c>
      <c r="DG569" s="408">
        <v>1058.3718430315876</v>
      </c>
      <c r="DH569" s="408">
        <v>0</v>
      </c>
      <c r="DI569" s="408">
        <v>-297.34857401235786</v>
      </c>
      <c r="DJ569" s="408"/>
      <c r="DK569" s="408">
        <v>0</v>
      </c>
      <c r="DL569" s="408">
        <v>0</v>
      </c>
      <c r="DM569" s="408">
        <v>0</v>
      </c>
      <c r="DN569" s="408">
        <v>0</v>
      </c>
      <c r="DO569" s="408">
        <v>-38.63223296872593</v>
      </c>
      <c r="DP569" s="408">
        <v>-11.682820841923956</v>
      </c>
      <c r="DQ569" s="408">
        <v>0</v>
      </c>
      <c r="DR569" s="408">
        <v>0</v>
      </c>
      <c r="DS569" s="408"/>
      <c r="DT569" s="408"/>
      <c r="DU569" s="408"/>
      <c r="DV569" s="408">
        <v>106829.34218679827</v>
      </c>
      <c r="DW569" s="408">
        <v>0</v>
      </c>
      <c r="DX569" s="408">
        <v>0</v>
      </c>
      <c r="DY569" s="408">
        <v>-58065.132760000022</v>
      </c>
      <c r="DZ569" s="408">
        <v>6328.1792099999948</v>
      </c>
      <c r="EA569" s="408">
        <v>0</v>
      </c>
      <c r="EB569" s="408">
        <v>0</v>
      </c>
      <c r="EC569" s="408">
        <v>-59930.160538604767</v>
      </c>
      <c r="ED569" s="408">
        <v>0</v>
      </c>
      <c r="EE569" s="408">
        <v>0</v>
      </c>
      <c r="EF569" s="408">
        <v>0</v>
      </c>
      <c r="EG569" s="408">
        <v>0</v>
      </c>
      <c r="EH569" s="408">
        <v>0</v>
      </c>
      <c r="EI569" s="408">
        <v>0</v>
      </c>
      <c r="EJ569" s="408">
        <v>0</v>
      </c>
      <c r="EK569" s="408">
        <v>0</v>
      </c>
      <c r="EL569" s="408">
        <v>0</v>
      </c>
      <c r="EM569" s="408">
        <v>0</v>
      </c>
      <c r="EN569" s="408">
        <v>0</v>
      </c>
      <c r="EO569" s="408">
        <v>0</v>
      </c>
      <c r="EP569" s="408">
        <v>0</v>
      </c>
      <c r="EQ569" s="408">
        <v>0</v>
      </c>
      <c r="ER569" s="408">
        <v>0</v>
      </c>
      <c r="ES569" s="408">
        <v>0</v>
      </c>
      <c r="ET569" s="408">
        <v>0</v>
      </c>
      <c r="EU569" s="408">
        <v>0</v>
      </c>
      <c r="EV569" s="408">
        <v>238</v>
      </c>
      <c r="EW569" s="408">
        <v>0</v>
      </c>
      <c r="EX569" s="408">
        <v>0</v>
      </c>
      <c r="EY569" s="408">
        <v>0</v>
      </c>
      <c r="EZ569" s="408"/>
      <c r="FA569" s="408">
        <v>0</v>
      </c>
      <c r="FB569" s="408"/>
      <c r="FC569" s="408"/>
      <c r="FD569" s="408"/>
      <c r="FE569" s="408"/>
      <c r="FF569" s="408">
        <v>0</v>
      </c>
      <c r="FG569" s="408">
        <v>0</v>
      </c>
      <c r="FH569" s="408">
        <v>0</v>
      </c>
      <c r="FI569" s="408">
        <v>0</v>
      </c>
    </row>
    <row r="570" spans="1:165">
      <c r="A570" s="408">
        <v>574</v>
      </c>
      <c r="B570" s="408" t="s">
        <v>2238</v>
      </c>
      <c r="C570" s="408" t="s">
        <v>2235</v>
      </c>
      <c r="D570" s="408" t="s">
        <v>1958</v>
      </c>
      <c r="E570" s="408" t="s">
        <v>2246</v>
      </c>
      <c r="F570" s="408" t="s">
        <v>1322</v>
      </c>
      <c r="G570" s="408" t="s">
        <v>1322</v>
      </c>
      <c r="H570" s="408" t="s">
        <v>1322</v>
      </c>
      <c r="I570" s="408" t="s">
        <v>1322</v>
      </c>
      <c r="J570" s="408" t="s">
        <v>2236</v>
      </c>
      <c r="K570" s="824">
        <v>44652</v>
      </c>
      <c r="L570" s="408">
        <v>0</v>
      </c>
      <c r="M570" s="408">
        <v>0</v>
      </c>
      <c r="N570" s="408">
        <v>3.8149999999999999</v>
      </c>
      <c r="O570" s="408">
        <v>3.8149999999999999</v>
      </c>
      <c r="P570" s="408">
        <v>3.8149999999999999</v>
      </c>
      <c r="Q570" s="408">
        <v>3.8149999999999999</v>
      </c>
      <c r="R570" s="408"/>
      <c r="S570" s="408">
        <v>581.32000000000005</v>
      </c>
      <c r="T570" s="408">
        <v>209.4</v>
      </c>
      <c r="U570" s="408"/>
      <c r="V570" s="408">
        <v>3016.5968000000003</v>
      </c>
      <c r="W570" s="408">
        <v>3016.5968000000003</v>
      </c>
      <c r="X570" s="408">
        <v>2304.5270499999997</v>
      </c>
      <c r="Y570" s="408">
        <v>0</v>
      </c>
      <c r="Z570" s="408">
        <v>234.7671170235235</v>
      </c>
      <c r="AA570" s="408">
        <v>0</v>
      </c>
      <c r="AB570" s="408">
        <v>0</v>
      </c>
      <c r="AC570" s="408">
        <v>0</v>
      </c>
      <c r="AD570" s="408">
        <v>283.03921739603231</v>
      </c>
      <c r="AE570" s="408">
        <v>1470.3212648595909</v>
      </c>
      <c r="AF570" s="408">
        <v>788.3725951927604</v>
      </c>
      <c r="AG570" s="408">
        <v>10.502561338376992</v>
      </c>
      <c r="AH570" s="408">
        <v>0</v>
      </c>
      <c r="AI570" s="408">
        <v>0</v>
      </c>
      <c r="AJ570" s="408">
        <v>0</v>
      </c>
      <c r="AK570" s="408">
        <v>0</v>
      </c>
      <c r="AL570" s="408">
        <v>36.279130276150426</v>
      </c>
      <c r="AM570" s="408"/>
      <c r="AN570" s="408">
        <v>6.9546088648871391</v>
      </c>
      <c r="AO570" s="408">
        <v>21.743519156854664</v>
      </c>
      <c r="AP570" s="408">
        <v>32.752499737440559</v>
      </c>
      <c r="AQ570" s="408">
        <v>0</v>
      </c>
      <c r="AR570" s="408">
        <v>0</v>
      </c>
      <c r="AS570" s="408">
        <v>0</v>
      </c>
      <c r="AT570" s="408">
        <v>0</v>
      </c>
      <c r="AU570" s="408">
        <v>0</v>
      </c>
      <c r="AV570" s="408">
        <v>0</v>
      </c>
      <c r="AW570" s="408">
        <v>0</v>
      </c>
      <c r="AX570" s="408">
        <v>0</v>
      </c>
      <c r="AY570" s="408">
        <v>0</v>
      </c>
      <c r="AZ570" s="408">
        <v>0</v>
      </c>
      <c r="BA570" s="408"/>
      <c r="BB570" s="408">
        <v>0</v>
      </c>
      <c r="BC570" s="408">
        <v>0</v>
      </c>
      <c r="BD570" s="408">
        <v>0</v>
      </c>
      <c r="BE570" s="408">
        <v>0</v>
      </c>
      <c r="BF570" s="408">
        <v>0</v>
      </c>
      <c r="BG570" s="408">
        <v>131.8932613901294</v>
      </c>
      <c r="BH570" s="408">
        <v>0</v>
      </c>
      <c r="BI570" s="408">
        <v>6.73</v>
      </c>
      <c r="BJ570" s="408">
        <v>31.32</v>
      </c>
      <c r="BK570" s="408">
        <v>846.61</v>
      </c>
      <c r="BL570" s="408">
        <v>5</v>
      </c>
      <c r="BM570" s="408"/>
      <c r="BN570" s="408"/>
      <c r="BO570" s="408"/>
      <c r="BP570" s="408"/>
      <c r="BQ570" s="408"/>
      <c r="BR570" s="408"/>
      <c r="BS570" s="408"/>
      <c r="BT570" s="408"/>
      <c r="BU570" s="408"/>
      <c r="BV570" s="408">
        <v>920.2658565828898</v>
      </c>
      <c r="BW570" s="408"/>
      <c r="BX570" s="408"/>
      <c r="BY570" s="408"/>
      <c r="BZ570" s="408"/>
      <c r="CA570" s="408"/>
      <c r="CB570" s="408"/>
      <c r="CC570" s="408"/>
      <c r="CD570" s="408"/>
      <c r="CE570" s="408"/>
      <c r="CF570" s="408"/>
      <c r="CG570" s="408"/>
      <c r="CH570" s="408"/>
      <c r="CI570" s="408">
        <v>2307.5473999999999</v>
      </c>
      <c r="CJ570" s="408">
        <v>-709.07940000000099</v>
      </c>
      <c r="CK570" s="408"/>
      <c r="CL570" s="408"/>
      <c r="CM570" s="408"/>
      <c r="CN570" s="408"/>
      <c r="CO570" s="408">
        <v>-799.16620000000023</v>
      </c>
      <c r="CP570" s="408">
        <v>87.096449999999933</v>
      </c>
      <c r="CQ570" s="408">
        <v>30</v>
      </c>
      <c r="CR570" s="408">
        <v>112.70986675521453</v>
      </c>
      <c r="CS570" s="408">
        <v>2.6251392180429249</v>
      </c>
      <c r="CT570" s="408">
        <v>3.9542757972823068</v>
      </c>
      <c r="CU570" s="408">
        <v>0</v>
      </c>
      <c r="CV570" s="408">
        <v>0</v>
      </c>
      <c r="CW570" s="408">
        <v>0</v>
      </c>
      <c r="CX570" s="408">
        <v>0</v>
      </c>
      <c r="CY570" s="408">
        <v>0</v>
      </c>
      <c r="CZ570" s="408">
        <v>9.2787155137909281</v>
      </c>
      <c r="DA570" s="408">
        <v>0</v>
      </c>
      <c r="DB570" s="408">
        <v>0</v>
      </c>
      <c r="DC570" s="408">
        <v>87.070065942063366</v>
      </c>
      <c r="DD570" s="408">
        <v>0</v>
      </c>
      <c r="DE570" s="408">
        <v>0</v>
      </c>
      <c r="DF570" s="408">
        <v>0</v>
      </c>
      <c r="DG570" s="408">
        <v>14.566659263116634</v>
      </c>
      <c r="DH570" s="408">
        <v>0</v>
      </c>
      <c r="DI570" s="408">
        <v>-4.0924892215621469</v>
      </c>
      <c r="DJ570" s="408"/>
      <c r="DK570" s="408">
        <v>0</v>
      </c>
      <c r="DL570" s="408">
        <v>0</v>
      </c>
      <c r="DM570" s="408">
        <v>0</v>
      </c>
      <c r="DN570" s="408">
        <v>0</v>
      </c>
      <c r="DO570" s="408">
        <v>-0.53170591974258485</v>
      </c>
      <c r="DP570" s="408">
        <v>-0.16079383777716849</v>
      </c>
      <c r="DQ570" s="408">
        <v>0</v>
      </c>
      <c r="DR570" s="408">
        <v>0</v>
      </c>
      <c r="DS570" s="408"/>
      <c r="DT570" s="408"/>
      <c r="DU570" s="408"/>
      <c r="DV570" s="408">
        <v>1470.3212648595909</v>
      </c>
      <c r="DW570" s="408">
        <v>0</v>
      </c>
      <c r="DX570" s="408">
        <v>0</v>
      </c>
      <c r="DY570" s="408">
        <v>-799.16620000000057</v>
      </c>
      <c r="DZ570" s="408">
        <v>87.096450000000004</v>
      </c>
      <c r="EA570" s="408">
        <v>0</v>
      </c>
      <c r="EB570" s="408">
        <v>0</v>
      </c>
      <c r="EC570" s="408">
        <v>-824.83508409404919</v>
      </c>
      <c r="ED570" s="408">
        <v>0</v>
      </c>
      <c r="EE570" s="408">
        <v>0</v>
      </c>
      <c r="EF570" s="408">
        <v>0</v>
      </c>
      <c r="EG570" s="408">
        <v>0</v>
      </c>
      <c r="EH570" s="408">
        <v>0</v>
      </c>
      <c r="EI570" s="408">
        <v>0</v>
      </c>
      <c r="EJ570" s="408">
        <v>0</v>
      </c>
      <c r="EK570" s="408">
        <v>0</v>
      </c>
      <c r="EL570" s="408">
        <v>0</v>
      </c>
      <c r="EM570" s="408">
        <v>0</v>
      </c>
      <c r="EN570" s="408">
        <v>0</v>
      </c>
      <c r="EO570" s="408">
        <v>0</v>
      </c>
      <c r="EP570" s="408">
        <v>0</v>
      </c>
      <c r="EQ570" s="408">
        <v>0</v>
      </c>
      <c r="ER570" s="408">
        <v>0</v>
      </c>
      <c r="ES570" s="408">
        <v>0</v>
      </c>
      <c r="ET570" s="408">
        <v>0</v>
      </c>
      <c r="EU570" s="408">
        <v>0</v>
      </c>
      <c r="EV570" s="408">
        <v>238</v>
      </c>
      <c r="EW570" s="408">
        <v>0</v>
      </c>
      <c r="EX570" s="408">
        <v>0</v>
      </c>
      <c r="EY570" s="408">
        <v>0</v>
      </c>
      <c r="EZ570" s="408"/>
      <c r="FA570" s="408">
        <v>0</v>
      </c>
      <c r="FB570" s="408"/>
      <c r="FC570" s="408"/>
      <c r="FD570" s="408"/>
      <c r="FE570" s="408"/>
      <c r="FF570" s="408">
        <v>0</v>
      </c>
      <c r="FG570" s="408">
        <v>0</v>
      </c>
      <c r="FH570" s="408">
        <v>0</v>
      </c>
      <c r="FI570" s="408">
        <v>0</v>
      </c>
    </row>
    <row r="571" spans="1:165">
      <c r="A571" s="408">
        <v>575</v>
      </c>
      <c r="B571" s="408" t="s">
        <v>1036</v>
      </c>
      <c r="C571" s="408" t="s">
        <v>2243</v>
      </c>
      <c r="D571" s="408" t="s">
        <v>597</v>
      </c>
      <c r="E571" s="408" t="s">
        <v>2246</v>
      </c>
      <c r="F571" s="408" t="s">
        <v>1322</v>
      </c>
      <c r="G571" s="408" t="s">
        <v>1322</v>
      </c>
      <c r="H571" s="408" t="s">
        <v>1322</v>
      </c>
      <c r="I571" s="408" t="s">
        <v>973</v>
      </c>
      <c r="J571" s="408" t="s">
        <v>2236</v>
      </c>
      <c r="K571" s="824">
        <v>44652</v>
      </c>
      <c r="L571" s="408">
        <v>0</v>
      </c>
      <c r="M571" s="408">
        <v>0</v>
      </c>
      <c r="N571" s="408">
        <v>0.22600000000000001</v>
      </c>
      <c r="O571" s="408">
        <v>0.22600000000000001</v>
      </c>
      <c r="P571" s="408">
        <v>0.22600000000000001</v>
      </c>
      <c r="Q571" s="408">
        <v>0.22600000000000001</v>
      </c>
      <c r="R571" s="408"/>
      <c r="S571" s="408">
        <v>1614.19</v>
      </c>
      <c r="T571" s="408">
        <v>209.4</v>
      </c>
      <c r="U571" s="408"/>
      <c r="V571" s="408">
        <v>412.13134000000002</v>
      </c>
      <c r="W571" s="408">
        <v>412.13134000000002</v>
      </c>
      <c r="X571" s="408">
        <v>273.94589999999999</v>
      </c>
      <c r="Y571" s="408">
        <v>0</v>
      </c>
      <c r="Z571" s="408">
        <v>12.099583368064279</v>
      </c>
      <c r="AA571" s="408">
        <v>0</v>
      </c>
      <c r="AB571" s="408">
        <v>0</v>
      </c>
      <c r="AC571" s="408">
        <v>0</v>
      </c>
      <c r="AD571" s="408">
        <v>70.380465817743328</v>
      </c>
      <c r="AE571" s="408">
        <v>262.80107524817339</v>
      </c>
      <c r="AF571" s="408">
        <v>46.703068548771654</v>
      </c>
      <c r="AG571" s="408">
        <v>0.62217008190647449</v>
      </c>
      <c r="AH571" s="408">
        <v>0</v>
      </c>
      <c r="AI571" s="408">
        <v>0</v>
      </c>
      <c r="AJ571" s="408">
        <v>0</v>
      </c>
      <c r="AK571" s="408">
        <v>0</v>
      </c>
      <c r="AL571" s="408">
        <v>2.1491699717981643</v>
      </c>
      <c r="AM571" s="408"/>
      <c r="AN571" s="408">
        <v>0.30009281372283514</v>
      </c>
      <c r="AO571" s="408">
        <v>5.4680531342445065</v>
      </c>
      <c r="AP571" s="408">
        <v>8.1447470665598907</v>
      </c>
      <c r="AQ571" s="408">
        <v>0</v>
      </c>
      <c r="AR571" s="408">
        <v>0</v>
      </c>
      <c r="AS571" s="408">
        <v>0</v>
      </c>
      <c r="AT571" s="408">
        <v>0</v>
      </c>
      <c r="AU571" s="408">
        <v>0</v>
      </c>
      <c r="AV571" s="408">
        <v>0</v>
      </c>
      <c r="AW571" s="408">
        <v>0</v>
      </c>
      <c r="AX571" s="408">
        <v>0</v>
      </c>
      <c r="AY571" s="408">
        <v>0</v>
      </c>
      <c r="AZ571" s="408">
        <v>0</v>
      </c>
      <c r="BA571" s="408"/>
      <c r="BB571" s="408">
        <v>0</v>
      </c>
      <c r="BC571" s="408">
        <v>0</v>
      </c>
      <c r="BD571" s="408">
        <v>0</v>
      </c>
      <c r="BE571" s="408">
        <v>0</v>
      </c>
      <c r="BF571" s="408">
        <v>0</v>
      </c>
      <c r="BG571" s="408">
        <v>3.463322617635856</v>
      </c>
      <c r="BH571" s="408">
        <v>0</v>
      </c>
      <c r="BI571" s="408">
        <v>0</v>
      </c>
      <c r="BJ571" s="408">
        <v>0</v>
      </c>
      <c r="BK571" s="408">
        <v>0</v>
      </c>
      <c r="BL571" s="408">
        <v>0</v>
      </c>
      <c r="BM571" s="408"/>
      <c r="BN571" s="408"/>
      <c r="BO571" s="408"/>
      <c r="BP571" s="408"/>
      <c r="BQ571" s="408"/>
      <c r="BR571" s="408"/>
      <c r="BS571" s="408"/>
      <c r="BT571" s="408"/>
      <c r="BU571" s="408"/>
      <c r="BV571" s="408">
        <v>50.166391166407507</v>
      </c>
      <c r="BW571" s="408"/>
      <c r="BX571" s="408"/>
      <c r="BY571" s="408"/>
      <c r="BZ571" s="408"/>
      <c r="CA571" s="408"/>
      <c r="CB571" s="408"/>
      <c r="CC571" s="408"/>
      <c r="CD571" s="408"/>
      <c r="CE571" s="408"/>
      <c r="CF571" s="408"/>
      <c r="CG571" s="408"/>
      <c r="CH571" s="408"/>
      <c r="CI571" s="408">
        <v>278.79449999999997</v>
      </c>
      <c r="CJ571" s="408">
        <v>-133.36684000000002</v>
      </c>
      <c r="CK571" s="408"/>
      <c r="CL571" s="408"/>
      <c r="CM571" s="408"/>
      <c r="CN571" s="408"/>
      <c r="CO571" s="408">
        <v>-143.34502000000003</v>
      </c>
      <c r="CP571" s="408">
        <v>5.1595799999999965</v>
      </c>
      <c r="CQ571" s="408">
        <v>30</v>
      </c>
      <c r="CR571" s="408">
        <v>9.2419023715206947</v>
      </c>
      <c r="CS571" s="408">
        <v>0.66016915778429386</v>
      </c>
      <c r="CT571" s="408">
        <v>0.98333185126226752</v>
      </c>
      <c r="CU571" s="408">
        <v>0</v>
      </c>
      <c r="CV571" s="408">
        <v>0</v>
      </c>
      <c r="CW571" s="408">
        <v>0</v>
      </c>
      <c r="CX571" s="408">
        <v>0</v>
      </c>
      <c r="CY571" s="408">
        <v>0</v>
      </c>
      <c r="CZ571" s="408">
        <v>2.3072432366755891</v>
      </c>
      <c r="DA571" s="408">
        <v>0</v>
      </c>
      <c r="DB571" s="408">
        <v>0</v>
      </c>
      <c r="DC571" s="408">
        <v>5.1580170125573517</v>
      </c>
      <c r="DD571" s="408">
        <v>0</v>
      </c>
      <c r="DE571" s="408">
        <v>0</v>
      </c>
      <c r="DF571" s="408">
        <v>0</v>
      </c>
      <c r="DG571" s="408">
        <v>0.38249899924851904</v>
      </c>
      <c r="DH571" s="408">
        <v>0</v>
      </c>
      <c r="DI571" s="408">
        <v>-0.21092142352387633</v>
      </c>
      <c r="DJ571" s="408"/>
      <c r="DK571" s="408">
        <v>0</v>
      </c>
      <c r="DL571" s="408">
        <v>0</v>
      </c>
      <c r="DM571" s="408">
        <v>0</v>
      </c>
      <c r="DN571" s="408">
        <v>0</v>
      </c>
      <c r="DO571" s="408">
        <v>-3.1498175062077305E-2</v>
      </c>
      <c r="DP571" s="408">
        <v>-6.9382874213787527E-3</v>
      </c>
      <c r="DQ571" s="408">
        <v>0</v>
      </c>
      <c r="DR571" s="408">
        <v>0</v>
      </c>
      <c r="DS571" s="408"/>
      <c r="DT571" s="408"/>
      <c r="DU571" s="408"/>
      <c r="DV571" s="408">
        <v>262.80107524817339</v>
      </c>
      <c r="DW571" s="408">
        <v>0</v>
      </c>
      <c r="DX571" s="408">
        <v>0</v>
      </c>
      <c r="DY571" s="408">
        <v>-143.34502000000001</v>
      </c>
      <c r="DZ571" s="408">
        <v>5.1595799999999983</v>
      </c>
      <c r="EA571" s="408">
        <v>0</v>
      </c>
      <c r="EB571" s="408">
        <v>0</v>
      </c>
      <c r="EC571" s="408">
        <v>-147.42869615167734</v>
      </c>
      <c r="ED571" s="408">
        <v>0</v>
      </c>
      <c r="EE571" s="408">
        <v>0</v>
      </c>
      <c r="EF571" s="408">
        <v>0</v>
      </c>
      <c r="EG571" s="408">
        <v>0</v>
      </c>
      <c r="EH571" s="408">
        <v>0</v>
      </c>
      <c r="EI571" s="408">
        <v>0</v>
      </c>
      <c r="EJ571" s="408">
        <v>0</v>
      </c>
      <c r="EK571" s="408">
        <v>0</v>
      </c>
      <c r="EL571" s="408">
        <v>0</v>
      </c>
      <c r="EM571" s="408">
        <v>0</v>
      </c>
      <c r="EN571" s="408">
        <v>0</v>
      </c>
      <c r="EO571" s="408">
        <v>0</v>
      </c>
      <c r="EP571" s="408">
        <v>0</v>
      </c>
      <c r="EQ571" s="408">
        <v>0</v>
      </c>
      <c r="ER571" s="408">
        <v>0</v>
      </c>
      <c r="ES571" s="408">
        <v>0</v>
      </c>
      <c r="ET571" s="408">
        <v>0</v>
      </c>
      <c r="EU571" s="408">
        <v>0</v>
      </c>
      <c r="EV571" s="408">
        <v>238</v>
      </c>
      <c r="EW571" s="408">
        <v>0</v>
      </c>
      <c r="EX571" s="408">
        <v>0</v>
      </c>
      <c r="EY571" s="408">
        <v>0</v>
      </c>
      <c r="EZ571" s="408"/>
      <c r="FA571" s="408">
        <v>0</v>
      </c>
      <c r="FB571" s="408"/>
      <c r="FC571" s="408"/>
      <c r="FD571" s="408"/>
      <c r="FE571" s="408"/>
      <c r="FF571" s="408">
        <v>0</v>
      </c>
      <c r="FG571" s="408">
        <v>0</v>
      </c>
      <c r="FH571" s="408">
        <v>0</v>
      </c>
      <c r="FI571" s="408">
        <v>0</v>
      </c>
    </row>
    <row r="572" spans="1:165">
      <c r="A572" s="408">
        <v>576</v>
      </c>
      <c r="B572" s="408" t="s">
        <v>1036</v>
      </c>
      <c r="C572" s="408" t="s">
        <v>2243</v>
      </c>
      <c r="D572" s="408" t="s">
        <v>597</v>
      </c>
      <c r="E572" s="408" t="s">
        <v>2246</v>
      </c>
      <c r="F572" s="408" t="s">
        <v>1322</v>
      </c>
      <c r="G572" s="408" t="s">
        <v>1322</v>
      </c>
      <c r="H572" s="408" t="s">
        <v>1322</v>
      </c>
      <c r="I572" s="408" t="s">
        <v>2244</v>
      </c>
      <c r="J572" s="408" t="s">
        <v>2236</v>
      </c>
      <c r="K572" s="824">
        <v>44652</v>
      </c>
      <c r="L572" s="408">
        <v>0</v>
      </c>
      <c r="M572" s="408">
        <v>0</v>
      </c>
      <c r="N572" s="408">
        <v>5.3970000000000002</v>
      </c>
      <c r="O572" s="408">
        <v>5.3970000000000002</v>
      </c>
      <c r="P572" s="408">
        <v>5.3970000000000002</v>
      </c>
      <c r="Q572" s="408">
        <v>5.3970000000000002</v>
      </c>
      <c r="R572" s="408"/>
      <c r="S572" s="408">
        <v>79.7</v>
      </c>
      <c r="T572" s="408">
        <v>209.4</v>
      </c>
      <c r="U572" s="408"/>
      <c r="V572" s="408">
        <v>1560.2727000000002</v>
      </c>
      <c r="W572" s="408">
        <v>1560.2727000000002</v>
      </c>
      <c r="X572" s="408">
        <v>1686.6704399999999</v>
      </c>
      <c r="Y572" s="408">
        <v>0</v>
      </c>
      <c r="Z572" s="408">
        <v>288.94447538691554</v>
      </c>
      <c r="AA572" s="408">
        <v>0</v>
      </c>
      <c r="AB572" s="408">
        <v>0</v>
      </c>
      <c r="AC572" s="408">
        <v>0</v>
      </c>
      <c r="AD572" s="408">
        <v>0</v>
      </c>
      <c r="AE572" s="408">
        <v>0</v>
      </c>
      <c r="AF572" s="408">
        <v>1115.294075034162</v>
      </c>
      <c r="AG572" s="408">
        <v>14.857751911722314</v>
      </c>
      <c r="AH572" s="408">
        <v>0</v>
      </c>
      <c r="AI572" s="408">
        <v>0</v>
      </c>
      <c r="AJ572" s="408">
        <v>0</v>
      </c>
      <c r="AK572" s="408">
        <v>0</v>
      </c>
      <c r="AL572" s="408">
        <v>51.323320078737581</v>
      </c>
      <c r="AM572" s="408"/>
      <c r="AN572" s="408">
        <v>7.1663757330183238</v>
      </c>
      <c r="AO572" s="408">
        <v>0</v>
      </c>
      <c r="AP572" s="408">
        <v>0</v>
      </c>
      <c r="AQ572" s="408">
        <v>0</v>
      </c>
      <c r="AR572" s="408">
        <v>0</v>
      </c>
      <c r="AS572" s="408">
        <v>0</v>
      </c>
      <c r="AT572" s="408">
        <v>0</v>
      </c>
      <c r="AU572" s="408">
        <v>0</v>
      </c>
      <c r="AV572" s="408">
        <v>0</v>
      </c>
      <c r="AW572" s="408">
        <v>0</v>
      </c>
      <c r="AX572" s="408">
        <v>0</v>
      </c>
      <c r="AY572" s="408">
        <v>0</v>
      </c>
      <c r="AZ572" s="408">
        <v>0</v>
      </c>
      <c r="BA572" s="408"/>
      <c r="BB572" s="408">
        <v>0</v>
      </c>
      <c r="BC572" s="408">
        <v>0</v>
      </c>
      <c r="BD572" s="408">
        <v>0</v>
      </c>
      <c r="BE572" s="408">
        <v>0</v>
      </c>
      <c r="BF572" s="408">
        <v>0</v>
      </c>
      <c r="BG572" s="408">
        <v>82.705983041507579</v>
      </c>
      <c r="BH572" s="408">
        <v>0</v>
      </c>
      <c r="BI572" s="408">
        <v>0</v>
      </c>
      <c r="BJ572" s="408">
        <v>0</v>
      </c>
      <c r="BK572" s="408">
        <v>0</v>
      </c>
      <c r="BL572" s="408">
        <v>0</v>
      </c>
      <c r="BM572" s="408"/>
      <c r="BN572" s="408"/>
      <c r="BO572" s="408"/>
      <c r="BP572" s="408"/>
      <c r="BQ572" s="408"/>
      <c r="BR572" s="408"/>
      <c r="BS572" s="408"/>
      <c r="BT572" s="408"/>
      <c r="BU572" s="408"/>
      <c r="BV572" s="408">
        <v>1198.0000580756696</v>
      </c>
      <c r="BW572" s="408"/>
      <c r="BX572" s="408"/>
      <c r="BY572" s="408"/>
      <c r="BZ572" s="408"/>
      <c r="CA572" s="408"/>
      <c r="CB572" s="408"/>
      <c r="CC572" s="408"/>
      <c r="CD572" s="408"/>
      <c r="CE572" s="408"/>
      <c r="CF572" s="408"/>
      <c r="CG572" s="408"/>
      <c r="CH572" s="408"/>
      <c r="CI572" s="408">
        <v>1687.6079999999999</v>
      </c>
      <c r="CJ572" s="408">
        <v>127.30529999999976</v>
      </c>
      <c r="CK572" s="408"/>
      <c r="CL572" s="408"/>
      <c r="CM572" s="408"/>
      <c r="CN572" s="408"/>
      <c r="CO572" s="408">
        <v>3.1842300000000185</v>
      </c>
      <c r="CP572" s="408">
        <v>123.21350999999991</v>
      </c>
      <c r="CQ572" s="408">
        <v>30</v>
      </c>
      <c r="CR572" s="408">
        <v>126.35566550856083</v>
      </c>
      <c r="CS572" s="408">
        <v>0</v>
      </c>
      <c r="CT572" s="408">
        <v>0</v>
      </c>
      <c r="CU572" s="408">
        <v>0</v>
      </c>
      <c r="CV572" s="408">
        <v>0</v>
      </c>
      <c r="CW572" s="408">
        <v>0</v>
      </c>
      <c r="CX572" s="408">
        <v>0</v>
      </c>
      <c r="CY572" s="408">
        <v>0</v>
      </c>
      <c r="CZ572" s="408">
        <v>0</v>
      </c>
      <c r="DA572" s="408">
        <v>0</v>
      </c>
      <c r="DB572" s="408">
        <v>0</v>
      </c>
      <c r="DC572" s="408">
        <v>123.17618502996493</v>
      </c>
      <c r="DD572" s="408">
        <v>0</v>
      </c>
      <c r="DE572" s="408">
        <v>0</v>
      </c>
      <c r="DF572" s="408">
        <v>0</v>
      </c>
      <c r="DG572" s="408">
        <v>9.1342791988684127</v>
      </c>
      <c r="DH572" s="408">
        <v>0</v>
      </c>
      <c r="DI572" s="408">
        <v>-5.0369155874263356</v>
      </c>
      <c r="DJ572" s="408"/>
      <c r="DK572" s="408">
        <v>0</v>
      </c>
      <c r="DL572" s="408">
        <v>0</v>
      </c>
      <c r="DM572" s="408">
        <v>0</v>
      </c>
      <c r="DN572" s="408">
        <v>0</v>
      </c>
      <c r="DO572" s="408">
        <v>-0.75219314517713087</v>
      </c>
      <c r="DP572" s="408">
        <v>-0.16568998766894349</v>
      </c>
      <c r="DQ572" s="408">
        <v>0</v>
      </c>
      <c r="DR572" s="408">
        <v>0</v>
      </c>
      <c r="DS572" s="408"/>
      <c r="DT572" s="408"/>
      <c r="DU572" s="408"/>
      <c r="DV572" s="408">
        <v>0</v>
      </c>
      <c r="DW572" s="408">
        <v>0</v>
      </c>
      <c r="DX572" s="408">
        <v>0</v>
      </c>
      <c r="DY572" s="408">
        <v>3.1842300000000137</v>
      </c>
      <c r="DZ572" s="408">
        <v>123.21350999999981</v>
      </c>
      <c r="EA572" s="408">
        <v>0</v>
      </c>
      <c r="EB572" s="408">
        <v>0</v>
      </c>
      <c r="EC572" s="408">
        <v>0</v>
      </c>
      <c r="ED572" s="408">
        <v>0</v>
      </c>
      <c r="EE572" s="408">
        <v>0</v>
      </c>
      <c r="EF572" s="408">
        <v>0</v>
      </c>
      <c r="EG572" s="408">
        <v>0</v>
      </c>
      <c r="EH572" s="408">
        <v>0</v>
      </c>
      <c r="EI572" s="408">
        <v>0</v>
      </c>
      <c r="EJ572" s="408">
        <v>0</v>
      </c>
      <c r="EK572" s="408">
        <v>0</v>
      </c>
      <c r="EL572" s="408">
        <v>0</v>
      </c>
      <c r="EM572" s="408">
        <v>0</v>
      </c>
      <c r="EN572" s="408">
        <v>0</v>
      </c>
      <c r="EO572" s="408">
        <v>0</v>
      </c>
      <c r="EP572" s="408">
        <v>0</v>
      </c>
      <c r="EQ572" s="408">
        <v>0</v>
      </c>
      <c r="ER572" s="408">
        <v>0</v>
      </c>
      <c r="ES572" s="408">
        <v>0</v>
      </c>
      <c r="ET572" s="408">
        <v>0</v>
      </c>
      <c r="EU572" s="408">
        <v>0</v>
      </c>
      <c r="EV572" s="408">
        <v>238</v>
      </c>
      <c r="EW572" s="408">
        <v>0</v>
      </c>
      <c r="EX572" s="408">
        <v>0</v>
      </c>
      <c r="EY572" s="408">
        <v>0</v>
      </c>
      <c r="EZ572" s="408"/>
      <c r="FA572" s="408">
        <v>0</v>
      </c>
      <c r="FB572" s="408"/>
      <c r="FC572" s="408"/>
      <c r="FD572" s="408"/>
      <c r="FE572" s="408"/>
      <c r="FF572" s="408">
        <v>0</v>
      </c>
      <c r="FG572" s="408">
        <v>0</v>
      </c>
      <c r="FH572" s="408">
        <v>0</v>
      </c>
      <c r="FI572" s="408">
        <v>0</v>
      </c>
    </row>
    <row r="573" spans="1:165">
      <c r="A573" s="408">
        <v>577</v>
      </c>
      <c r="B573" s="408" t="s">
        <v>1036</v>
      </c>
      <c r="C573" s="408" t="s">
        <v>2243</v>
      </c>
      <c r="D573" s="408" t="s">
        <v>597</v>
      </c>
      <c r="E573" s="408" t="s">
        <v>2246</v>
      </c>
      <c r="F573" s="408" t="s">
        <v>1322</v>
      </c>
      <c r="G573" s="408" t="s">
        <v>1322</v>
      </c>
      <c r="H573" s="408" t="s">
        <v>1322</v>
      </c>
      <c r="I573" s="408" t="s">
        <v>1322</v>
      </c>
      <c r="J573" s="408" t="s">
        <v>2236</v>
      </c>
      <c r="K573" s="824">
        <v>44652</v>
      </c>
      <c r="L573" s="408">
        <v>143</v>
      </c>
      <c r="M573" s="408">
        <v>143</v>
      </c>
      <c r="N573" s="408">
        <v>0</v>
      </c>
      <c r="O573" s="408">
        <v>0</v>
      </c>
      <c r="P573" s="408">
        <v>0</v>
      </c>
      <c r="Q573" s="408">
        <v>0</v>
      </c>
      <c r="R573" s="408">
        <v>44.35</v>
      </c>
      <c r="S573" s="408"/>
      <c r="T573" s="408"/>
      <c r="U573" s="408">
        <v>6342.05</v>
      </c>
      <c r="V573" s="408"/>
      <c r="W573" s="408">
        <v>6342.05</v>
      </c>
      <c r="X573" s="408">
        <v>4142.71</v>
      </c>
      <c r="Y573" s="408">
        <v>0</v>
      </c>
      <c r="Z573" s="408">
        <v>0</v>
      </c>
      <c r="AA573" s="408">
        <v>0</v>
      </c>
      <c r="AB573" s="408">
        <v>0</v>
      </c>
      <c r="AC573" s="408">
        <v>0</v>
      </c>
      <c r="AD573" s="408">
        <v>1876.4551073961979</v>
      </c>
      <c r="AE573" s="408">
        <v>4106.6520188616778</v>
      </c>
      <c r="AF573" s="408"/>
      <c r="AG573" s="408"/>
      <c r="AH573" s="408"/>
      <c r="AI573" s="408">
        <v>0</v>
      </c>
      <c r="AJ573" s="408">
        <v>0</v>
      </c>
      <c r="AK573" s="408">
        <v>0</v>
      </c>
      <c r="AL573" s="408">
        <v>0</v>
      </c>
      <c r="AM573" s="408"/>
      <c r="AN573" s="408">
        <v>0</v>
      </c>
      <c r="AO573" s="408">
        <v>141.81605890751828</v>
      </c>
      <c r="AP573" s="408">
        <v>216.97266925736545</v>
      </c>
      <c r="AQ573" s="408">
        <v>0</v>
      </c>
      <c r="AR573" s="408">
        <v>0</v>
      </c>
      <c r="AS573" s="408"/>
      <c r="AT573" s="408"/>
      <c r="AU573" s="408">
        <v>0</v>
      </c>
      <c r="AV573" s="408">
        <v>0</v>
      </c>
      <c r="AW573" s="408">
        <v>0</v>
      </c>
      <c r="AX573" s="408"/>
      <c r="AY573" s="408"/>
      <c r="AZ573" s="408">
        <v>0</v>
      </c>
      <c r="BA573" s="408"/>
      <c r="BB573" s="408">
        <v>0</v>
      </c>
      <c r="BC573" s="408">
        <v>0</v>
      </c>
      <c r="BD573" s="408">
        <v>0</v>
      </c>
      <c r="BE573" s="408">
        <v>0</v>
      </c>
      <c r="BF573" s="408"/>
      <c r="BG573" s="408">
        <v>0</v>
      </c>
      <c r="BH573" s="408">
        <v>0</v>
      </c>
      <c r="BI573" s="408">
        <v>16.48</v>
      </c>
      <c r="BJ573" s="408">
        <v>77.16</v>
      </c>
      <c r="BK573" s="408">
        <v>1444.37</v>
      </c>
      <c r="BL573" s="408">
        <v>2</v>
      </c>
      <c r="BM573" s="408"/>
      <c r="BN573" s="408"/>
      <c r="BO573" s="408"/>
      <c r="BP573" s="408"/>
      <c r="BQ573" s="408"/>
      <c r="BR573" s="408"/>
      <c r="BS573" s="408"/>
      <c r="BT573" s="408"/>
      <c r="BU573" s="408"/>
      <c r="BV573" s="408">
        <v>0</v>
      </c>
      <c r="BW573" s="408"/>
      <c r="BX573" s="408"/>
      <c r="BY573" s="408"/>
      <c r="BZ573" s="408"/>
      <c r="CA573" s="408"/>
      <c r="CB573" s="408"/>
      <c r="CC573" s="408"/>
      <c r="CD573" s="408"/>
      <c r="CE573" s="408"/>
      <c r="CF573" s="408"/>
      <c r="CG573" s="408"/>
      <c r="CH573" s="408"/>
      <c r="CI573" s="408">
        <v>4142.71</v>
      </c>
      <c r="CJ573" s="408">
        <v>-2199.3700000000008</v>
      </c>
      <c r="CK573" s="408"/>
      <c r="CL573" s="408"/>
      <c r="CM573" s="408"/>
      <c r="CN573" s="408"/>
      <c r="CO573" s="408">
        <v>-2199.34</v>
      </c>
      <c r="CP573" s="408">
        <v>0</v>
      </c>
      <c r="CQ573" s="408">
        <v>30</v>
      </c>
      <c r="CR573" s="408">
        <v>104.83206434614658</v>
      </c>
      <c r="CS573" s="408">
        <v>17.121740749543847</v>
      </c>
      <c r="CT573" s="408">
        <v>26.195550922648238</v>
      </c>
      <c r="CU573" s="408">
        <v>0</v>
      </c>
      <c r="CV573" s="408">
        <v>0</v>
      </c>
      <c r="CW573" s="408"/>
      <c r="CX573" s="408"/>
      <c r="CY573" s="408"/>
      <c r="CZ573" s="408">
        <v>61.514772673954667</v>
      </c>
      <c r="DA573" s="408">
        <v>0</v>
      </c>
      <c r="DB573" s="408">
        <v>0</v>
      </c>
      <c r="DC573" s="408"/>
      <c r="DD573" s="408"/>
      <c r="DE573" s="408">
        <v>0</v>
      </c>
      <c r="DF573" s="408">
        <v>0</v>
      </c>
      <c r="DG573" s="408">
        <v>0</v>
      </c>
      <c r="DH573" s="408">
        <v>0</v>
      </c>
      <c r="DI573" s="408">
        <v>0</v>
      </c>
      <c r="DJ573" s="408"/>
      <c r="DK573" s="408">
        <v>0</v>
      </c>
      <c r="DL573" s="408">
        <v>0</v>
      </c>
      <c r="DM573" s="408"/>
      <c r="DN573" s="408">
        <v>0</v>
      </c>
      <c r="DO573" s="408">
        <v>0</v>
      </c>
      <c r="DP573" s="408">
        <v>0</v>
      </c>
      <c r="DQ573" s="408">
        <v>0</v>
      </c>
      <c r="DR573" s="408">
        <v>0</v>
      </c>
      <c r="DS573" s="408"/>
      <c r="DT573" s="408"/>
      <c r="DU573" s="408">
        <v>4106.6520188616778</v>
      </c>
      <c r="DV573" s="408"/>
      <c r="DW573" s="408">
        <v>0</v>
      </c>
      <c r="DX573" s="408">
        <v>0</v>
      </c>
      <c r="DY573" s="408">
        <v>-2199.34</v>
      </c>
      <c r="DZ573" s="408"/>
      <c r="EA573" s="408">
        <v>0</v>
      </c>
      <c r="EB573" s="408"/>
      <c r="EC573" s="408">
        <v>-2303.7894807610255</v>
      </c>
      <c r="ED573" s="408"/>
      <c r="EE573" s="408">
        <v>0</v>
      </c>
      <c r="EF573" s="408">
        <v>0</v>
      </c>
      <c r="EG573" s="408"/>
      <c r="EH573" s="408">
        <v>0</v>
      </c>
      <c r="EI573" s="408">
        <v>0</v>
      </c>
      <c r="EJ573" s="408">
        <v>0</v>
      </c>
      <c r="EK573" s="408">
        <v>0</v>
      </c>
      <c r="EL573" s="408">
        <v>0</v>
      </c>
      <c r="EM573" s="408"/>
      <c r="EN573" s="408"/>
      <c r="EO573" s="408">
        <v>0</v>
      </c>
      <c r="EP573" s="408">
        <v>0</v>
      </c>
      <c r="EQ573" s="408"/>
      <c r="ER573" s="408">
        <v>0</v>
      </c>
      <c r="ES573" s="408"/>
      <c r="ET573" s="408">
        <v>0</v>
      </c>
      <c r="EU573" s="408"/>
      <c r="EV573" s="408">
        <v>238</v>
      </c>
      <c r="EW573" s="408"/>
      <c r="EX573" s="408"/>
      <c r="EY573" s="408"/>
      <c r="EZ573" s="408"/>
      <c r="FA573" s="408">
        <v>0</v>
      </c>
      <c r="FB573" s="408"/>
      <c r="FC573" s="408"/>
      <c r="FD573" s="408"/>
      <c r="FE573" s="408"/>
      <c r="FF573" s="408">
        <v>0</v>
      </c>
      <c r="FG573" s="408">
        <v>0</v>
      </c>
      <c r="FH573" s="408">
        <v>0</v>
      </c>
      <c r="FI573" s="408">
        <v>0</v>
      </c>
    </row>
    <row r="574" spans="1:165">
      <c r="A574" s="408">
        <v>578</v>
      </c>
      <c r="B574" s="408" t="s">
        <v>1036</v>
      </c>
      <c r="C574" s="408" t="s">
        <v>2235</v>
      </c>
      <c r="D574" s="408" t="s">
        <v>2247</v>
      </c>
      <c r="E574" s="408" t="s">
        <v>2248</v>
      </c>
      <c r="F574" s="408" t="s">
        <v>2249</v>
      </c>
      <c r="G574" s="408" t="s">
        <v>1322</v>
      </c>
      <c r="H574" s="408" t="s">
        <v>1322</v>
      </c>
      <c r="I574" s="408" t="s">
        <v>1322</v>
      </c>
      <c r="J574" s="408" t="s">
        <v>2236</v>
      </c>
      <c r="K574" s="824">
        <v>44652</v>
      </c>
      <c r="L574" s="408">
        <v>0</v>
      </c>
      <c r="M574" s="408">
        <v>0</v>
      </c>
      <c r="N574" s="408">
        <v>532.14300000000003</v>
      </c>
      <c r="O574" s="408">
        <v>532.14300000000003</v>
      </c>
      <c r="P574" s="408">
        <v>532.14300000000003</v>
      </c>
      <c r="Q574" s="408">
        <v>532.14300000000003</v>
      </c>
      <c r="R574" s="408"/>
      <c r="S574" s="408">
        <v>319.73</v>
      </c>
      <c r="T574" s="408">
        <v>115.17</v>
      </c>
      <c r="U574" s="408"/>
      <c r="V574" s="408">
        <v>231428.99070000002</v>
      </c>
      <c r="W574" s="408">
        <v>231428.99070000002</v>
      </c>
      <c r="X574" s="408">
        <v>176793.86889000001</v>
      </c>
      <c r="Y574" s="408">
        <v>0</v>
      </c>
      <c r="Z574" s="408">
        <v>18010.831684098812</v>
      </c>
      <c r="AA574" s="408">
        <v>0</v>
      </c>
      <c r="AB574" s="408">
        <v>0</v>
      </c>
      <c r="AC574" s="408">
        <v>0</v>
      </c>
      <c r="AD574" s="408">
        <v>21714.164100793529</v>
      </c>
      <c r="AE574" s="408">
        <v>112799.90638673615</v>
      </c>
      <c r="AF574" s="408">
        <v>60482.261299610516</v>
      </c>
      <c r="AG574" s="408">
        <v>805.73406921582091</v>
      </c>
      <c r="AH574" s="408">
        <v>0</v>
      </c>
      <c r="AI574" s="408">
        <v>0</v>
      </c>
      <c r="AJ574" s="408">
        <v>0</v>
      </c>
      <c r="AK574" s="408">
        <v>0</v>
      </c>
      <c r="AL574" s="408">
        <v>2783.2573715328522</v>
      </c>
      <c r="AM574" s="408"/>
      <c r="AN574" s="408">
        <v>533.54273495496807</v>
      </c>
      <c r="AO574" s="408">
        <v>1668.116338945573</v>
      </c>
      <c r="AP574" s="408">
        <v>2512.7018105581815</v>
      </c>
      <c r="AQ574" s="408">
        <v>0</v>
      </c>
      <c r="AR574" s="408">
        <v>0</v>
      </c>
      <c r="AS574" s="408">
        <v>0</v>
      </c>
      <c r="AT574" s="408">
        <v>0</v>
      </c>
      <c r="AU574" s="408">
        <v>0</v>
      </c>
      <c r="AV574" s="408">
        <v>0</v>
      </c>
      <c r="AW574" s="408">
        <v>0</v>
      </c>
      <c r="AX574" s="408">
        <v>0</v>
      </c>
      <c r="AY574" s="408">
        <v>0</v>
      </c>
      <c r="AZ574" s="408">
        <v>0</v>
      </c>
      <c r="BA574" s="408"/>
      <c r="BB574" s="408">
        <v>0</v>
      </c>
      <c r="BC574" s="408">
        <v>0</v>
      </c>
      <c r="BD574" s="408">
        <v>0</v>
      </c>
      <c r="BE574" s="408">
        <v>0</v>
      </c>
      <c r="BF574" s="408">
        <v>0</v>
      </c>
      <c r="BG574" s="408">
        <v>10118.569249740553</v>
      </c>
      <c r="BH574" s="408">
        <v>0</v>
      </c>
      <c r="BI574" s="408">
        <v>546.48</v>
      </c>
      <c r="BJ574" s="408">
        <v>2558.5100000000002</v>
      </c>
      <c r="BK574" s="408">
        <v>54668.43</v>
      </c>
      <c r="BL574" s="408">
        <v>41</v>
      </c>
      <c r="BM574" s="408"/>
      <c r="BN574" s="408"/>
      <c r="BO574" s="408"/>
      <c r="BP574" s="408"/>
      <c r="BQ574" s="408"/>
      <c r="BR574" s="408"/>
      <c r="BS574" s="408"/>
      <c r="BT574" s="408"/>
      <c r="BU574" s="408"/>
      <c r="BV574" s="408">
        <v>70600.830549351071</v>
      </c>
      <c r="BW574" s="408"/>
      <c r="BX574" s="408"/>
      <c r="BY574" s="408"/>
      <c r="BZ574" s="408"/>
      <c r="CA574" s="408"/>
      <c r="CB574" s="408"/>
      <c r="CC574" s="408"/>
      <c r="CD574" s="408"/>
      <c r="CE574" s="408"/>
      <c r="CF574" s="408"/>
      <c r="CG574" s="408"/>
      <c r="CH574" s="408"/>
      <c r="CI574" s="408">
        <v>176792.87219999998</v>
      </c>
      <c r="CJ574" s="408">
        <v>-54636.148500000068</v>
      </c>
      <c r="CK574" s="408"/>
      <c r="CL574" s="408"/>
      <c r="CM574" s="408"/>
      <c r="CN574" s="408"/>
      <c r="CO574" s="408">
        <v>-61313.516460000021</v>
      </c>
      <c r="CP574" s="408">
        <v>6678.3946499999993</v>
      </c>
      <c r="CQ574" s="408">
        <v>30</v>
      </c>
      <c r="CR574" s="408">
        <v>8646.8601949136792</v>
      </c>
      <c r="CS574" s="408">
        <v>201.39507271267803</v>
      </c>
      <c r="CT574" s="408">
        <v>303.36359163204634</v>
      </c>
      <c r="CU574" s="408">
        <v>0</v>
      </c>
      <c r="CV574" s="408">
        <v>0</v>
      </c>
      <c r="CW574" s="408">
        <v>0</v>
      </c>
      <c r="CX574" s="408">
        <v>0</v>
      </c>
      <c r="CY574" s="408">
        <v>0</v>
      </c>
      <c r="CZ574" s="408">
        <v>711.84323206036061</v>
      </c>
      <c r="DA574" s="408">
        <v>0</v>
      </c>
      <c r="DB574" s="408">
        <v>0</v>
      </c>
      <c r="DC574" s="408">
        <v>6679.8294509394764</v>
      </c>
      <c r="DD574" s="408">
        <v>0</v>
      </c>
      <c r="DE574" s="408">
        <v>0</v>
      </c>
      <c r="DF574" s="408">
        <v>0</v>
      </c>
      <c r="DG574" s="408">
        <v>1117.5229798529217</v>
      </c>
      <c r="DH574" s="408">
        <v>0</v>
      </c>
      <c r="DI574" s="408">
        <v>-313.96703027693729</v>
      </c>
      <c r="DJ574" s="408"/>
      <c r="DK574" s="408">
        <v>0</v>
      </c>
      <c r="DL574" s="408">
        <v>0</v>
      </c>
      <c r="DM574" s="408">
        <v>0</v>
      </c>
      <c r="DN574" s="408">
        <v>0</v>
      </c>
      <c r="DO574" s="408">
        <v>-40.79134227713439</v>
      </c>
      <c r="DP574" s="408">
        <v>-12.335759729735173</v>
      </c>
      <c r="DQ574" s="408">
        <v>0</v>
      </c>
      <c r="DR574" s="408">
        <v>0</v>
      </c>
      <c r="DS574" s="408"/>
      <c r="DT574" s="408"/>
      <c r="DU574" s="408"/>
      <c r="DV574" s="408">
        <v>112799.90638673615</v>
      </c>
      <c r="DW574" s="408">
        <v>0</v>
      </c>
      <c r="DX574" s="408">
        <v>0</v>
      </c>
      <c r="DY574" s="408">
        <v>-61313.516459999999</v>
      </c>
      <c r="DZ574" s="408">
        <v>6678.394650000002</v>
      </c>
      <c r="EA574" s="408">
        <v>0</v>
      </c>
      <c r="EB574" s="408">
        <v>0</v>
      </c>
      <c r="EC574" s="408">
        <v>-63279.585553154342</v>
      </c>
      <c r="ED574" s="408">
        <v>0</v>
      </c>
      <c r="EE574" s="408">
        <v>0</v>
      </c>
      <c r="EF574" s="408">
        <v>0</v>
      </c>
      <c r="EG574" s="408">
        <v>0</v>
      </c>
      <c r="EH574" s="408">
        <v>0</v>
      </c>
      <c r="EI574" s="408">
        <v>0</v>
      </c>
      <c r="EJ574" s="408">
        <v>0</v>
      </c>
      <c r="EK574" s="408">
        <v>0</v>
      </c>
      <c r="EL574" s="408">
        <v>0</v>
      </c>
      <c r="EM574" s="408">
        <v>0</v>
      </c>
      <c r="EN574" s="408">
        <v>0</v>
      </c>
      <c r="EO574" s="408">
        <v>0</v>
      </c>
      <c r="EP574" s="408">
        <v>0</v>
      </c>
      <c r="EQ574" s="408">
        <v>0</v>
      </c>
      <c r="ER574" s="408">
        <v>0</v>
      </c>
      <c r="ES574" s="408">
        <v>0</v>
      </c>
      <c r="ET574" s="408">
        <v>0</v>
      </c>
      <c r="EU574" s="408">
        <v>0</v>
      </c>
      <c r="EV574" s="408">
        <v>238</v>
      </c>
      <c r="EW574" s="408">
        <v>0</v>
      </c>
      <c r="EX574" s="408">
        <v>0</v>
      </c>
      <c r="EY574" s="408">
        <v>0</v>
      </c>
      <c r="EZ574" s="408"/>
      <c r="FA574" s="408">
        <v>0</v>
      </c>
      <c r="FB574" s="408"/>
      <c r="FC574" s="408"/>
      <c r="FD574" s="408"/>
      <c r="FE574" s="408"/>
      <c r="FF574" s="408">
        <v>0</v>
      </c>
      <c r="FG574" s="408">
        <v>0</v>
      </c>
      <c r="FH574" s="408">
        <v>0</v>
      </c>
      <c r="FI574" s="408">
        <v>0</v>
      </c>
    </row>
    <row r="575" spans="1:165">
      <c r="A575" s="408">
        <v>579</v>
      </c>
      <c r="B575" s="408" t="s">
        <v>1036</v>
      </c>
      <c r="C575" s="408" t="s">
        <v>2235</v>
      </c>
      <c r="D575" s="408" t="s">
        <v>1958</v>
      </c>
      <c r="E575" s="408" t="s">
        <v>1001</v>
      </c>
      <c r="F575" s="408" t="s">
        <v>2250</v>
      </c>
      <c r="G575" s="408" t="s">
        <v>1322</v>
      </c>
      <c r="H575" s="408" t="s">
        <v>1322</v>
      </c>
      <c r="I575" s="408" t="s">
        <v>1322</v>
      </c>
      <c r="J575" s="408" t="s">
        <v>2236</v>
      </c>
      <c r="K575" s="824">
        <v>44652</v>
      </c>
      <c r="L575" s="408">
        <v>0</v>
      </c>
      <c r="M575" s="408">
        <v>0</v>
      </c>
      <c r="N575" s="408">
        <v>95.043000000000006</v>
      </c>
      <c r="O575" s="408">
        <v>89.340419999999995</v>
      </c>
      <c r="P575" s="408">
        <v>95.043000000000006</v>
      </c>
      <c r="Q575" s="408">
        <v>89.340419999999995</v>
      </c>
      <c r="R575" s="408"/>
      <c r="S575" s="408">
        <v>581.32000000000005</v>
      </c>
      <c r="T575" s="408">
        <v>209.4</v>
      </c>
      <c r="U575" s="408"/>
      <c r="V575" s="408">
        <v>75152.400960000014</v>
      </c>
      <c r="W575" s="408">
        <v>75152.400960000014</v>
      </c>
      <c r="X575" s="408">
        <v>57412.625010000003</v>
      </c>
      <c r="Y575" s="408">
        <v>0</v>
      </c>
      <c r="Z575" s="408">
        <v>5848.7473403058311</v>
      </c>
      <c r="AA575" s="408">
        <v>0</v>
      </c>
      <c r="AB575" s="408">
        <v>0</v>
      </c>
      <c r="AC575" s="408">
        <v>0</v>
      </c>
      <c r="AD575" s="408">
        <v>7051.3489748285974</v>
      </c>
      <c r="AE575" s="408">
        <v>36630.077057942355</v>
      </c>
      <c r="AF575" s="408">
        <v>19640.70683221639</v>
      </c>
      <c r="AG575" s="408">
        <v>261.65004909131443</v>
      </c>
      <c r="AH575" s="408">
        <v>0</v>
      </c>
      <c r="AI575" s="408">
        <v>0</v>
      </c>
      <c r="AJ575" s="408">
        <v>0</v>
      </c>
      <c r="AK575" s="408">
        <v>0</v>
      </c>
      <c r="AL575" s="408">
        <v>903.82106915757936</v>
      </c>
      <c r="AM575" s="408"/>
      <c r="AN575" s="408">
        <v>173.25999746932331</v>
      </c>
      <c r="AO575" s="408">
        <v>541.69575130404667</v>
      </c>
      <c r="AP575" s="408">
        <v>815.96221036580948</v>
      </c>
      <c r="AQ575" s="408">
        <v>0</v>
      </c>
      <c r="AR575" s="408">
        <v>0</v>
      </c>
      <c r="AS575" s="408">
        <v>0</v>
      </c>
      <c r="AT575" s="408">
        <v>0</v>
      </c>
      <c r="AU575" s="408">
        <v>0</v>
      </c>
      <c r="AV575" s="408">
        <v>0</v>
      </c>
      <c r="AW575" s="408">
        <v>0</v>
      </c>
      <c r="AX575" s="408">
        <v>0</v>
      </c>
      <c r="AY575" s="408">
        <v>0</v>
      </c>
      <c r="AZ575" s="408">
        <v>0</v>
      </c>
      <c r="BA575" s="408"/>
      <c r="BB575" s="408">
        <v>0</v>
      </c>
      <c r="BC575" s="408">
        <v>0</v>
      </c>
      <c r="BD575" s="408">
        <v>0</v>
      </c>
      <c r="BE575" s="408">
        <v>0</v>
      </c>
      <c r="BF575" s="408">
        <v>0</v>
      </c>
      <c r="BG575" s="408">
        <v>3285.8535366453657</v>
      </c>
      <c r="BH575" s="408">
        <v>0</v>
      </c>
      <c r="BI575" s="408">
        <v>165.91</v>
      </c>
      <c r="BJ575" s="408">
        <v>776.91</v>
      </c>
      <c r="BK575" s="408">
        <v>23298.69</v>
      </c>
      <c r="BL575" s="408">
        <v>21</v>
      </c>
      <c r="BM575" s="408"/>
      <c r="BN575" s="408"/>
      <c r="BO575" s="408"/>
      <c r="BP575" s="408"/>
      <c r="BQ575" s="408">
        <v>3444.757500600007</v>
      </c>
      <c r="BR575" s="408"/>
      <c r="BS575" s="408"/>
      <c r="BT575" s="408"/>
      <c r="BU575" s="408"/>
      <c r="BV575" s="408">
        <v>22926.560368861756</v>
      </c>
      <c r="BW575" s="408"/>
      <c r="BX575" s="408"/>
      <c r="BY575" s="408"/>
      <c r="BZ575" s="408"/>
      <c r="CA575" s="408"/>
      <c r="CB575" s="408"/>
      <c r="CC575" s="408"/>
      <c r="CD575" s="408"/>
      <c r="CE575" s="408"/>
      <c r="CF575" s="408"/>
      <c r="CG575" s="408"/>
      <c r="CH575" s="408"/>
      <c r="CI575" s="408">
        <v>53967.613799999992</v>
      </c>
      <c r="CJ575" s="408">
        <v>-16675.673102400004</v>
      </c>
      <c r="CK575" s="408"/>
      <c r="CL575" s="408"/>
      <c r="CM575" s="408"/>
      <c r="CN575" s="408"/>
      <c r="CO575" s="408">
        <v>-19909.607640000009</v>
      </c>
      <c r="CP575" s="408">
        <v>2169.8316899999986</v>
      </c>
      <c r="CQ575" s="408">
        <v>30</v>
      </c>
      <c r="CR575" s="408">
        <v>2807.9381038049323</v>
      </c>
      <c r="CS575" s="408">
        <v>65.400027968664176</v>
      </c>
      <c r="CT575" s="408">
        <v>98.5127744694895</v>
      </c>
      <c r="CU575" s="408">
        <v>0</v>
      </c>
      <c r="CV575" s="408">
        <v>0</v>
      </c>
      <c r="CW575" s="408">
        <v>0</v>
      </c>
      <c r="CX575" s="408">
        <v>0</v>
      </c>
      <c r="CY575" s="408">
        <v>0</v>
      </c>
      <c r="CZ575" s="408">
        <v>231.16040853924915</v>
      </c>
      <c r="DA575" s="408">
        <v>0</v>
      </c>
      <c r="DB575" s="408">
        <v>0</v>
      </c>
      <c r="DC575" s="408">
        <v>2169.1743846216341</v>
      </c>
      <c r="DD575" s="408">
        <v>0</v>
      </c>
      <c r="DE575" s="408">
        <v>0</v>
      </c>
      <c r="DF575" s="408">
        <v>0</v>
      </c>
      <c r="DG575" s="408">
        <v>362.89881948739003</v>
      </c>
      <c r="DH575" s="408">
        <v>0</v>
      </c>
      <c r="DI575" s="408">
        <v>-101.95608206682391</v>
      </c>
      <c r="DJ575" s="408"/>
      <c r="DK575" s="408">
        <v>0</v>
      </c>
      <c r="DL575" s="408">
        <v>0</v>
      </c>
      <c r="DM575" s="408">
        <v>0</v>
      </c>
      <c r="DN575" s="408">
        <v>0</v>
      </c>
      <c r="DO575" s="408">
        <v>-13.246376338163827</v>
      </c>
      <c r="DP575" s="408">
        <v>-4.0058528765020753</v>
      </c>
      <c r="DQ575" s="408">
        <v>0</v>
      </c>
      <c r="DR575" s="408">
        <v>0</v>
      </c>
      <c r="DS575" s="408"/>
      <c r="DT575" s="408"/>
      <c r="DU575" s="408"/>
      <c r="DV575" s="408">
        <v>36630.077057942355</v>
      </c>
      <c r="DW575" s="408">
        <v>0</v>
      </c>
      <c r="DX575" s="408">
        <v>0</v>
      </c>
      <c r="DY575" s="408">
        <v>-19909.607640000009</v>
      </c>
      <c r="DZ575" s="408">
        <v>2169.8316899999991</v>
      </c>
      <c r="EA575" s="408">
        <v>0</v>
      </c>
      <c r="EB575" s="408">
        <v>0</v>
      </c>
      <c r="EC575" s="408">
        <v>-20549.095910236094</v>
      </c>
      <c r="ED575" s="408">
        <v>0</v>
      </c>
      <c r="EE575" s="408">
        <v>0</v>
      </c>
      <c r="EF575" s="408">
        <v>0</v>
      </c>
      <c r="EG575" s="408">
        <v>0</v>
      </c>
      <c r="EH575" s="408">
        <v>0</v>
      </c>
      <c r="EI575" s="408">
        <v>0</v>
      </c>
      <c r="EJ575" s="408">
        <v>0</v>
      </c>
      <c r="EK575" s="408">
        <v>0</v>
      </c>
      <c r="EL575" s="408">
        <v>0</v>
      </c>
      <c r="EM575" s="408">
        <v>0</v>
      </c>
      <c r="EN575" s="408">
        <v>0</v>
      </c>
      <c r="EO575" s="408">
        <v>0</v>
      </c>
      <c r="EP575" s="408">
        <v>0</v>
      </c>
      <c r="EQ575" s="408">
        <v>0</v>
      </c>
      <c r="ER575" s="408">
        <v>0</v>
      </c>
      <c r="ES575" s="408">
        <v>0</v>
      </c>
      <c r="ET575" s="408">
        <v>0</v>
      </c>
      <c r="EU575" s="408">
        <v>0</v>
      </c>
      <c r="EV575" s="408">
        <v>238</v>
      </c>
      <c r="EW575" s="408">
        <v>0</v>
      </c>
      <c r="EX575" s="408">
        <v>0</v>
      </c>
      <c r="EY575" s="408">
        <v>0</v>
      </c>
      <c r="EZ575" s="408"/>
      <c r="FA575" s="408">
        <v>0</v>
      </c>
      <c r="FB575" s="408"/>
      <c r="FC575" s="408"/>
      <c r="FD575" s="408"/>
      <c r="FE575" s="408"/>
      <c r="FF575" s="408">
        <v>0</v>
      </c>
      <c r="FG575" s="408">
        <v>0</v>
      </c>
      <c r="FH575" s="408">
        <v>0</v>
      </c>
      <c r="FI575" s="408">
        <v>0</v>
      </c>
    </row>
    <row r="576" spans="1:165">
      <c r="A576" s="408">
        <v>580</v>
      </c>
      <c r="B576" s="408" t="s">
        <v>1036</v>
      </c>
      <c r="C576" s="408" t="s">
        <v>2235</v>
      </c>
      <c r="D576" s="408" t="s">
        <v>1958</v>
      </c>
      <c r="E576" s="408" t="s">
        <v>2251</v>
      </c>
      <c r="F576" s="408" t="s">
        <v>1322</v>
      </c>
      <c r="G576" s="408" t="s">
        <v>1322</v>
      </c>
      <c r="H576" s="408" t="s">
        <v>1322</v>
      </c>
      <c r="I576" s="408" t="s">
        <v>1322</v>
      </c>
      <c r="J576" s="408" t="s">
        <v>2236</v>
      </c>
      <c r="K576" s="824">
        <v>44652</v>
      </c>
      <c r="L576" s="408">
        <v>0</v>
      </c>
      <c r="M576" s="408">
        <v>0</v>
      </c>
      <c r="N576" s="408">
        <v>27.931999999999999</v>
      </c>
      <c r="O576" s="408">
        <v>27.931999999999999</v>
      </c>
      <c r="P576" s="408">
        <v>27.931999999999999</v>
      </c>
      <c r="Q576" s="408">
        <v>27.931999999999999</v>
      </c>
      <c r="R576" s="408"/>
      <c r="S576" s="408">
        <v>581.32000000000005</v>
      </c>
      <c r="T576" s="408">
        <v>209.4</v>
      </c>
      <c r="U576" s="408"/>
      <c r="V576" s="408">
        <v>22086.391039999999</v>
      </c>
      <c r="W576" s="408">
        <v>22086.391039999999</v>
      </c>
      <c r="X576" s="408">
        <v>16872.883239999996</v>
      </c>
      <c r="Y576" s="408">
        <v>0</v>
      </c>
      <c r="Z576" s="408">
        <v>1718.8768316385474</v>
      </c>
      <c r="AA576" s="408">
        <v>0</v>
      </c>
      <c r="AB576" s="408">
        <v>0</v>
      </c>
      <c r="AC576" s="408">
        <v>0</v>
      </c>
      <c r="AD576" s="408">
        <v>2072.3070564366903</v>
      </c>
      <c r="AE576" s="408">
        <v>10765.141171705922</v>
      </c>
      <c r="AF576" s="408">
        <v>5772.1686314349099</v>
      </c>
      <c r="AG576" s="408">
        <v>76.895817379697533</v>
      </c>
      <c r="AH576" s="408">
        <v>0</v>
      </c>
      <c r="AI576" s="408">
        <v>0</v>
      </c>
      <c r="AJ576" s="408">
        <v>0</v>
      </c>
      <c r="AK576" s="408">
        <v>0</v>
      </c>
      <c r="AL576" s="408">
        <v>265.62219315162088</v>
      </c>
      <c r="AM576" s="408"/>
      <c r="AN576" s="408">
        <v>50.919039269731996</v>
      </c>
      <c r="AO576" s="408">
        <v>159.1978970089815</v>
      </c>
      <c r="AP576" s="408">
        <v>239.80152625588195</v>
      </c>
      <c r="AQ576" s="408">
        <v>0</v>
      </c>
      <c r="AR576" s="408">
        <v>0</v>
      </c>
      <c r="AS576" s="408">
        <v>0</v>
      </c>
      <c r="AT576" s="408">
        <v>0</v>
      </c>
      <c r="AU576" s="408">
        <v>0</v>
      </c>
      <c r="AV576" s="408">
        <v>0</v>
      </c>
      <c r="AW576" s="408">
        <v>0</v>
      </c>
      <c r="AX576" s="408">
        <v>0</v>
      </c>
      <c r="AY576" s="408">
        <v>0</v>
      </c>
      <c r="AZ576" s="408">
        <v>0</v>
      </c>
      <c r="BA576" s="408"/>
      <c r="BB576" s="408">
        <v>0</v>
      </c>
      <c r="BC576" s="408">
        <v>0</v>
      </c>
      <c r="BD576" s="408">
        <v>0</v>
      </c>
      <c r="BE576" s="408">
        <v>0</v>
      </c>
      <c r="BF576" s="408">
        <v>0</v>
      </c>
      <c r="BG576" s="408">
        <v>965.67302153318326</v>
      </c>
      <c r="BH576" s="408">
        <v>0</v>
      </c>
      <c r="BI576" s="408">
        <v>51.27</v>
      </c>
      <c r="BJ576" s="408">
        <v>240.43</v>
      </c>
      <c r="BK576" s="408">
        <v>6849.58</v>
      </c>
      <c r="BL576" s="408">
        <v>18</v>
      </c>
      <c r="BM576" s="408"/>
      <c r="BN576" s="408"/>
      <c r="BO576" s="408"/>
      <c r="BP576" s="408"/>
      <c r="BQ576" s="408"/>
      <c r="BR576" s="408"/>
      <c r="BS576" s="408"/>
      <c r="BT576" s="408"/>
      <c r="BU576" s="408"/>
      <c r="BV576" s="408">
        <v>6737.8416529680935</v>
      </c>
      <c r="BW576" s="408"/>
      <c r="BX576" s="408"/>
      <c r="BY576" s="408"/>
      <c r="BZ576" s="408"/>
      <c r="CA576" s="408"/>
      <c r="CB576" s="408"/>
      <c r="CC576" s="408"/>
      <c r="CD576" s="408"/>
      <c r="CE576" s="408"/>
      <c r="CF576" s="408"/>
      <c r="CG576" s="408"/>
      <c r="CH576" s="408"/>
      <c r="CI576" s="408">
        <v>16871.6751</v>
      </c>
      <c r="CJ576" s="408">
        <v>-5214.7459399999971</v>
      </c>
      <c r="CK576" s="408"/>
      <c r="CL576" s="408"/>
      <c r="CM576" s="408"/>
      <c r="CN576" s="408"/>
      <c r="CO576" s="408">
        <v>-5851.1953600000015</v>
      </c>
      <c r="CP576" s="408">
        <v>637.68755999999951</v>
      </c>
      <c r="CQ576" s="408">
        <v>30</v>
      </c>
      <c r="CR576" s="408">
        <v>825.21939664656384</v>
      </c>
      <c r="CS576" s="408">
        <v>19.220285357372205</v>
      </c>
      <c r="CT576" s="408">
        <v>28.951725182094179</v>
      </c>
      <c r="CU576" s="408">
        <v>0</v>
      </c>
      <c r="CV576" s="408">
        <v>0</v>
      </c>
      <c r="CW576" s="408">
        <v>0</v>
      </c>
      <c r="CX576" s="408">
        <v>0</v>
      </c>
      <c r="CY576" s="408">
        <v>0</v>
      </c>
      <c r="CZ576" s="408">
        <v>67.935276993764091</v>
      </c>
      <c r="DA576" s="408">
        <v>0</v>
      </c>
      <c r="DB576" s="408">
        <v>0</v>
      </c>
      <c r="DC576" s="408">
        <v>637.49438581748745</v>
      </c>
      <c r="DD576" s="408">
        <v>0</v>
      </c>
      <c r="DE576" s="408">
        <v>0</v>
      </c>
      <c r="DF576" s="408">
        <v>0</v>
      </c>
      <c r="DG576" s="408">
        <v>106.65161901372846</v>
      </c>
      <c r="DH576" s="408">
        <v>0</v>
      </c>
      <c r="DI576" s="408">
        <v>-29.963672067280413</v>
      </c>
      <c r="DJ576" s="408"/>
      <c r="DK576" s="408">
        <v>0</v>
      </c>
      <c r="DL576" s="408">
        <v>0</v>
      </c>
      <c r="DM576" s="408">
        <v>0</v>
      </c>
      <c r="DN576" s="408">
        <v>0</v>
      </c>
      <c r="DO576" s="408">
        <v>-3.8929514417430937</v>
      </c>
      <c r="DP576" s="408">
        <v>-1.1772722088576373</v>
      </c>
      <c r="DQ576" s="408">
        <v>0</v>
      </c>
      <c r="DR576" s="408">
        <v>0</v>
      </c>
      <c r="DS576" s="408"/>
      <c r="DT576" s="408"/>
      <c r="DU576" s="408"/>
      <c r="DV576" s="408">
        <v>10765.141171705922</v>
      </c>
      <c r="DW576" s="408">
        <v>0</v>
      </c>
      <c r="DX576" s="408">
        <v>0</v>
      </c>
      <c r="DY576" s="408">
        <v>-5851.1953600000015</v>
      </c>
      <c r="DZ576" s="408">
        <v>637.68755999999939</v>
      </c>
      <c r="EA576" s="408">
        <v>0</v>
      </c>
      <c r="EB576" s="408">
        <v>0</v>
      </c>
      <c r="EC576" s="408">
        <v>-6039.1333077103491</v>
      </c>
      <c r="ED576" s="408">
        <v>0</v>
      </c>
      <c r="EE576" s="408">
        <v>0</v>
      </c>
      <c r="EF576" s="408">
        <v>0</v>
      </c>
      <c r="EG576" s="408">
        <v>0</v>
      </c>
      <c r="EH576" s="408">
        <v>0</v>
      </c>
      <c r="EI576" s="408">
        <v>0</v>
      </c>
      <c r="EJ576" s="408">
        <v>0</v>
      </c>
      <c r="EK576" s="408">
        <v>0</v>
      </c>
      <c r="EL576" s="408">
        <v>0</v>
      </c>
      <c r="EM576" s="408">
        <v>0</v>
      </c>
      <c r="EN576" s="408">
        <v>0</v>
      </c>
      <c r="EO576" s="408">
        <v>0</v>
      </c>
      <c r="EP576" s="408">
        <v>0</v>
      </c>
      <c r="EQ576" s="408">
        <v>0</v>
      </c>
      <c r="ER576" s="408">
        <v>0</v>
      </c>
      <c r="ES576" s="408">
        <v>0</v>
      </c>
      <c r="ET576" s="408">
        <v>0</v>
      </c>
      <c r="EU576" s="408">
        <v>0</v>
      </c>
      <c r="EV576" s="408">
        <v>238</v>
      </c>
      <c r="EW576" s="408">
        <v>0</v>
      </c>
      <c r="EX576" s="408">
        <v>0</v>
      </c>
      <c r="EY576" s="408">
        <v>0</v>
      </c>
      <c r="EZ576" s="408"/>
      <c r="FA576" s="408">
        <v>0</v>
      </c>
      <c r="FB576" s="408"/>
      <c r="FC576" s="408"/>
      <c r="FD576" s="408"/>
      <c r="FE576" s="408"/>
      <c r="FF576" s="408">
        <v>0</v>
      </c>
      <c r="FG576" s="408">
        <v>0</v>
      </c>
      <c r="FH576" s="408">
        <v>0</v>
      </c>
      <c r="FI576" s="408">
        <v>0</v>
      </c>
    </row>
    <row r="577" spans="1:165">
      <c r="A577" s="408">
        <v>581</v>
      </c>
      <c r="B577" s="408" t="s">
        <v>1036</v>
      </c>
      <c r="C577" s="408" t="s">
        <v>2235</v>
      </c>
      <c r="D577" s="408" t="s">
        <v>2245</v>
      </c>
      <c r="E577" s="408" t="s">
        <v>974</v>
      </c>
      <c r="F577" s="408" t="s">
        <v>2252</v>
      </c>
      <c r="G577" s="408" t="s">
        <v>2253</v>
      </c>
      <c r="H577" s="408" t="s">
        <v>1322</v>
      </c>
      <c r="I577" s="408" t="s">
        <v>1322</v>
      </c>
      <c r="J577" s="408" t="s">
        <v>2236</v>
      </c>
      <c r="K577" s="824">
        <v>44652</v>
      </c>
      <c r="L577" s="408">
        <v>0</v>
      </c>
      <c r="M577" s="408">
        <v>0</v>
      </c>
      <c r="N577" s="408">
        <v>0</v>
      </c>
      <c r="O577" s="408">
        <v>0</v>
      </c>
      <c r="P577" s="408">
        <v>0</v>
      </c>
      <c r="Q577" s="408">
        <v>0</v>
      </c>
      <c r="R577" s="408"/>
      <c r="S577" s="408"/>
      <c r="T577" s="408"/>
      <c r="U577" s="408"/>
      <c r="V577" s="408"/>
      <c r="W577" s="408"/>
      <c r="X577" s="408"/>
      <c r="Y577" s="408"/>
      <c r="Z577" s="408"/>
      <c r="AA577" s="408">
        <v>0</v>
      </c>
      <c r="AB577" s="408"/>
      <c r="AC577" s="408"/>
      <c r="AD577" s="408"/>
      <c r="AE577" s="408"/>
      <c r="AF577" s="408"/>
      <c r="AG577" s="408"/>
      <c r="AH577" s="408"/>
      <c r="AI577" s="408"/>
      <c r="AJ577" s="408"/>
      <c r="AK577" s="408"/>
      <c r="AL577" s="408"/>
      <c r="AM577" s="408"/>
      <c r="AN577" s="408"/>
      <c r="AO577" s="408"/>
      <c r="AP577" s="408"/>
      <c r="AQ577" s="408"/>
      <c r="AR577" s="408"/>
      <c r="AS577" s="408"/>
      <c r="AT577" s="408"/>
      <c r="AU577" s="408"/>
      <c r="AV577" s="408"/>
      <c r="AW577" s="408"/>
      <c r="AX577" s="408"/>
      <c r="AY577" s="408"/>
      <c r="AZ577" s="408">
        <v>0</v>
      </c>
      <c r="BA577" s="408"/>
      <c r="BB577" s="408"/>
      <c r="BC577" s="408"/>
      <c r="BD577" s="408"/>
      <c r="BE577" s="408"/>
      <c r="BF577" s="408"/>
      <c r="BG577" s="408"/>
      <c r="BH577" s="408"/>
      <c r="BI577" s="408">
        <v>102.89</v>
      </c>
      <c r="BJ577" s="408">
        <v>475.4</v>
      </c>
      <c r="BK577" s="408">
        <v>1201.8399999999999</v>
      </c>
      <c r="BL577" s="408">
        <v>138</v>
      </c>
      <c r="BM577" s="408"/>
      <c r="BN577" s="408"/>
      <c r="BO577" s="408"/>
      <c r="BP577" s="408"/>
      <c r="BQ577" s="408"/>
      <c r="BR577" s="408"/>
      <c r="BS577" s="408"/>
      <c r="BT577" s="408"/>
      <c r="BU577" s="408"/>
      <c r="BV577" s="408"/>
      <c r="BW577" s="408"/>
      <c r="BX577" s="408"/>
      <c r="BY577" s="408"/>
      <c r="BZ577" s="408"/>
      <c r="CA577" s="408"/>
      <c r="CB577" s="408"/>
      <c r="CC577" s="408"/>
      <c r="CD577" s="408"/>
      <c r="CE577" s="408"/>
      <c r="CF577" s="408"/>
      <c r="CG577" s="408"/>
      <c r="CH577" s="408"/>
      <c r="CI577" s="408"/>
      <c r="CJ577" s="408">
        <v>-0.03</v>
      </c>
      <c r="CK577" s="408"/>
      <c r="CL577" s="408"/>
      <c r="CM577" s="408"/>
      <c r="CN577" s="408"/>
      <c r="CO577" s="408">
        <v>0</v>
      </c>
      <c r="CP577" s="408">
        <v>0</v>
      </c>
      <c r="CQ577" s="408">
        <v>30</v>
      </c>
      <c r="CR577" s="408"/>
      <c r="CS577" s="408"/>
      <c r="CT577" s="408"/>
      <c r="CU577" s="408"/>
      <c r="CV577" s="408"/>
      <c r="CW577" s="408"/>
      <c r="CX577" s="408"/>
      <c r="CY577" s="408"/>
      <c r="CZ577" s="408"/>
      <c r="DA577" s="408"/>
      <c r="DB577" s="408"/>
      <c r="DC577" s="408"/>
      <c r="DD577" s="408"/>
      <c r="DE577" s="408"/>
      <c r="DF577" s="408"/>
      <c r="DG577" s="408"/>
      <c r="DH577" s="408"/>
      <c r="DI577" s="408"/>
      <c r="DJ577" s="408"/>
      <c r="DK577" s="408">
        <v>0</v>
      </c>
      <c r="DL577" s="408"/>
      <c r="DM577" s="408"/>
      <c r="DN577" s="408"/>
      <c r="DO577" s="408"/>
      <c r="DP577" s="408"/>
      <c r="DQ577" s="408"/>
      <c r="DR577" s="408"/>
      <c r="DS577" s="408"/>
      <c r="DT577" s="408"/>
      <c r="DU577" s="408"/>
      <c r="DV577" s="408"/>
      <c r="DW577" s="408"/>
      <c r="DX577" s="408"/>
      <c r="DY577" s="408"/>
      <c r="DZ577" s="408"/>
      <c r="EA577" s="408"/>
      <c r="EB577" s="408"/>
      <c r="EC577" s="408"/>
      <c r="ED577" s="408"/>
      <c r="EE577" s="408"/>
      <c r="EF577" s="408"/>
      <c r="EG577" s="408"/>
      <c r="EH577" s="408"/>
      <c r="EI577" s="408"/>
      <c r="EJ577" s="408"/>
      <c r="EK577" s="408"/>
      <c r="EL577" s="408"/>
      <c r="EM577" s="408"/>
      <c r="EN577" s="408"/>
      <c r="EO577" s="408"/>
      <c r="EP577" s="408"/>
      <c r="EQ577" s="408"/>
      <c r="ER577" s="408"/>
      <c r="ES577" s="408"/>
      <c r="ET577" s="408"/>
      <c r="EU577" s="408"/>
      <c r="EV577" s="408">
        <v>238</v>
      </c>
      <c r="EW577" s="408"/>
      <c r="EX577" s="408"/>
      <c r="EY577" s="408"/>
      <c r="EZ577" s="408"/>
      <c r="FA577" s="408">
        <v>0</v>
      </c>
      <c r="FB577" s="408"/>
      <c r="FC577" s="408"/>
      <c r="FD577" s="408"/>
      <c r="FE577" s="408"/>
      <c r="FF577" s="408">
        <v>0</v>
      </c>
      <c r="FG577" s="408">
        <v>0</v>
      </c>
      <c r="FH577" s="408">
        <v>0</v>
      </c>
      <c r="FI577" s="408">
        <v>0</v>
      </c>
    </row>
    <row r="578" spans="1:165">
      <c r="A578" s="408">
        <v>582</v>
      </c>
      <c r="B578" s="408" t="s">
        <v>2238</v>
      </c>
      <c r="C578" s="408" t="s">
        <v>2235</v>
      </c>
      <c r="D578" s="408" t="s">
        <v>2245</v>
      </c>
      <c r="E578" s="408" t="s">
        <v>974</v>
      </c>
      <c r="F578" s="408" t="s">
        <v>2252</v>
      </c>
      <c r="G578" s="408" t="s">
        <v>2253</v>
      </c>
      <c r="H578" s="408" t="s">
        <v>1322</v>
      </c>
      <c r="I578" s="408" t="s">
        <v>1322</v>
      </c>
      <c r="J578" s="408" t="s">
        <v>2236</v>
      </c>
      <c r="K578" s="824">
        <v>44652</v>
      </c>
      <c r="L578" s="408">
        <v>0</v>
      </c>
      <c r="M578" s="408">
        <v>0</v>
      </c>
      <c r="N578" s="408">
        <v>0</v>
      </c>
      <c r="O578" s="408">
        <v>0</v>
      </c>
      <c r="P578" s="408">
        <v>0</v>
      </c>
      <c r="Q578" s="408">
        <v>0</v>
      </c>
      <c r="R578" s="408"/>
      <c r="S578" s="408"/>
      <c r="T578" s="408"/>
      <c r="U578" s="408"/>
      <c r="V578" s="408"/>
      <c r="W578" s="408"/>
      <c r="X578" s="408"/>
      <c r="Y578" s="408"/>
      <c r="Z578" s="408"/>
      <c r="AA578" s="408">
        <v>0</v>
      </c>
      <c r="AB578" s="408"/>
      <c r="AC578" s="408"/>
      <c r="AD578" s="408"/>
      <c r="AE578" s="408"/>
      <c r="AF578" s="408"/>
      <c r="AG578" s="408"/>
      <c r="AH578" s="408"/>
      <c r="AI578" s="408"/>
      <c r="AJ578" s="408"/>
      <c r="AK578" s="408"/>
      <c r="AL578" s="408"/>
      <c r="AM578" s="408"/>
      <c r="AN578" s="408"/>
      <c r="AO578" s="408"/>
      <c r="AP578" s="408"/>
      <c r="AQ578" s="408"/>
      <c r="AR578" s="408"/>
      <c r="AS578" s="408"/>
      <c r="AT578" s="408"/>
      <c r="AU578" s="408"/>
      <c r="AV578" s="408"/>
      <c r="AW578" s="408"/>
      <c r="AX578" s="408"/>
      <c r="AY578" s="408"/>
      <c r="AZ578" s="408">
        <v>0</v>
      </c>
      <c r="BA578" s="408"/>
      <c r="BB578" s="408"/>
      <c r="BC578" s="408"/>
      <c r="BD578" s="408"/>
      <c r="BE578" s="408"/>
      <c r="BF578" s="408"/>
      <c r="BG578" s="408"/>
      <c r="BH578" s="408"/>
      <c r="BI578" s="408">
        <v>5.05</v>
      </c>
      <c r="BJ578" s="408">
        <v>23.65</v>
      </c>
      <c r="BK578" s="408">
        <v>209.77</v>
      </c>
      <c r="BL578" s="408">
        <v>24</v>
      </c>
      <c r="BM578" s="408"/>
      <c r="BN578" s="408"/>
      <c r="BO578" s="408"/>
      <c r="BP578" s="408"/>
      <c r="BQ578" s="408"/>
      <c r="BR578" s="408"/>
      <c r="BS578" s="408"/>
      <c r="BT578" s="408"/>
      <c r="BU578" s="408"/>
      <c r="BV578" s="408"/>
      <c r="BW578" s="408"/>
      <c r="BX578" s="408"/>
      <c r="BY578" s="408"/>
      <c r="BZ578" s="408"/>
      <c r="CA578" s="408"/>
      <c r="CB578" s="408"/>
      <c r="CC578" s="408"/>
      <c r="CD578" s="408"/>
      <c r="CE578" s="408"/>
      <c r="CF578" s="408"/>
      <c r="CG578" s="408"/>
      <c r="CH578" s="408"/>
      <c r="CI578" s="408"/>
      <c r="CJ578" s="408">
        <v>-0.03</v>
      </c>
      <c r="CK578" s="408"/>
      <c r="CL578" s="408"/>
      <c r="CM578" s="408"/>
      <c r="CN578" s="408"/>
      <c r="CO578" s="408">
        <v>0</v>
      </c>
      <c r="CP578" s="408">
        <v>0</v>
      </c>
      <c r="CQ578" s="408">
        <v>30</v>
      </c>
      <c r="CR578" s="408"/>
      <c r="CS578" s="408"/>
      <c r="CT578" s="408"/>
      <c r="CU578" s="408"/>
      <c r="CV578" s="408"/>
      <c r="CW578" s="408"/>
      <c r="CX578" s="408"/>
      <c r="CY578" s="408"/>
      <c r="CZ578" s="408"/>
      <c r="DA578" s="408"/>
      <c r="DB578" s="408"/>
      <c r="DC578" s="408"/>
      <c r="DD578" s="408"/>
      <c r="DE578" s="408"/>
      <c r="DF578" s="408"/>
      <c r="DG578" s="408"/>
      <c r="DH578" s="408"/>
      <c r="DI578" s="408"/>
      <c r="DJ578" s="408"/>
      <c r="DK578" s="408">
        <v>0</v>
      </c>
      <c r="DL578" s="408"/>
      <c r="DM578" s="408"/>
      <c r="DN578" s="408"/>
      <c r="DO578" s="408"/>
      <c r="DP578" s="408"/>
      <c r="DQ578" s="408"/>
      <c r="DR578" s="408"/>
      <c r="DS578" s="408"/>
      <c r="DT578" s="408"/>
      <c r="DU578" s="408"/>
      <c r="DV578" s="408"/>
      <c r="DW578" s="408"/>
      <c r="DX578" s="408"/>
      <c r="DY578" s="408"/>
      <c r="DZ578" s="408"/>
      <c r="EA578" s="408"/>
      <c r="EB578" s="408"/>
      <c r="EC578" s="408"/>
      <c r="ED578" s="408"/>
      <c r="EE578" s="408"/>
      <c r="EF578" s="408"/>
      <c r="EG578" s="408"/>
      <c r="EH578" s="408"/>
      <c r="EI578" s="408"/>
      <c r="EJ578" s="408"/>
      <c r="EK578" s="408"/>
      <c r="EL578" s="408"/>
      <c r="EM578" s="408"/>
      <c r="EN578" s="408"/>
      <c r="EO578" s="408"/>
      <c r="EP578" s="408"/>
      <c r="EQ578" s="408"/>
      <c r="ER578" s="408"/>
      <c r="ES578" s="408"/>
      <c r="ET578" s="408"/>
      <c r="EU578" s="408"/>
      <c r="EV578" s="408">
        <v>238</v>
      </c>
      <c r="EW578" s="408"/>
      <c r="EX578" s="408"/>
      <c r="EY578" s="408"/>
      <c r="EZ578" s="408"/>
      <c r="FA578" s="408">
        <v>0</v>
      </c>
      <c r="FB578" s="408"/>
      <c r="FC578" s="408"/>
      <c r="FD578" s="408"/>
      <c r="FE578" s="408"/>
      <c r="FF578" s="408">
        <v>0</v>
      </c>
      <c r="FG578" s="408">
        <v>0</v>
      </c>
      <c r="FH578" s="408">
        <v>0</v>
      </c>
      <c r="FI578" s="408">
        <v>0</v>
      </c>
    </row>
    <row r="579" spans="1:165">
      <c r="A579" s="408">
        <v>583</v>
      </c>
      <c r="B579" s="408" t="s">
        <v>1036</v>
      </c>
      <c r="C579" s="408" t="s">
        <v>2235</v>
      </c>
      <c r="D579" s="408" t="s">
        <v>2245</v>
      </c>
      <c r="E579" s="408" t="s">
        <v>974</v>
      </c>
      <c r="F579" s="408" t="s">
        <v>2252</v>
      </c>
      <c r="G579" s="408" t="s">
        <v>2253</v>
      </c>
      <c r="H579" s="408" t="s">
        <v>1322</v>
      </c>
      <c r="I579" s="408" t="s">
        <v>1322</v>
      </c>
      <c r="J579" s="408" t="s">
        <v>2236</v>
      </c>
      <c r="K579" s="824">
        <v>44652</v>
      </c>
      <c r="L579" s="408">
        <v>0</v>
      </c>
      <c r="M579" s="408">
        <v>0</v>
      </c>
      <c r="N579" s="408">
        <v>53.863999999999997</v>
      </c>
      <c r="O579" s="408">
        <v>53.863999999999997</v>
      </c>
      <c r="P579" s="408">
        <v>53.863999999999997</v>
      </c>
      <c r="Q579" s="408">
        <v>53.863999999999997</v>
      </c>
      <c r="R579" s="408"/>
      <c r="S579" s="408">
        <v>581.32000000000005</v>
      </c>
      <c r="T579" s="408">
        <v>209.4</v>
      </c>
      <c r="U579" s="408"/>
      <c r="V579" s="408">
        <v>42591.342080000002</v>
      </c>
      <c r="W579" s="408">
        <v>42591.342080000002</v>
      </c>
      <c r="X579" s="408">
        <v>32537.626479999995</v>
      </c>
      <c r="Y579" s="408">
        <v>0</v>
      </c>
      <c r="Z579" s="408">
        <v>3314.6778483237404</v>
      </c>
      <c r="AA579" s="408">
        <v>0</v>
      </c>
      <c r="AB579" s="408">
        <v>0</v>
      </c>
      <c r="AC579" s="408">
        <v>0</v>
      </c>
      <c r="AD579" s="408">
        <v>3996.2318232817515</v>
      </c>
      <c r="AE579" s="408">
        <v>20759.471719632238</v>
      </c>
      <c r="AF579" s="408">
        <v>11131.03577128777</v>
      </c>
      <c r="AG579" s="408">
        <v>148.28570483101919</v>
      </c>
      <c r="AH579" s="408">
        <v>0</v>
      </c>
      <c r="AI579" s="408">
        <v>0</v>
      </c>
      <c r="AJ579" s="408">
        <v>0</v>
      </c>
      <c r="AK579" s="408">
        <v>0</v>
      </c>
      <c r="AL579" s="408">
        <v>512.22518301299249</v>
      </c>
      <c r="AM579" s="408"/>
      <c r="AN579" s="408">
        <v>98.192149907806254</v>
      </c>
      <c r="AO579" s="408">
        <v>306.99683246784264</v>
      </c>
      <c r="AP579" s="408">
        <v>462.43267257077275</v>
      </c>
      <c r="AQ579" s="408">
        <v>0</v>
      </c>
      <c r="AR579" s="408">
        <v>0</v>
      </c>
      <c r="AS579" s="408">
        <v>0</v>
      </c>
      <c r="AT579" s="408">
        <v>0</v>
      </c>
      <c r="AU579" s="408">
        <v>0</v>
      </c>
      <c r="AV579" s="408">
        <v>0</v>
      </c>
      <c r="AW579" s="408">
        <v>0</v>
      </c>
      <c r="AX579" s="408">
        <v>0</v>
      </c>
      <c r="AY579" s="408">
        <v>0</v>
      </c>
      <c r="AZ579" s="408">
        <v>0</v>
      </c>
      <c r="BA579" s="408"/>
      <c r="BB579" s="408">
        <v>0</v>
      </c>
      <c r="BC579" s="408">
        <v>0</v>
      </c>
      <c r="BD579" s="408">
        <v>0</v>
      </c>
      <c r="BE579" s="408">
        <v>0</v>
      </c>
      <c r="BF579" s="408">
        <v>0</v>
      </c>
      <c r="BG579" s="408">
        <v>1862.2014761514888</v>
      </c>
      <c r="BH579" s="408">
        <v>0</v>
      </c>
      <c r="BI579" s="408">
        <v>0</v>
      </c>
      <c r="BJ579" s="408">
        <v>0</v>
      </c>
      <c r="BK579" s="408">
        <v>0</v>
      </c>
      <c r="BL579" s="408">
        <v>0</v>
      </c>
      <c r="BM579" s="408"/>
      <c r="BN579" s="408"/>
      <c r="BO579" s="408"/>
      <c r="BP579" s="408"/>
      <c r="BQ579" s="408"/>
      <c r="BR579" s="408">
        <v>3904.6013599999956</v>
      </c>
      <c r="BS579" s="408"/>
      <c r="BT579" s="408"/>
      <c r="BU579" s="408"/>
      <c r="BV579" s="408">
        <v>12993.23724743926</v>
      </c>
      <c r="BW579" s="408"/>
      <c r="BX579" s="408"/>
      <c r="BY579" s="408"/>
      <c r="BZ579" s="408"/>
      <c r="CA579" s="408"/>
      <c r="CB579" s="408"/>
      <c r="CC579" s="408"/>
      <c r="CD579" s="408"/>
      <c r="CE579" s="408"/>
      <c r="CF579" s="408"/>
      <c r="CG579" s="408"/>
      <c r="CH579" s="408"/>
      <c r="CI579" s="408">
        <v>28630.898800000003</v>
      </c>
      <c r="CJ579" s="408">
        <v>-8850.3955999999889</v>
      </c>
      <c r="CK579" s="408"/>
      <c r="CL579" s="408"/>
      <c r="CM579" s="408"/>
      <c r="CN579" s="408"/>
      <c r="CO579" s="408">
        <v>-11283.430720000004</v>
      </c>
      <c r="CP579" s="408">
        <v>1229.7151199999992</v>
      </c>
      <c r="CQ579" s="408">
        <v>30</v>
      </c>
      <c r="CR579" s="408">
        <v>1591.3510518749354</v>
      </c>
      <c r="CS579" s="408">
        <v>37.064350941196324</v>
      </c>
      <c r="CT579" s="408">
        <v>55.830435529440138</v>
      </c>
      <c r="CU579" s="408">
        <v>0</v>
      </c>
      <c r="CV579" s="408">
        <v>0</v>
      </c>
      <c r="CW579" s="408">
        <v>0</v>
      </c>
      <c r="CX579" s="408">
        <v>0</v>
      </c>
      <c r="CY579" s="408">
        <v>0</v>
      </c>
      <c r="CZ579" s="408">
        <v>131.00622082171321</v>
      </c>
      <c r="DA579" s="408">
        <v>0</v>
      </c>
      <c r="DB579" s="408">
        <v>0</v>
      </c>
      <c r="DC579" s="408">
        <v>1229.3426033822543</v>
      </c>
      <c r="DD579" s="408">
        <v>0</v>
      </c>
      <c r="DE579" s="408">
        <v>0</v>
      </c>
      <c r="DF579" s="408">
        <v>0</v>
      </c>
      <c r="DG579" s="408">
        <v>205.66671940983315</v>
      </c>
      <c r="DH579" s="408">
        <v>0</v>
      </c>
      <c r="DI579" s="408">
        <v>-57.781871410281838</v>
      </c>
      <c r="DJ579" s="408"/>
      <c r="DK579" s="408">
        <v>0</v>
      </c>
      <c r="DL579" s="408">
        <v>0</v>
      </c>
      <c r="DM579" s="408">
        <v>0</v>
      </c>
      <c r="DN579" s="408">
        <v>0</v>
      </c>
      <c r="DO579" s="408">
        <v>-7.5071579714324344</v>
      </c>
      <c r="DP579" s="408">
        <v>-2.2702488277927699</v>
      </c>
      <c r="DQ579" s="408">
        <v>0</v>
      </c>
      <c r="DR579" s="408">
        <v>0</v>
      </c>
      <c r="DS579" s="408"/>
      <c r="DT579" s="408"/>
      <c r="DU579" s="408"/>
      <c r="DV579" s="408">
        <v>20759.471719632238</v>
      </c>
      <c r="DW579" s="408">
        <v>0</v>
      </c>
      <c r="DX579" s="408">
        <v>0</v>
      </c>
      <c r="DY579" s="408">
        <v>-11283.430720000004</v>
      </c>
      <c r="DZ579" s="408">
        <v>1229.7151199999989</v>
      </c>
      <c r="EA579" s="408">
        <v>0</v>
      </c>
      <c r="EB579" s="408">
        <v>0</v>
      </c>
      <c r="EC579" s="408">
        <v>-11645.849795450027</v>
      </c>
      <c r="ED579" s="408">
        <v>0</v>
      </c>
      <c r="EE579" s="408">
        <v>0</v>
      </c>
      <c r="EF579" s="408">
        <v>0</v>
      </c>
      <c r="EG579" s="408">
        <v>0</v>
      </c>
      <c r="EH579" s="408">
        <v>0</v>
      </c>
      <c r="EI579" s="408">
        <v>0</v>
      </c>
      <c r="EJ579" s="408">
        <v>0</v>
      </c>
      <c r="EK579" s="408">
        <v>0</v>
      </c>
      <c r="EL579" s="408">
        <v>0</v>
      </c>
      <c r="EM579" s="408">
        <v>0</v>
      </c>
      <c r="EN579" s="408">
        <v>0</v>
      </c>
      <c r="EO579" s="408">
        <v>0</v>
      </c>
      <c r="EP579" s="408">
        <v>0</v>
      </c>
      <c r="EQ579" s="408">
        <v>0</v>
      </c>
      <c r="ER579" s="408">
        <v>0</v>
      </c>
      <c r="ES579" s="408">
        <v>0</v>
      </c>
      <c r="ET579" s="408">
        <v>0</v>
      </c>
      <c r="EU579" s="408">
        <v>0</v>
      </c>
      <c r="EV579" s="408">
        <v>238</v>
      </c>
      <c r="EW579" s="408">
        <v>0</v>
      </c>
      <c r="EX579" s="408">
        <v>0</v>
      </c>
      <c r="EY579" s="408">
        <v>0</v>
      </c>
      <c r="EZ579" s="408"/>
      <c r="FA579" s="408">
        <v>0</v>
      </c>
      <c r="FB579" s="408"/>
      <c r="FC579" s="408"/>
      <c r="FD579" s="408"/>
      <c r="FE579" s="408"/>
      <c r="FF579" s="408">
        <v>0</v>
      </c>
      <c r="FG579" s="408">
        <v>0</v>
      </c>
      <c r="FH579" s="408">
        <v>0</v>
      </c>
      <c r="FI579" s="408">
        <v>0</v>
      </c>
    </row>
    <row r="580" spans="1:165">
      <c r="A580" s="408">
        <v>584</v>
      </c>
      <c r="B580" s="408" t="s">
        <v>2238</v>
      </c>
      <c r="C580" s="408" t="s">
        <v>2235</v>
      </c>
      <c r="D580" s="408" t="s">
        <v>2245</v>
      </c>
      <c r="E580" s="408" t="s">
        <v>974</v>
      </c>
      <c r="F580" s="408" t="s">
        <v>2252</v>
      </c>
      <c r="G580" s="408" t="s">
        <v>2253</v>
      </c>
      <c r="H580" s="408" t="s">
        <v>1322</v>
      </c>
      <c r="I580" s="408" t="s">
        <v>1322</v>
      </c>
      <c r="J580" s="408" t="s">
        <v>2236</v>
      </c>
      <c r="K580" s="824">
        <v>44652</v>
      </c>
      <c r="L580" s="408">
        <v>0</v>
      </c>
      <c r="M580" s="408">
        <v>0</v>
      </c>
      <c r="N580" s="408">
        <v>2.0299999999999998</v>
      </c>
      <c r="O580" s="408">
        <v>2.0299999999999998</v>
      </c>
      <c r="P580" s="408">
        <v>2.0299999999999998</v>
      </c>
      <c r="Q580" s="408">
        <v>2.0299999999999998</v>
      </c>
      <c r="R580" s="408"/>
      <c r="S580" s="408">
        <v>581.32000000000005</v>
      </c>
      <c r="T580" s="408">
        <v>209.4</v>
      </c>
      <c r="U580" s="408"/>
      <c r="V580" s="408">
        <v>1605.1615999999999</v>
      </c>
      <c r="W580" s="408">
        <v>1605.1615999999999</v>
      </c>
      <c r="X580" s="408">
        <v>1226.2620999999999</v>
      </c>
      <c r="Y580" s="408">
        <v>0</v>
      </c>
      <c r="Z580" s="408">
        <v>124.9219521776547</v>
      </c>
      <c r="AA580" s="408">
        <v>0</v>
      </c>
      <c r="AB580" s="408">
        <v>0</v>
      </c>
      <c r="AC580" s="408">
        <v>0</v>
      </c>
      <c r="AD580" s="408">
        <v>150.60802393550341</v>
      </c>
      <c r="AE580" s="408">
        <v>782.37278313629599</v>
      </c>
      <c r="AF580" s="408">
        <v>419.50101395578071</v>
      </c>
      <c r="AG580" s="408">
        <v>5.5885188773015182</v>
      </c>
      <c r="AH580" s="408">
        <v>0</v>
      </c>
      <c r="AI580" s="408">
        <v>0</v>
      </c>
      <c r="AJ580" s="408">
        <v>0</v>
      </c>
      <c r="AK580" s="408">
        <v>0</v>
      </c>
      <c r="AL580" s="408">
        <v>19.304491339602979</v>
      </c>
      <c r="AM580" s="408"/>
      <c r="AN580" s="408">
        <v>3.7006175611326055</v>
      </c>
      <c r="AO580" s="408">
        <v>11.569945973372205</v>
      </c>
      <c r="AP580" s="408">
        <v>17.427935640105982</v>
      </c>
      <c r="AQ580" s="408">
        <v>0</v>
      </c>
      <c r="AR580" s="408">
        <v>0</v>
      </c>
      <c r="AS580" s="408">
        <v>0</v>
      </c>
      <c r="AT580" s="408">
        <v>0</v>
      </c>
      <c r="AU580" s="408">
        <v>0</v>
      </c>
      <c r="AV580" s="408">
        <v>0</v>
      </c>
      <c r="AW580" s="408">
        <v>0</v>
      </c>
      <c r="AX580" s="408">
        <v>0</v>
      </c>
      <c r="AY580" s="408">
        <v>0</v>
      </c>
      <c r="AZ580" s="408">
        <v>0</v>
      </c>
      <c r="BA580" s="408"/>
      <c r="BB580" s="408">
        <v>0</v>
      </c>
      <c r="BC580" s="408">
        <v>0</v>
      </c>
      <c r="BD580" s="408">
        <v>0</v>
      </c>
      <c r="BE580" s="408">
        <v>0</v>
      </c>
      <c r="BF580" s="408">
        <v>0</v>
      </c>
      <c r="BG580" s="408">
        <v>70.181735418600965</v>
      </c>
      <c r="BH580" s="408">
        <v>0</v>
      </c>
      <c r="BI580" s="408">
        <v>0</v>
      </c>
      <c r="BJ580" s="408">
        <v>0</v>
      </c>
      <c r="BK580" s="408">
        <v>0</v>
      </c>
      <c r="BL580" s="408">
        <v>0</v>
      </c>
      <c r="BM580" s="408"/>
      <c r="BN580" s="408"/>
      <c r="BO580" s="408"/>
      <c r="BP580" s="408"/>
      <c r="BQ580" s="408"/>
      <c r="BR580" s="408">
        <v>147.15469999999982</v>
      </c>
      <c r="BS580" s="408"/>
      <c r="BT580" s="408"/>
      <c r="BU580" s="408"/>
      <c r="BV580" s="408">
        <v>489.68274937438167</v>
      </c>
      <c r="BW580" s="408"/>
      <c r="BX580" s="408"/>
      <c r="BY580" s="408"/>
      <c r="BZ580" s="408"/>
      <c r="CA580" s="408"/>
      <c r="CB580" s="408"/>
      <c r="CC580" s="408"/>
      <c r="CD580" s="408"/>
      <c r="CE580" s="408"/>
      <c r="CF580" s="408"/>
      <c r="CG580" s="408"/>
      <c r="CH580" s="408"/>
      <c r="CI580" s="408">
        <v>1079.1073999999999</v>
      </c>
      <c r="CJ580" s="408">
        <v>-333.49810000000002</v>
      </c>
      <c r="CK580" s="408"/>
      <c r="CL580" s="408"/>
      <c r="CM580" s="408"/>
      <c r="CN580" s="408"/>
      <c r="CO580" s="408">
        <v>-425.2444000000001</v>
      </c>
      <c r="CP580" s="408">
        <v>46.34489999999996</v>
      </c>
      <c r="CQ580" s="408">
        <v>30</v>
      </c>
      <c r="CR580" s="408">
        <v>59.974057539471801</v>
      </c>
      <c r="CS580" s="408">
        <v>1.3968630701512819</v>
      </c>
      <c r="CT580" s="408">
        <v>2.1041100572694837</v>
      </c>
      <c r="CU580" s="408">
        <v>0</v>
      </c>
      <c r="CV580" s="408">
        <v>0</v>
      </c>
      <c r="CW580" s="408">
        <v>0</v>
      </c>
      <c r="CX580" s="408">
        <v>0</v>
      </c>
      <c r="CY580" s="408">
        <v>0</v>
      </c>
      <c r="CZ580" s="408">
        <v>4.9372981633016195</v>
      </c>
      <c r="DA580" s="408">
        <v>0</v>
      </c>
      <c r="DB580" s="408">
        <v>0</v>
      </c>
      <c r="DC580" s="408">
        <v>46.330860776510804</v>
      </c>
      <c r="DD580" s="408">
        <v>0</v>
      </c>
      <c r="DE580" s="408">
        <v>0</v>
      </c>
      <c r="DF580" s="408">
        <v>0</v>
      </c>
      <c r="DG580" s="408">
        <v>7.7510663968877367</v>
      </c>
      <c r="DH580" s="408">
        <v>0</v>
      </c>
      <c r="DI580" s="408">
        <v>-2.1776548151431712</v>
      </c>
      <c r="DJ580" s="408"/>
      <c r="DK580" s="408">
        <v>0</v>
      </c>
      <c r="DL580" s="408">
        <v>0</v>
      </c>
      <c r="DM580" s="408">
        <v>0</v>
      </c>
      <c r="DN580" s="408">
        <v>0</v>
      </c>
      <c r="DO580" s="408">
        <v>-0.28292608573459077</v>
      </c>
      <c r="DP580" s="408">
        <v>-8.5560023771336979E-2</v>
      </c>
      <c r="DQ580" s="408">
        <v>0</v>
      </c>
      <c r="DR580" s="408">
        <v>0</v>
      </c>
      <c r="DS580" s="408"/>
      <c r="DT580" s="408"/>
      <c r="DU580" s="408"/>
      <c r="DV580" s="408">
        <v>782.37278313629599</v>
      </c>
      <c r="DW580" s="408">
        <v>0</v>
      </c>
      <c r="DX580" s="408">
        <v>0</v>
      </c>
      <c r="DY580" s="408">
        <v>-425.24440000000016</v>
      </c>
      <c r="DZ580" s="408">
        <v>46.344899999999939</v>
      </c>
      <c r="EA580" s="408">
        <v>0</v>
      </c>
      <c r="EB580" s="408">
        <v>0</v>
      </c>
      <c r="EC580" s="408">
        <v>-438.90307227022799</v>
      </c>
      <c r="ED580" s="408">
        <v>0</v>
      </c>
      <c r="EE580" s="408">
        <v>0</v>
      </c>
      <c r="EF580" s="408">
        <v>0</v>
      </c>
      <c r="EG580" s="408">
        <v>0</v>
      </c>
      <c r="EH580" s="408">
        <v>0</v>
      </c>
      <c r="EI580" s="408">
        <v>0</v>
      </c>
      <c r="EJ580" s="408">
        <v>0</v>
      </c>
      <c r="EK580" s="408">
        <v>0</v>
      </c>
      <c r="EL580" s="408">
        <v>0</v>
      </c>
      <c r="EM580" s="408">
        <v>0</v>
      </c>
      <c r="EN580" s="408">
        <v>0</v>
      </c>
      <c r="EO580" s="408">
        <v>0</v>
      </c>
      <c r="EP580" s="408">
        <v>0</v>
      </c>
      <c r="EQ580" s="408">
        <v>0</v>
      </c>
      <c r="ER580" s="408">
        <v>0</v>
      </c>
      <c r="ES580" s="408">
        <v>0</v>
      </c>
      <c r="ET580" s="408">
        <v>0</v>
      </c>
      <c r="EU580" s="408">
        <v>0</v>
      </c>
      <c r="EV580" s="408">
        <v>238</v>
      </c>
      <c r="EW580" s="408">
        <v>0</v>
      </c>
      <c r="EX580" s="408">
        <v>0</v>
      </c>
      <c r="EY580" s="408">
        <v>0</v>
      </c>
      <c r="EZ580" s="408"/>
      <c r="FA580" s="408">
        <v>0</v>
      </c>
      <c r="FB580" s="408"/>
      <c r="FC580" s="408"/>
      <c r="FD580" s="408"/>
      <c r="FE580" s="408"/>
      <c r="FF580" s="408">
        <v>0</v>
      </c>
      <c r="FG580" s="408">
        <v>0</v>
      </c>
      <c r="FH580" s="408">
        <v>0</v>
      </c>
      <c r="FI580" s="408">
        <v>0</v>
      </c>
    </row>
    <row r="581" spans="1:165">
      <c r="A581" s="408">
        <v>585</v>
      </c>
      <c r="B581" s="408" t="s">
        <v>1036</v>
      </c>
      <c r="C581" s="408" t="s">
        <v>2235</v>
      </c>
      <c r="D581" s="408" t="s">
        <v>2245</v>
      </c>
      <c r="E581" s="408" t="s">
        <v>974</v>
      </c>
      <c r="F581" s="408" t="s">
        <v>2252</v>
      </c>
      <c r="G581" s="408" t="s">
        <v>2254</v>
      </c>
      <c r="H581" s="408" t="s">
        <v>1322</v>
      </c>
      <c r="I581" s="408" t="s">
        <v>1322</v>
      </c>
      <c r="J581" s="408" t="s">
        <v>2236</v>
      </c>
      <c r="K581" s="824">
        <v>44652</v>
      </c>
      <c r="L581" s="408">
        <v>0</v>
      </c>
      <c r="M581" s="408">
        <v>0</v>
      </c>
      <c r="N581" s="408">
        <v>34.4</v>
      </c>
      <c r="O581" s="408">
        <v>13.76</v>
      </c>
      <c r="P581" s="408">
        <v>34.4</v>
      </c>
      <c r="Q581" s="408">
        <v>13.76</v>
      </c>
      <c r="R581" s="408"/>
      <c r="S581" s="408">
        <v>581.32000000000005</v>
      </c>
      <c r="T581" s="408">
        <v>209.4</v>
      </c>
      <c r="U581" s="408"/>
      <c r="V581" s="408">
        <v>27200.768</v>
      </c>
      <c r="W581" s="408">
        <v>27200.768</v>
      </c>
      <c r="X581" s="408">
        <v>20780.007999999998</v>
      </c>
      <c r="Y581" s="408">
        <v>0</v>
      </c>
      <c r="Z581" s="408">
        <v>2116.9040171976953</v>
      </c>
      <c r="AA581" s="408">
        <v>0</v>
      </c>
      <c r="AB581" s="408">
        <v>0</v>
      </c>
      <c r="AC581" s="408">
        <v>0</v>
      </c>
      <c r="AD581" s="408">
        <v>2552.1753809760185</v>
      </c>
      <c r="AE581" s="408">
        <v>13257.942729009153</v>
      </c>
      <c r="AF581" s="408">
        <v>7108.7856552112598</v>
      </c>
      <c r="AG581" s="408">
        <v>94.701994768065134</v>
      </c>
      <c r="AH581" s="408">
        <v>0</v>
      </c>
      <c r="AI581" s="408">
        <v>0</v>
      </c>
      <c r="AJ581" s="408">
        <v>0</v>
      </c>
      <c r="AK581" s="408">
        <v>0</v>
      </c>
      <c r="AL581" s="408">
        <v>327.13029659228692</v>
      </c>
      <c r="AM581" s="408"/>
      <c r="AN581" s="408">
        <v>62.709972464513122</v>
      </c>
      <c r="AO581" s="408">
        <v>196.06213866207088</v>
      </c>
      <c r="AP581" s="408">
        <v>295.33053498504722</v>
      </c>
      <c r="AQ581" s="408">
        <v>0</v>
      </c>
      <c r="AR581" s="408">
        <v>0</v>
      </c>
      <c r="AS581" s="408">
        <v>0</v>
      </c>
      <c r="AT581" s="408">
        <v>0</v>
      </c>
      <c r="AU581" s="408">
        <v>0</v>
      </c>
      <c r="AV581" s="408">
        <v>0</v>
      </c>
      <c r="AW581" s="408">
        <v>0</v>
      </c>
      <c r="AX581" s="408">
        <v>0</v>
      </c>
      <c r="AY581" s="408">
        <v>0</v>
      </c>
      <c r="AZ581" s="408">
        <v>0</v>
      </c>
      <c r="BA581" s="408"/>
      <c r="BB581" s="408">
        <v>0</v>
      </c>
      <c r="BC581" s="408">
        <v>0</v>
      </c>
      <c r="BD581" s="408">
        <v>0</v>
      </c>
      <c r="BE581" s="408">
        <v>0</v>
      </c>
      <c r="BF581" s="408">
        <v>0</v>
      </c>
      <c r="BG581" s="408">
        <v>1189.286550935898</v>
      </c>
      <c r="BH581" s="408">
        <v>0</v>
      </c>
      <c r="BI581" s="408">
        <v>0</v>
      </c>
      <c r="BJ581" s="408">
        <v>0</v>
      </c>
      <c r="BK581" s="408">
        <v>0</v>
      </c>
      <c r="BL581" s="408">
        <v>0</v>
      </c>
      <c r="BM581" s="408"/>
      <c r="BN581" s="408"/>
      <c r="BO581" s="408"/>
      <c r="BP581" s="408"/>
      <c r="BQ581" s="408"/>
      <c r="BR581" s="408"/>
      <c r="BS581" s="408">
        <v>13465.467199999997</v>
      </c>
      <c r="BT581" s="408"/>
      <c r="BU581" s="408"/>
      <c r="BV581" s="408">
        <v>8298.072206147157</v>
      </c>
      <c r="BW581" s="408"/>
      <c r="BX581" s="408"/>
      <c r="BY581" s="408"/>
      <c r="BZ581" s="408"/>
      <c r="CA581" s="408"/>
      <c r="CB581" s="408"/>
      <c r="CC581" s="408"/>
      <c r="CD581" s="408"/>
      <c r="CE581" s="408"/>
      <c r="CF581" s="408"/>
      <c r="CG581" s="408"/>
      <c r="CH581" s="408"/>
      <c r="CI581" s="408">
        <v>7314.5408000000007</v>
      </c>
      <c r="CJ581" s="408">
        <v>-2260.3852000000006</v>
      </c>
      <c r="CK581" s="408"/>
      <c r="CL581" s="408"/>
      <c r="CM581" s="408"/>
      <c r="CN581" s="408"/>
      <c r="CO581" s="408">
        <v>-7206.1120000000019</v>
      </c>
      <c r="CP581" s="408">
        <v>785.35199999999941</v>
      </c>
      <c r="CQ581" s="408">
        <v>30</v>
      </c>
      <c r="CR581" s="408">
        <v>1016.3091523930161</v>
      </c>
      <c r="CS581" s="408">
        <v>23.670980105026644</v>
      </c>
      <c r="CT581" s="408">
        <v>35.655855157670089</v>
      </c>
      <c r="CU581" s="408">
        <v>0</v>
      </c>
      <c r="CV581" s="408">
        <v>0</v>
      </c>
      <c r="CW581" s="408">
        <v>0</v>
      </c>
      <c r="CX581" s="408">
        <v>0</v>
      </c>
      <c r="CY581" s="408">
        <v>0</v>
      </c>
      <c r="CZ581" s="408">
        <v>83.666530452007919</v>
      </c>
      <c r="DA581" s="408">
        <v>0</v>
      </c>
      <c r="DB581" s="408">
        <v>0</v>
      </c>
      <c r="DC581" s="408">
        <v>785.11409394678321</v>
      </c>
      <c r="DD581" s="408">
        <v>0</v>
      </c>
      <c r="DE581" s="408">
        <v>0</v>
      </c>
      <c r="DF581" s="408">
        <v>0</v>
      </c>
      <c r="DG581" s="408">
        <v>131.34812022312235</v>
      </c>
      <c r="DH581" s="408">
        <v>0</v>
      </c>
      <c r="DI581" s="408">
        <v>-36.902130857598422</v>
      </c>
      <c r="DJ581" s="408"/>
      <c r="DK581" s="408">
        <v>0</v>
      </c>
      <c r="DL581" s="408">
        <v>0</v>
      </c>
      <c r="DM581" s="408">
        <v>0</v>
      </c>
      <c r="DN581" s="408">
        <v>0</v>
      </c>
      <c r="DO581" s="408">
        <v>-4.7944124873250189</v>
      </c>
      <c r="DP581" s="408">
        <v>-1.4498841466669958</v>
      </c>
      <c r="DQ581" s="408">
        <v>0</v>
      </c>
      <c r="DR581" s="408">
        <v>0</v>
      </c>
      <c r="DS581" s="408"/>
      <c r="DT581" s="408"/>
      <c r="DU581" s="408"/>
      <c r="DV581" s="408">
        <v>13257.942729009153</v>
      </c>
      <c r="DW581" s="408">
        <v>0</v>
      </c>
      <c r="DX581" s="408">
        <v>0</v>
      </c>
      <c r="DY581" s="408">
        <v>-7206.112000000001</v>
      </c>
      <c r="DZ581" s="408">
        <v>785.35199999999986</v>
      </c>
      <c r="EA581" s="408">
        <v>0</v>
      </c>
      <c r="EB581" s="408">
        <v>0</v>
      </c>
      <c r="EC581" s="408">
        <v>-7437.5693034954884</v>
      </c>
      <c r="ED581" s="408">
        <v>0</v>
      </c>
      <c r="EE581" s="408">
        <v>0</v>
      </c>
      <c r="EF581" s="408">
        <v>0</v>
      </c>
      <c r="EG581" s="408">
        <v>0</v>
      </c>
      <c r="EH581" s="408">
        <v>0</v>
      </c>
      <c r="EI581" s="408">
        <v>0</v>
      </c>
      <c r="EJ581" s="408">
        <v>0</v>
      </c>
      <c r="EK581" s="408">
        <v>0</v>
      </c>
      <c r="EL581" s="408">
        <v>0</v>
      </c>
      <c r="EM581" s="408">
        <v>0</v>
      </c>
      <c r="EN581" s="408">
        <v>0</v>
      </c>
      <c r="EO581" s="408">
        <v>0</v>
      </c>
      <c r="EP581" s="408">
        <v>0</v>
      </c>
      <c r="EQ581" s="408">
        <v>0</v>
      </c>
      <c r="ER581" s="408">
        <v>0</v>
      </c>
      <c r="ES581" s="408">
        <v>0</v>
      </c>
      <c r="ET581" s="408">
        <v>0</v>
      </c>
      <c r="EU581" s="408">
        <v>0</v>
      </c>
      <c r="EV581" s="408">
        <v>238</v>
      </c>
      <c r="EW581" s="408">
        <v>0</v>
      </c>
      <c r="EX581" s="408">
        <v>0</v>
      </c>
      <c r="EY581" s="408">
        <v>0</v>
      </c>
      <c r="EZ581" s="408"/>
      <c r="FA581" s="408">
        <v>0</v>
      </c>
      <c r="FB581" s="408"/>
      <c r="FC581" s="408"/>
      <c r="FD581" s="408"/>
      <c r="FE581" s="408"/>
      <c r="FF581" s="408">
        <v>0</v>
      </c>
      <c r="FG581" s="408">
        <v>0</v>
      </c>
      <c r="FH581" s="408">
        <v>0</v>
      </c>
      <c r="FI581" s="408">
        <v>0</v>
      </c>
    </row>
    <row r="582" spans="1:165">
      <c r="A582" s="408">
        <v>586</v>
      </c>
      <c r="B582" s="408" t="s">
        <v>2238</v>
      </c>
      <c r="C582" s="408" t="s">
        <v>2235</v>
      </c>
      <c r="D582" s="408" t="s">
        <v>2245</v>
      </c>
      <c r="E582" s="408" t="s">
        <v>974</v>
      </c>
      <c r="F582" s="408" t="s">
        <v>2252</v>
      </c>
      <c r="G582" s="408" t="s">
        <v>2254</v>
      </c>
      <c r="H582" s="408" t="s">
        <v>1322</v>
      </c>
      <c r="I582" s="408" t="s">
        <v>1322</v>
      </c>
      <c r="J582" s="408" t="s">
        <v>2236</v>
      </c>
      <c r="K582" s="824">
        <v>44652</v>
      </c>
      <c r="L582" s="408">
        <v>0</v>
      </c>
      <c r="M582" s="408">
        <v>0</v>
      </c>
      <c r="N582" s="408">
        <v>0.112</v>
      </c>
      <c r="O582" s="408">
        <v>4.48E-2</v>
      </c>
      <c r="P582" s="408">
        <v>0.112</v>
      </c>
      <c r="Q582" s="408">
        <v>4.48E-2</v>
      </c>
      <c r="R582" s="408"/>
      <c r="S582" s="408">
        <v>581.32000000000005</v>
      </c>
      <c r="T582" s="408">
        <v>209.4</v>
      </c>
      <c r="U582" s="408"/>
      <c r="V582" s="408">
        <v>88.560640000000006</v>
      </c>
      <c r="W582" s="408">
        <v>88.560640000000006</v>
      </c>
      <c r="X582" s="408">
        <v>67.655839999999998</v>
      </c>
      <c r="Y582" s="408">
        <v>0</v>
      </c>
      <c r="Z582" s="408">
        <v>6.8922456373878465</v>
      </c>
      <c r="AA582" s="408">
        <v>0</v>
      </c>
      <c r="AB582" s="408">
        <v>0</v>
      </c>
      <c r="AC582" s="408">
        <v>0</v>
      </c>
      <c r="AD582" s="408">
        <v>8.3094082171312245</v>
      </c>
      <c r="AE582" s="408">
        <v>43.165394931657715</v>
      </c>
      <c r="AF582" s="408">
        <v>23.1448835285948</v>
      </c>
      <c r="AG582" s="408">
        <v>0.30833207598904933</v>
      </c>
      <c r="AH582" s="408">
        <v>0</v>
      </c>
      <c r="AI582" s="408">
        <v>0</v>
      </c>
      <c r="AJ582" s="408">
        <v>0</v>
      </c>
      <c r="AK582" s="408">
        <v>0</v>
      </c>
      <c r="AL582" s="408">
        <v>1.0650753842539575</v>
      </c>
      <c r="AM582" s="408"/>
      <c r="AN582" s="408">
        <v>0.20417200337283345</v>
      </c>
      <c r="AO582" s="408">
        <v>0.63834184680674244</v>
      </c>
      <c r="AP582" s="408">
        <v>0.9615412766955026</v>
      </c>
      <c r="AQ582" s="408">
        <v>0</v>
      </c>
      <c r="AR582" s="408">
        <v>0</v>
      </c>
      <c r="AS582" s="408">
        <v>0</v>
      </c>
      <c r="AT582" s="408">
        <v>0</v>
      </c>
      <c r="AU582" s="408">
        <v>0</v>
      </c>
      <c r="AV582" s="408">
        <v>0</v>
      </c>
      <c r="AW582" s="408">
        <v>0</v>
      </c>
      <c r="AX582" s="408">
        <v>0</v>
      </c>
      <c r="AY582" s="408">
        <v>0</v>
      </c>
      <c r="AZ582" s="408">
        <v>0</v>
      </c>
      <c r="BA582" s="408"/>
      <c r="BB582" s="408">
        <v>0</v>
      </c>
      <c r="BC582" s="408">
        <v>0</v>
      </c>
      <c r="BD582" s="408">
        <v>0</v>
      </c>
      <c r="BE582" s="408">
        <v>0</v>
      </c>
      <c r="BF582" s="408">
        <v>0</v>
      </c>
      <c r="BG582" s="408">
        <v>3.872095747233157</v>
      </c>
      <c r="BH582" s="408">
        <v>0</v>
      </c>
      <c r="BI582" s="408">
        <v>0</v>
      </c>
      <c r="BJ582" s="408">
        <v>0</v>
      </c>
      <c r="BK582" s="408">
        <v>0</v>
      </c>
      <c r="BL582" s="408">
        <v>0</v>
      </c>
      <c r="BM582" s="408"/>
      <c r="BN582" s="408"/>
      <c r="BO582" s="408"/>
      <c r="BP582" s="408"/>
      <c r="BQ582" s="408"/>
      <c r="BR582" s="408"/>
      <c r="BS582" s="408">
        <v>43.841056000000002</v>
      </c>
      <c r="BT582" s="408"/>
      <c r="BU582" s="408"/>
      <c r="BV582" s="408">
        <v>27.016979275827957</v>
      </c>
      <c r="BW582" s="408"/>
      <c r="BX582" s="408"/>
      <c r="BY582" s="408"/>
      <c r="BZ582" s="408"/>
      <c r="CA582" s="408"/>
      <c r="CB582" s="408"/>
      <c r="CC582" s="408"/>
      <c r="CD582" s="408"/>
      <c r="CE582" s="408"/>
      <c r="CF582" s="408"/>
      <c r="CG582" s="408"/>
      <c r="CH582" s="408"/>
      <c r="CI582" s="408">
        <v>21.263200000000001</v>
      </c>
      <c r="CJ582" s="408">
        <v>-9.9408800000000035</v>
      </c>
      <c r="CK582" s="408"/>
      <c r="CL582" s="408"/>
      <c r="CM582" s="408"/>
      <c r="CN582" s="408"/>
      <c r="CO582" s="408">
        <v>-23.461760000000009</v>
      </c>
      <c r="CP582" s="408">
        <v>2.5569599999999983</v>
      </c>
      <c r="CQ582" s="408">
        <v>30</v>
      </c>
      <c r="CR582" s="408">
        <v>3.3089135194191357</v>
      </c>
      <c r="CS582" s="408">
        <v>7.7068307318691409E-2</v>
      </c>
      <c r="CT582" s="408">
        <v>0.11608883074590259</v>
      </c>
      <c r="CU582" s="408">
        <v>0</v>
      </c>
      <c r="CV582" s="408">
        <v>0</v>
      </c>
      <c r="CW582" s="408">
        <v>0</v>
      </c>
      <c r="CX582" s="408">
        <v>0</v>
      </c>
      <c r="CY582" s="408">
        <v>0</v>
      </c>
      <c r="CZ582" s="408">
        <v>0.27240265728560509</v>
      </c>
      <c r="DA582" s="408">
        <v>0</v>
      </c>
      <c r="DB582" s="408">
        <v>0</v>
      </c>
      <c r="DC582" s="408">
        <v>2.5561854221523177</v>
      </c>
      <c r="DD582" s="408">
        <v>0</v>
      </c>
      <c r="DE582" s="408">
        <v>0</v>
      </c>
      <c r="DF582" s="408">
        <v>0</v>
      </c>
      <c r="DG582" s="408">
        <v>0.42764504258691005</v>
      </c>
      <c r="DH582" s="408">
        <v>0</v>
      </c>
      <c r="DI582" s="408">
        <v>-0.12014647255962352</v>
      </c>
      <c r="DJ582" s="408"/>
      <c r="DK582" s="408">
        <v>0</v>
      </c>
      <c r="DL582" s="408">
        <v>0</v>
      </c>
      <c r="DM582" s="408">
        <v>0</v>
      </c>
      <c r="DN582" s="408">
        <v>0</v>
      </c>
      <c r="DO582" s="408">
        <v>-1.5609715075011854E-2</v>
      </c>
      <c r="DP582" s="408">
        <v>-4.7205530356599912E-3</v>
      </c>
      <c r="DQ582" s="408">
        <v>0</v>
      </c>
      <c r="DR582" s="408">
        <v>0</v>
      </c>
      <c r="DS582" s="408"/>
      <c r="DT582" s="408"/>
      <c r="DU582" s="408"/>
      <c r="DV582" s="408">
        <v>43.165394931657715</v>
      </c>
      <c r="DW582" s="408">
        <v>0</v>
      </c>
      <c r="DX582" s="408">
        <v>0</v>
      </c>
      <c r="DY582" s="408">
        <v>-23.461760000000012</v>
      </c>
      <c r="DZ582" s="408">
        <v>2.5569600000000001</v>
      </c>
      <c r="EA582" s="408">
        <v>0</v>
      </c>
      <c r="EB582" s="408">
        <v>0</v>
      </c>
      <c r="EC582" s="408">
        <v>-24.21534191835741</v>
      </c>
      <c r="ED582" s="408">
        <v>0</v>
      </c>
      <c r="EE582" s="408">
        <v>0</v>
      </c>
      <c r="EF582" s="408">
        <v>0</v>
      </c>
      <c r="EG582" s="408">
        <v>0</v>
      </c>
      <c r="EH582" s="408">
        <v>0</v>
      </c>
      <c r="EI582" s="408">
        <v>0</v>
      </c>
      <c r="EJ582" s="408">
        <v>0</v>
      </c>
      <c r="EK582" s="408">
        <v>0</v>
      </c>
      <c r="EL582" s="408">
        <v>0</v>
      </c>
      <c r="EM582" s="408">
        <v>0</v>
      </c>
      <c r="EN582" s="408">
        <v>0</v>
      </c>
      <c r="EO582" s="408">
        <v>0</v>
      </c>
      <c r="EP582" s="408">
        <v>0</v>
      </c>
      <c r="EQ582" s="408">
        <v>0</v>
      </c>
      <c r="ER582" s="408">
        <v>0</v>
      </c>
      <c r="ES582" s="408">
        <v>0</v>
      </c>
      <c r="ET582" s="408">
        <v>0</v>
      </c>
      <c r="EU582" s="408">
        <v>0</v>
      </c>
      <c r="EV582" s="408">
        <v>238</v>
      </c>
      <c r="EW582" s="408">
        <v>0</v>
      </c>
      <c r="EX582" s="408">
        <v>0</v>
      </c>
      <c r="EY582" s="408">
        <v>0</v>
      </c>
      <c r="EZ582" s="408"/>
      <c r="FA582" s="408">
        <v>0</v>
      </c>
      <c r="FB582" s="408"/>
      <c r="FC582" s="408"/>
      <c r="FD582" s="408"/>
      <c r="FE582" s="408"/>
      <c r="FF582" s="408">
        <v>0</v>
      </c>
      <c r="FG582" s="408">
        <v>0</v>
      </c>
      <c r="FH582" s="408">
        <v>0</v>
      </c>
      <c r="FI582" s="408">
        <v>0</v>
      </c>
    </row>
    <row r="583" spans="1:165">
      <c r="A583" s="408">
        <v>587</v>
      </c>
      <c r="B583" s="408" t="s">
        <v>1036</v>
      </c>
      <c r="C583" s="408" t="s">
        <v>2243</v>
      </c>
      <c r="D583" s="408" t="s">
        <v>597</v>
      </c>
      <c r="E583" s="408" t="s">
        <v>974</v>
      </c>
      <c r="F583" s="408" t="s">
        <v>2252</v>
      </c>
      <c r="G583" s="408" t="s">
        <v>1322</v>
      </c>
      <c r="H583" s="408" t="s">
        <v>1322</v>
      </c>
      <c r="I583" s="408" t="s">
        <v>973</v>
      </c>
      <c r="J583" s="408" t="s">
        <v>2236</v>
      </c>
      <c r="K583" s="824">
        <v>44652</v>
      </c>
      <c r="L583" s="408">
        <v>0</v>
      </c>
      <c r="M583" s="408">
        <v>0</v>
      </c>
      <c r="N583" s="408">
        <v>14.358000000000001</v>
      </c>
      <c r="O583" s="408">
        <v>13.78368</v>
      </c>
      <c r="P583" s="408">
        <v>14.358000000000001</v>
      </c>
      <c r="Q583" s="408">
        <v>13.78368</v>
      </c>
      <c r="R583" s="408"/>
      <c r="S583" s="408">
        <v>1614.19</v>
      </c>
      <c r="T583" s="408">
        <v>209.4</v>
      </c>
      <c r="U583" s="408"/>
      <c r="V583" s="408">
        <v>26183.105220000001</v>
      </c>
      <c r="W583" s="408">
        <v>26183.105220000001</v>
      </c>
      <c r="X583" s="408">
        <v>17404.0497</v>
      </c>
      <c r="Y583" s="408">
        <v>0</v>
      </c>
      <c r="Z583" s="408">
        <v>768.69830972861473</v>
      </c>
      <c r="AA583" s="408">
        <v>0</v>
      </c>
      <c r="AB583" s="408">
        <v>0</v>
      </c>
      <c r="AC583" s="408">
        <v>0</v>
      </c>
      <c r="AD583" s="408">
        <v>4471.3395053591094</v>
      </c>
      <c r="AE583" s="408">
        <v>16696.008134572006</v>
      </c>
      <c r="AF583" s="408">
        <v>2967.091408067537</v>
      </c>
      <c r="AG583" s="408">
        <v>39.527070955810444</v>
      </c>
      <c r="AH583" s="408">
        <v>0</v>
      </c>
      <c r="AI583" s="408">
        <v>0</v>
      </c>
      <c r="AJ583" s="408">
        <v>0</v>
      </c>
      <c r="AK583" s="408">
        <v>0</v>
      </c>
      <c r="AL583" s="408">
        <v>136.53886042069931</v>
      </c>
      <c r="AM583" s="408"/>
      <c r="AN583" s="408">
        <v>19.065188581559585</v>
      </c>
      <c r="AO583" s="408">
        <v>347.39073850213549</v>
      </c>
      <c r="AP583" s="408">
        <v>517.4437096533934</v>
      </c>
      <c r="AQ583" s="408">
        <v>0</v>
      </c>
      <c r="AR583" s="408">
        <v>0</v>
      </c>
      <c r="AS583" s="408">
        <v>0</v>
      </c>
      <c r="AT583" s="408">
        <v>0</v>
      </c>
      <c r="AU583" s="408">
        <v>0</v>
      </c>
      <c r="AV583" s="408">
        <v>0</v>
      </c>
      <c r="AW583" s="408">
        <v>0</v>
      </c>
      <c r="AX583" s="408">
        <v>0</v>
      </c>
      <c r="AY583" s="408">
        <v>0</v>
      </c>
      <c r="AZ583" s="408">
        <v>0</v>
      </c>
      <c r="BA583" s="408"/>
      <c r="BB583" s="408">
        <v>0</v>
      </c>
      <c r="BC583" s="408">
        <v>0</v>
      </c>
      <c r="BD583" s="408">
        <v>0</v>
      </c>
      <c r="BE583" s="408">
        <v>0</v>
      </c>
      <c r="BF583" s="408">
        <v>0</v>
      </c>
      <c r="BG583" s="408">
        <v>220.02825727440538</v>
      </c>
      <c r="BH583" s="408">
        <v>0</v>
      </c>
      <c r="BI583" s="408">
        <v>0</v>
      </c>
      <c r="BJ583" s="408">
        <v>0</v>
      </c>
      <c r="BK583" s="408">
        <v>0</v>
      </c>
      <c r="BL583" s="408">
        <v>0</v>
      </c>
      <c r="BM583" s="408"/>
      <c r="BN583" s="408"/>
      <c r="BO583" s="408"/>
      <c r="BP583" s="408"/>
      <c r="BQ583" s="408"/>
      <c r="BR583" s="408">
        <v>696.16198800000018</v>
      </c>
      <c r="BS583" s="408"/>
      <c r="BT583" s="408"/>
      <c r="BU583" s="408"/>
      <c r="BV583" s="408">
        <v>3187.1196653419424</v>
      </c>
      <c r="BW583" s="408"/>
      <c r="BX583" s="408"/>
      <c r="BY583" s="408"/>
      <c r="BZ583" s="408"/>
      <c r="CA583" s="408"/>
      <c r="CB583" s="408"/>
      <c r="CC583" s="408"/>
      <c r="CD583" s="408"/>
      <c r="CE583" s="408"/>
      <c r="CF583" s="408"/>
      <c r="CG583" s="408"/>
      <c r="CH583" s="408"/>
      <c r="CI583" s="408">
        <v>16703.426999999996</v>
      </c>
      <c r="CJ583" s="408">
        <v>-8432.3840111999998</v>
      </c>
      <c r="CK583" s="408"/>
      <c r="CL583" s="408"/>
      <c r="CM583" s="408"/>
      <c r="CN583" s="408"/>
      <c r="CO583" s="408">
        <v>-9106.8486600000015</v>
      </c>
      <c r="CP583" s="408">
        <v>327.79313999999977</v>
      </c>
      <c r="CQ583" s="408">
        <v>30</v>
      </c>
      <c r="CR583" s="408">
        <v>587.14705420484279</v>
      </c>
      <c r="CS583" s="408">
        <v>41.941189236579191</v>
      </c>
      <c r="CT583" s="408">
        <v>62.472029736387753</v>
      </c>
      <c r="CU583" s="408">
        <v>0</v>
      </c>
      <c r="CV583" s="408">
        <v>0</v>
      </c>
      <c r="CW583" s="408">
        <v>0</v>
      </c>
      <c r="CX583" s="408">
        <v>0</v>
      </c>
      <c r="CY583" s="408">
        <v>0</v>
      </c>
      <c r="CZ583" s="408">
        <v>146.58140881499185</v>
      </c>
      <c r="DA583" s="408">
        <v>0</v>
      </c>
      <c r="DB583" s="408">
        <v>0</v>
      </c>
      <c r="DC583" s="408">
        <v>327.69384188627691</v>
      </c>
      <c r="DD583" s="408">
        <v>0</v>
      </c>
      <c r="DE583" s="408">
        <v>0</v>
      </c>
      <c r="DF583" s="408">
        <v>0</v>
      </c>
      <c r="DG583" s="408">
        <v>24.300533766417004</v>
      </c>
      <c r="DH583" s="408">
        <v>0</v>
      </c>
      <c r="DI583" s="408">
        <v>-13.400043358211633</v>
      </c>
      <c r="DJ583" s="408"/>
      <c r="DK583" s="408">
        <v>0</v>
      </c>
      <c r="DL583" s="408">
        <v>0</v>
      </c>
      <c r="DM583" s="408">
        <v>0</v>
      </c>
      <c r="DN583" s="408">
        <v>0</v>
      </c>
      <c r="DO583" s="408">
        <v>-2.0011097236341016</v>
      </c>
      <c r="DP583" s="408">
        <v>-0.44079615396529093</v>
      </c>
      <c r="DQ583" s="408">
        <v>0</v>
      </c>
      <c r="DR583" s="408">
        <v>0</v>
      </c>
      <c r="DS583" s="408"/>
      <c r="DT583" s="408"/>
      <c r="DU583" s="408"/>
      <c r="DV583" s="408">
        <v>16696.008134572006</v>
      </c>
      <c r="DW583" s="408">
        <v>0</v>
      </c>
      <c r="DX583" s="408">
        <v>0</v>
      </c>
      <c r="DY583" s="408">
        <v>-9106.8486599999997</v>
      </c>
      <c r="DZ583" s="408">
        <v>327.79313999999977</v>
      </c>
      <c r="EA583" s="408">
        <v>0</v>
      </c>
      <c r="EB583" s="408">
        <v>0</v>
      </c>
      <c r="EC583" s="408">
        <v>-9366.2885811760316</v>
      </c>
      <c r="ED583" s="408">
        <v>0</v>
      </c>
      <c r="EE583" s="408">
        <v>0</v>
      </c>
      <c r="EF583" s="408">
        <v>0</v>
      </c>
      <c r="EG583" s="408">
        <v>0</v>
      </c>
      <c r="EH583" s="408">
        <v>0</v>
      </c>
      <c r="EI583" s="408">
        <v>0</v>
      </c>
      <c r="EJ583" s="408">
        <v>0</v>
      </c>
      <c r="EK583" s="408">
        <v>0</v>
      </c>
      <c r="EL583" s="408">
        <v>0</v>
      </c>
      <c r="EM583" s="408">
        <v>0</v>
      </c>
      <c r="EN583" s="408">
        <v>0</v>
      </c>
      <c r="EO583" s="408">
        <v>0</v>
      </c>
      <c r="EP583" s="408">
        <v>0</v>
      </c>
      <c r="EQ583" s="408">
        <v>0</v>
      </c>
      <c r="ER583" s="408">
        <v>0</v>
      </c>
      <c r="ES583" s="408">
        <v>0</v>
      </c>
      <c r="ET583" s="408">
        <v>0</v>
      </c>
      <c r="EU583" s="408">
        <v>0</v>
      </c>
      <c r="EV583" s="408">
        <v>238</v>
      </c>
      <c r="EW583" s="408">
        <v>0</v>
      </c>
      <c r="EX583" s="408">
        <v>0</v>
      </c>
      <c r="EY583" s="408">
        <v>0</v>
      </c>
      <c r="EZ583" s="408"/>
      <c r="FA583" s="408">
        <v>0</v>
      </c>
      <c r="FB583" s="408"/>
      <c r="FC583" s="408"/>
      <c r="FD583" s="408"/>
      <c r="FE583" s="408"/>
      <c r="FF583" s="408">
        <v>0</v>
      </c>
      <c r="FG583" s="408">
        <v>0</v>
      </c>
      <c r="FH583" s="408">
        <v>0</v>
      </c>
      <c r="FI583" s="408">
        <v>0</v>
      </c>
    </row>
    <row r="584" spans="1:165">
      <c r="A584" s="408">
        <v>588</v>
      </c>
      <c r="B584" s="408" t="s">
        <v>2238</v>
      </c>
      <c r="C584" s="408" t="s">
        <v>2243</v>
      </c>
      <c r="D584" s="408" t="s">
        <v>597</v>
      </c>
      <c r="E584" s="408" t="s">
        <v>974</v>
      </c>
      <c r="F584" s="408" t="s">
        <v>2252</v>
      </c>
      <c r="G584" s="408" t="s">
        <v>1322</v>
      </c>
      <c r="H584" s="408" t="s">
        <v>1322</v>
      </c>
      <c r="I584" s="408" t="s">
        <v>973</v>
      </c>
      <c r="J584" s="408" t="s">
        <v>2236</v>
      </c>
      <c r="K584" s="824">
        <v>44652</v>
      </c>
      <c r="L584" s="408">
        <v>0</v>
      </c>
      <c r="M584" s="408">
        <v>0</v>
      </c>
      <c r="N584" s="408">
        <v>0.05</v>
      </c>
      <c r="O584" s="408">
        <v>4.8000000000000001E-2</v>
      </c>
      <c r="P584" s="408">
        <v>0.05</v>
      </c>
      <c r="Q584" s="408">
        <v>4.8000000000000001E-2</v>
      </c>
      <c r="R584" s="408"/>
      <c r="S584" s="408">
        <v>1614.19</v>
      </c>
      <c r="T584" s="408">
        <v>209.4</v>
      </c>
      <c r="U584" s="408"/>
      <c r="V584" s="408">
        <v>91.179500000000004</v>
      </c>
      <c r="W584" s="408">
        <v>91.179500000000004</v>
      </c>
      <c r="X584" s="408">
        <v>60.607500000000002</v>
      </c>
      <c r="Y584" s="408">
        <v>0</v>
      </c>
      <c r="Z584" s="408">
        <v>2.6768989752354599</v>
      </c>
      <c r="AA584" s="408">
        <v>0</v>
      </c>
      <c r="AB584" s="408">
        <v>0</v>
      </c>
      <c r="AC584" s="408">
        <v>0</v>
      </c>
      <c r="AD584" s="408">
        <v>15.570899517199852</v>
      </c>
      <c r="AE584" s="408">
        <v>58.141830807118005</v>
      </c>
      <c r="AF584" s="408">
        <v>10.332537289551251</v>
      </c>
      <c r="AG584" s="408">
        <v>0.137648248209397</v>
      </c>
      <c r="AH584" s="408">
        <v>0</v>
      </c>
      <c r="AI584" s="408">
        <v>0</v>
      </c>
      <c r="AJ584" s="408">
        <v>0</v>
      </c>
      <c r="AK584" s="408">
        <v>0</v>
      </c>
      <c r="AL584" s="408">
        <v>0.47548008225623106</v>
      </c>
      <c r="AM584" s="408"/>
      <c r="AN584" s="408">
        <v>6.6392215425406007E-2</v>
      </c>
      <c r="AO584" s="408">
        <v>1.209746268638165</v>
      </c>
      <c r="AP584" s="408">
        <v>1.8019351917167901</v>
      </c>
      <c r="AQ584" s="408">
        <v>0</v>
      </c>
      <c r="AR584" s="408">
        <v>0</v>
      </c>
      <c r="AS584" s="408">
        <v>0</v>
      </c>
      <c r="AT584" s="408">
        <v>0</v>
      </c>
      <c r="AU584" s="408">
        <v>0</v>
      </c>
      <c r="AV584" s="408">
        <v>0</v>
      </c>
      <c r="AW584" s="408">
        <v>0</v>
      </c>
      <c r="AX584" s="408">
        <v>0</v>
      </c>
      <c r="AY584" s="408">
        <v>0</v>
      </c>
      <c r="AZ584" s="408">
        <v>0</v>
      </c>
      <c r="BA584" s="408"/>
      <c r="BB584" s="408">
        <v>0</v>
      </c>
      <c r="BC584" s="408">
        <v>0</v>
      </c>
      <c r="BD584" s="408">
        <v>0</v>
      </c>
      <c r="BE584" s="408">
        <v>0</v>
      </c>
      <c r="BF584" s="408">
        <v>0</v>
      </c>
      <c r="BG584" s="408">
        <v>0.76622181806103007</v>
      </c>
      <c r="BH584" s="408">
        <v>0</v>
      </c>
      <c r="BI584" s="408">
        <v>0</v>
      </c>
      <c r="BJ584" s="408">
        <v>0</v>
      </c>
      <c r="BK584" s="408">
        <v>0</v>
      </c>
      <c r="BL584" s="408">
        <v>0</v>
      </c>
      <c r="BM584" s="408"/>
      <c r="BN584" s="408"/>
      <c r="BO584" s="408"/>
      <c r="BP584" s="408"/>
      <c r="BQ584" s="408"/>
      <c r="BR584" s="408">
        <v>2.4243000000000019</v>
      </c>
      <c r="BS584" s="408"/>
      <c r="BT584" s="408"/>
      <c r="BU584" s="408"/>
      <c r="BV584" s="408">
        <v>11.098759107612281</v>
      </c>
      <c r="BW584" s="408"/>
      <c r="BX584" s="408"/>
      <c r="BY584" s="408"/>
      <c r="BZ584" s="408"/>
      <c r="CA584" s="408"/>
      <c r="CB584" s="408"/>
      <c r="CC584" s="408"/>
      <c r="CD584" s="408"/>
      <c r="CE584" s="408"/>
      <c r="CF584" s="408"/>
      <c r="CG584" s="408"/>
      <c r="CH584" s="408"/>
      <c r="CI584" s="408">
        <v>60.607500000000002</v>
      </c>
      <c r="CJ584" s="408">
        <v>-26.954820000000012</v>
      </c>
      <c r="CK584" s="408"/>
      <c r="CL584" s="408"/>
      <c r="CM584" s="408"/>
      <c r="CN584" s="408"/>
      <c r="CO584" s="408">
        <v>-31.713500000000007</v>
      </c>
      <c r="CP584" s="408">
        <v>1.1414999999999993</v>
      </c>
      <c r="CQ584" s="408">
        <v>30</v>
      </c>
      <c r="CR584" s="408">
        <v>2.0446686662656504</v>
      </c>
      <c r="CS584" s="408">
        <v>0.14605512340360516</v>
      </c>
      <c r="CT584" s="408">
        <v>0.21755129452704991</v>
      </c>
      <c r="CU584" s="408">
        <v>0</v>
      </c>
      <c r="CV584" s="408">
        <v>0</v>
      </c>
      <c r="CW584" s="408">
        <v>0</v>
      </c>
      <c r="CX584" s="408">
        <v>0</v>
      </c>
      <c r="CY584" s="408">
        <v>0</v>
      </c>
      <c r="CZ584" s="408">
        <v>0.51045204351229856</v>
      </c>
      <c r="DA584" s="408">
        <v>0</v>
      </c>
      <c r="DB584" s="408">
        <v>0</v>
      </c>
      <c r="DC584" s="408">
        <v>1.1411542063179994</v>
      </c>
      <c r="DD584" s="408">
        <v>0</v>
      </c>
      <c r="DE584" s="408">
        <v>0</v>
      </c>
      <c r="DF584" s="408">
        <v>0</v>
      </c>
      <c r="DG584" s="408">
        <v>8.4623672400114924E-2</v>
      </c>
      <c r="DH584" s="408">
        <v>0</v>
      </c>
      <c r="DI584" s="408">
        <v>-4.6664031753069768E-2</v>
      </c>
      <c r="DJ584" s="408"/>
      <c r="DK584" s="408">
        <v>0</v>
      </c>
      <c r="DL584" s="408">
        <v>0</v>
      </c>
      <c r="DM584" s="408">
        <v>0</v>
      </c>
      <c r="DN584" s="408">
        <v>0</v>
      </c>
      <c r="DO584" s="408">
        <v>-6.9686228013445817E-3</v>
      </c>
      <c r="DP584" s="408">
        <v>-1.5350193410130081E-3</v>
      </c>
      <c r="DQ584" s="408">
        <v>0</v>
      </c>
      <c r="DR584" s="408">
        <v>0</v>
      </c>
      <c r="DS584" s="408"/>
      <c r="DT584" s="408"/>
      <c r="DU584" s="408"/>
      <c r="DV584" s="408">
        <v>58.141830807118005</v>
      </c>
      <c r="DW584" s="408">
        <v>0</v>
      </c>
      <c r="DX584" s="408">
        <v>0</v>
      </c>
      <c r="DY584" s="408">
        <v>-31.713500000000003</v>
      </c>
      <c r="DZ584" s="408">
        <v>1.1414999999999988</v>
      </c>
      <c r="EA584" s="408">
        <v>0</v>
      </c>
      <c r="EB584" s="408">
        <v>0</v>
      </c>
      <c r="EC584" s="408">
        <v>-32.61696817514985</v>
      </c>
      <c r="ED584" s="408">
        <v>0</v>
      </c>
      <c r="EE584" s="408">
        <v>0</v>
      </c>
      <c r="EF584" s="408">
        <v>0</v>
      </c>
      <c r="EG584" s="408">
        <v>0</v>
      </c>
      <c r="EH584" s="408">
        <v>0</v>
      </c>
      <c r="EI584" s="408">
        <v>0</v>
      </c>
      <c r="EJ584" s="408">
        <v>0</v>
      </c>
      <c r="EK584" s="408">
        <v>0</v>
      </c>
      <c r="EL584" s="408">
        <v>0</v>
      </c>
      <c r="EM584" s="408">
        <v>0</v>
      </c>
      <c r="EN584" s="408">
        <v>0</v>
      </c>
      <c r="EO584" s="408">
        <v>0</v>
      </c>
      <c r="EP584" s="408">
        <v>0</v>
      </c>
      <c r="EQ584" s="408">
        <v>0</v>
      </c>
      <c r="ER584" s="408">
        <v>0</v>
      </c>
      <c r="ES584" s="408">
        <v>0</v>
      </c>
      <c r="ET584" s="408">
        <v>0</v>
      </c>
      <c r="EU584" s="408">
        <v>0</v>
      </c>
      <c r="EV584" s="408">
        <v>238</v>
      </c>
      <c r="EW584" s="408">
        <v>0</v>
      </c>
      <c r="EX584" s="408">
        <v>0</v>
      </c>
      <c r="EY584" s="408">
        <v>0</v>
      </c>
      <c r="EZ584" s="408"/>
      <c r="FA584" s="408">
        <v>0</v>
      </c>
      <c r="FB584" s="408"/>
      <c r="FC584" s="408"/>
      <c r="FD584" s="408"/>
      <c r="FE584" s="408"/>
      <c r="FF584" s="408">
        <v>0</v>
      </c>
      <c r="FG584" s="408">
        <v>0</v>
      </c>
      <c r="FH584" s="408">
        <v>0</v>
      </c>
      <c r="FI584" s="408">
        <v>0</v>
      </c>
    </row>
    <row r="585" spans="1:165">
      <c r="A585" s="408">
        <v>589</v>
      </c>
      <c r="B585" s="408" t="s">
        <v>1036</v>
      </c>
      <c r="C585" s="408" t="s">
        <v>2243</v>
      </c>
      <c r="D585" s="408" t="s">
        <v>597</v>
      </c>
      <c r="E585" s="408" t="s">
        <v>974</v>
      </c>
      <c r="F585" s="408" t="s">
        <v>2252</v>
      </c>
      <c r="G585" s="408" t="s">
        <v>1322</v>
      </c>
      <c r="H585" s="408" t="s">
        <v>1322</v>
      </c>
      <c r="I585" s="408" t="s">
        <v>2244</v>
      </c>
      <c r="J585" s="408" t="s">
        <v>2236</v>
      </c>
      <c r="K585" s="824">
        <v>44652</v>
      </c>
      <c r="L585" s="408">
        <v>0</v>
      </c>
      <c r="M585" s="408">
        <v>0</v>
      </c>
      <c r="N585" s="408">
        <v>279.39499999999998</v>
      </c>
      <c r="O585" s="408">
        <v>268.2192</v>
      </c>
      <c r="P585" s="408">
        <v>279.39499999999998</v>
      </c>
      <c r="Q585" s="408">
        <v>268.2192</v>
      </c>
      <c r="R585" s="408"/>
      <c r="S585" s="408">
        <v>79.7</v>
      </c>
      <c r="T585" s="408">
        <v>209.4</v>
      </c>
      <c r="U585" s="408"/>
      <c r="V585" s="408">
        <v>80773.094499999992</v>
      </c>
      <c r="W585" s="408">
        <v>80773.094499999992</v>
      </c>
      <c r="X585" s="408">
        <v>87316.525399999984</v>
      </c>
      <c r="Y585" s="408">
        <v>0</v>
      </c>
      <c r="Z585" s="408">
        <v>14958.243783718226</v>
      </c>
      <c r="AA585" s="408">
        <v>0</v>
      </c>
      <c r="AB585" s="408">
        <v>0</v>
      </c>
      <c r="AC585" s="408">
        <v>0</v>
      </c>
      <c r="AD585" s="408">
        <v>0</v>
      </c>
      <c r="AE585" s="408">
        <v>0</v>
      </c>
      <c r="AF585" s="408">
        <v>57737.18512028343</v>
      </c>
      <c r="AG585" s="408">
        <v>769.16464616928943</v>
      </c>
      <c r="AH585" s="408">
        <v>0</v>
      </c>
      <c r="AI585" s="408">
        <v>0</v>
      </c>
      <c r="AJ585" s="408">
        <v>0</v>
      </c>
      <c r="AK585" s="408">
        <v>0</v>
      </c>
      <c r="AL585" s="408">
        <v>2656.9351516395932</v>
      </c>
      <c r="AM585" s="408"/>
      <c r="AN585" s="408">
        <v>370.99306057562615</v>
      </c>
      <c r="AO585" s="408">
        <v>0</v>
      </c>
      <c r="AP585" s="408">
        <v>0</v>
      </c>
      <c r="AQ585" s="408">
        <v>0</v>
      </c>
      <c r="AR585" s="408">
        <v>0</v>
      </c>
      <c r="AS585" s="408">
        <v>0</v>
      </c>
      <c r="AT585" s="408">
        <v>0</v>
      </c>
      <c r="AU585" s="408">
        <v>0</v>
      </c>
      <c r="AV585" s="408">
        <v>0</v>
      </c>
      <c r="AW585" s="408">
        <v>0</v>
      </c>
      <c r="AX585" s="408">
        <v>0</v>
      </c>
      <c r="AY585" s="408">
        <v>0</v>
      </c>
      <c r="AZ585" s="408">
        <v>0</v>
      </c>
      <c r="BA585" s="408"/>
      <c r="BB585" s="408">
        <v>0</v>
      </c>
      <c r="BC585" s="408">
        <v>0</v>
      </c>
      <c r="BD585" s="408">
        <v>0</v>
      </c>
      <c r="BE585" s="408">
        <v>0</v>
      </c>
      <c r="BF585" s="408">
        <v>0</v>
      </c>
      <c r="BG585" s="408">
        <v>4281.5708971432296</v>
      </c>
      <c r="BH585" s="408">
        <v>0</v>
      </c>
      <c r="BI585" s="408">
        <v>0</v>
      </c>
      <c r="BJ585" s="408">
        <v>0</v>
      </c>
      <c r="BK585" s="408">
        <v>0</v>
      </c>
      <c r="BL585" s="408">
        <v>0</v>
      </c>
      <c r="BM585" s="408"/>
      <c r="BN585" s="408"/>
      <c r="BO585" s="408"/>
      <c r="BP585" s="408"/>
      <c r="BQ585" s="408"/>
      <c r="BR585" s="408">
        <v>3492.6610159999937</v>
      </c>
      <c r="BS585" s="408"/>
      <c r="BT585" s="408"/>
      <c r="BU585" s="408"/>
      <c r="BV585" s="408">
        <v>62018.756017426662</v>
      </c>
      <c r="BW585" s="408"/>
      <c r="BX585" s="408"/>
      <c r="BY585" s="408"/>
      <c r="BZ585" s="408"/>
      <c r="CA585" s="408"/>
      <c r="CB585" s="408"/>
      <c r="CC585" s="408"/>
      <c r="CD585" s="408"/>
      <c r="CE585" s="408"/>
      <c r="CF585" s="408"/>
      <c r="CG585" s="408"/>
      <c r="CH585" s="408"/>
      <c r="CI585" s="408">
        <v>83824.114400000006</v>
      </c>
      <c r="CJ585" s="408">
        <v>6281.9136800000124</v>
      </c>
      <c r="CK585" s="408"/>
      <c r="CL585" s="408"/>
      <c r="CM585" s="408"/>
      <c r="CN585" s="408"/>
      <c r="CO585" s="408">
        <v>164.84305000000094</v>
      </c>
      <c r="CP585" s="408">
        <v>6378.5878499999953</v>
      </c>
      <c r="CQ585" s="408">
        <v>30</v>
      </c>
      <c r="CR585" s="408">
        <v>6541.252763528697</v>
      </c>
      <c r="CS585" s="408">
        <v>0</v>
      </c>
      <c r="CT585" s="408">
        <v>0</v>
      </c>
      <c r="CU585" s="408">
        <v>0</v>
      </c>
      <c r="CV585" s="408">
        <v>0</v>
      </c>
      <c r="CW585" s="408">
        <v>0</v>
      </c>
      <c r="CX585" s="408">
        <v>0</v>
      </c>
      <c r="CY585" s="408">
        <v>0</v>
      </c>
      <c r="CZ585" s="408">
        <v>0</v>
      </c>
      <c r="DA585" s="408">
        <v>0</v>
      </c>
      <c r="DB585" s="408">
        <v>0</v>
      </c>
      <c r="DC585" s="408">
        <v>6376.6555894843477</v>
      </c>
      <c r="DD585" s="408">
        <v>0</v>
      </c>
      <c r="DE585" s="408">
        <v>0</v>
      </c>
      <c r="DF585" s="408">
        <v>0</v>
      </c>
      <c r="DG585" s="408">
        <v>472.8686190046019</v>
      </c>
      <c r="DH585" s="408">
        <v>0</v>
      </c>
      <c r="DI585" s="408">
        <v>-260.75394303297981</v>
      </c>
      <c r="DJ585" s="408"/>
      <c r="DK585" s="408">
        <v>0</v>
      </c>
      <c r="DL585" s="408">
        <v>0</v>
      </c>
      <c r="DM585" s="408">
        <v>0</v>
      </c>
      <c r="DN585" s="408">
        <v>0</v>
      </c>
      <c r="DO585" s="408">
        <v>-38.939967351633186</v>
      </c>
      <c r="DP585" s="408">
        <v>-8.5775345756465526</v>
      </c>
      <c r="DQ585" s="408">
        <v>0</v>
      </c>
      <c r="DR585" s="408">
        <v>0</v>
      </c>
      <c r="DS585" s="408"/>
      <c r="DT585" s="408"/>
      <c r="DU585" s="408"/>
      <c r="DV585" s="408">
        <v>0</v>
      </c>
      <c r="DW585" s="408">
        <v>0</v>
      </c>
      <c r="DX585" s="408">
        <v>0</v>
      </c>
      <c r="DY585" s="408">
        <v>164.84304999999949</v>
      </c>
      <c r="DZ585" s="408">
        <v>6378.5878499999963</v>
      </c>
      <c r="EA585" s="408">
        <v>0</v>
      </c>
      <c r="EB585" s="408">
        <v>0</v>
      </c>
      <c r="EC585" s="408">
        <v>0</v>
      </c>
      <c r="ED585" s="408">
        <v>0</v>
      </c>
      <c r="EE585" s="408">
        <v>0</v>
      </c>
      <c r="EF585" s="408">
        <v>0</v>
      </c>
      <c r="EG585" s="408">
        <v>0</v>
      </c>
      <c r="EH585" s="408">
        <v>0</v>
      </c>
      <c r="EI585" s="408">
        <v>0</v>
      </c>
      <c r="EJ585" s="408">
        <v>0</v>
      </c>
      <c r="EK585" s="408">
        <v>0</v>
      </c>
      <c r="EL585" s="408">
        <v>0</v>
      </c>
      <c r="EM585" s="408">
        <v>0</v>
      </c>
      <c r="EN585" s="408">
        <v>0</v>
      </c>
      <c r="EO585" s="408">
        <v>0</v>
      </c>
      <c r="EP585" s="408">
        <v>0</v>
      </c>
      <c r="EQ585" s="408">
        <v>0</v>
      </c>
      <c r="ER585" s="408">
        <v>0</v>
      </c>
      <c r="ES585" s="408">
        <v>0</v>
      </c>
      <c r="ET585" s="408">
        <v>0</v>
      </c>
      <c r="EU585" s="408">
        <v>0</v>
      </c>
      <c r="EV585" s="408">
        <v>238</v>
      </c>
      <c r="EW585" s="408">
        <v>0</v>
      </c>
      <c r="EX585" s="408">
        <v>0</v>
      </c>
      <c r="EY585" s="408">
        <v>0</v>
      </c>
      <c r="EZ585" s="408"/>
      <c r="FA585" s="408">
        <v>0</v>
      </c>
      <c r="FB585" s="408"/>
      <c r="FC585" s="408"/>
      <c r="FD585" s="408"/>
      <c r="FE585" s="408"/>
      <c r="FF585" s="408">
        <v>0</v>
      </c>
      <c r="FG585" s="408">
        <v>0</v>
      </c>
      <c r="FH585" s="408">
        <v>0</v>
      </c>
      <c r="FI585" s="408">
        <v>0</v>
      </c>
    </row>
    <row r="586" spans="1:165">
      <c r="A586" s="408">
        <v>590</v>
      </c>
      <c r="B586" s="408" t="s">
        <v>2238</v>
      </c>
      <c r="C586" s="408" t="s">
        <v>2243</v>
      </c>
      <c r="D586" s="408" t="s">
        <v>597</v>
      </c>
      <c r="E586" s="408" t="s">
        <v>974</v>
      </c>
      <c r="F586" s="408" t="s">
        <v>2252</v>
      </c>
      <c r="G586" s="408" t="s">
        <v>1322</v>
      </c>
      <c r="H586" s="408" t="s">
        <v>1322</v>
      </c>
      <c r="I586" s="408" t="s">
        <v>2244</v>
      </c>
      <c r="J586" s="408" t="s">
        <v>2236</v>
      </c>
      <c r="K586" s="824">
        <v>44652</v>
      </c>
      <c r="L586" s="408">
        <v>0</v>
      </c>
      <c r="M586" s="408">
        <v>0</v>
      </c>
      <c r="N586" s="408">
        <v>0.71499999999999997</v>
      </c>
      <c r="O586" s="408">
        <v>0.68640000000000001</v>
      </c>
      <c r="P586" s="408">
        <v>0.71499999999999997</v>
      </c>
      <c r="Q586" s="408">
        <v>0.68640000000000001</v>
      </c>
      <c r="R586" s="408"/>
      <c r="S586" s="408">
        <v>79.7</v>
      </c>
      <c r="T586" s="408">
        <v>209.4</v>
      </c>
      <c r="U586" s="408"/>
      <c r="V586" s="408">
        <v>206.70650000000001</v>
      </c>
      <c r="W586" s="408">
        <v>206.70650000000001</v>
      </c>
      <c r="X586" s="408">
        <v>223.45179999999999</v>
      </c>
      <c r="Y586" s="408">
        <v>0</v>
      </c>
      <c r="Z586" s="408">
        <v>38.279655345867077</v>
      </c>
      <c r="AA586" s="408">
        <v>0</v>
      </c>
      <c r="AB586" s="408">
        <v>0</v>
      </c>
      <c r="AC586" s="408">
        <v>0</v>
      </c>
      <c r="AD586" s="408">
        <v>0</v>
      </c>
      <c r="AE586" s="408">
        <v>0</v>
      </c>
      <c r="AF586" s="408">
        <v>147.75528324058288</v>
      </c>
      <c r="AG586" s="408">
        <v>1.9683699493943771</v>
      </c>
      <c r="AH586" s="408">
        <v>0</v>
      </c>
      <c r="AI586" s="408">
        <v>0</v>
      </c>
      <c r="AJ586" s="408">
        <v>0</v>
      </c>
      <c r="AK586" s="408">
        <v>0</v>
      </c>
      <c r="AL586" s="408">
        <v>6.7993651762641036</v>
      </c>
      <c r="AM586" s="408"/>
      <c r="AN586" s="408">
        <v>0.94940868058330574</v>
      </c>
      <c r="AO586" s="408">
        <v>0</v>
      </c>
      <c r="AP586" s="408">
        <v>0</v>
      </c>
      <c r="AQ586" s="408">
        <v>0</v>
      </c>
      <c r="AR586" s="408">
        <v>0</v>
      </c>
      <c r="AS586" s="408">
        <v>0</v>
      </c>
      <c r="AT586" s="408">
        <v>0</v>
      </c>
      <c r="AU586" s="408">
        <v>0</v>
      </c>
      <c r="AV586" s="408">
        <v>0</v>
      </c>
      <c r="AW586" s="408">
        <v>0</v>
      </c>
      <c r="AX586" s="408">
        <v>0</v>
      </c>
      <c r="AY586" s="408">
        <v>0</v>
      </c>
      <c r="AZ586" s="408">
        <v>0</v>
      </c>
      <c r="BA586" s="408"/>
      <c r="BB586" s="408">
        <v>0</v>
      </c>
      <c r="BC586" s="408">
        <v>0</v>
      </c>
      <c r="BD586" s="408">
        <v>0</v>
      </c>
      <c r="BE586" s="408">
        <v>0</v>
      </c>
      <c r="BF586" s="408">
        <v>0</v>
      </c>
      <c r="BG586" s="408">
        <v>10.95697199827273</v>
      </c>
      <c r="BH586" s="408">
        <v>0</v>
      </c>
      <c r="BI586" s="408">
        <v>0</v>
      </c>
      <c r="BJ586" s="408">
        <v>0</v>
      </c>
      <c r="BK586" s="408">
        <v>0</v>
      </c>
      <c r="BL586" s="408">
        <v>0</v>
      </c>
      <c r="BM586" s="408"/>
      <c r="BN586" s="408"/>
      <c r="BO586" s="408"/>
      <c r="BP586" s="408"/>
      <c r="BQ586" s="408"/>
      <c r="BR586" s="408">
        <v>8.9380719999999876</v>
      </c>
      <c r="BS586" s="408"/>
      <c r="BT586" s="408"/>
      <c r="BU586" s="408"/>
      <c r="BV586" s="408">
        <v>158.71225523885562</v>
      </c>
      <c r="BW586" s="408"/>
      <c r="BX586" s="408"/>
      <c r="BY586" s="408"/>
      <c r="BZ586" s="408"/>
      <c r="CA586" s="408"/>
      <c r="CB586" s="408"/>
      <c r="CC586" s="408"/>
      <c r="CD586" s="408"/>
      <c r="CE586" s="408"/>
      <c r="CF586" s="408"/>
      <c r="CG586" s="408"/>
      <c r="CH586" s="408"/>
      <c r="CI586" s="408">
        <v>215.6388</v>
      </c>
      <c r="CJ586" s="408">
        <v>17.170560000000023</v>
      </c>
      <c r="CK586" s="408"/>
      <c r="CL586" s="408"/>
      <c r="CM586" s="408"/>
      <c r="CN586" s="408"/>
      <c r="CO586" s="408">
        <v>0.42185000000000245</v>
      </c>
      <c r="CP586" s="408">
        <v>16.323449999999987</v>
      </c>
      <c r="CQ586" s="408">
        <v>30</v>
      </c>
      <c r="CR586" s="408">
        <v>16.73972592896439</v>
      </c>
      <c r="CS586" s="408">
        <v>0</v>
      </c>
      <c r="CT586" s="408">
        <v>0</v>
      </c>
      <c r="CU586" s="408">
        <v>0</v>
      </c>
      <c r="CV586" s="408">
        <v>0</v>
      </c>
      <c r="CW586" s="408">
        <v>0</v>
      </c>
      <c r="CX586" s="408">
        <v>0</v>
      </c>
      <c r="CY586" s="408">
        <v>0</v>
      </c>
      <c r="CZ586" s="408">
        <v>0</v>
      </c>
      <c r="DA586" s="408">
        <v>0</v>
      </c>
      <c r="DB586" s="408">
        <v>0</v>
      </c>
      <c r="DC586" s="408">
        <v>16.318505150347363</v>
      </c>
      <c r="DD586" s="408">
        <v>0</v>
      </c>
      <c r="DE586" s="408">
        <v>0</v>
      </c>
      <c r="DF586" s="408">
        <v>0</v>
      </c>
      <c r="DG586" s="408">
        <v>1.2101185153216427</v>
      </c>
      <c r="DH586" s="408">
        <v>0</v>
      </c>
      <c r="DI586" s="408">
        <v>-0.66729565406890146</v>
      </c>
      <c r="DJ586" s="408"/>
      <c r="DK586" s="408">
        <v>0</v>
      </c>
      <c r="DL586" s="408">
        <v>0</v>
      </c>
      <c r="DM586" s="408">
        <v>0</v>
      </c>
      <c r="DN586" s="408">
        <v>0</v>
      </c>
      <c r="DO586" s="408">
        <v>-9.9651306059227451E-2</v>
      </c>
      <c r="DP586" s="408">
        <v>-2.195077657648592E-2</v>
      </c>
      <c r="DQ586" s="408">
        <v>0</v>
      </c>
      <c r="DR586" s="408">
        <v>0</v>
      </c>
      <c r="DS586" s="408"/>
      <c r="DT586" s="408"/>
      <c r="DU586" s="408"/>
      <c r="DV586" s="408">
        <v>0</v>
      </c>
      <c r="DW586" s="408">
        <v>0</v>
      </c>
      <c r="DX586" s="408">
        <v>0</v>
      </c>
      <c r="DY586" s="408">
        <v>0.42184999999999917</v>
      </c>
      <c r="DZ586" s="408">
        <v>16.32344999999998</v>
      </c>
      <c r="EA586" s="408">
        <v>0</v>
      </c>
      <c r="EB586" s="408">
        <v>0</v>
      </c>
      <c r="EC586" s="408">
        <v>0</v>
      </c>
      <c r="ED586" s="408">
        <v>0</v>
      </c>
      <c r="EE586" s="408">
        <v>0</v>
      </c>
      <c r="EF586" s="408">
        <v>0</v>
      </c>
      <c r="EG586" s="408">
        <v>0</v>
      </c>
      <c r="EH586" s="408">
        <v>0</v>
      </c>
      <c r="EI586" s="408">
        <v>0</v>
      </c>
      <c r="EJ586" s="408">
        <v>0</v>
      </c>
      <c r="EK586" s="408">
        <v>0</v>
      </c>
      <c r="EL586" s="408">
        <v>0</v>
      </c>
      <c r="EM586" s="408">
        <v>0</v>
      </c>
      <c r="EN586" s="408">
        <v>0</v>
      </c>
      <c r="EO586" s="408">
        <v>0</v>
      </c>
      <c r="EP586" s="408">
        <v>0</v>
      </c>
      <c r="EQ586" s="408">
        <v>0</v>
      </c>
      <c r="ER586" s="408">
        <v>0</v>
      </c>
      <c r="ES586" s="408">
        <v>0</v>
      </c>
      <c r="ET586" s="408">
        <v>0</v>
      </c>
      <c r="EU586" s="408">
        <v>0</v>
      </c>
      <c r="EV586" s="408">
        <v>238</v>
      </c>
      <c r="EW586" s="408">
        <v>0</v>
      </c>
      <c r="EX586" s="408">
        <v>0</v>
      </c>
      <c r="EY586" s="408">
        <v>0</v>
      </c>
      <c r="EZ586" s="408"/>
      <c r="FA586" s="408">
        <v>0</v>
      </c>
      <c r="FB586" s="408"/>
      <c r="FC586" s="408"/>
      <c r="FD586" s="408"/>
      <c r="FE586" s="408"/>
      <c r="FF586" s="408">
        <v>0</v>
      </c>
      <c r="FG586" s="408">
        <v>0</v>
      </c>
      <c r="FH586" s="408">
        <v>0</v>
      </c>
      <c r="FI586" s="408">
        <v>0</v>
      </c>
    </row>
    <row r="587" spans="1:165">
      <c r="A587" s="408">
        <v>591</v>
      </c>
      <c r="B587" s="408" t="s">
        <v>1036</v>
      </c>
      <c r="C587" s="408" t="s">
        <v>2243</v>
      </c>
      <c r="D587" s="408" t="s">
        <v>597</v>
      </c>
      <c r="E587" s="408" t="s">
        <v>974</v>
      </c>
      <c r="F587" s="408" t="s">
        <v>2252</v>
      </c>
      <c r="G587" s="408" t="s">
        <v>1322</v>
      </c>
      <c r="H587" s="408" t="s">
        <v>1322</v>
      </c>
      <c r="I587" s="408" t="s">
        <v>1322</v>
      </c>
      <c r="J587" s="408" t="s">
        <v>2236</v>
      </c>
      <c r="K587" s="824">
        <v>44652</v>
      </c>
      <c r="L587" s="408">
        <v>9538</v>
      </c>
      <c r="M587" s="408">
        <v>9156.48</v>
      </c>
      <c r="N587" s="408">
        <v>0</v>
      </c>
      <c r="O587" s="408">
        <v>0</v>
      </c>
      <c r="P587" s="408">
        <v>0</v>
      </c>
      <c r="Q587" s="408">
        <v>0</v>
      </c>
      <c r="R587" s="408">
        <v>44.35</v>
      </c>
      <c r="S587" s="408"/>
      <c r="T587" s="408"/>
      <c r="U587" s="408">
        <v>423010.3</v>
      </c>
      <c r="V587" s="408"/>
      <c r="W587" s="408">
        <v>423010.3</v>
      </c>
      <c r="X587" s="408">
        <v>276315.86</v>
      </c>
      <c r="Y587" s="408">
        <v>0</v>
      </c>
      <c r="Z587" s="408">
        <v>0</v>
      </c>
      <c r="AA587" s="408">
        <v>0</v>
      </c>
      <c r="AB587" s="408">
        <v>0</v>
      </c>
      <c r="AC587" s="408">
        <v>0</v>
      </c>
      <c r="AD587" s="408">
        <v>125158.24345695759</v>
      </c>
      <c r="AE587" s="408">
        <v>273910.81787344534</v>
      </c>
      <c r="AF587" s="408"/>
      <c r="AG587" s="408"/>
      <c r="AH587" s="408"/>
      <c r="AI587" s="408">
        <v>0</v>
      </c>
      <c r="AJ587" s="408">
        <v>0</v>
      </c>
      <c r="AK587" s="408">
        <v>0</v>
      </c>
      <c r="AL587" s="408">
        <v>0</v>
      </c>
      <c r="AM587" s="408"/>
      <c r="AN587" s="408">
        <v>0</v>
      </c>
      <c r="AO587" s="408">
        <v>9459.0319570623033</v>
      </c>
      <c r="AP587" s="408">
        <v>14471.925310326935</v>
      </c>
      <c r="AQ587" s="408">
        <v>0</v>
      </c>
      <c r="AR587" s="408">
        <v>0</v>
      </c>
      <c r="AS587" s="408"/>
      <c r="AT587" s="408"/>
      <c r="AU587" s="408">
        <v>0</v>
      </c>
      <c r="AV587" s="408">
        <v>0</v>
      </c>
      <c r="AW587" s="408">
        <v>0</v>
      </c>
      <c r="AX587" s="408"/>
      <c r="AY587" s="408"/>
      <c r="AZ587" s="408">
        <v>0</v>
      </c>
      <c r="BA587" s="408"/>
      <c r="BB587" s="408">
        <v>0</v>
      </c>
      <c r="BC587" s="408">
        <v>0</v>
      </c>
      <c r="BD587" s="408">
        <v>0</v>
      </c>
      <c r="BE587" s="408">
        <v>0</v>
      </c>
      <c r="BF587" s="408"/>
      <c r="BG587" s="408">
        <v>0</v>
      </c>
      <c r="BH587" s="408">
        <v>0</v>
      </c>
      <c r="BI587" s="408">
        <v>1034.79</v>
      </c>
      <c r="BJ587" s="408">
        <v>4814.84</v>
      </c>
      <c r="BK587" s="408">
        <v>732.6</v>
      </c>
      <c r="BL587" s="408">
        <v>128</v>
      </c>
      <c r="BM587" s="408"/>
      <c r="BN587" s="408"/>
      <c r="BO587" s="408"/>
      <c r="BP587" s="408"/>
      <c r="BQ587" s="408"/>
      <c r="BR587" s="408">
        <v>11052.634400000012</v>
      </c>
      <c r="BS587" s="408"/>
      <c r="BT587" s="408"/>
      <c r="BU587" s="408"/>
      <c r="BV587" s="408">
        <v>0</v>
      </c>
      <c r="BW587" s="408"/>
      <c r="BX587" s="408"/>
      <c r="BY587" s="408"/>
      <c r="BZ587" s="408"/>
      <c r="CA587" s="408"/>
      <c r="CB587" s="408"/>
      <c r="CC587" s="408"/>
      <c r="CD587" s="408"/>
      <c r="CE587" s="408"/>
      <c r="CF587" s="408"/>
      <c r="CG587" s="408"/>
      <c r="CH587" s="408"/>
      <c r="CI587" s="408">
        <v>265263.22560000001</v>
      </c>
      <c r="CJ587" s="408">
        <v>-140826.6924</v>
      </c>
      <c r="CK587" s="408"/>
      <c r="CL587" s="408"/>
      <c r="CM587" s="408"/>
      <c r="CN587" s="408"/>
      <c r="CO587" s="408">
        <v>-146694.44000000003</v>
      </c>
      <c r="CP587" s="408">
        <v>0</v>
      </c>
      <c r="CQ587" s="408">
        <v>30</v>
      </c>
      <c r="CR587" s="408">
        <v>6992.2253827521054</v>
      </c>
      <c r="CS587" s="408">
        <v>1142.008134749296</v>
      </c>
      <c r="CT587" s="408">
        <v>1747.2249279735588</v>
      </c>
      <c r="CU587" s="408">
        <v>0</v>
      </c>
      <c r="CV587" s="408">
        <v>0</v>
      </c>
      <c r="CW587" s="408"/>
      <c r="CX587" s="408"/>
      <c r="CY587" s="408"/>
      <c r="CZ587" s="408">
        <v>4102.9923200292396</v>
      </c>
      <c r="DA587" s="408">
        <v>0</v>
      </c>
      <c r="DB587" s="408">
        <v>0</v>
      </c>
      <c r="DC587" s="408"/>
      <c r="DD587" s="408"/>
      <c r="DE587" s="408">
        <v>0</v>
      </c>
      <c r="DF587" s="408">
        <v>0</v>
      </c>
      <c r="DG587" s="408">
        <v>0</v>
      </c>
      <c r="DH587" s="408">
        <v>0</v>
      </c>
      <c r="DI587" s="408">
        <v>0</v>
      </c>
      <c r="DJ587" s="408"/>
      <c r="DK587" s="408">
        <v>0</v>
      </c>
      <c r="DL587" s="408">
        <v>0</v>
      </c>
      <c r="DM587" s="408"/>
      <c r="DN587" s="408">
        <v>0</v>
      </c>
      <c r="DO587" s="408">
        <v>0</v>
      </c>
      <c r="DP587" s="408">
        <v>0</v>
      </c>
      <c r="DQ587" s="408">
        <v>0</v>
      </c>
      <c r="DR587" s="408">
        <v>0</v>
      </c>
      <c r="DS587" s="408"/>
      <c r="DT587" s="408"/>
      <c r="DU587" s="408">
        <v>273910.81787344534</v>
      </c>
      <c r="DV587" s="408"/>
      <c r="DW587" s="408">
        <v>0</v>
      </c>
      <c r="DX587" s="408">
        <v>0</v>
      </c>
      <c r="DY587" s="408">
        <v>-146694.44</v>
      </c>
      <c r="DZ587" s="408"/>
      <c r="EA587" s="408">
        <v>0</v>
      </c>
      <c r="EB587" s="408"/>
      <c r="EC587" s="408">
        <v>-153661.14732516545</v>
      </c>
      <c r="ED587" s="408"/>
      <c r="EE587" s="408">
        <v>0</v>
      </c>
      <c r="EF587" s="408">
        <v>0</v>
      </c>
      <c r="EG587" s="408"/>
      <c r="EH587" s="408">
        <v>0</v>
      </c>
      <c r="EI587" s="408">
        <v>0</v>
      </c>
      <c r="EJ587" s="408">
        <v>0</v>
      </c>
      <c r="EK587" s="408">
        <v>0</v>
      </c>
      <c r="EL587" s="408">
        <v>0</v>
      </c>
      <c r="EM587" s="408"/>
      <c r="EN587" s="408"/>
      <c r="EO587" s="408">
        <v>0</v>
      </c>
      <c r="EP587" s="408">
        <v>0</v>
      </c>
      <c r="EQ587" s="408"/>
      <c r="ER587" s="408">
        <v>0</v>
      </c>
      <c r="ES587" s="408"/>
      <c r="ET587" s="408">
        <v>0</v>
      </c>
      <c r="EU587" s="408"/>
      <c r="EV587" s="408">
        <v>238</v>
      </c>
      <c r="EW587" s="408"/>
      <c r="EX587" s="408"/>
      <c r="EY587" s="408"/>
      <c r="EZ587" s="408"/>
      <c r="FA587" s="408">
        <v>0</v>
      </c>
      <c r="FB587" s="408"/>
      <c r="FC587" s="408"/>
      <c r="FD587" s="408"/>
      <c r="FE587" s="408"/>
      <c r="FF587" s="408">
        <v>0</v>
      </c>
      <c r="FG587" s="408">
        <v>0</v>
      </c>
      <c r="FH587" s="408">
        <v>0</v>
      </c>
      <c r="FI587" s="408">
        <v>0</v>
      </c>
    </row>
    <row r="588" spans="1:165">
      <c r="A588" s="408">
        <v>592</v>
      </c>
      <c r="B588" s="408" t="s">
        <v>2238</v>
      </c>
      <c r="C588" s="408" t="s">
        <v>2243</v>
      </c>
      <c r="D588" s="408" t="s">
        <v>597</v>
      </c>
      <c r="E588" s="408" t="s">
        <v>974</v>
      </c>
      <c r="F588" s="408" t="s">
        <v>2252</v>
      </c>
      <c r="G588" s="408" t="s">
        <v>1322</v>
      </c>
      <c r="H588" s="408" t="s">
        <v>1322</v>
      </c>
      <c r="I588" s="408" t="s">
        <v>1322</v>
      </c>
      <c r="J588" s="408" t="s">
        <v>2236</v>
      </c>
      <c r="K588" s="824">
        <v>44652</v>
      </c>
      <c r="L588" s="408">
        <v>1022</v>
      </c>
      <c r="M588" s="408">
        <v>981.12</v>
      </c>
      <c r="N588" s="408">
        <v>0</v>
      </c>
      <c r="O588" s="408">
        <v>0</v>
      </c>
      <c r="P588" s="408">
        <v>0</v>
      </c>
      <c r="Q588" s="408">
        <v>0</v>
      </c>
      <c r="R588" s="408">
        <v>44.35</v>
      </c>
      <c r="S588" s="408"/>
      <c r="T588" s="408"/>
      <c r="U588" s="408">
        <v>45325.700000000004</v>
      </c>
      <c r="V588" s="408"/>
      <c r="W588" s="408">
        <v>45325.700000000004</v>
      </c>
      <c r="X588" s="408">
        <v>29607.34</v>
      </c>
      <c r="Y588" s="408">
        <v>0</v>
      </c>
      <c r="Z588" s="408">
        <v>0</v>
      </c>
      <c r="AA588" s="408">
        <v>0</v>
      </c>
      <c r="AB588" s="408">
        <v>0</v>
      </c>
      <c r="AC588" s="408">
        <v>0</v>
      </c>
      <c r="AD588" s="408">
        <v>13410.749089223176</v>
      </c>
      <c r="AE588" s="408">
        <v>29349.63890403241</v>
      </c>
      <c r="AF588" s="408"/>
      <c r="AG588" s="408"/>
      <c r="AH588" s="408"/>
      <c r="AI588" s="408">
        <v>0</v>
      </c>
      <c r="AJ588" s="408">
        <v>0</v>
      </c>
      <c r="AK588" s="408">
        <v>0</v>
      </c>
      <c r="AL588" s="408">
        <v>0</v>
      </c>
      <c r="AM588" s="408"/>
      <c r="AN588" s="408">
        <v>0</v>
      </c>
      <c r="AO588" s="408">
        <v>1013.5385468775082</v>
      </c>
      <c r="AP588" s="408">
        <v>1550.6718040631292</v>
      </c>
      <c r="AQ588" s="408">
        <v>0</v>
      </c>
      <c r="AR588" s="408">
        <v>0</v>
      </c>
      <c r="AS588" s="408"/>
      <c r="AT588" s="408"/>
      <c r="AU588" s="408">
        <v>0</v>
      </c>
      <c r="AV588" s="408">
        <v>0</v>
      </c>
      <c r="AW588" s="408">
        <v>0</v>
      </c>
      <c r="AX588" s="408"/>
      <c r="AY588" s="408"/>
      <c r="AZ588" s="408">
        <v>0</v>
      </c>
      <c r="BA588" s="408"/>
      <c r="BB588" s="408">
        <v>0</v>
      </c>
      <c r="BC588" s="408">
        <v>0</v>
      </c>
      <c r="BD588" s="408">
        <v>0</v>
      </c>
      <c r="BE588" s="408">
        <v>0</v>
      </c>
      <c r="BF588" s="408"/>
      <c r="BG588" s="408">
        <v>0</v>
      </c>
      <c r="BH588" s="408">
        <v>0</v>
      </c>
      <c r="BI588" s="408">
        <v>92.14</v>
      </c>
      <c r="BJ588" s="408">
        <v>429.48</v>
      </c>
      <c r="BK588" s="408">
        <v>39.299999999999997</v>
      </c>
      <c r="BL588" s="408">
        <v>19</v>
      </c>
      <c r="BM588" s="408"/>
      <c r="BN588" s="408"/>
      <c r="BO588" s="408"/>
      <c r="BP588" s="408"/>
      <c r="BQ588" s="408"/>
      <c r="BR588" s="408">
        <v>1184.2935999999997</v>
      </c>
      <c r="BS588" s="408"/>
      <c r="BT588" s="408"/>
      <c r="BU588" s="408"/>
      <c r="BV588" s="408">
        <v>0</v>
      </c>
      <c r="BW588" s="408"/>
      <c r="BX588" s="408"/>
      <c r="BY588" s="408"/>
      <c r="BZ588" s="408"/>
      <c r="CA588" s="408"/>
      <c r="CB588" s="408"/>
      <c r="CC588" s="408"/>
      <c r="CD588" s="408"/>
      <c r="CE588" s="408"/>
      <c r="CF588" s="408"/>
      <c r="CG588" s="408"/>
      <c r="CH588" s="408"/>
      <c r="CI588" s="408">
        <v>28423.046399999999</v>
      </c>
      <c r="CJ588" s="408">
        <v>-15089.655600000006</v>
      </c>
      <c r="CK588" s="408"/>
      <c r="CL588" s="408"/>
      <c r="CM588" s="408"/>
      <c r="CN588" s="408"/>
      <c r="CO588" s="408">
        <v>-15718.360000000002</v>
      </c>
      <c r="CP588" s="408">
        <v>0</v>
      </c>
      <c r="CQ588" s="408">
        <v>30</v>
      </c>
      <c r="CR588" s="408">
        <v>749.21936896337138</v>
      </c>
      <c r="CS588" s="408">
        <v>122.36656675548124</v>
      </c>
      <c r="CT588" s="408">
        <v>187.21575554508058</v>
      </c>
      <c r="CU588" s="408">
        <v>0</v>
      </c>
      <c r="CV588" s="408">
        <v>0</v>
      </c>
      <c r="CW588" s="408"/>
      <c r="CX588" s="408"/>
      <c r="CY588" s="408"/>
      <c r="CZ588" s="408">
        <v>439.63704666280864</v>
      </c>
      <c r="DA588" s="408">
        <v>0</v>
      </c>
      <c r="DB588" s="408">
        <v>0</v>
      </c>
      <c r="DC588" s="408"/>
      <c r="DD588" s="408"/>
      <c r="DE588" s="408">
        <v>0</v>
      </c>
      <c r="DF588" s="408">
        <v>0</v>
      </c>
      <c r="DG588" s="408">
        <v>0</v>
      </c>
      <c r="DH588" s="408">
        <v>0</v>
      </c>
      <c r="DI588" s="408">
        <v>0</v>
      </c>
      <c r="DJ588" s="408"/>
      <c r="DK588" s="408">
        <v>0</v>
      </c>
      <c r="DL588" s="408">
        <v>0</v>
      </c>
      <c r="DM588" s="408"/>
      <c r="DN588" s="408">
        <v>0</v>
      </c>
      <c r="DO588" s="408">
        <v>0</v>
      </c>
      <c r="DP588" s="408">
        <v>0</v>
      </c>
      <c r="DQ588" s="408">
        <v>0</v>
      </c>
      <c r="DR588" s="408">
        <v>0</v>
      </c>
      <c r="DS588" s="408"/>
      <c r="DT588" s="408"/>
      <c r="DU588" s="408">
        <v>29349.63890403241</v>
      </c>
      <c r="DV588" s="408"/>
      <c r="DW588" s="408">
        <v>0</v>
      </c>
      <c r="DX588" s="408">
        <v>0</v>
      </c>
      <c r="DY588" s="408">
        <v>-15718.360000000004</v>
      </c>
      <c r="DZ588" s="408"/>
      <c r="EA588" s="408">
        <v>0</v>
      </c>
      <c r="EB588" s="408"/>
      <c r="EC588" s="408">
        <v>-16464.845100264109</v>
      </c>
      <c r="ED588" s="408"/>
      <c r="EE588" s="408">
        <v>0</v>
      </c>
      <c r="EF588" s="408">
        <v>0</v>
      </c>
      <c r="EG588" s="408"/>
      <c r="EH588" s="408">
        <v>0</v>
      </c>
      <c r="EI588" s="408">
        <v>0</v>
      </c>
      <c r="EJ588" s="408">
        <v>0</v>
      </c>
      <c r="EK588" s="408">
        <v>0</v>
      </c>
      <c r="EL588" s="408">
        <v>0</v>
      </c>
      <c r="EM588" s="408"/>
      <c r="EN588" s="408"/>
      <c r="EO588" s="408">
        <v>0</v>
      </c>
      <c r="EP588" s="408">
        <v>0</v>
      </c>
      <c r="EQ588" s="408"/>
      <c r="ER588" s="408">
        <v>0</v>
      </c>
      <c r="ES588" s="408"/>
      <c r="ET588" s="408">
        <v>0</v>
      </c>
      <c r="EU588" s="408"/>
      <c r="EV588" s="408">
        <v>238</v>
      </c>
      <c r="EW588" s="408"/>
      <c r="EX588" s="408"/>
      <c r="EY588" s="408"/>
      <c r="EZ588" s="408"/>
      <c r="FA588" s="408">
        <v>0</v>
      </c>
      <c r="FB588" s="408"/>
      <c r="FC588" s="408"/>
      <c r="FD588" s="408"/>
      <c r="FE588" s="408"/>
      <c r="FF588" s="408">
        <v>0</v>
      </c>
      <c r="FG588" s="408">
        <v>0</v>
      </c>
      <c r="FH588" s="408">
        <v>0</v>
      </c>
      <c r="FI588" s="408">
        <v>0</v>
      </c>
    </row>
    <row r="589" spans="1:165">
      <c r="A589" s="408">
        <v>593</v>
      </c>
      <c r="B589" s="408" t="s">
        <v>1036</v>
      </c>
      <c r="C589" s="408" t="s">
        <v>2243</v>
      </c>
      <c r="D589" s="408" t="s">
        <v>597</v>
      </c>
      <c r="E589" s="408" t="s">
        <v>974</v>
      </c>
      <c r="F589" s="408" t="s">
        <v>2252</v>
      </c>
      <c r="G589" s="408" t="s">
        <v>2254</v>
      </c>
      <c r="H589" s="408" t="s">
        <v>1322</v>
      </c>
      <c r="I589" s="408" t="s">
        <v>2244</v>
      </c>
      <c r="J589" s="408" t="s">
        <v>2236</v>
      </c>
      <c r="K589" s="824">
        <v>44652</v>
      </c>
      <c r="L589" s="408">
        <v>0</v>
      </c>
      <c r="M589" s="408">
        <v>0</v>
      </c>
      <c r="N589" s="408">
        <v>187.624</v>
      </c>
      <c r="O589" s="408">
        <v>56.287199999999999</v>
      </c>
      <c r="P589" s="408">
        <v>187.624</v>
      </c>
      <c r="Q589" s="408">
        <v>56.287199999999999</v>
      </c>
      <c r="R589" s="408"/>
      <c r="S589" s="408">
        <v>79.7</v>
      </c>
      <c r="T589" s="408">
        <v>209.4</v>
      </c>
      <c r="U589" s="408"/>
      <c r="V589" s="408">
        <v>54242.098400000003</v>
      </c>
      <c r="W589" s="408">
        <v>54242.098400000003</v>
      </c>
      <c r="X589" s="408">
        <v>58636.252479999996</v>
      </c>
      <c r="Y589" s="408">
        <v>0</v>
      </c>
      <c r="Z589" s="408">
        <v>10045.009866591559</v>
      </c>
      <c r="AA589" s="408">
        <v>0</v>
      </c>
      <c r="AB589" s="408">
        <v>0</v>
      </c>
      <c r="AC589" s="408">
        <v>0</v>
      </c>
      <c r="AD589" s="408">
        <v>0</v>
      </c>
      <c r="AE589" s="408">
        <v>0</v>
      </c>
      <c r="AF589" s="408">
        <v>38772.639528295273</v>
      </c>
      <c r="AG589" s="408">
        <v>516.52229844079807</v>
      </c>
      <c r="AH589" s="408">
        <v>0</v>
      </c>
      <c r="AI589" s="408">
        <v>0</v>
      </c>
      <c r="AJ589" s="408">
        <v>0</v>
      </c>
      <c r="AK589" s="408">
        <v>0</v>
      </c>
      <c r="AL589" s="408">
        <v>1784.2294990648618</v>
      </c>
      <c r="AM589" s="408"/>
      <c r="AN589" s="408">
        <v>249.13546053952749</v>
      </c>
      <c r="AO589" s="408">
        <v>0</v>
      </c>
      <c r="AP589" s="408">
        <v>0</v>
      </c>
      <c r="AQ589" s="408">
        <v>0</v>
      </c>
      <c r="AR589" s="408">
        <v>0</v>
      </c>
      <c r="AS589" s="408">
        <v>0</v>
      </c>
      <c r="AT589" s="408">
        <v>0</v>
      </c>
      <c r="AU589" s="408">
        <v>0</v>
      </c>
      <c r="AV589" s="408">
        <v>0</v>
      </c>
      <c r="AW589" s="408">
        <v>0</v>
      </c>
      <c r="AX589" s="408">
        <v>0</v>
      </c>
      <c r="AY589" s="408">
        <v>0</v>
      </c>
      <c r="AZ589" s="408">
        <v>0</v>
      </c>
      <c r="BA589" s="408"/>
      <c r="BB589" s="408">
        <v>0</v>
      </c>
      <c r="BC589" s="408">
        <v>0</v>
      </c>
      <c r="BD589" s="408">
        <v>0</v>
      </c>
      <c r="BE589" s="408">
        <v>0</v>
      </c>
      <c r="BF589" s="408">
        <v>0</v>
      </c>
      <c r="BG589" s="408">
        <v>2875.2320478376537</v>
      </c>
      <c r="BH589" s="408">
        <v>0</v>
      </c>
      <c r="BI589" s="408">
        <v>0</v>
      </c>
      <c r="BJ589" s="408">
        <v>0</v>
      </c>
      <c r="BK589" s="408">
        <v>0</v>
      </c>
      <c r="BL589" s="408">
        <v>0</v>
      </c>
      <c r="BM589" s="408"/>
      <c r="BN589" s="408"/>
      <c r="BO589" s="408"/>
      <c r="BP589" s="408"/>
      <c r="BQ589" s="408"/>
      <c r="BR589" s="408"/>
      <c r="BS589" s="408">
        <v>41045.376735999991</v>
      </c>
      <c r="BT589" s="408"/>
      <c r="BU589" s="408"/>
      <c r="BV589" s="408">
        <v>41647.871576132929</v>
      </c>
      <c r="BW589" s="408"/>
      <c r="BX589" s="408"/>
      <c r="BY589" s="408"/>
      <c r="BZ589" s="408"/>
      <c r="CA589" s="408"/>
      <c r="CB589" s="408"/>
      <c r="CC589" s="408"/>
      <c r="CD589" s="408"/>
      <c r="CE589" s="408"/>
      <c r="CF589" s="408"/>
      <c r="CG589" s="408"/>
      <c r="CH589" s="408"/>
      <c r="CI589" s="408">
        <v>17591.750800000002</v>
      </c>
      <c r="CJ589" s="408">
        <v>1319.0912800000024</v>
      </c>
      <c r="CK589" s="408"/>
      <c r="CL589" s="408"/>
      <c r="CM589" s="408"/>
      <c r="CN589" s="408"/>
      <c r="CO589" s="408">
        <v>110.69816000000064</v>
      </c>
      <c r="CP589" s="408">
        <v>4283.4559199999967</v>
      </c>
      <c r="CQ589" s="408">
        <v>30</v>
      </c>
      <c r="CR589" s="408">
        <v>4392.6913813930441</v>
      </c>
      <c r="CS589" s="408">
        <v>0</v>
      </c>
      <c r="CT589" s="408">
        <v>0</v>
      </c>
      <c r="CU589" s="408">
        <v>0</v>
      </c>
      <c r="CV589" s="408">
        <v>0</v>
      </c>
      <c r="CW589" s="408">
        <v>0</v>
      </c>
      <c r="CX589" s="408">
        <v>0</v>
      </c>
      <c r="CY589" s="408">
        <v>0</v>
      </c>
      <c r="CZ589" s="408">
        <v>0</v>
      </c>
      <c r="DA589" s="408">
        <v>0</v>
      </c>
      <c r="DB589" s="408">
        <v>0</v>
      </c>
      <c r="DC589" s="408">
        <v>4282.1583361241646</v>
      </c>
      <c r="DD589" s="408">
        <v>0</v>
      </c>
      <c r="DE589" s="408">
        <v>0</v>
      </c>
      <c r="DF589" s="408">
        <v>0</v>
      </c>
      <c r="DG589" s="408">
        <v>317.54863820798346</v>
      </c>
      <c r="DH589" s="408">
        <v>0</v>
      </c>
      <c r="DI589" s="408">
        <v>-175.10584587276026</v>
      </c>
      <c r="DJ589" s="408"/>
      <c r="DK589" s="408">
        <v>0</v>
      </c>
      <c r="DL589" s="408">
        <v>0</v>
      </c>
      <c r="DM589" s="408">
        <v>0</v>
      </c>
      <c r="DN589" s="408">
        <v>0</v>
      </c>
      <c r="DO589" s="408">
        <v>-26.149617689589377</v>
      </c>
      <c r="DP589" s="408">
        <v>-5.7601293767644393</v>
      </c>
      <c r="DQ589" s="408">
        <v>0</v>
      </c>
      <c r="DR589" s="408">
        <v>0</v>
      </c>
      <c r="DS589" s="408"/>
      <c r="DT589" s="408"/>
      <c r="DU589" s="408"/>
      <c r="DV589" s="408">
        <v>0</v>
      </c>
      <c r="DW589" s="408">
        <v>0</v>
      </c>
      <c r="DX589" s="408">
        <v>0</v>
      </c>
      <c r="DY589" s="408">
        <v>110.69816000000174</v>
      </c>
      <c r="DZ589" s="408">
        <v>4283.4559199999931</v>
      </c>
      <c r="EA589" s="408">
        <v>0</v>
      </c>
      <c r="EB589" s="408">
        <v>0</v>
      </c>
      <c r="EC589" s="408">
        <v>0</v>
      </c>
      <c r="ED589" s="408">
        <v>0</v>
      </c>
      <c r="EE589" s="408">
        <v>0</v>
      </c>
      <c r="EF589" s="408">
        <v>0</v>
      </c>
      <c r="EG589" s="408">
        <v>0</v>
      </c>
      <c r="EH589" s="408">
        <v>0</v>
      </c>
      <c r="EI589" s="408">
        <v>0</v>
      </c>
      <c r="EJ589" s="408">
        <v>0</v>
      </c>
      <c r="EK589" s="408">
        <v>0</v>
      </c>
      <c r="EL589" s="408">
        <v>0</v>
      </c>
      <c r="EM589" s="408">
        <v>0</v>
      </c>
      <c r="EN589" s="408">
        <v>0</v>
      </c>
      <c r="EO589" s="408">
        <v>0</v>
      </c>
      <c r="EP589" s="408">
        <v>0</v>
      </c>
      <c r="EQ589" s="408">
        <v>0</v>
      </c>
      <c r="ER589" s="408">
        <v>0</v>
      </c>
      <c r="ES589" s="408">
        <v>0</v>
      </c>
      <c r="ET589" s="408">
        <v>0</v>
      </c>
      <c r="EU589" s="408">
        <v>0</v>
      </c>
      <c r="EV589" s="408">
        <v>238</v>
      </c>
      <c r="EW589" s="408">
        <v>0</v>
      </c>
      <c r="EX589" s="408">
        <v>0</v>
      </c>
      <c r="EY589" s="408">
        <v>0</v>
      </c>
      <c r="EZ589" s="408"/>
      <c r="FA589" s="408">
        <v>0</v>
      </c>
      <c r="FB589" s="408"/>
      <c r="FC589" s="408"/>
      <c r="FD589" s="408"/>
      <c r="FE589" s="408"/>
      <c r="FF589" s="408">
        <v>0</v>
      </c>
      <c r="FG589" s="408">
        <v>0</v>
      </c>
      <c r="FH589" s="408">
        <v>0</v>
      </c>
      <c r="FI589" s="408">
        <v>0</v>
      </c>
    </row>
    <row r="590" spans="1:165">
      <c r="A590" s="408">
        <v>594</v>
      </c>
      <c r="B590" s="408" t="s">
        <v>1036</v>
      </c>
      <c r="C590" s="408" t="s">
        <v>2235</v>
      </c>
      <c r="D590" s="408" t="s">
        <v>1955</v>
      </c>
      <c r="E590" s="408" t="s">
        <v>969</v>
      </c>
      <c r="F590" s="408" t="s">
        <v>969</v>
      </c>
      <c r="G590" s="408" t="s">
        <v>1322</v>
      </c>
      <c r="H590" s="408" t="s">
        <v>1322</v>
      </c>
      <c r="I590" s="408" t="s">
        <v>1322</v>
      </c>
      <c r="J590" s="408" t="s">
        <v>2236</v>
      </c>
      <c r="K590" s="824">
        <v>44682</v>
      </c>
      <c r="L590" s="408">
        <v>0</v>
      </c>
      <c r="M590" s="408">
        <v>0</v>
      </c>
      <c r="N590" s="408">
        <v>1196.758</v>
      </c>
      <c r="O590" s="408">
        <v>1196.758</v>
      </c>
      <c r="P590" s="408">
        <v>1196.758</v>
      </c>
      <c r="Q590" s="408">
        <v>1196.758</v>
      </c>
      <c r="R590" s="408"/>
      <c r="S590" s="408">
        <v>581.32000000000005</v>
      </c>
      <c r="T590" s="408">
        <v>209.4</v>
      </c>
      <c r="U590" s="408"/>
      <c r="V590" s="408">
        <v>946300.48576000007</v>
      </c>
      <c r="W590" s="408">
        <v>946300.48576000007</v>
      </c>
      <c r="X590" s="408">
        <v>722925.60505999997</v>
      </c>
      <c r="Y590" s="408">
        <v>0</v>
      </c>
      <c r="Z590" s="408">
        <v>73645.983075973258</v>
      </c>
      <c r="AA590" s="408">
        <v>0</v>
      </c>
      <c r="AB590" s="408">
        <v>0</v>
      </c>
      <c r="AC590" s="408">
        <v>0</v>
      </c>
      <c r="AD590" s="408">
        <v>88788.846063549368</v>
      </c>
      <c r="AE590" s="408">
        <v>461236.89024661446</v>
      </c>
      <c r="AF590" s="408">
        <v>247310.9332313755</v>
      </c>
      <c r="AG590" s="408">
        <v>3294.6328446116308</v>
      </c>
      <c r="AH590" s="408">
        <v>0</v>
      </c>
      <c r="AI590" s="408">
        <v>0</v>
      </c>
      <c r="AJ590" s="408">
        <v>0</v>
      </c>
      <c r="AK590" s="408">
        <v>0</v>
      </c>
      <c r="AL590" s="408">
        <v>11380.691845616051</v>
      </c>
      <c r="AM590" s="408"/>
      <c r="AN590" s="408">
        <v>2181.6471286827268</v>
      </c>
      <c r="AO590" s="408">
        <v>6820.8992133994952</v>
      </c>
      <c r="AP590" s="408">
        <v>10274.394778710324</v>
      </c>
      <c r="AQ590" s="408">
        <v>0</v>
      </c>
      <c r="AR590" s="408">
        <v>0</v>
      </c>
      <c r="AS590" s="408">
        <v>0</v>
      </c>
      <c r="AT590" s="408">
        <v>0</v>
      </c>
      <c r="AU590" s="408">
        <v>0</v>
      </c>
      <c r="AV590" s="408">
        <v>0</v>
      </c>
      <c r="AW590" s="408">
        <v>0</v>
      </c>
      <c r="AX590" s="408">
        <v>0</v>
      </c>
      <c r="AY590" s="408">
        <v>0</v>
      </c>
      <c r="AZ590" s="408">
        <v>0</v>
      </c>
      <c r="BA590" s="408"/>
      <c r="BB590" s="408">
        <v>0</v>
      </c>
      <c r="BC590" s="408">
        <v>0</v>
      </c>
      <c r="BD590" s="408">
        <v>0</v>
      </c>
      <c r="BE590" s="408">
        <v>0</v>
      </c>
      <c r="BF590" s="408">
        <v>0</v>
      </c>
      <c r="BG590" s="408">
        <v>41374.656805957668</v>
      </c>
      <c r="BH590" s="408">
        <v>0</v>
      </c>
      <c r="BI590" s="408">
        <v>1516.61</v>
      </c>
      <c r="BJ590" s="408">
        <v>7220.03</v>
      </c>
      <c r="BK590" s="408">
        <v>239615.69</v>
      </c>
      <c r="BL590" s="408">
        <v>8577</v>
      </c>
      <c r="BM590" s="408"/>
      <c r="BN590" s="408"/>
      <c r="BO590" s="408"/>
      <c r="BP590" s="408"/>
      <c r="BQ590" s="408"/>
      <c r="BR590" s="408"/>
      <c r="BS590" s="408"/>
      <c r="BT590" s="408"/>
      <c r="BU590" s="408"/>
      <c r="BV590" s="408">
        <v>288685.5900373332</v>
      </c>
      <c r="BW590" s="408"/>
      <c r="BX590" s="408"/>
      <c r="BY590" s="408"/>
      <c r="BZ590" s="408"/>
      <c r="CA590" s="408"/>
      <c r="CB590" s="408"/>
      <c r="CC590" s="408"/>
      <c r="CD590" s="408"/>
      <c r="CE590" s="408"/>
      <c r="CF590" s="408"/>
      <c r="CG590" s="408"/>
      <c r="CH590" s="408"/>
      <c r="CI590" s="408">
        <v>722926.81319999998</v>
      </c>
      <c r="CJ590" s="408">
        <v>-223373.70256000012</v>
      </c>
      <c r="CK590" s="408"/>
      <c r="CL590" s="408"/>
      <c r="CM590" s="408"/>
      <c r="CN590" s="408"/>
      <c r="CO590" s="408">
        <v>-250696.8658400001</v>
      </c>
      <c r="CP590" s="408">
        <v>27321.985139999982</v>
      </c>
      <c r="CQ590" s="408">
        <v>31</v>
      </c>
      <c r="CR590" s="408">
        <v>35356.86362208036</v>
      </c>
      <c r="CS590" s="408">
        <v>823.50101187591463</v>
      </c>
      <c r="CT590" s="408">
        <v>1240.4485438018291</v>
      </c>
      <c r="CU590" s="408">
        <v>0</v>
      </c>
      <c r="CV590" s="408">
        <v>0</v>
      </c>
      <c r="CW590" s="408">
        <v>0</v>
      </c>
      <c r="CX590" s="408">
        <v>0</v>
      </c>
      <c r="CY590" s="408">
        <v>0</v>
      </c>
      <c r="CZ590" s="408">
        <v>2910.7148154268507</v>
      </c>
      <c r="DA590" s="408">
        <v>0</v>
      </c>
      <c r="DB590" s="408">
        <v>0</v>
      </c>
      <c r="DC590" s="408">
        <v>27313.708512894314</v>
      </c>
      <c r="DD590" s="408">
        <v>0</v>
      </c>
      <c r="DE590" s="408">
        <v>0</v>
      </c>
      <c r="DF590" s="408">
        <v>0</v>
      </c>
      <c r="DG590" s="408">
        <v>4569.5323738948646</v>
      </c>
      <c r="DH590" s="408">
        <v>0</v>
      </c>
      <c r="DI590" s="408">
        <v>-1283.8058232813491</v>
      </c>
      <c r="DJ590" s="408"/>
      <c r="DK590" s="408">
        <v>0</v>
      </c>
      <c r="DL590" s="408">
        <v>0</v>
      </c>
      <c r="DM590" s="408">
        <v>0</v>
      </c>
      <c r="DN590" s="408">
        <v>0</v>
      </c>
      <c r="DO590" s="408">
        <v>-166.79510172982918</v>
      </c>
      <c r="DP590" s="408">
        <v>-50.440710802235571</v>
      </c>
      <c r="DQ590" s="408">
        <v>0</v>
      </c>
      <c r="DR590" s="408">
        <v>0</v>
      </c>
      <c r="DS590" s="408"/>
      <c r="DT590" s="408"/>
      <c r="DU590" s="408"/>
      <c r="DV590" s="408">
        <v>461236.89024661446</v>
      </c>
      <c r="DW590" s="408">
        <v>0</v>
      </c>
      <c r="DX590" s="408">
        <v>0</v>
      </c>
      <c r="DY590" s="408">
        <v>-250696.8658400001</v>
      </c>
      <c r="DZ590" s="408">
        <v>27321.985140000004</v>
      </c>
      <c r="EA590" s="408">
        <v>0</v>
      </c>
      <c r="EB590" s="408">
        <v>0</v>
      </c>
      <c r="EC590" s="408">
        <v>-258749.14431722832</v>
      </c>
      <c r="ED590" s="408">
        <v>0</v>
      </c>
      <c r="EE590" s="408">
        <v>0</v>
      </c>
      <c r="EF590" s="408">
        <v>0</v>
      </c>
      <c r="EG590" s="408">
        <v>0</v>
      </c>
      <c r="EH590" s="408">
        <v>0</v>
      </c>
      <c r="EI590" s="408">
        <v>0</v>
      </c>
      <c r="EJ590" s="408">
        <v>0</v>
      </c>
      <c r="EK590" s="408">
        <v>0</v>
      </c>
      <c r="EL590" s="408">
        <v>0</v>
      </c>
      <c r="EM590" s="408">
        <v>0</v>
      </c>
      <c r="EN590" s="408">
        <v>0</v>
      </c>
      <c r="EO590" s="408">
        <v>0</v>
      </c>
      <c r="EP590" s="408">
        <v>0</v>
      </c>
      <c r="EQ590" s="408">
        <v>0</v>
      </c>
      <c r="ER590" s="408">
        <v>0</v>
      </c>
      <c r="ES590" s="408">
        <v>0</v>
      </c>
      <c r="ET590" s="408">
        <v>0</v>
      </c>
      <c r="EU590" s="408">
        <v>0</v>
      </c>
      <c r="EV590" s="408">
        <v>238</v>
      </c>
      <c r="EW590" s="408">
        <v>0</v>
      </c>
      <c r="EX590" s="408">
        <v>0</v>
      </c>
      <c r="EY590" s="408">
        <v>0</v>
      </c>
      <c r="EZ590" s="408"/>
      <c r="FA590" s="408">
        <v>0</v>
      </c>
      <c r="FB590" s="408"/>
      <c r="FC590" s="408"/>
      <c r="FD590" s="408"/>
      <c r="FE590" s="408"/>
      <c r="FF590" s="408">
        <v>0</v>
      </c>
      <c r="FG590" s="408">
        <v>0</v>
      </c>
      <c r="FH590" s="408">
        <v>0</v>
      </c>
      <c r="FI590" s="408">
        <v>0</v>
      </c>
    </row>
    <row r="591" spans="1:165">
      <c r="A591" s="408">
        <v>595</v>
      </c>
      <c r="B591" s="408" t="s">
        <v>2237</v>
      </c>
      <c r="C591" s="408" t="s">
        <v>2235</v>
      </c>
      <c r="D591" s="408" t="s">
        <v>1955</v>
      </c>
      <c r="E591" s="408" t="s">
        <v>969</v>
      </c>
      <c r="F591" s="408" t="s">
        <v>969</v>
      </c>
      <c r="G591" s="408" t="s">
        <v>1322</v>
      </c>
      <c r="H591" s="408" t="s">
        <v>1322</v>
      </c>
      <c r="I591" s="408" t="s">
        <v>1322</v>
      </c>
      <c r="J591" s="408" t="s">
        <v>2236</v>
      </c>
      <c r="K591" s="824">
        <v>44682</v>
      </c>
      <c r="L591" s="408">
        <v>0</v>
      </c>
      <c r="M591" s="408">
        <v>0</v>
      </c>
      <c r="N591" s="408">
        <v>-0.61199999999999999</v>
      </c>
      <c r="O591" s="408">
        <v>-0.61199999999999999</v>
      </c>
      <c r="P591" s="408">
        <v>-0.61199999999999999</v>
      </c>
      <c r="Q591" s="408">
        <v>-0.61199999999999999</v>
      </c>
      <c r="R591" s="408"/>
      <c r="S591" s="408">
        <v>581.32000000000005</v>
      </c>
      <c r="T591" s="408">
        <v>209.4</v>
      </c>
      <c r="U591" s="408"/>
      <c r="V591" s="408">
        <v>-483.92064000000005</v>
      </c>
      <c r="W591" s="408">
        <v>-483.92064000000005</v>
      </c>
      <c r="X591" s="408">
        <v>-369.69083999999998</v>
      </c>
      <c r="Y591" s="408">
        <v>0</v>
      </c>
      <c r="Z591" s="408">
        <v>-37.661199375726447</v>
      </c>
      <c r="AA591" s="408">
        <v>0</v>
      </c>
      <c r="AB591" s="408">
        <v>0</v>
      </c>
      <c r="AC591" s="408">
        <v>0</v>
      </c>
      <c r="AD591" s="408">
        <v>-45.404980615038468</v>
      </c>
      <c r="AE591" s="408">
        <v>-235.86805087655821</v>
      </c>
      <c r="AF591" s="408">
        <v>-126.4702564241073</v>
      </c>
      <c r="AG591" s="408">
        <v>-1.6848145580830194</v>
      </c>
      <c r="AH591" s="408">
        <v>0</v>
      </c>
      <c r="AI591" s="408">
        <v>0</v>
      </c>
      <c r="AJ591" s="408">
        <v>0</v>
      </c>
      <c r="AK591" s="408">
        <v>0</v>
      </c>
      <c r="AL591" s="408">
        <v>-5.8198762068162679</v>
      </c>
      <c r="AM591" s="408"/>
      <c r="AN591" s="408">
        <v>-1.1156541612872684</v>
      </c>
      <c r="AO591" s="408">
        <v>-3.4880822343368427</v>
      </c>
      <c r="AP591" s="408">
        <v>-5.2541362619432821</v>
      </c>
      <c r="AQ591" s="408">
        <v>0</v>
      </c>
      <c r="AR591" s="408">
        <v>0</v>
      </c>
      <c r="AS591" s="408">
        <v>0</v>
      </c>
      <c r="AT591" s="408">
        <v>0</v>
      </c>
      <c r="AU591" s="408">
        <v>0</v>
      </c>
      <c r="AV591" s="408">
        <v>0</v>
      </c>
      <c r="AW591" s="408">
        <v>0</v>
      </c>
      <c r="AX591" s="408">
        <v>0</v>
      </c>
      <c r="AY591" s="408">
        <v>0</v>
      </c>
      <c r="AZ591" s="408">
        <v>0</v>
      </c>
      <c r="BA591" s="408"/>
      <c r="BB591" s="408">
        <v>0</v>
      </c>
      <c r="BC591" s="408">
        <v>0</v>
      </c>
      <c r="BD591" s="408">
        <v>0</v>
      </c>
      <c r="BE591" s="408">
        <v>0</v>
      </c>
      <c r="BF591" s="408">
        <v>0</v>
      </c>
      <c r="BG591" s="408">
        <v>-21.158237475952607</v>
      </c>
      <c r="BH591" s="408">
        <v>0</v>
      </c>
      <c r="BI591" s="408">
        <v>-1.25</v>
      </c>
      <c r="BJ591" s="408">
        <v>-7.26</v>
      </c>
      <c r="BK591" s="408">
        <v>-172.48</v>
      </c>
      <c r="BL591" s="408">
        <v>0</v>
      </c>
      <c r="BM591" s="408"/>
      <c r="BN591" s="408"/>
      <c r="BO591" s="408"/>
      <c r="BP591" s="408"/>
      <c r="BQ591" s="408"/>
      <c r="BR591" s="408"/>
      <c r="BS591" s="408"/>
      <c r="BT591" s="408"/>
      <c r="BU591" s="408"/>
      <c r="BV591" s="408">
        <v>-147.62849390005991</v>
      </c>
      <c r="BW591" s="408"/>
      <c r="BX591" s="408"/>
      <c r="BY591" s="408"/>
      <c r="BZ591" s="408"/>
      <c r="CA591" s="408"/>
      <c r="CB591" s="408"/>
      <c r="CC591" s="408"/>
      <c r="CD591" s="408"/>
      <c r="CE591" s="408"/>
      <c r="CF591" s="408"/>
      <c r="CG591" s="408"/>
      <c r="CH591" s="408"/>
      <c r="CI591" s="408">
        <v>-368.48269999999997</v>
      </c>
      <c r="CJ591" s="408">
        <v>115.40794000000011</v>
      </c>
      <c r="CK591" s="408"/>
      <c r="CL591" s="408"/>
      <c r="CM591" s="408"/>
      <c r="CN591" s="408"/>
      <c r="CO591" s="408">
        <v>128.20176000000004</v>
      </c>
      <c r="CP591" s="408">
        <v>-13.97195999999999</v>
      </c>
      <c r="CQ591" s="408">
        <v>31</v>
      </c>
      <c r="CR591" s="408">
        <v>-18.080848873968876</v>
      </c>
      <c r="CS591" s="408">
        <v>-0.42112325070570611</v>
      </c>
      <c r="CT591" s="408">
        <v>-0.63434253943296781</v>
      </c>
      <c r="CU591" s="408">
        <v>0</v>
      </c>
      <c r="CV591" s="408">
        <v>0</v>
      </c>
      <c r="CW591" s="408">
        <v>0</v>
      </c>
      <c r="CX591" s="408">
        <v>0</v>
      </c>
      <c r="CY591" s="408">
        <v>0</v>
      </c>
      <c r="CZ591" s="408">
        <v>-1.4884859487392106</v>
      </c>
      <c r="DA591" s="408">
        <v>0</v>
      </c>
      <c r="DB591" s="408">
        <v>0</v>
      </c>
      <c r="DC591" s="408">
        <v>-13.967727485332318</v>
      </c>
      <c r="DD591" s="408">
        <v>0</v>
      </c>
      <c r="DE591" s="408">
        <v>0</v>
      </c>
      <c r="DF591" s="408">
        <v>0</v>
      </c>
      <c r="DG591" s="408">
        <v>-2.3367746969927587</v>
      </c>
      <c r="DH591" s="408">
        <v>0</v>
      </c>
      <c r="DI591" s="408">
        <v>0.65651465362937245</v>
      </c>
      <c r="DJ591" s="408"/>
      <c r="DK591" s="408">
        <v>0</v>
      </c>
      <c r="DL591" s="408">
        <v>0</v>
      </c>
      <c r="DM591" s="408">
        <v>0</v>
      </c>
      <c r="DN591" s="408">
        <v>0</v>
      </c>
      <c r="DO591" s="408">
        <v>8.5295943088457449E-2</v>
      </c>
      <c r="DP591" s="408">
        <v>2.5794450516284817E-2</v>
      </c>
      <c r="DQ591" s="408">
        <v>0</v>
      </c>
      <c r="DR591" s="408">
        <v>0</v>
      </c>
      <c r="DS591" s="408"/>
      <c r="DT591" s="408"/>
      <c r="DU591" s="408"/>
      <c r="DV591" s="408">
        <v>-235.86805087655821</v>
      </c>
      <c r="DW591" s="408">
        <v>0</v>
      </c>
      <c r="DX591" s="408">
        <v>0</v>
      </c>
      <c r="DY591" s="408">
        <v>128.20176000000006</v>
      </c>
      <c r="DZ591" s="408">
        <v>-13.971959999999967</v>
      </c>
      <c r="EA591" s="408">
        <v>0</v>
      </c>
      <c r="EB591" s="408">
        <v>0</v>
      </c>
      <c r="EC591" s="408">
        <v>132.31954691102442</v>
      </c>
      <c r="ED591" s="408">
        <v>0</v>
      </c>
      <c r="EE591" s="408">
        <v>0</v>
      </c>
      <c r="EF591" s="408">
        <v>0</v>
      </c>
      <c r="EG591" s="408">
        <v>0</v>
      </c>
      <c r="EH591" s="408">
        <v>0</v>
      </c>
      <c r="EI591" s="408">
        <v>0</v>
      </c>
      <c r="EJ591" s="408">
        <v>0</v>
      </c>
      <c r="EK591" s="408">
        <v>0</v>
      </c>
      <c r="EL591" s="408">
        <v>0</v>
      </c>
      <c r="EM591" s="408">
        <v>0</v>
      </c>
      <c r="EN591" s="408">
        <v>0</v>
      </c>
      <c r="EO591" s="408">
        <v>0</v>
      </c>
      <c r="EP591" s="408">
        <v>0</v>
      </c>
      <c r="EQ591" s="408">
        <v>0</v>
      </c>
      <c r="ER591" s="408">
        <v>0</v>
      </c>
      <c r="ES591" s="408">
        <v>0</v>
      </c>
      <c r="ET591" s="408">
        <v>0</v>
      </c>
      <c r="EU591" s="408">
        <v>0</v>
      </c>
      <c r="EV591" s="408">
        <v>238</v>
      </c>
      <c r="EW591" s="408">
        <v>0</v>
      </c>
      <c r="EX591" s="408">
        <v>0</v>
      </c>
      <c r="EY591" s="408">
        <v>0</v>
      </c>
      <c r="EZ591" s="408"/>
      <c r="FA591" s="408">
        <v>0</v>
      </c>
      <c r="FB591" s="408"/>
      <c r="FC591" s="408"/>
      <c r="FD591" s="408"/>
      <c r="FE591" s="408"/>
      <c r="FF591" s="408">
        <v>0</v>
      </c>
      <c r="FG591" s="408">
        <v>0</v>
      </c>
      <c r="FH591" s="408">
        <v>0</v>
      </c>
      <c r="FI591" s="408">
        <v>0</v>
      </c>
    </row>
    <row r="592" spans="1:165">
      <c r="A592" s="408">
        <v>596</v>
      </c>
      <c r="B592" s="408" t="s">
        <v>2238</v>
      </c>
      <c r="C592" s="408" t="s">
        <v>2235</v>
      </c>
      <c r="D592" s="408" t="s">
        <v>1955</v>
      </c>
      <c r="E592" s="408" t="s">
        <v>969</v>
      </c>
      <c r="F592" s="408" t="s">
        <v>969</v>
      </c>
      <c r="G592" s="408" t="s">
        <v>1322</v>
      </c>
      <c r="H592" s="408" t="s">
        <v>1322</v>
      </c>
      <c r="I592" s="408" t="s">
        <v>1322</v>
      </c>
      <c r="J592" s="408" t="s">
        <v>2236</v>
      </c>
      <c r="K592" s="824">
        <v>44682</v>
      </c>
      <c r="L592" s="408">
        <v>0</v>
      </c>
      <c r="M592" s="408">
        <v>0</v>
      </c>
      <c r="N592" s="408">
        <v>74.823999999999998</v>
      </c>
      <c r="O592" s="408">
        <v>74.823999999999998</v>
      </c>
      <c r="P592" s="408">
        <v>74.823999999999998</v>
      </c>
      <c r="Q592" s="408">
        <v>74.823999999999998</v>
      </c>
      <c r="R592" s="408"/>
      <c r="S592" s="408">
        <v>581.32000000000005</v>
      </c>
      <c r="T592" s="408">
        <v>209.4</v>
      </c>
      <c r="U592" s="408"/>
      <c r="V592" s="408">
        <v>59164.833280000006</v>
      </c>
      <c r="W592" s="408">
        <v>59164.833280000006</v>
      </c>
      <c r="X592" s="408">
        <v>45198.933679999995</v>
      </c>
      <c r="Y592" s="408">
        <v>0</v>
      </c>
      <c r="Z592" s="408">
        <v>4604.5123890348941</v>
      </c>
      <c r="AA592" s="408">
        <v>0</v>
      </c>
      <c r="AB592" s="408">
        <v>0</v>
      </c>
      <c r="AC592" s="408">
        <v>0</v>
      </c>
      <c r="AD592" s="408">
        <v>5551.2782182020237</v>
      </c>
      <c r="AE592" s="408">
        <v>28837.567056842468</v>
      </c>
      <c r="AF592" s="408">
        <v>15462.435403067655</v>
      </c>
      <c r="AG592" s="408">
        <v>205.98785048039844</v>
      </c>
      <c r="AH592" s="408">
        <v>0</v>
      </c>
      <c r="AI592" s="408">
        <v>0</v>
      </c>
      <c r="AJ592" s="408">
        <v>0</v>
      </c>
      <c r="AK592" s="408">
        <v>0</v>
      </c>
      <c r="AL592" s="408">
        <v>711.54643349480455</v>
      </c>
      <c r="AM592" s="408"/>
      <c r="AN592" s="408">
        <v>136.40148196757937</v>
      </c>
      <c r="AO592" s="408">
        <v>426.45794951310444</v>
      </c>
      <c r="AP592" s="408">
        <v>642.3782543523597</v>
      </c>
      <c r="AQ592" s="408">
        <v>0</v>
      </c>
      <c r="AR592" s="408">
        <v>0</v>
      </c>
      <c r="AS592" s="408">
        <v>0</v>
      </c>
      <c r="AT592" s="408">
        <v>0</v>
      </c>
      <c r="AU592" s="408">
        <v>0</v>
      </c>
      <c r="AV592" s="408">
        <v>0</v>
      </c>
      <c r="AW592" s="408">
        <v>0</v>
      </c>
      <c r="AX592" s="408">
        <v>0</v>
      </c>
      <c r="AY592" s="408">
        <v>0</v>
      </c>
      <c r="AZ592" s="408">
        <v>0</v>
      </c>
      <c r="BA592" s="408"/>
      <c r="BB592" s="408">
        <v>0</v>
      </c>
      <c r="BC592" s="408">
        <v>0</v>
      </c>
      <c r="BD592" s="408">
        <v>0</v>
      </c>
      <c r="BE592" s="408">
        <v>0</v>
      </c>
      <c r="BF592" s="408">
        <v>0</v>
      </c>
      <c r="BG592" s="408">
        <v>2586.8365374194082</v>
      </c>
      <c r="BH592" s="408">
        <v>0</v>
      </c>
      <c r="BI592" s="408">
        <v>90.22</v>
      </c>
      <c r="BJ592" s="408">
        <v>451.97</v>
      </c>
      <c r="BK592" s="408">
        <v>41823.1</v>
      </c>
      <c r="BL592" s="408">
        <v>987</v>
      </c>
      <c r="BM592" s="408"/>
      <c r="BN592" s="408"/>
      <c r="BO592" s="408"/>
      <c r="BP592" s="408"/>
      <c r="BQ592" s="408"/>
      <c r="BR592" s="408"/>
      <c r="BS592" s="408"/>
      <c r="BT592" s="408"/>
      <c r="BU592" s="408"/>
      <c r="BV592" s="408">
        <v>18049.271940487062</v>
      </c>
      <c r="BW592" s="408"/>
      <c r="BX592" s="408"/>
      <c r="BY592" s="408"/>
      <c r="BZ592" s="408"/>
      <c r="CA592" s="408"/>
      <c r="CB592" s="408"/>
      <c r="CC592" s="408"/>
      <c r="CD592" s="408"/>
      <c r="CE592" s="408"/>
      <c r="CF592" s="408"/>
      <c r="CG592" s="408"/>
      <c r="CH592" s="408"/>
      <c r="CI592" s="408">
        <v>45196.517399999997</v>
      </c>
      <c r="CJ592" s="408">
        <v>-13968.345880000015</v>
      </c>
      <c r="CK592" s="408"/>
      <c r="CL592" s="408"/>
      <c r="CM592" s="408"/>
      <c r="CN592" s="408"/>
      <c r="CO592" s="408">
        <v>-15674.131520000004</v>
      </c>
      <c r="CP592" s="408">
        <v>1708.2319199999988</v>
      </c>
      <c r="CQ592" s="408">
        <v>31</v>
      </c>
      <c r="CR592" s="408">
        <v>2210.5905819376494</v>
      </c>
      <c r="CS592" s="408">
        <v>51.487134167980003</v>
      </c>
      <c r="CT592" s="408">
        <v>77.555630997601952</v>
      </c>
      <c r="CU592" s="408">
        <v>0</v>
      </c>
      <c r="CV592" s="408">
        <v>0</v>
      </c>
      <c r="CW592" s="408">
        <v>0</v>
      </c>
      <c r="CX592" s="408">
        <v>0</v>
      </c>
      <c r="CY592" s="408">
        <v>0</v>
      </c>
      <c r="CZ592" s="408">
        <v>181.98443239944845</v>
      </c>
      <c r="DA592" s="408">
        <v>0</v>
      </c>
      <c r="DB592" s="408">
        <v>0</v>
      </c>
      <c r="DC592" s="408">
        <v>1707.7144466707578</v>
      </c>
      <c r="DD592" s="408">
        <v>0</v>
      </c>
      <c r="DE592" s="408">
        <v>0</v>
      </c>
      <c r="DF592" s="408">
        <v>0</v>
      </c>
      <c r="DG592" s="408">
        <v>285.69743452252624</v>
      </c>
      <c r="DH592" s="408">
        <v>0</v>
      </c>
      <c r="DI592" s="408">
        <v>-80.266425560725111</v>
      </c>
      <c r="DJ592" s="408"/>
      <c r="DK592" s="408">
        <v>0</v>
      </c>
      <c r="DL592" s="408">
        <v>0</v>
      </c>
      <c r="DM592" s="408">
        <v>0</v>
      </c>
      <c r="DN592" s="408">
        <v>0</v>
      </c>
      <c r="DO592" s="408">
        <v>-10.428404649756089</v>
      </c>
      <c r="DP592" s="408">
        <v>-3.1536666101805793</v>
      </c>
      <c r="DQ592" s="408">
        <v>0</v>
      </c>
      <c r="DR592" s="408">
        <v>0</v>
      </c>
      <c r="DS592" s="408"/>
      <c r="DT592" s="408"/>
      <c r="DU592" s="408"/>
      <c r="DV592" s="408">
        <v>28837.567056842468</v>
      </c>
      <c r="DW592" s="408">
        <v>0</v>
      </c>
      <c r="DX592" s="408">
        <v>0</v>
      </c>
      <c r="DY592" s="408">
        <v>-15674.131520000006</v>
      </c>
      <c r="DZ592" s="408">
        <v>1708.2319199999984</v>
      </c>
      <c r="EA592" s="408">
        <v>0</v>
      </c>
      <c r="EB592" s="408">
        <v>0</v>
      </c>
      <c r="EC592" s="408">
        <v>-16177.578068742629</v>
      </c>
      <c r="ED592" s="408">
        <v>0</v>
      </c>
      <c r="EE592" s="408">
        <v>0</v>
      </c>
      <c r="EF592" s="408">
        <v>0</v>
      </c>
      <c r="EG592" s="408">
        <v>0</v>
      </c>
      <c r="EH592" s="408">
        <v>0</v>
      </c>
      <c r="EI592" s="408">
        <v>0</v>
      </c>
      <c r="EJ592" s="408">
        <v>0</v>
      </c>
      <c r="EK592" s="408">
        <v>0</v>
      </c>
      <c r="EL592" s="408">
        <v>0</v>
      </c>
      <c r="EM592" s="408">
        <v>0</v>
      </c>
      <c r="EN592" s="408">
        <v>0</v>
      </c>
      <c r="EO592" s="408">
        <v>0</v>
      </c>
      <c r="EP592" s="408">
        <v>0</v>
      </c>
      <c r="EQ592" s="408">
        <v>0</v>
      </c>
      <c r="ER592" s="408">
        <v>0</v>
      </c>
      <c r="ES592" s="408">
        <v>0</v>
      </c>
      <c r="ET592" s="408">
        <v>0</v>
      </c>
      <c r="EU592" s="408">
        <v>0</v>
      </c>
      <c r="EV592" s="408">
        <v>238</v>
      </c>
      <c r="EW592" s="408">
        <v>0</v>
      </c>
      <c r="EX592" s="408">
        <v>0</v>
      </c>
      <c r="EY592" s="408">
        <v>0</v>
      </c>
      <c r="EZ592" s="408"/>
      <c r="FA592" s="408">
        <v>0</v>
      </c>
      <c r="FB592" s="408"/>
      <c r="FC592" s="408"/>
      <c r="FD592" s="408"/>
      <c r="FE592" s="408"/>
      <c r="FF592" s="408">
        <v>0</v>
      </c>
      <c r="FG592" s="408">
        <v>0</v>
      </c>
      <c r="FH592" s="408">
        <v>0</v>
      </c>
      <c r="FI592" s="408">
        <v>0</v>
      </c>
    </row>
    <row r="593" spans="1:165">
      <c r="A593" s="408">
        <v>597</v>
      </c>
      <c r="B593" s="408" t="s">
        <v>1036</v>
      </c>
      <c r="C593" s="408" t="s">
        <v>2235</v>
      </c>
      <c r="D593" s="408" t="s">
        <v>1955</v>
      </c>
      <c r="E593" s="408" t="s">
        <v>969</v>
      </c>
      <c r="F593" s="408" t="s">
        <v>2239</v>
      </c>
      <c r="G593" s="408" t="s">
        <v>1322</v>
      </c>
      <c r="H593" s="408" t="s">
        <v>1322</v>
      </c>
      <c r="I593" s="408" t="s">
        <v>1322</v>
      </c>
      <c r="J593" s="408" t="s">
        <v>2236</v>
      </c>
      <c r="K593" s="824">
        <v>44682</v>
      </c>
      <c r="L593" s="408">
        <v>0</v>
      </c>
      <c r="M593" s="408">
        <v>0</v>
      </c>
      <c r="N593" s="408">
        <v>58.23</v>
      </c>
      <c r="O593" s="408">
        <v>58.23</v>
      </c>
      <c r="P593" s="408">
        <v>58.23</v>
      </c>
      <c r="Q593" s="408">
        <v>58.23</v>
      </c>
      <c r="R593" s="408"/>
      <c r="S593" s="408">
        <v>510.28</v>
      </c>
      <c r="T593" s="408">
        <v>209.4</v>
      </c>
      <c r="U593" s="408"/>
      <c r="V593" s="408">
        <v>41906.966399999998</v>
      </c>
      <c r="W593" s="408">
        <v>41906.966399999998</v>
      </c>
      <c r="X593" s="408">
        <v>31108.212899999999</v>
      </c>
      <c r="Y593" s="408">
        <v>0</v>
      </c>
      <c r="Z593" s="408">
        <v>0</v>
      </c>
      <c r="AA593" s="408">
        <v>0</v>
      </c>
      <c r="AB593" s="408">
        <v>0</v>
      </c>
      <c r="AC593" s="408">
        <v>0</v>
      </c>
      <c r="AD593" s="408">
        <v>4320.150361460278</v>
      </c>
      <c r="AE593" s="408">
        <v>22442.15131134311</v>
      </c>
      <c r="AF593" s="408">
        <v>12033.272927411384</v>
      </c>
      <c r="AG593" s="408">
        <v>160.30514986466375</v>
      </c>
      <c r="AH593" s="408">
        <v>0</v>
      </c>
      <c r="AI593" s="408">
        <v>0</v>
      </c>
      <c r="AJ593" s="408">
        <v>0</v>
      </c>
      <c r="AK593" s="408">
        <v>0</v>
      </c>
      <c r="AL593" s="408">
        <v>0</v>
      </c>
      <c r="AM593" s="408"/>
      <c r="AN593" s="408">
        <v>106.15121211071509</v>
      </c>
      <c r="AO593" s="408">
        <v>331.88076553175546</v>
      </c>
      <c r="AP593" s="408">
        <v>499.91561198195637</v>
      </c>
      <c r="AQ593" s="408">
        <v>0</v>
      </c>
      <c r="AR593" s="408">
        <v>0</v>
      </c>
      <c r="AS593" s="408">
        <v>0</v>
      </c>
      <c r="AT593" s="408">
        <v>0</v>
      </c>
      <c r="AU593" s="408">
        <v>0</v>
      </c>
      <c r="AV593" s="408">
        <v>0</v>
      </c>
      <c r="AW593" s="408">
        <v>0</v>
      </c>
      <c r="AX593" s="408">
        <v>0</v>
      </c>
      <c r="AY593" s="408">
        <v>0</v>
      </c>
      <c r="AZ593" s="408">
        <v>0</v>
      </c>
      <c r="BA593" s="408"/>
      <c r="BB593" s="408">
        <v>0</v>
      </c>
      <c r="BC593" s="408">
        <v>0</v>
      </c>
      <c r="BD593" s="408">
        <v>0</v>
      </c>
      <c r="BE593" s="408">
        <v>0</v>
      </c>
      <c r="BF593" s="408">
        <v>0</v>
      </c>
      <c r="BG593" s="408">
        <v>2013.1440657266671</v>
      </c>
      <c r="BH593" s="408">
        <v>0</v>
      </c>
      <c r="BI593" s="408">
        <v>19.43</v>
      </c>
      <c r="BJ593" s="408">
        <v>97.29</v>
      </c>
      <c r="BK593" s="408">
        <v>3367.87</v>
      </c>
      <c r="BL593" s="408">
        <v>155</v>
      </c>
      <c r="BM593" s="408"/>
      <c r="BN593" s="408"/>
      <c r="BO593" s="408"/>
      <c r="BP593" s="408"/>
      <c r="BQ593" s="408"/>
      <c r="BR593" s="408"/>
      <c r="BS593" s="408"/>
      <c r="BT593" s="408">
        <v>20220.3675</v>
      </c>
      <c r="BU593" s="408"/>
      <c r="BV593" s="408">
        <v>14046.416993138051</v>
      </c>
      <c r="BW593" s="408"/>
      <c r="BX593" s="408"/>
      <c r="BY593" s="408"/>
      <c r="BZ593" s="408"/>
      <c r="CA593" s="408"/>
      <c r="CB593" s="408"/>
      <c r="CC593" s="408"/>
      <c r="CD593" s="408"/>
      <c r="CE593" s="408"/>
      <c r="CF593" s="408"/>
      <c r="CG593" s="408"/>
      <c r="CH593" s="408"/>
      <c r="CI593" s="408">
        <v>10887.8454</v>
      </c>
      <c r="CJ593" s="408">
        <v>-3779.7392999999993</v>
      </c>
      <c r="CK593" s="408"/>
      <c r="CL593" s="408"/>
      <c r="CM593" s="408"/>
      <c r="CN593" s="408"/>
      <c r="CO593" s="408">
        <v>-12128.144399999997</v>
      </c>
      <c r="CP593" s="408">
        <v>1329.390899999999</v>
      </c>
      <c r="CQ593" s="408">
        <v>31</v>
      </c>
      <c r="CR593" s="408">
        <v>1790.9206878726873</v>
      </c>
      <c r="CS593" s="408">
        <v>40.068638706851743</v>
      </c>
      <c r="CT593" s="408">
        <v>60.35582691369558</v>
      </c>
      <c r="CU593" s="408">
        <v>0</v>
      </c>
      <c r="CV593" s="408">
        <v>0</v>
      </c>
      <c r="CW593" s="408">
        <v>0</v>
      </c>
      <c r="CX593" s="408">
        <v>0</v>
      </c>
      <c r="CY593" s="408">
        <v>0</v>
      </c>
      <c r="CZ593" s="408">
        <v>141.62506012268568</v>
      </c>
      <c r="DA593" s="408">
        <v>0</v>
      </c>
      <c r="DB593" s="408">
        <v>0</v>
      </c>
      <c r="DC593" s="408">
        <v>1328.9881886779422</v>
      </c>
      <c r="DD593" s="408">
        <v>0</v>
      </c>
      <c r="DE593" s="408">
        <v>0</v>
      </c>
      <c r="DF593" s="408">
        <v>0</v>
      </c>
      <c r="DG593" s="408">
        <v>222.33723955210507</v>
      </c>
      <c r="DH593" s="408">
        <v>0</v>
      </c>
      <c r="DI593" s="408">
        <v>0</v>
      </c>
      <c r="DJ593" s="408"/>
      <c r="DK593" s="408">
        <v>0</v>
      </c>
      <c r="DL593" s="408">
        <v>0</v>
      </c>
      <c r="DM593" s="408">
        <v>0</v>
      </c>
      <c r="DN593" s="408">
        <v>0</v>
      </c>
      <c r="DO593" s="408">
        <v>0</v>
      </c>
      <c r="DP593" s="408">
        <v>-2.4542661005935855</v>
      </c>
      <c r="DQ593" s="408">
        <v>0</v>
      </c>
      <c r="DR593" s="408">
        <v>0</v>
      </c>
      <c r="DS593" s="408"/>
      <c r="DT593" s="408"/>
      <c r="DU593" s="408"/>
      <c r="DV593" s="408">
        <v>22442.15131134311</v>
      </c>
      <c r="DW593" s="408">
        <v>0</v>
      </c>
      <c r="DX593" s="408">
        <v>0</v>
      </c>
      <c r="DY593" s="408">
        <v>-12128.144399999997</v>
      </c>
      <c r="DZ593" s="408">
        <v>1329.3909000000003</v>
      </c>
      <c r="EA593" s="408">
        <v>0</v>
      </c>
      <c r="EB593" s="408">
        <v>0</v>
      </c>
      <c r="EC593" s="408">
        <v>-12589.815713445996</v>
      </c>
      <c r="ED593" s="408">
        <v>0</v>
      </c>
      <c r="EE593" s="408">
        <v>0</v>
      </c>
      <c r="EF593" s="408">
        <v>0</v>
      </c>
      <c r="EG593" s="408">
        <v>0</v>
      </c>
      <c r="EH593" s="408">
        <v>0</v>
      </c>
      <c r="EI593" s="408">
        <v>0</v>
      </c>
      <c r="EJ593" s="408">
        <v>0</v>
      </c>
      <c r="EK593" s="408">
        <v>0</v>
      </c>
      <c r="EL593" s="408">
        <v>0</v>
      </c>
      <c r="EM593" s="408">
        <v>0</v>
      </c>
      <c r="EN593" s="408">
        <v>0</v>
      </c>
      <c r="EO593" s="408">
        <v>0</v>
      </c>
      <c r="EP593" s="408">
        <v>0</v>
      </c>
      <c r="EQ593" s="408">
        <v>0</v>
      </c>
      <c r="ER593" s="408">
        <v>0</v>
      </c>
      <c r="ES593" s="408">
        <v>0</v>
      </c>
      <c r="ET593" s="408">
        <v>0</v>
      </c>
      <c r="EU593" s="408">
        <v>0</v>
      </c>
      <c r="EV593" s="408">
        <v>238</v>
      </c>
      <c r="EW593" s="408">
        <v>0</v>
      </c>
      <c r="EX593" s="408">
        <v>0</v>
      </c>
      <c r="EY593" s="408">
        <v>0</v>
      </c>
      <c r="EZ593" s="408"/>
      <c r="FA593" s="408">
        <v>0</v>
      </c>
      <c r="FB593" s="408"/>
      <c r="FC593" s="408"/>
      <c r="FD593" s="408"/>
      <c r="FE593" s="408"/>
      <c r="FF593" s="408">
        <v>0</v>
      </c>
      <c r="FG593" s="408">
        <v>0</v>
      </c>
      <c r="FH593" s="408">
        <v>0</v>
      </c>
      <c r="FI593" s="408">
        <v>0</v>
      </c>
    </row>
    <row r="594" spans="1:165">
      <c r="A594" s="408">
        <v>598</v>
      </c>
      <c r="B594" s="408" t="s">
        <v>2237</v>
      </c>
      <c r="C594" s="408" t="s">
        <v>2235</v>
      </c>
      <c r="D594" s="408" t="s">
        <v>1955</v>
      </c>
      <c r="E594" s="408" t="s">
        <v>969</v>
      </c>
      <c r="F594" s="408" t="s">
        <v>2239</v>
      </c>
      <c r="G594" s="408" t="s">
        <v>1322</v>
      </c>
      <c r="H594" s="408" t="s">
        <v>1322</v>
      </c>
      <c r="I594" s="408" t="s">
        <v>1322</v>
      </c>
      <c r="J594" s="408" t="s">
        <v>2236</v>
      </c>
      <c r="K594" s="824">
        <v>44682</v>
      </c>
      <c r="L594" s="408">
        <v>0</v>
      </c>
      <c r="M594" s="408">
        <v>0</v>
      </c>
      <c r="N594" s="408">
        <v>0.06</v>
      </c>
      <c r="O594" s="408">
        <v>0.06</v>
      </c>
      <c r="P594" s="408">
        <v>0.06</v>
      </c>
      <c r="Q594" s="408">
        <v>0.06</v>
      </c>
      <c r="R594" s="408"/>
      <c r="S594" s="408">
        <v>510.28</v>
      </c>
      <c r="T594" s="408">
        <v>209.4</v>
      </c>
      <c r="U594" s="408"/>
      <c r="V594" s="408">
        <v>43.180799999999998</v>
      </c>
      <c r="W594" s="408">
        <v>43.180799999999998</v>
      </c>
      <c r="X594" s="408">
        <v>32.053800000000003</v>
      </c>
      <c r="Y594" s="408">
        <v>0</v>
      </c>
      <c r="Z594" s="408">
        <v>0</v>
      </c>
      <c r="AA594" s="408">
        <v>0</v>
      </c>
      <c r="AB594" s="408">
        <v>0</v>
      </c>
      <c r="AC594" s="408">
        <v>0</v>
      </c>
      <c r="AD594" s="408">
        <v>4.4514686877488696</v>
      </c>
      <c r="AE594" s="408">
        <v>23.12431871338806</v>
      </c>
      <c r="AF594" s="408">
        <v>12.399044747461499</v>
      </c>
      <c r="AG594" s="408">
        <v>0.1651778978512764</v>
      </c>
      <c r="AH594" s="408">
        <v>0</v>
      </c>
      <c r="AI594" s="408">
        <v>0</v>
      </c>
      <c r="AJ594" s="408">
        <v>0</v>
      </c>
      <c r="AK594" s="408">
        <v>0</v>
      </c>
      <c r="AL594" s="408">
        <v>0</v>
      </c>
      <c r="AM594" s="408"/>
      <c r="AN594" s="408">
        <v>0.10937785894973219</v>
      </c>
      <c r="AO594" s="408">
        <v>0.34196884650361203</v>
      </c>
      <c r="AP594" s="408">
        <v>0.51511139822973351</v>
      </c>
      <c r="AQ594" s="408">
        <v>0</v>
      </c>
      <c r="AR594" s="408">
        <v>0</v>
      </c>
      <c r="AS594" s="408">
        <v>0</v>
      </c>
      <c r="AT594" s="408">
        <v>0</v>
      </c>
      <c r="AU594" s="408">
        <v>0</v>
      </c>
      <c r="AV594" s="408">
        <v>0</v>
      </c>
      <c r="AW594" s="408">
        <v>0</v>
      </c>
      <c r="AX594" s="408">
        <v>0</v>
      </c>
      <c r="AY594" s="408">
        <v>0</v>
      </c>
      <c r="AZ594" s="408">
        <v>0</v>
      </c>
      <c r="BA594" s="408"/>
      <c r="BB594" s="408">
        <v>0</v>
      </c>
      <c r="BC594" s="408">
        <v>0</v>
      </c>
      <c r="BD594" s="408">
        <v>0</v>
      </c>
      <c r="BE594" s="408">
        <v>0</v>
      </c>
      <c r="BF594" s="408">
        <v>0</v>
      </c>
      <c r="BG594" s="408">
        <v>2.0743370074463341</v>
      </c>
      <c r="BH594" s="408">
        <v>0</v>
      </c>
      <c r="BI594" s="408">
        <v>0.02</v>
      </c>
      <c r="BJ594" s="408">
        <v>0.12</v>
      </c>
      <c r="BK594" s="408">
        <v>2.66</v>
      </c>
      <c r="BL594" s="408">
        <v>0</v>
      </c>
      <c r="BM594" s="408"/>
      <c r="BN594" s="408"/>
      <c r="BO594" s="408"/>
      <c r="BP594" s="408"/>
      <c r="BQ594" s="408"/>
      <c r="BR594" s="408"/>
      <c r="BS594" s="408"/>
      <c r="BT594" s="408">
        <v>20.835000000000001</v>
      </c>
      <c r="BU594" s="408"/>
      <c r="BV594" s="408">
        <v>14.473381754907834</v>
      </c>
      <c r="BW594" s="408"/>
      <c r="BX594" s="408"/>
      <c r="BY594" s="408"/>
      <c r="BZ594" s="408"/>
      <c r="CA594" s="408"/>
      <c r="CB594" s="408"/>
      <c r="CC594" s="408"/>
      <c r="CD594" s="408"/>
      <c r="CE594" s="408"/>
      <c r="CF594" s="408"/>
      <c r="CG594" s="408"/>
      <c r="CH594" s="408"/>
      <c r="CI594" s="408">
        <v>11.2188</v>
      </c>
      <c r="CJ594" s="408">
        <v>-3.9245999999999981</v>
      </c>
      <c r="CK594" s="408"/>
      <c r="CL594" s="408"/>
      <c r="CM594" s="408"/>
      <c r="CN594" s="408"/>
      <c r="CO594" s="408">
        <v>-12.496799999999999</v>
      </c>
      <c r="CP594" s="408">
        <v>1.369799999999999</v>
      </c>
      <c r="CQ594" s="408">
        <v>31</v>
      </c>
      <c r="CR594" s="408">
        <v>1.8453587716359472</v>
      </c>
      <c r="CS594" s="408">
        <v>4.1286593206441791E-2</v>
      </c>
      <c r="CT594" s="408">
        <v>6.2190445042447862E-2</v>
      </c>
      <c r="CU594" s="408">
        <v>0</v>
      </c>
      <c r="CV594" s="408">
        <v>0</v>
      </c>
      <c r="CW594" s="408">
        <v>0</v>
      </c>
      <c r="CX594" s="408">
        <v>0</v>
      </c>
      <c r="CY594" s="408">
        <v>0</v>
      </c>
      <c r="CZ594" s="408">
        <v>0.14592999497443149</v>
      </c>
      <c r="DA594" s="408">
        <v>0</v>
      </c>
      <c r="DB594" s="408">
        <v>0</v>
      </c>
      <c r="DC594" s="408">
        <v>1.3693850475816003</v>
      </c>
      <c r="DD594" s="408">
        <v>0</v>
      </c>
      <c r="DE594" s="408">
        <v>0</v>
      </c>
      <c r="DF594" s="408">
        <v>0</v>
      </c>
      <c r="DG594" s="408">
        <v>0.22909555852870156</v>
      </c>
      <c r="DH594" s="408">
        <v>0</v>
      </c>
      <c r="DI594" s="408">
        <v>0</v>
      </c>
      <c r="DJ594" s="408"/>
      <c r="DK594" s="408">
        <v>0</v>
      </c>
      <c r="DL594" s="408">
        <v>0</v>
      </c>
      <c r="DM594" s="408">
        <v>0</v>
      </c>
      <c r="DN594" s="408">
        <v>0</v>
      </c>
      <c r="DO594" s="408">
        <v>0</v>
      </c>
      <c r="DP594" s="408">
        <v>-2.5288676976749913E-3</v>
      </c>
      <c r="DQ594" s="408">
        <v>0</v>
      </c>
      <c r="DR594" s="408">
        <v>0</v>
      </c>
      <c r="DS594" s="408"/>
      <c r="DT594" s="408"/>
      <c r="DU594" s="408"/>
      <c r="DV594" s="408">
        <v>23.12431871338806</v>
      </c>
      <c r="DW594" s="408">
        <v>0</v>
      </c>
      <c r="DX594" s="408">
        <v>0</v>
      </c>
      <c r="DY594" s="408">
        <v>-12.496799999999997</v>
      </c>
      <c r="DZ594" s="408">
        <v>1.3697999999999997</v>
      </c>
      <c r="EA594" s="408">
        <v>0</v>
      </c>
      <c r="EB594" s="408">
        <v>0</v>
      </c>
      <c r="EC594" s="408">
        <v>-12.97250459912004</v>
      </c>
      <c r="ED594" s="408">
        <v>0</v>
      </c>
      <c r="EE594" s="408">
        <v>0</v>
      </c>
      <c r="EF594" s="408">
        <v>0</v>
      </c>
      <c r="EG594" s="408">
        <v>0</v>
      </c>
      <c r="EH594" s="408">
        <v>0</v>
      </c>
      <c r="EI594" s="408">
        <v>0</v>
      </c>
      <c r="EJ594" s="408">
        <v>0</v>
      </c>
      <c r="EK594" s="408">
        <v>0</v>
      </c>
      <c r="EL594" s="408">
        <v>0</v>
      </c>
      <c r="EM594" s="408">
        <v>0</v>
      </c>
      <c r="EN594" s="408">
        <v>0</v>
      </c>
      <c r="EO594" s="408">
        <v>0</v>
      </c>
      <c r="EP594" s="408">
        <v>0</v>
      </c>
      <c r="EQ594" s="408">
        <v>0</v>
      </c>
      <c r="ER594" s="408">
        <v>0</v>
      </c>
      <c r="ES594" s="408">
        <v>0</v>
      </c>
      <c r="ET594" s="408">
        <v>0</v>
      </c>
      <c r="EU594" s="408">
        <v>0</v>
      </c>
      <c r="EV594" s="408">
        <v>238</v>
      </c>
      <c r="EW594" s="408">
        <v>0</v>
      </c>
      <c r="EX594" s="408">
        <v>0</v>
      </c>
      <c r="EY594" s="408">
        <v>0</v>
      </c>
      <c r="EZ594" s="408"/>
      <c r="FA594" s="408">
        <v>0</v>
      </c>
      <c r="FB594" s="408"/>
      <c r="FC594" s="408"/>
      <c r="FD594" s="408"/>
      <c r="FE594" s="408"/>
      <c r="FF594" s="408">
        <v>0</v>
      </c>
      <c r="FG594" s="408">
        <v>0</v>
      </c>
      <c r="FH594" s="408">
        <v>0</v>
      </c>
      <c r="FI594" s="408">
        <v>0</v>
      </c>
    </row>
    <row r="595" spans="1:165">
      <c r="A595" s="408">
        <v>599</v>
      </c>
      <c r="B595" s="408" t="s">
        <v>2238</v>
      </c>
      <c r="C595" s="408" t="s">
        <v>2235</v>
      </c>
      <c r="D595" s="408" t="s">
        <v>1955</v>
      </c>
      <c r="E595" s="408" t="s">
        <v>969</v>
      </c>
      <c r="F595" s="408" t="s">
        <v>2239</v>
      </c>
      <c r="G595" s="408" t="s">
        <v>1322</v>
      </c>
      <c r="H595" s="408" t="s">
        <v>1322</v>
      </c>
      <c r="I595" s="408" t="s">
        <v>1322</v>
      </c>
      <c r="J595" s="408" t="s">
        <v>2236</v>
      </c>
      <c r="K595" s="824">
        <v>44682</v>
      </c>
      <c r="L595" s="408">
        <v>0</v>
      </c>
      <c r="M595" s="408">
        <v>0</v>
      </c>
      <c r="N595" s="408">
        <v>0.151</v>
      </c>
      <c r="O595" s="408">
        <v>-1.1249499999999999</v>
      </c>
      <c r="P595" s="408">
        <v>0.151</v>
      </c>
      <c r="Q595" s="408">
        <v>-1.1249499999999999</v>
      </c>
      <c r="R595" s="408"/>
      <c r="S595" s="408">
        <v>510.28</v>
      </c>
      <c r="T595" s="408">
        <v>209.4</v>
      </c>
      <c r="U595" s="408"/>
      <c r="V595" s="408">
        <v>108.67167999999999</v>
      </c>
      <c r="W595" s="408">
        <v>108.67167999999999</v>
      </c>
      <c r="X595" s="408">
        <v>80.668729999999996</v>
      </c>
      <c r="Y595" s="408">
        <v>0</v>
      </c>
      <c r="Z595" s="408">
        <v>0</v>
      </c>
      <c r="AA595" s="408">
        <v>0</v>
      </c>
      <c r="AB595" s="408">
        <v>0</v>
      </c>
      <c r="AC595" s="408">
        <v>0</v>
      </c>
      <c r="AD595" s="408">
        <v>11.202862864167988</v>
      </c>
      <c r="AE595" s="408">
        <v>58.196202095359951</v>
      </c>
      <c r="AF595" s="408">
        <v>31.204262614444776</v>
      </c>
      <c r="AG595" s="408">
        <v>0.41569770959237895</v>
      </c>
      <c r="AH595" s="408">
        <v>0</v>
      </c>
      <c r="AI595" s="408">
        <v>0</v>
      </c>
      <c r="AJ595" s="408">
        <v>0</v>
      </c>
      <c r="AK595" s="408">
        <v>0</v>
      </c>
      <c r="AL595" s="408">
        <v>0</v>
      </c>
      <c r="AM595" s="408"/>
      <c r="AN595" s="408">
        <v>0.27526761169015934</v>
      </c>
      <c r="AO595" s="408">
        <v>0.86062159703409025</v>
      </c>
      <c r="AP595" s="408">
        <v>1.2963636855448295</v>
      </c>
      <c r="AQ595" s="408">
        <v>0</v>
      </c>
      <c r="AR595" s="408">
        <v>0</v>
      </c>
      <c r="AS595" s="408">
        <v>0</v>
      </c>
      <c r="AT595" s="408">
        <v>0</v>
      </c>
      <c r="AU595" s="408">
        <v>0</v>
      </c>
      <c r="AV595" s="408">
        <v>0</v>
      </c>
      <c r="AW595" s="408">
        <v>0</v>
      </c>
      <c r="AX595" s="408">
        <v>0</v>
      </c>
      <c r="AY595" s="408">
        <v>0</v>
      </c>
      <c r="AZ595" s="408">
        <v>0</v>
      </c>
      <c r="BA595" s="408"/>
      <c r="BB595" s="408">
        <v>0</v>
      </c>
      <c r="BC595" s="408">
        <v>0</v>
      </c>
      <c r="BD595" s="408">
        <v>0</v>
      </c>
      <c r="BE595" s="408">
        <v>0</v>
      </c>
      <c r="BF595" s="408">
        <v>0</v>
      </c>
      <c r="BG595" s="408">
        <v>5.2204148020732735</v>
      </c>
      <c r="BH595" s="408">
        <v>0</v>
      </c>
      <c r="BI595" s="408">
        <v>0.05</v>
      </c>
      <c r="BJ595" s="408">
        <v>0.25</v>
      </c>
      <c r="BK595" s="408">
        <v>17.829999999999998</v>
      </c>
      <c r="BL595" s="408">
        <v>0</v>
      </c>
      <c r="BM595" s="408"/>
      <c r="BN595" s="408"/>
      <c r="BO595" s="408"/>
      <c r="BP595" s="408"/>
      <c r="BQ595" s="408"/>
      <c r="BR595" s="408"/>
      <c r="BS595" s="408"/>
      <c r="BT595" s="408">
        <v>291.01188100000002</v>
      </c>
      <c r="BU595" s="408"/>
      <c r="BV595" s="408">
        <v>36.424677416518051</v>
      </c>
      <c r="BW595" s="408"/>
      <c r="BX595" s="408"/>
      <c r="BY595" s="408"/>
      <c r="BZ595" s="408"/>
      <c r="CA595" s="408"/>
      <c r="CB595" s="408"/>
      <c r="CC595" s="408"/>
      <c r="CD595" s="408"/>
      <c r="CE595" s="408"/>
      <c r="CF595" s="408"/>
      <c r="CG595" s="408"/>
      <c r="CH595" s="408"/>
      <c r="CI595" s="408">
        <v>-209.41760000000002</v>
      </c>
      <c r="CJ595" s="408">
        <v>73.916055499999942</v>
      </c>
      <c r="CK595" s="408"/>
      <c r="CL595" s="408"/>
      <c r="CM595" s="408"/>
      <c r="CN595" s="408"/>
      <c r="CO595" s="408">
        <v>-31.450279999999996</v>
      </c>
      <c r="CP595" s="408">
        <v>3.4473299999999973</v>
      </c>
      <c r="CQ595" s="408">
        <v>31</v>
      </c>
      <c r="CR595" s="408">
        <v>4.64415290861713</v>
      </c>
      <c r="CS595" s="408">
        <v>0.10390459290287857</v>
      </c>
      <c r="CT595" s="408">
        <v>0.15651262002349364</v>
      </c>
      <c r="CU595" s="408">
        <v>0</v>
      </c>
      <c r="CV595" s="408">
        <v>0</v>
      </c>
      <c r="CW595" s="408">
        <v>0</v>
      </c>
      <c r="CX595" s="408">
        <v>0</v>
      </c>
      <c r="CY595" s="408">
        <v>0</v>
      </c>
      <c r="CZ595" s="408">
        <v>0.3672571540189864</v>
      </c>
      <c r="DA595" s="408">
        <v>0</v>
      </c>
      <c r="DB595" s="408">
        <v>0</v>
      </c>
      <c r="DC595" s="408">
        <v>3.4462857030803598</v>
      </c>
      <c r="DD595" s="408">
        <v>0</v>
      </c>
      <c r="DE595" s="408">
        <v>0</v>
      </c>
      <c r="DF595" s="408">
        <v>0</v>
      </c>
      <c r="DG595" s="408">
        <v>0.57655715563056642</v>
      </c>
      <c r="DH595" s="408">
        <v>0</v>
      </c>
      <c r="DI595" s="408">
        <v>0</v>
      </c>
      <c r="DJ595" s="408"/>
      <c r="DK595" s="408">
        <v>0</v>
      </c>
      <c r="DL595" s="408">
        <v>0</v>
      </c>
      <c r="DM595" s="408">
        <v>0</v>
      </c>
      <c r="DN595" s="408">
        <v>0</v>
      </c>
      <c r="DO595" s="408">
        <v>0</v>
      </c>
      <c r="DP595" s="408">
        <v>-6.3643170391486925E-3</v>
      </c>
      <c r="DQ595" s="408">
        <v>0</v>
      </c>
      <c r="DR595" s="408">
        <v>0</v>
      </c>
      <c r="DS595" s="408"/>
      <c r="DT595" s="408"/>
      <c r="DU595" s="408"/>
      <c r="DV595" s="408">
        <v>58.196202095359951</v>
      </c>
      <c r="DW595" s="408">
        <v>0</v>
      </c>
      <c r="DX595" s="408">
        <v>0</v>
      </c>
      <c r="DY595" s="408">
        <v>-31.450279999999999</v>
      </c>
      <c r="DZ595" s="408">
        <v>3.4473300000000009</v>
      </c>
      <c r="EA595" s="408">
        <v>0</v>
      </c>
      <c r="EB595" s="408">
        <v>0</v>
      </c>
      <c r="EC595" s="408">
        <v>-32.647469907785435</v>
      </c>
      <c r="ED595" s="408">
        <v>0</v>
      </c>
      <c r="EE595" s="408">
        <v>0</v>
      </c>
      <c r="EF595" s="408">
        <v>0</v>
      </c>
      <c r="EG595" s="408">
        <v>0</v>
      </c>
      <c r="EH595" s="408">
        <v>0</v>
      </c>
      <c r="EI595" s="408">
        <v>0</v>
      </c>
      <c r="EJ595" s="408">
        <v>0</v>
      </c>
      <c r="EK595" s="408">
        <v>0</v>
      </c>
      <c r="EL595" s="408">
        <v>0</v>
      </c>
      <c r="EM595" s="408">
        <v>0</v>
      </c>
      <c r="EN595" s="408">
        <v>0</v>
      </c>
      <c r="EO595" s="408">
        <v>0</v>
      </c>
      <c r="EP595" s="408">
        <v>0</v>
      </c>
      <c r="EQ595" s="408">
        <v>0</v>
      </c>
      <c r="ER595" s="408">
        <v>0</v>
      </c>
      <c r="ES595" s="408">
        <v>0</v>
      </c>
      <c r="ET595" s="408">
        <v>0</v>
      </c>
      <c r="EU595" s="408">
        <v>0</v>
      </c>
      <c r="EV595" s="408">
        <v>238</v>
      </c>
      <c r="EW595" s="408">
        <v>0</v>
      </c>
      <c r="EX595" s="408">
        <v>0</v>
      </c>
      <c r="EY595" s="408">
        <v>0</v>
      </c>
      <c r="EZ595" s="408"/>
      <c r="FA595" s="408">
        <v>0</v>
      </c>
      <c r="FB595" s="408"/>
      <c r="FC595" s="408"/>
      <c r="FD595" s="408"/>
      <c r="FE595" s="408"/>
      <c r="FF595" s="408">
        <v>0</v>
      </c>
      <c r="FG595" s="408">
        <v>0</v>
      </c>
      <c r="FH595" s="408">
        <v>0</v>
      </c>
      <c r="FI595" s="408">
        <v>0</v>
      </c>
    </row>
    <row r="596" spans="1:165">
      <c r="A596" s="408">
        <v>600</v>
      </c>
      <c r="B596" s="408" t="s">
        <v>1036</v>
      </c>
      <c r="C596" s="408" t="s">
        <v>2235</v>
      </c>
      <c r="D596" s="408" t="s">
        <v>1955</v>
      </c>
      <c r="E596" s="408" t="s">
        <v>969</v>
      </c>
      <c r="F596" s="408" t="s">
        <v>2240</v>
      </c>
      <c r="G596" s="408" t="s">
        <v>1322</v>
      </c>
      <c r="H596" s="408" t="s">
        <v>1322</v>
      </c>
      <c r="I596" s="408" t="s">
        <v>1322</v>
      </c>
      <c r="J596" s="408" t="s">
        <v>2236</v>
      </c>
      <c r="K596" s="824">
        <v>44682</v>
      </c>
      <c r="L596" s="408">
        <v>0</v>
      </c>
      <c r="M596" s="408">
        <v>0</v>
      </c>
      <c r="N596" s="408">
        <v>110.193</v>
      </c>
      <c r="O596" s="408">
        <v>110.193</v>
      </c>
      <c r="P596" s="408">
        <v>110.193</v>
      </c>
      <c r="Q596" s="408">
        <v>110.193</v>
      </c>
      <c r="R596" s="408"/>
      <c r="S596" s="408">
        <v>510.28</v>
      </c>
      <c r="T596" s="408">
        <v>209.4</v>
      </c>
      <c r="U596" s="408"/>
      <c r="V596" s="408">
        <v>79303.698239999998</v>
      </c>
      <c r="W596" s="408">
        <v>79303.698239999998</v>
      </c>
      <c r="X596" s="408">
        <v>58868.406390000004</v>
      </c>
      <c r="Y596" s="408">
        <v>0</v>
      </c>
      <c r="Z596" s="408">
        <v>0</v>
      </c>
      <c r="AA596" s="408">
        <v>0</v>
      </c>
      <c r="AB596" s="408">
        <v>0</v>
      </c>
      <c r="AC596" s="408">
        <v>0</v>
      </c>
      <c r="AD596" s="408">
        <v>8175.3448184851868</v>
      </c>
      <c r="AE596" s="408">
        <v>42468.967533072842</v>
      </c>
      <c r="AF596" s="408">
        <v>22771.465630950417</v>
      </c>
      <c r="AG596" s="408">
        <v>303.35746829876166</v>
      </c>
      <c r="AH596" s="408">
        <v>0</v>
      </c>
      <c r="AI596" s="408">
        <v>0</v>
      </c>
      <c r="AJ596" s="408">
        <v>0</v>
      </c>
      <c r="AK596" s="408">
        <v>0</v>
      </c>
      <c r="AL596" s="408">
        <v>0</v>
      </c>
      <c r="AM596" s="408"/>
      <c r="AN596" s="408">
        <v>200.87790685413066</v>
      </c>
      <c r="AO596" s="408">
        <v>628.04288504620865</v>
      </c>
      <c r="AP596" s="408">
        <v>946.02783841881717</v>
      </c>
      <c r="AQ596" s="408">
        <v>0</v>
      </c>
      <c r="AR596" s="408">
        <v>0</v>
      </c>
      <c r="AS596" s="408">
        <v>0</v>
      </c>
      <c r="AT596" s="408">
        <v>0</v>
      </c>
      <c r="AU596" s="408">
        <v>0</v>
      </c>
      <c r="AV596" s="408">
        <v>0</v>
      </c>
      <c r="AW596" s="408">
        <v>0</v>
      </c>
      <c r="AX596" s="408">
        <v>0</v>
      </c>
      <c r="AY596" s="408">
        <v>0</v>
      </c>
      <c r="AZ596" s="408">
        <v>0</v>
      </c>
      <c r="BA596" s="408"/>
      <c r="BB596" s="408">
        <v>0</v>
      </c>
      <c r="BC596" s="408">
        <v>0</v>
      </c>
      <c r="BD596" s="408">
        <v>0</v>
      </c>
      <c r="BE596" s="408">
        <v>0</v>
      </c>
      <c r="BF596" s="408">
        <v>0</v>
      </c>
      <c r="BG596" s="408">
        <v>3809.6236310255645</v>
      </c>
      <c r="BH596" s="408">
        <v>0</v>
      </c>
      <c r="BI596" s="408">
        <v>74.91</v>
      </c>
      <c r="BJ596" s="408">
        <v>350.7</v>
      </c>
      <c r="BK596" s="408">
        <v>11843.06</v>
      </c>
      <c r="BL596" s="408">
        <v>512</v>
      </c>
      <c r="BM596" s="408"/>
      <c r="BN596" s="408"/>
      <c r="BO596" s="408"/>
      <c r="BP596" s="408"/>
      <c r="BQ596" s="408"/>
      <c r="BR596" s="408"/>
      <c r="BS596" s="408"/>
      <c r="BT596" s="408">
        <v>23547.142169999999</v>
      </c>
      <c r="BU596" s="408"/>
      <c r="BV596" s="408">
        <v>26581.089261975983</v>
      </c>
      <c r="BW596" s="408"/>
      <c r="BX596" s="408"/>
      <c r="BY596" s="408"/>
      <c r="BZ596" s="408"/>
      <c r="CA596" s="408"/>
      <c r="CB596" s="408"/>
      <c r="CC596" s="408"/>
      <c r="CD596" s="408"/>
      <c r="CE596" s="408"/>
      <c r="CF596" s="408"/>
      <c r="CG596" s="408"/>
      <c r="CH596" s="408"/>
      <c r="CI596" s="408">
        <v>35320.302599999995</v>
      </c>
      <c r="CJ596" s="408">
        <v>-12262.166730000012</v>
      </c>
      <c r="CK596" s="408"/>
      <c r="CL596" s="408"/>
      <c r="CM596" s="408"/>
      <c r="CN596" s="408"/>
      <c r="CO596" s="408">
        <v>-22950.998039999995</v>
      </c>
      <c r="CP596" s="408">
        <v>2515.7061899999981</v>
      </c>
      <c r="CQ596" s="408">
        <v>31</v>
      </c>
      <c r="CR596" s="408">
        <v>3389.0936520479881</v>
      </c>
      <c r="CS596" s="408">
        <v>75.824892753290669</v>
      </c>
      <c r="CT596" s="408">
        <v>114.21586184270757</v>
      </c>
      <c r="CU596" s="408">
        <v>0</v>
      </c>
      <c r="CV596" s="408">
        <v>0</v>
      </c>
      <c r="CW596" s="408">
        <v>0</v>
      </c>
      <c r="CX596" s="408">
        <v>0</v>
      </c>
      <c r="CY596" s="408">
        <v>0</v>
      </c>
      <c r="CZ596" s="408">
        <v>268.00773227029367</v>
      </c>
      <c r="DA596" s="408">
        <v>0</v>
      </c>
      <c r="DB596" s="408">
        <v>0</v>
      </c>
      <c r="DC596" s="408">
        <v>2514.9441091359877</v>
      </c>
      <c r="DD596" s="408">
        <v>0</v>
      </c>
      <c r="DE596" s="408">
        <v>0</v>
      </c>
      <c r="DF596" s="408">
        <v>0</v>
      </c>
      <c r="DG596" s="408">
        <v>420.74544801588763</v>
      </c>
      <c r="DH596" s="408">
        <v>0</v>
      </c>
      <c r="DI596" s="408">
        <v>0</v>
      </c>
      <c r="DJ596" s="408"/>
      <c r="DK596" s="408">
        <v>0</v>
      </c>
      <c r="DL596" s="408">
        <v>0</v>
      </c>
      <c r="DM596" s="408">
        <v>0</v>
      </c>
      <c r="DN596" s="408">
        <v>0</v>
      </c>
      <c r="DO596" s="408">
        <v>0</v>
      </c>
      <c r="DP596" s="408">
        <v>-4.6443919701650032</v>
      </c>
      <c r="DQ596" s="408">
        <v>0</v>
      </c>
      <c r="DR596" s="408">
        <v>0</v>
      </c>
      <c r="DS596" s="408"/>
      <c r="DT596" s="408"/>
      <c r="DU596" s="408"/>
      <c r="DV596" s="408">
        <v>42468.967533072842</v>
      </c>
      <c r="DW596" s="408">
        <v>0</v>
      </c>
      <c r="DX596" s="408">
        <v>0</v>
      </c>
      <c r="DY596" s="408">
        <v>-22950.998039999999</v>
      </c>
      <c r="DZ596" s="408">
        <v>2515.7061900000008</v>
      </c>
      <c r="EA596" s="408">
        <v>0</v>
      </c>
      <c r="EB596" s="408">
        <v>0</v>
      </c>
      <c r="EC596" s="408">
        <v>-23824.65332151391</v>
      </c>
      <c r="ED596" s="408">
        <v>0</v>
      </c>
      <c r="EE596" s="408">
        <v>0</v>
      </c>
      <c r="EF596" s="408">
        <v>0</v>
      </c>
      <c r="EG596" s="408">
        <v>0</v>
      </c>
      <c r="EH596" s="408">
        <v>0</v>
      </c>
      <c r="EI596" s="408">
        <v>0</v>
      </c>
      <c r="EJ596" s="408">
        <v>0</v>
      </c>
      <c r="EK596" s="408">
        <v>0</v>
      </c>
      <c r="EL596" s="408">
        <v>0</v>
      </c>
      <c r="EM596" s="408">
        <v>0</v>
      </c>
      <c r="EN596" s="408">
        <v>0</v>
      </c>
      <c r="EO596" s="408">
        <v>0</v>
      </c>
      <c r="EP596" s="408">
        <v>0</v>
      </c>
      <c r="EQ596" s="408">
        <v>0</v>
      </c>
      <c r="ER596" s="408">
        <v>0</v>
      </c>
      <c r="ES596" s="408">
        <v>0</v>
      </c>
      <c r="ET596" s="408">
        <v>0</v>
      </c>
      <c r="EU596" s="408">
        <v>0</v>
      </c>
      <c r="EV596" s="408">
        <v>238</v>
      </c>
      <c r="EW596" s="408">
        <v>0</v>
      </c>
      <c r="EX596" s="408">
        <v>0</v>
      </c>
      <c r="EY596" s="408">
        <v>0</v>
      </c>
      <c r="EZ596" s="408"/>
      <c r="FA596" s="408">
        <v>0</v>
      </c>
      <c r="FB596" s="408"/>
      <c r="FC596" s="408"/>
      <c r="FD596" s="408"/>
      <c r="FE596" s="408"/>
      <c r="FF596" s="408">
        <v>0</v>
      </c>
      <c r="FG596" s="408">
        <v>0</v>
      </c>
      <c r="FH596" s="408">
        <v>0</v>
      </c>
      <c r="FI596" s="408">
        <v>0</v>
      </c>
    </row>
    <row r="597" spans="1:165">
      <c r="A597" s="408">
        <v>601</v>
      </c>
      <c r="B597" s="408" t="s">
        <v>2237</v>
      </c>
      <c r="C597" s="408" t="s">
        <v>2235</v>
      </c>
      <c r="D597" s="408" t="s">
        <v>1955</v>
      </c>
      <c r="E597" s="408" t="s">
        <v>969</v>
      </c>
      <c r="F597" s="408" t="s">
        <v>2240</v>
      </c>
      <c r="G597" s="408" t="s">
        <v>1322</v>
      </c>
      <c r="H597" s="408" t="s">
        <v>1322</v>
      </c>
      <c r="I597" s="408" t="s">
        <v>1322</v>
      </c>
      <c r="J597" s="408" t="s">
        <v>2236</v>
      </c>
      <c r="K597" s="824">
        <v>44682</v>
      </c>
      <c r="L597" s="408">
        <v>0</v>
      </c>
      <c r="M597" s="408">
        <v>0</v>
      </c>
      <c r="N597" s="408">
        <v>7.0000000000000007E-2</v>
      </c>
      <c r="O597" s="408">
        <v>7.0000000000000007E-2</v>
      </c>
      <c r="P597" s="408">
        <v>7.0000000000000007E-2</v>
      </c>
      <c r="Q597" s="408">
        <v>7.0000000000000007E-2</v>
      </c>
      <c r="R597" s="408"/>
      <c r="S597" s="408">
        <v>510.28</v>
      </c>
      <c r="T597" s="408">
        <v>209.4</v>
      </c>
      <c r="U597" s="408"/>
      <c r="V597" s="408">
        <v>50.377600000000001</v>
      </c>
      <c r="W597" s="408">
        <v>50.377600000000001</v>
      </c>
      <c r="X597" s="408">
        <v>37.396100000000004</v>
      </c>
      <c r="Y597" s="408">
        <v>0</v>
      </c>
      <c r="Z597" s="408">
        <v>0</v>
      </c>
      <c r="AA597" s="408">
        <v>0</v>
      </c>
      <c r="AB597" s="408">
        <v>0</v>
      </c>
      <c r="AC597" s="408">
        <v>0</v>
      </c>
      <c r="AD597" s="408">
        <v>5.1933801357070148</v>
      </c>
      <c r="AE597" s="408">
        <v>26.978371832286072</v>
      </c>
      <c r="AF597" s="408">
        <v>14.465552205371752</v>
      </c>
      <c r="AG597" s="408">
        <v>0.19270754749315583</v>
      </c>
      <c r="AH597" s="408">
        <v>0</v>
      </c>
      <c r="AI597" s="408">
        <v>0</v>
      </c>
      <c r="AJ597" s="408">
        <v>0</v>
      </c>
      <c r="AK597" s="408">
        <v>0</v>
      </c>
      <c r="AL597" s="408">
        <v>0</v>
      </c>
      <c r="AM597" s="408"/>
      <c r="AN597" s="408">
        <v>0.12760750210802091</v>
      </c>
      <c r="AO597" s="408">
        <v>0.39896365425421404</v>
      </c>
      <c r="AP597" s="408">
        <v>0.60096329793468917</v>
      </c>
      <c r="AQ597" s="408">
        <v>0</v>
      </c>
      <c r="AR597" s="408">
        <v>0</v>
      </c>
      <c r="AS597" s="408">
        <v>0</v>
      </c>
      <c r="AT597" s="408">
        <v>0</v>
      </c>
      <c r="AU597" s="408">
        <v>0</v>
      </c>
      <c r="AV597" s="408">
        <v>0</v>
      </c>
      <c r="AW597" s="408">
        <v>0</v>
      </c>
      <c r="AX597" s="408">
        <v>0</v>
      </c>
      <c r="AY597" s="408">
        <v>0</v>
      </c>
      <c r="AZ597" s="408">
        <v>0</v>
      </c>
      <c r="BA597" s="408"/>
      <c r="BB597" s="408">
        <v>0</v>
      </c>
      <c r="BC597" s="408">
        <v>0</v>
      </c>
      <c r="BD597" s="408">
        <v>0</v>
      </c>
      <c r="BE597" s="408">
        <v>0</v>
      </c>
      <c r="BF597" s="408">
        <v>0</v>
      </c>
      <c r="BG597" s="408">
        <v>2.4200598420207231</v>
      </c>
      <c r="BH597" s="408">
        <v>0</v>
      </c>
      <c r="BI597" s="408">
        <v>0.05</v>
      </c>
      <c r="BJ597" s="408">
        <v>0.31</v>
      </c>
      <c r="BK597" s="408">
        <v>7.59</v>
      </c>
      <c r="BL597" s="408">
        <v>0</v>
      </c>
      <c r="BM597" s="408"/>
      <c r="BN597" s="408"/>
      <c r="BO597" s="408"/>
      <c r="BP597" s="408"/>
      <c r="BQ597" s="408"/>
      <c r="BR597" s="408"/>
      <c r="BS597" s="408"/>
      <c r="BT597" s="408">
        <v>14.958300000000001</v>
      </c>
      <c r="BU597" s="408"/>
      <c r="BV597" s="408">
        <v>16.885612047392474</v>
      </c>
      <c r="BW597" s="408"/>
      <c r="BX597" s="408"/>
      <c r="BY597" s="408"/>
      <c r="BZ597" s="408"/>
      <c r="CA597" s="408"/>
      <c r="CB597" s="408"/>
      <c r="CC597" s="408"/>
      <c r="CD597" s="408"/>
      <c r="CE597" s="408"/>
      <c r="CF597" s="408"/>
      <c r="CG597" s="408"/>
      <c r="CH597" s="408"/>
      <c r="CI597" s="408">
        <v>22.437800000000003</v>
      </c>
      <c r="CJ597" s="408">
        <v>-7.8189000000000028</v>
      </c>
      <c r="CK597" s="408"/>
      <c r="CL597" s="408"/>
      <c r="CM597" s="408"/>
      <c r="CN597" s="408"/>
      <c r="CO597" s="408">
        <v>-14.579599999999999</v>
      </c>
      <c r="CP597" s="408">
        <v>1.598099999999999</v>
      </c>
      <c r="CQ597" s="408">
        <v>31</v>
      </c>
      <c r="CR597" s="408">
        <v>2.1529185669086139</v>
      </c>
      <c r="CS597" s="408">
        <v>4.8167692074182145E-2</v>
      </c>
      <c r="CT597" s="408">
        <v>7.255551921618919E-2</v>
      </c>
      <c r="CU597" s="408">
        <v>0</v>
      </c>
      <c r="CV597" s="408">
        <v>0</v>
      </c>
      <c r="CW597" s="408">
        <v>0</v>
      </c>
      <c r="CX597" s="408">
        <v>0</v>
      </c>
      <c r="CY597" s="408">
        <v>0</v>
      </c>
      <c r="CZ597" s="408">
        <v>0.17025166080350473</v>
      </c>
      <c r="DA597" s="408">
        <v>0</v>
      </c>
      <c r="DB597" s="408">
        <v>0</v>
      </c>
      <c r="DC597" s="408">
        <v>1.5976158888451994</v>
      </c>
      <c r="DD597" s="408">
        <v>0</v>
      </c>
      <c r="DE597" s="408">
        <v>0</v>
      </c>
      <c r="DF597" s="408">
        <v>0</v>
      </c>
      <c r="DG597" s="408">
        <v>0.26727815161681878</v>
      </c>
      <c r="DH597" s="408">
        <v>0</v>
      </c>
      <c r="DI597" s="408">
        <v>0</v>
      </c>
      <c r="DJ597" s="408"/>
      <c r="DK597" s="408">
        <v>0</v>
      </c>
      <c r="DL597" s="408">
        <v>0</v>
      </c>
      <c r="DM597" s="408">
        <v>0</v>
      </c>
      <c r="DN597" s="408">
        <v>0</v>
      </c>
      <c r="DO597" s="408">
        <v>0</v>
      </c>
      <c r="DP597" s="408">
        <v>-2.9503456472874945E-3</v>
      </c>
      <c r="DQ597" s="408">
        <v>0</v>
      </c>
      <c r="DR597" s="408">
        <v>0</v>
      </c>
      <c r="DS597" s="408"/>
      <c r="DT597" s="408"/>
      <c r="DU597" s="408"/>
      <c r="DV597" s="408">
        <v>26.978371832286072</v>
      </c>
      <c r="DW597" s="408">
        <v>0</v>
      </c>
      <c r="DX597" s="408">
        <v>0</v>
      </c>
      <c r="DY597" s="408">
        <v>-14.579599999999999</v>
      </c>
      <c r="DZ597" s="408">
        <v>1.5980999999999987</v>
      </c>
      <c r="EA597" s="408">
        <v>0</v>
      </c>
      <c r="EB597" s="408">
        <v>0</v>
      </c>
      <c r="EC597" s="408">
        <v>-15.13458869897338</v>
      </c>
      <c r="ED597" s="408">
        <v>0</v>
      </c>
      <c r="EE597" s="408">
        <v>0</v>
      </c>
      <c r="EF597" s="408">
        <v>0</v>
      </c>
      <c r="EG597" s="408">
        <v>0</v>
      </c>
      <c r="EH597" s="408">
        <v>0</v>
      </c>
      <c r="EI597" s="408">
        <v>0</v>
      </c>
      <c r="EJ597" s="408">
        <v>0</v>
      </c>
      <c r="EK597" s="408">
        <v>0</v>
      </c>
      <c r="EL597" s="408">
        <v>0</v>
      </c>
      <c r="EM597" s="408">
        <v>0</v>
      </c>
      <c r="EN597" s="408">
        <v>0</v>
      </c>
      <c r="EO597" s="408">
        <v>0</v>
      </c>
      <c r="EP597" s="408">
        <v>0</v>
      </c>
      <c r="EQ597" s="408">
        <v>0</v>
      </c>
      <c r="ER597" s="408">
        <v>0</v>
      </c>
      <c r="ES597" s="408">
        <v>0</v>
      </c>
      <c r="ET597" s="408">
        <v>0</v>
      </c>
      <c r="EU597" s="408">
        <v>0</v>
      </c>
      <c r="EV597" s="408">
        <v>238</v>
      </c>
      <c r="EW597" s="408">
        <v>0</v>
      </c>
      <c r="EX597" s="408">
        <v>0</v>
      </c>
      <c r="EY597" s="408">
        <v>0</v>
      </c>
      <c r="EZ597" s="408"/>
      <c r="FA597" s="408">
        <v>0</v>
      </c>
      <c r="FB597" s="408"/>
      <c r="FC597" s="408"/>
      <c r="FD597" s="408"/>
      <c r="FE597" s="408"/>
      <c r="FF597" s="408">
        <v>0</v>
      </c>
      <c r="FG597" s="408">
        <v>0</v>
      </c>
      <c r="FH597" s="408">
        <v>0</v>
      </c>
      <c r="FI597" s="408">
        <v>0</v>
      </c>
    </row>
    <row r="598" spans="1:165">
      <c r="A598" s="408">
        <v>602</v>
      </c>
      <c r="B598" s="408" t="s">
        <v>2238</v>
      </c>
      <c r="C598" s="408" t="s">
        <v>2235</v>
      </c>
      <c r="D598" s="408" t="s">
        <v>1955</v>
      </c>
      <c r="E598" s="408" t="s">
        <v>969</v>
      </c>
      <c r="F598" s="408" t="s">
        <v>2240</v>
      </c>
      <c r="G598" s="408" t="s">
        <v>1322</v>
      </c>
      <c r="H598" s="408" t="s">
        <v>1322</v>
      </c>
      <c r="I598" s="408" t="s">
        <v>1322</v>
      </c>
      <c r="J598" s="408" t="s">
        <v>2236</v>
      </c>
      <c r="K598" s="824">
        <v>44682</v>
      </c>
      <c r="L598" s="408">
        <v>0</v>
      </c>
      <c r="M598" s="408">
        <v>0</v>
      </c>
      <c r="N598" s="408">
        <v>0.127</v>
      </c>
      <c r="O598" s="408">
        <v>-0.53339999999999999</v>
      </c>
      <c r="P598" s="408">
        <v>0.127</v>
      </c>
      <c r="Q598" s="408">
        <v>-0.53339999999999999</v>
      </c>
      <c r="R598" s="408"/>
      <c r="S598" s="408">
        <v>510.28</v>
      </c>
      <c r="T598" s="408">
        <v>209.4</v>
      </c>
      <c r="U598" s="408"/>
      <c r="V598" s="408">
        <v>91.399360000000001</v>
      </c>
      <c r="W598" s="408">
        <v>91.399360000000001</v>
      </c>
      <c r="X598" s="408">
        <v>67.84720999999999</v>
      </c>
      <c r="Y598" s="408">
        <v>0</v>
      </c>
      <c r="Z598" s="408">
        <v>0</v>
      </c>
      <c r="AA598" s="408">
        <v>0</v>
      </c>
      <c r="AB598" s="408">
        <v>0</v>
      </c>
      <c r="AC598" s="408">
        <v>0</v>
      </c>
      <c r="AD598" s="408">
        <v>9.4222753890684405</v>
      </c>
      <c r="AE598" s="408">
        <v>48.946474610004728</v>
      </c>
      <c r="AF598" s="408">
        <v>26.244644715460176</v>
      </c>
      <c r="AG598" s="408">
        <v>0.34962655045186841</v>
      </c>
      <c r="AH598" s="408">
        <v>0</v>
      </c>
      <c r="AI598" s="408">
        <v>0</v>
      </c>
      <c r="AJ598" s="408">
        <v>0</v>
      </c>
      <c r="AK598" s="408">
        <v>0</v>
      </c>
      <c r="AL598" s="408">
        <v>0</v>
      </c>
      <c r="AM598" s="408"/>
      <c r="AN598" s="408">
        <v>0.23151646811026649</v>
      </c>
      <c r="AO598" s="408">
        <v>0.72383405843264548</v>
      </c>
      <c r="AP598" s="408">
        <v>1.0903191262529361</v>
      </c>
      <c r="AQ598" s="408">
        <v>0</v>
      </c>
      <c r="AR598" s="408">
        <v>0</v>
      </c>
      <c r="AS598" s="408">
        <v>0</v>
      </c>
      <c r="AT598" s="408">
        <v>0</v>
      </c>
      <c r="AU598" s="408">
        <v>0</v>
      </c>
      <c r="AV598" s="408">
        <v>0</v>
      </c>
      <c r="AW598" s="408">
        <v>0</v>
      </c>
      <c r="AX598" s="408">
        <v>0</v>
      </c>
      <c r="AY598" s="408">
        <v>0</v>
      </c>
      <c r="AZ598" s="408">
        <v>0</v>
      </c>
      <c r="BA598" s="408"/>
      <c r="BB598" s="408">
        <v>0</v>
      </c>
      <c r="BC598" s="408">
        <v>0</v>
      </c>
      <c r="BD598" s="408">
        <v>0</v>
      </c>
      <c r="BE598" s="408">
        <v>0</v>
      </c>
      <c r="BF598" s="408">
        <v>0</v>
      </c>
      <c r="BG598" s="408">
        <v>4.3906799990947407</v>
      </c>
      <c r="BH598" s="408">
        <v>0</v>
      </c>
      <c r="BI598" s="408">
        <v>0.09</v>
      </c>
      <c r="BJ598" s="408">
        <v>0.4</v>
      </c>
      <c r="BK598" s="408">
        <v>58.76</v>
      </c>
      <c r="BL598" s="408">
        <v>0</v>
      </c>
      <c r="BM598" s="408"/>
      <c r="BN598" s="408"/>
      <c r="BO598" s="408"/>
      <c r="BP598" s="408"/>
      <c r="BQ598" s="408"/>
      <c r="BR598" s="408"/>
      <c r="BS598" s="408"/>
      <c r="BT598" s="408">
        <v>238.82324599999998</v>
      </c>
      <c r="BU598" s="408"/>
      <c r="BV598" s="408">
        <v>30.635324714554915</v>
      </c>
      <c r="BW598" s="408"/>
      <c r="BX598" s="408"/>
      <c r="BY598" s="408"/>
      <c r="BZ598" s="408"/>
      <c r="CA598" s="408"/>
      <c r="CB598" s="408"/>
      <c r="CC598" s="408"/>
      <c r="CD598" s="408"/>
      <c r="CE598" s="408"/>
      <c r="CF598" s="408"/>
      <c r="CG598" s="408"/>
      <c r="CH598" s="408"/>
      <c r="CI598" s="408">
        <v>-169.8862</v>
      </c>
      <c r="CJ598" s="408">
        <v>60.411254000000014</v>
      </c>
      <c r="CK598" s="408"/>
      <c r="CL598" s="408"/>
      <c r="CM598" s="408"/>
      <c r="CN598" s="408"/>
      <c r="CO598" s="408">
        <v>-26.451559999999997</v>
      </c>
      <c r="CP598" s="408">
        <v>2.8994099999999978</v>
      </c>
      <c r="CQ598" s="408">
        <v>31</v>
      </c>
      <c r="CR598" s="408">
        <v>3.9060093999627625</v>
      </c>
      <c r="CS598" s="408">
        <v>8.7389955620301829E-2</v>
      </c>
      <c r="CT598" s="408">
        <v>0.13163644200651436</v>
      </c>
      <c r="CU598" s="408">
        <v>0</v>
      </c>
      <c r="CV598" s="408">
        <v>0</v>
      </c>
      <c r="CW598" s="408">
        <v>0</v>
      </c>
      <c r="CX598" s="408">
        <v>0</v>
      </c>
      <c r="CY598" s="408">
        <v>0</v>
      </c>
      <c r="CZ598" s="408">
        <v>0.30888515602921451</v>
      </c>
      <c r="DA598" s="408">
        <v>0</v>
      </c>
      <c r="DB598" s="408">
        <v>0</v>
      </c>
      <c r="DC598" s="408">
        <v>2.8985316840477182</v>
      </c>
      <c r="DD598" s="408">
        <v>0</v>
      </c>
      <c r="DE598" s="408">
        <v>0</v>
      </c>
      <c r="DF598" s="408">
        <v>0</v>
      </c>
      <c r="DG598" s="408">
        <v>0.48491893221908544</v>
      </c>
      <c r="DH598" s="408">
        <v>0</v>
      </c>
      <c r="DI598" s="408">
        <v>0</v>
      </c>
      <c r="DJ598" s="408"/>
      <c r="DK598" s="408">
        <v>0</v>
      </c>
      <c r="DL598" s="408">
        <v>0</v>
      </c>
      <c r="DM598" s="408">
        <v>0</v>
      </c>
      <c r="DN598" s="408">
        <v>0</v>
      </c>
      <c r="DO598" s="408">
        <v>0</v>
      </c>
      <c r="DP598" s="408">
        <v>-5.3527699600787459E-3</v>
      </c>
      <c r="DQ598" s="408">
        <v>0</v>
      </c>
      <c r="DR598" s="408">
        <v>0</v>
      </c>
      <c r="DS598" s="408"/>
      <c r="DT598" s="408"/>
      <c r="DU598" s="408"/>
      <c r="DV598" s="408">
        <v>48.946474610004728</v>
      </c>
      <c r="DW598" s="408">
        <v>0</v>
      </c>
      <c r="DX598" s="408">
        <v>0</v>
      </c>
      <c r="DY598" s="408">
        <v>-26.451560000000001</v>
      </c>
      <c r="DZ598" s="408">
        <v>2.899409999999996</v>
      </c>
      <c r="EA598" s="408">
        <v>0</v>
      </c>
      <c r="EB598" s="408">
        <v>0</v>
      </c>
      <c r="EC598" s="408">
        <v>-27.458468068137417</v>
      </c>
      <c r="ED598" s="408">
        <v>0</v>
      </c>
      <c r="EE598" s="408">
        <v>0</v>
      </c>
      <c r="EF598" s="408">
        <v>0</v>
      </c>
      <c r="EG598" s="408">
        <v>0</v>
      </c>
      <c r="EH598" s="408">
        <v>0</v>
      </c>
      <c r="EI598" s="408">
        <v>0</v>
      </c>
      <c r="EJ598" s="408">
        <v>0</v>
      </c>
      <c r="EK598" s="408">
        <v>0</v>
      </c>
      <c r="EL598" s="408">
        <v>0</v>
      </c>
      <c r="EM598" s="408">
        <v>0</v>
      </c>
      <c r="EN598" s="408">
        <v>0</v>
      </c>
      <c r="EO598" s="408">
        <v>0</v>
      </c>
      <c r="EP598" s="408">
        <v>0</v>
      </c>
      <c r="EQ598" s="408">
        <v>0</v>
      </c>
      <c r="ER598" s="408">
        <v>0</v>
      </c>
      <c r="ES598" s="408">
        <v>0</v>
      </c>
      <c r="ET598" s="408">
        <v>0</v>
      </c>
      <c r="EU598" s="408">
        <v>0</v>
      </c>
      <c r="EV598" s="408">
        <v>238</v>
      </c>
      <c r="EW598" s="408">
        <v>0</v>
      </c>
      <c r="EX598" s="408">
        <v>0</v>
      </c>
      <c r="EY598" s="408">
        <v>0</v>
      </c>
      <c r="EZ598" s="408"/>
      <c r="FA598" s="408">
        <v>0</v>
      </c>
      <c r="FB598" s="408"/>
      <c r="FC598" s="408"/>
      <c r="FD598" s="408"/>
      <c r="FE598" s="408"/>
      <c r="FF598" s="408">
        <v>0</v>
      </c>
      <c r="FG598" s="408">
        <v>0</v>
      </c>
      <c r="FH598" s="408">
        <v>0</v>
      </c>
      <c r="FI598" s="408">
        <v>0</v>
      </c>
    </row>
    <row r="599" spans="1:165">
      <c r="A599" s="408">
        <v>603</v>
      </c>
      <c r="B599" s="408" t="s">
        <v>1036</v>
      </c>
      <c r="C599" s="408" t="s">
        <v>2235</v>
      </c>
      <c r="D599" s="408" t="s">
        <v>1955</v>
      </c>
      <c r="E599" s="408" t="s">
        <v>969</v>
      </c>
      <c r="F599" s="408" t="s">
        <v>2241</v>
      </c>
      <c r="G599" s="408" t="s">
        <v>1322</v>
      </c>
      <c r="H599" s="408" t="s">
        <v>1322</v>
      </c>
      <c r="I599" s="408" t="s">
        <v>1322</v>
      </c>
      <c r="J599" s="408" t="s">
        <v>2236</v>
      </c>
      <c r="K599" s="824">
        <v>44682</v>
      </c>
      <c r="L599" s="408">
        <v>0</v>
      </c>
      <c r="M599" s="408">
        <v>0</v>
      </c>
      <c r="N599" s="408">
        <v>84.488</v>
      </c>
      <c r="O599" s="408">
        <v>84.488</v>
      </c>
      <c r="P599" s="408">
        <v>84.488</v>
      </c>
      <c r="Q599" s="408">
        <v>84.488</v>
      </c>
      <c r="R599" s="408"/>
      <c r="S599" s="408">
        <v>510.28</v>
      </c>
      <c r="T599" s="408">
        <v>209.4</v>
      </c>
      <c r="U599" s="408"/>
      <c r="V599" s="408">
        <v>60804.323839999997</v>
      </c>
      <c r="W599" s="408">
        <v>60804.323839999997</v>
      </c>
      <c r="X599" s="408">
        <v>45136.024239999999</v>
      </c>
      <c r="Y599" s="408">
        <v>0</v>
      </c>
      <c r="Z599" s="408">
        <v>0</v>
      </c>
      <c r="AA599" s="408">
        <v>0</v>
      </c>
      <c r="AB599" s="408">
        <v>0</v>
      </c>
      <c r="AC599" s="408">
        <v>0</v>
      </c>
      <c r="AD599" s="408">
        <v>6268.2614415087746</v>
      </c>
      <c r="AE599" s="408">
        <v>32562.123990945507</v>
      </c>
      <c r="AF599" s="408">
        <v>17459.50821039212</v>
      </c>
      <c r="AG599" s="408">
        <v>232.59250389431068</v>
      </c>
      <c r="AH599" s="408">
        <v>0</v>
      </c>
      <c r="AI599" s="408">
        <v>0</v>
      </c>
      <c r="AJ599" s="408">
        <v>0</v>
      </c>
      <c r="AK599" s="408">
        <v>0</v>
      </c>
      <c r="AL599" s="408">
        <v>0</v>
      </c>
      <c r="AM599" s="408"/>
      <c r="AN599" s="408">
        <v>154.01860911574957</v>
      </c>
      <c r="AO599" s="408">
        <v>481.53773172328619</v>
      </c>
      <c r="AP599" s="408">
        <v>725.34553022722878</v>
      </c>
      <c r="AQ599" s="408">
        <v>0</v>
      </c>
      <c r="AR599" s="408">
        <v>0</v>
      </c>
      <c r="AS599" s="408">
        <v>0</v>
      </c>
      <c r="AT599" s="408">
        <v>0</v>
      </c>
      <c r="AU599" s="408">
        <v>0</v>
      </c>
      <c r="AV599" s="408">
        <v>0</v>
      </c>
      <c r="AW599" s="408">
        <v>0</v>
      </c>
      <c r="AX599" s="408">
        <v>0</v>
      </c>
      <c r="AY599" s="408">
        <v>0</v>
      </c>
      <c r="AZ599" s="408">
        <v>0</v>
      </c>
      <c r="BA599" s="408"/>
      <c r="BB599" s="408">
        <v>0</v>
      </c>
      <c r="BC599" s="408">
        <v>0</v>
      </c>
      <c r="BD599" s="408">
        <v>0</v>
      </c>
      <c r="BE599" s="408">
        <v>0</v>
      </c>
      <c r="BF599" s="408">
        <v>0</v>
      </c>
      <c r="BG599" s="408">
        <v>2920.9430847520975</v>
      </c>
      <c r="BH599" s="408">
        <v>0</v>
      </c>
      <c r="BI599" s="408">
        <v>81.72</v>
      </c>
      <c r="BJ599" s="408">
        <v>403.54</v>
      </c>
      <c r="BK599" s="408">
        <v>13696.83</v>
      </c>
      <c r="BL599" s="408">
        <v>1019</v>
      </c>
      <c r="BM599" s="408"/>
      <c r="BN599" s="408"/>
      <c r="BO599" s="408"/>
      <c r="BP599" s="408"/>
      <c r="BQ599" s="408"/>
      <c r="BR599" s="408"/>
      <c r="BS599" s="408"/>
      <c r="BT599" s="408">
        <v>4514.1938399999981</v>
      </c>
      <c r="BU599" s="408"/>
      <c r="BV599" s="408">
        <v>20380.451295144216</v>
      </c>
      <c r="BW599" s="408"/>
      <c r="BX599" s="408"/>
      <c r="BY599" s="408"/>
      <c r="BZ599" s="408"/>
      <c r="CA599" s="408"/>
      <c r="CB599" s="408"/>
      <c r="CC599" s="408"/>
      <c r="CD599" s="408"/>
      <c r="CE599" s="408"/>
      <c r="CF599" s="408"/>
      <c r="CG599" s="408"/>
      <c r="CH599" s="408"/>
      <c r="CI599" s="408">
        <v>40622.792000000001</v>
      </c>
      <c r="CJ599" s="408">
        <v>-14100.960480000009</v>
      </c>
      <c r="CK599" s="408"/>
      <c r="CL599" s="408"/>
      <c r="CM599" s="408"/>
      <c r="CN599" s="408"/>
      <c r="CO599" s="408">
        <v>-17597.160639999998</v>
      </c>
      <c r="CP599" s="408">
        <v>1928.8610399999986</v>
      </c>
      <c r="CQ599" s="408">
        <v>31</v>
      </c>
      <c r="CR599" s="408">
        <v>2598.5111982996314</v>
      </c>
      <c r="CS599" s="408">
        <v>58.137028113764302</v>
      </c>
      <c r="CT599" s="408">
        <v>87.572438679105517</v>
      </c>
      <c r="CU599" s="408">
        <v>0</v>
      </c>
      <c r="CV599" s="408">
        <v>0</v>
      </c>
      <c r="CW599" s="408">
        <v>0</v>
      </c>
      <c r="CX599" s="408">
        <v>0</v>
      </c>
      <c r="CY599" s="408">
        <v>0</v>
      </c>
      <c r="CZ599" s="408">
        <v>205.48889025666358</v>
      </c>
      <c r="DA599" s="408">
        <v>0</v>
      </c>
      <c r="DB599" s="408">
        <v>0</v>
      </c>
      <c r="DC599" s="408">
        <v>1928.2767316679019</v>
      </c>
      <c r="DD599" s="408">
        <v>0</v>
      </c>
      <c r="DE599" s="408">
        <v>0</v>
      </c>
      <c r="DF599" s="408">
        <v>0</v>
      </c>
      <c r="DG599" s="408">
        <v>322.597092482883</v>
      </c>
      <c r="DH599" s="408">
        <v>0</v>
      </c>
      <c r="DI599" s="408">
        <v>0</v>
      </c>
      <c r="DJ599" s="408"/>
      <c r="DK599" s="408">
        <v>0</v>
      </c>
      <c r="DL599" s="408">
        <v>0</v>
      </c>
      <c r="DM599" s="408">
        <v>0</v>
      </c>
      <c r="DN599" s="408">
        <v>0</v>
      </c>
      <c r="DO599" s="408">
        <v>0</v>
      </c>
      <c r="DP599" s="408">
        <v>-3.5609829006860707</v>
      </c>
      <c r="DQ599" s="408">
        <v>0</v>
      </c>
      <c r="DR599" s="408">
        <v>0</v>
      </c>
      <c r="DS599" s="408"/>
      <c r="DT599" s="408"/>
      <c r="DU599" s="408"/>
      <c r="DV599" s="408">
        <v>32562.123990945507</v>
      </c>
      <c r="DW599" s="408">
        <v>0</v>
      </c>
      <c r="DX599" s="408">
        <v>0</v>
      </c>
      <c r="DY599" s="408">
        <v>-17597.160639999998</v>
      </c>
      <c r="DZ599" s="408">
        <v>1928.8610399999998</v>
      </c>
      <c r="EA599" s="408">
        <v>0</v>
      </c>
      <c r="EB599" s="408">
        <v>0</v>
      </c>
      <c r="EC599" s="408">
        <v>-18267.016142840897</v>
      </c>
      <c r="ED599" s="408">
        <v>0</v>
      </c>
      <c r="EE599" s="408">
        <v>0</v>
      </c>
      <c r="EF599" s="408">
        <v>0</v>
      </c>
      <c r="EG599" s="408">
        <v>0</v>
      </c>
      <c r="EH599" s="408">
        <v>0</v>
      </c>
      <c r="EI599" s="408">
        <v>0</v>
      </c>
      <c r="EJ599" s="408">
        <v>0</v>
      </c>
      <c r="EK599" s="408">
        <v>0</v>
      </c>
      <c r="EL599" s="408">
        <v>0</v>
      </c>
      <c r="EM599" s="408">
        <v>0</v>
      </c>
      <c r="EN599" s="408">
        <v>0</v>
      </c>
      <c r="EO599" s="408">
        <v>0</v>
      </c>
      <c r="EP599" s="408">
        <v>0</v>
      </c>
      <c r="EQ599" s="408">
        <v>0</v>
      </c>
      <c r="ER599" s="408">
        <v>0</v>
      </c>
      <c r="ES599" s="408">
        <v>0</v>
      </c>
      <c r="ET599" s="408">
        <v>0</v>
      </c>
      <c r="EU599" s="408">
        <v>0</v>
      </c>
      <c r="EV599" s="408">
        <v>238</v>
      </c>
      <c r="EW599" s="408">
        <v>0</v>
      </c>
      <c r="EX599" s="408">
        <v>0</v>
      </c>
      <c r="EY599" s="408">
        <v>0</v>
      </c>
      <c r="EZ599" s="408"/>
      <c r="FA599" s="408">
        <v>0</v>
      </c>
      <c r="FB599" s="408"/>
      <c r="FC599" s="408"/>
      <c r="FD599" s="408"/>
      <c r="FE599" s="408"/>
      <c r="FF599" s="408">
        <v>0</v>
      </c>
      <c r="FG599" s="408">
        <v>0</v>
      </c>
      <c r="FH599" s="408">
        <v>0</v>
      </c>
      <c r="FI599" s="408">
        <v>0</v>
      </c>
    </row>
    <row r="600" spans="1:165">
      <c r="A600" s="408">
        <v>604</v>
      </c>
      <c r="B600" s="408" t="s">
        <v>2237</v>
      </c>
      <c r="C600" s="408" t="s">
        <v>2235</v>
      </c>
      <c r="D600" s="408" t="s">
        <v>1955</v>
      </c>
      <c r="E600" s="408" t="s">
        <v>969</v>
      </c>
      <c r="F600" s="408" t="s">
        <v>2241</v>
      </c>
      <c r="G600" s="408" t="s">
        <v>1322</v>
      </c>
      <c r="H600" s="408" t="s">
        <v>1322</v>
      </c>
      <c r="I600" s="408" t="s">
        <v>1322</v>
      </c>
      <c r="J600" s="408" t="s">
        <v>2236</v>
      </c>
      <c r="K600" s="824">
        <v>44682</v>
      </c>
      <c r="L600" s="408">
        <v>0</v>
      </c>
      <c r="M600" s="408">
        <v>0</v>
      </c>
      <c r="N600" s="408">
        <v>-2.4E-2</v>
      </c>
      <c r="O600" s="408">
        <v>-2.4E-2</v>
      </c>
      <c r="P600" s="408">
        <v>-2.4E-2</v>
      </c>
      <c r="Q600" s="408">
        <v>-2.4E-2</v>
      </c>
      <c r="R600" s="408"/>
      <c r="S600" s="408">
        <v>510.28</v>
      </c>
      <c r="T600" s="408">
        <v>209.4</v>
      </c>
      <c r="U600" s="408"/>
      <c r="V600" s="408">
        <v>-17.272320000000001</v>
      </c>
      <c r="W600" s="408">
        <v>-17.272320000000001</v>
      </c>
      <c r="X600" s="408">
        <v>-12.82152</v>
      </c>
      <c r="Y600" s="408">
        <v>0</v>
      </c>
      <c r="Z600" s="408">
        <v>0</v>
      </c>
      <c r="AA600" s="408">
        <v>0</v>
      </c>
      <c r="AB600" s="408">
        <v>0</v>
      </c>
      <c r="AC600" s="408">
        <v>0</v>
      </c>
      <c r="AD600" s="408">
        <v>-1.7805874750995478</v>
      </c>
      <c r="AE600" s="408">
        <v>-9.2497274853552245</v>
      </c>
      <c r="AF600" s="408">
        <v>-4.9596178989846003</v>
      </c>
      <c r="AG600" s="408">
        <v>-6.6071159140510566E-2</v>
      </c>
      <c r="AH600" s="408">
        <v>0</v>
      </c>
      <c r="AI600" s="408">
        <v>0</v>
      </c>
      <c r="AJ600" s="408">
        <v>0</v>
      </c>
      <c r="AK600" s="408">
        <v>0</v>
      </c>
      <c r="AL600" s="408">
        <v>0</v>
      </c>
      <c r="AM600" s="408"/>
      <c r="AN600" s="408">
        <v>-4.3751143579892883E-2</v>
      </c>
      <c r="AO600" s="408">
        <v>-0.13678753860144482</v>
      </c>
      <c r="AP600" s="408">
        <v>-0.20604455929189341</v>
      </c>
      <c r="AQ600" s="408">
        <v>0</v>
      </c>
      <c r="AR600" s="408">
        <v>0</v>
      </c>
      <c r="AS600" s="408">
        <v>0</v>
      </c>
      <c r="AT600" s="408">
        <v>0</v>
      </c>
      <c r="AU600" s="408">
        <v>0</v>
      </c>
      <c r="AV600" s="408">
        <v>0</v>
      </c>
      <c r="AW600" s="408">
        <v>0</v>
      </c>
      <c r="AX600" s="408">
        <v>0</v>
      </c>
      <c r="AY600" s="408">
        <v>0</v>
      </c>
      <c r="AZ600" s="408">
        <v>0</v>
      </c>
      <c r="BA600" s="408"/>
      <c r="BB600" s="408">
        <v>0</v>
      </c>
      <c r="BC600" s="408">
        <v>0</v>
      </c>
      <c r="BD600" s="408">
        <v>0</v>
      </c>
      <c r="BE600" s="408">
        <v>0</v>
      </c>
      <c r="BF600" s="408">
        <v>0</v>
      </c>
      <c r="BG600" s="408">
        <v>-0.82973480297853364</v>
      </c>
      <c r="BH600" s="408">
        <v>0</v>
      </c>
      <c r="BI600" s="408">
        <v>0</v>
      </c>
      <c r="BJ600" s="408">
        <v>0.16</v>
      </c>
      <c r="BK600" s="408">
        <v>-3.8</v>
      </c>
      <c r="BL600" s="408">
        <v>0</v>
      </c>
      <c r="BM600" s="408"/>
      <c r="BN600" s="408"/>
      <c r="BO600" s="408"/>
      <c r="BP600" s="408"/>
      <c r="BQ600" s="408"/>
      <c r="BR600" s="408"/>
      <c r="BS600" s="408"/>
      <c r="BT600" s="408">
        <v>-1.2823199999999995</v>
      </c>
      <c r="BU600" s="408"/>
      <c r="BV600" s="408">
        <v>-5.7893527019631339</v>
      </c>
      <c r="BW600" s="408"/>
      <c r="BX600" s="408"/>
      <c r="BY600" s="408"/>
      <c r="BZ600" s="408"/>
      <c r="CA600" s="408"/>
      <c r="CB600" s="408"/>
      <c r="CC600" s="408"/>
      <c r="CD600" s="408"/>
      <c r="CE600" s="408"/>
      <c r="CF600" s="408"/>
      <c r="CG600" s="408"/>
      <c r="CH600" s="408"/>
      <c r="CI600" s="408">
        <v>-9.6159999999999997</v>
      </c>
      <c r="CJ600" s="408">
        <v>5.8990400000000012</v>
      </c>
      <c r="CK600" s="408"/>
      <c r="CL600" s="408"/>
      <c r="CM600" s="408"/>
      <c r="CN600" s="408"/>
      <c r="CO600" s="408">
        <v>4.9987199999999996</v>
      </c>
      <c r="CP600" s="408">
        <v>-0.54791999999999963</v>
      </c>
      <c r="CQ600" s="408">
        <v>31</v>
      </c>
      <c r="CR600" s="408">
        <v>-0.73814350865437994</v>
      </c>
      <c r="CS600" s="408">
        <v>-1.6514637282576711E-2</v>
      </c>
      <c r="CT600" s="408">
        <v>-2.4876178016979139E-2</v>
      </c>
      <c r="CU600" s="408">
        <v>0</v>
      </c>
      <c r="CV600" s="408">
        <v>0</v>
      </c>
      <c r="CW600" s="408">
        <v>0</v>
      </c>
      <c r="CX600" s="408">
        <v>0</v>
      </c>
      <c r="CY600" s="408">
        <v>0</v>
      </c>
      <c r="CZ600" s="408">
        <v>-5.8371997989772773E-2</v>
      </c>
      <c r="DA600" s="408">
        <v>0</v>
      </c>
      <c r="DB600" s="408">
        <v>0</v>
      </c>
      <c r="DC600" s="408">
        <v>-0.54775401903263976</v>
      </c>
      <c r="DD600" s="408">
        <v>0</v>
      </c>
      <c r="DE600" s="408">
        <v>0</v>
      </c>
      <c r="DF600" s="408">
        <v>0</v>
      </c>
      <c r="DG600" s="408">
        <v>-9.1638223411480757E-2</v>
      </c>
      <c r="DH600" s="408">
        <v>0</v>
      </c>
      <c r="DI600" s="408">
        <v>0</v>
      </c>
      <c r="DJ600" s="408"/>
      <c r="DK600" s="408">
        <v>0</v>
      </c>
      <c r="DL600" s="408">
        <v>0</v>
      </c>
      <c r="DM600" s="408">
        <v>0</v>
      </c>
      <c r="DN600" s="408">
        <v>0</v>
      </c>
      <c r="DO600" s="408">
        <v>0</v>
      </c>
      <c r="DP600" s="408">
        <v>1.0115470790700021E-3</v>
      </c>
      <c r="DQ600" s="408">
        <v>0</v>
      </c>
      <c r="DR600" s="408">
        <v>0</v>
      </c>
      <c r="DS600" s="408"/>
      <c r="DT600" s="408"/>
      <c r="DU600" s="408"/>
      <c r="DV600" s="408">
        <v>-9.2497274853552245</v>
      </c>
      <c r="DW600" s="408">
        <v>0</v>
      </c>
      <c r="DX600" s="408">
        <v>0</v>
      </c>
      <c r="DY600" s="408">
        <v>4.9987199999999996</v>
      </c>
      <c r="DZ600" s="408">
        <v>-0.54792000000000041</v>
      </c>
      <c r="EA600" s="408">
        <v>0</v>
      </c>
      <c r="EB600" s="408">
        <v>0</v>
      </c>
      <c r="EC600" s="408">
        <v>5.1890018396480162</v>
      </c>
      <c r="ED600" s="408">
        <v>0</v>
      </c>
      <c r="EE600" s="408">
        <v>0</v>
      </c>
      <c r="EF600" s="408">
        <v>0</v>
      </c>
      <c r="EG600" s="408">
        <v>0</v>
      </c>
      <c r="EH600" s="408">
        <v>0</v>
      </c>
      <c r="EI600" s="408">
        <v>0</v>
      </c>
      <c r="EJ600" s="408">
        <v>0</v>
      </c>
      <c r="EK600" s="408">
        <v>0</v>
      </c>
      <c r="EL600" s="408">
        <v>0</v>
      </c>
      <c r="EM600" s="408">
        <v>0</v>
      </c>
      <c r="EN600" s="408">
        <v>0</v>
      </c>
      <c r="EO600" s="408">
        <v>0</v>
      </c>
      <c r="EP600" s="408">
        <v>0</v>
      </c>
      <c r="EQ600" s="408">
        <v>0</v>
      </c>
      <c r="ER600" s="408">
        <v>0</v>
      </c>
      <c r="ES600" s="408">
        <v>0</v>
      </c>
      <c r="ET600" s="408">
        <v>0</v>
      </c>
      <c r="EU600" s="408">
        <v>0</v>
      </c>
      <c r="EV600" s="408">
        <v>238</v>
      </c>
      <c r="EW600" s="408">
        <v>0</v>
      </c>
      <c r="EX600" s="408">
        <v>0</v>
      </c>
      <c r="EY600" s="408">
        <v>0</v>
      </c>
      <c r="EZ600" s="408"/>
      <c r="FA600" s="408">
        <v>0</v>
      </c>
      <c r="FB600" s="408"/>
      <c r="FC600" s="408"/>
      <c r="FD600" s="408"/>
      <c r="FE600" s="408"/>
      <c r="FF600" s="408">
        <v>0</v>
      </c>
      <c r="FG600" s="408">
        <v>0</v>
      </c>
      <c r="FH600" s="408">
        <v>0</v>
      </c>
      <c r="FI600" s="408">
        <v>0</v>
      </c>
    </row>
    <row r="601" spans="1:165">
      <c r="A601" s="408">
        <v>605</v>
      </c>
      <c r="B601" s="408" t="s">
        <v>2238</v>
      </c>
      <c r="C601" s="408" t="s">
        <v>2235</v>
      </c>
      <c r="D601" s="408" t="s">
        <v>1955</v>
      </c>
      <c r="E601" s="408" t="s">
        <v>969</v>
      </c>
      <c r="F601" s="408" t="s">
        <v>2241</v>
      </c>
      <c r="G601" s="408" t="s">
        <v>1322</v>
      </c>
      <c r="H601" s="408" t="s">
        <v>1322</v>
      </c>
      <c r="I601" s="408" t="s">
        <v>1322</v>
      </c>
      <c r="J601" s="408" t="s">
        <v>2236</v>
      </c>
      <c r="K601" s="824">
        <v>44682</v>
      </c>
      <c r="L601" s="408">
        <v>0</v>
      </c>
      <c r="M601" s="408">
        <v>0</v>
      </c>
      <c r="N601" s="408">
        <v>0.12</v>
      </c>
      <c r="O601" s="408">
        <v>-3.5999999999999997E-2</v>
      </c>
      <c r="P601" s="408">
        <v>0.12</v>
      </c>
      <c r="Q601" s="408">
        <v>-3.5999999999999997E-2</v>
      </c>
      <c r="R601" s="408"/>
      <c r="S601" s="408">
        <v>510.28</v>
      </c>
      <c r="T601" s="408">
        <v>209.4</v>
      </c>
      <c r="U601" s="408"/>
      <c r="V601" s="408">
        <v>86.361599999999996</v>
      </c>
      <c r="W601" s="408">
        <v>86.361599999999996</v>
      </c>
      <c r="X601" s="408">
        <v>64.107600000000005</v>
      </c>
      <c r="Y601" s="408">
        <v>0</v>
      </c>
      <c r="Z601" s="408">
        <v>0</v>
      </c>
      <c r="AA601" s="408">
        <v>0</v>
      </c>
      <c r="AB601" s="408">
        <v>0</v>
      </c>
      <c r="AC601" s="408">
        <v>0</v>
      </c>
      <c r="AD601" s="408">
        <v>8.9029373754977392</v>
      </c>
      <c r="AE601" s="408">
        <v>46.248637426776121</v>
      </c>
      <c r="AF601" s="408">
        <v>24.798089494922998</v>
      </c>
      <c r="AG601" s="408">
        <v>0.3303557957025528</v>
      </c>
      <c r="AH601" s="408">
        <v>0</v>
      </c>
      <c r="AI601" s="408">
        <v>0</v>
      </c>
      <c r="AJ601" s="408">
        <v>0</v>
      </c>
      <c r="AK601" s="408">
        <v>0</v>
      </c>
      <c r="AL601" s="408">
        <v>0</v>
      </c>
      <c r="AM601" s="408"/>
      <c r="AN601" s="408">
        <v>0.21875571789946438</v>
      </c>
      <c r="AO601" s="408">
        <v>0.68393769300722407</v>
      </c>
      <c r="AP601" s="408">
        <v>1.030222796459467</v>
      </c>
      <c r="AQ601" s="408">
        <v>0</v>
      </c>
      <c r="AR601" s="408">
        <v>0</v>
      </c>
      <c r="AS601" s="408">
        <v>0</v>
      </c>
      <c r="AT601" s="408">
        <v>0</v>
      </c>
      <c r="AU601" s="408">
        <v>0</v>
      </c>
      <c r="AV601" s="408">
        <v>0</v>
      </c>
      <c r="AW601" s="408">
        <v>0</v>
      </c>
      <c r="AX601" s="408">
        <v>0</v>
      </c>
      <c r="AY601" s="408">
        <v>0</v>
      </c>
      <c r="AZ601" s="408">
        <v>0</v>
      </c>
      <c r="BA601" s="408"/>
      <c r="BB601" s="408">
        <v>0</v>
      </c>
      <c r="BC601" s="408">
        <v>0</v>
      </c>
      <c r="BD601" s="408">
        <v>0</v>
      </c>
      <c r="BE601" s="408">
        <v>0</v>
      </c>
      <c r="BF601" s="408">
        <v>0</v>
      </c>
      <c r="BG601" s="408">
        <v>4.1486740148926682</v>
      </c>
      <c r="BH601" s="408">
        <v>0</v>
      </c>
      <c r="BI601" s="408">
        <v>0.12</v>
      </c>
      <c r="BJ601" s="408">
        <v>0.56999999999999995</v>
      </c>
      <c r="BK601" s="408">
        <v>103.67</v>
      </c>
      <c r="BL601" s="408">
        <v>9</v>
      </c>
      <c r="BM601" s="408"/>
      <c r="BN601" s="408"/>
      <c r="BO601" s="408"/>
      <c r="BP601" s="408"/>
      <c r="BQ601" s="408"/>
      <c r="BR601" s="408"/>
      <c r="BS601" s="408"/>
      <c r="BT601" s="408">
        <v>81.416399999999996</v>
      </c>
      <c r="BU601" s="408"/>
      <c r="BV601" s="408">
        <v>28.946763509815668</v>
      </c>
      <c r="BW601" s="408"/>
      <c r="BX601" s="408"/>
      <c r="BY601" s="408"/>
      <c r="BZ601" s="408"/>
      <c r="CA601" s="408"/>
      <c r="CB601" s="408"/>
      <c r="CC601" s="408"/>
      <c r="CD601" s="408"/>
      <c r="CE601" s="408"/>
      <c r="CF601" s="408"/>
      <c r="CG601" s="408"/>
      <c r="CH601" s="408"/>
      <c r="CI601" s="408">
        <v>-19.231999999999999</v>
      </c>
      <c r="CJ601" s="408">
        <v>4.0555599999999927</v>
      </c>
      <c r="CK601" s="408"/>
      <c r="CL601" s="408"/>
      <c r="CM601" s="408"/>
      <c r="CN601" s="408"/>
      <c r="CO601" s="408">
        <v>-24.993599999999997</v>
      </c>
      <c r="CP601" s="408">
        <v>2.739599999999998</v>
      </c>
      <c r="CQ601" s="408">
        <v>31</v>
      </c>
      <c r="CR601" s="408">
        <v>3.6907175432718944</v>
      </c>
      <c r="CS601" s="408">
        <v>8.2573186412883581E-2</v>
      </c>
      <c r="CT601" s="408">
        <v>0.12438089008489572</v>
      </c>
      <c r="CU601" s="408">
        <v>0</v>
      </c>
      <c r="CV601" s="408">
        <v>0</v>
      </c>
      <c r="CW601" s="408">
        <v>0</v>
      </c>
      <c r="CX601" s="408">
        <v>0</v>
      </c>
      <c r="CY601" s="408">
        <v>0</v>
      </c>
      <c r="CZ601" s="408">
        <v>0.29185998994886297</v>
      </c>
      <c r="DA601" s="408">
        <v>0</v>
      </c>
      <c r="DB601" s="408">
        <v>0</v>
      </c>
      <c r="DC601" s="408">
        <v>2.7387700951632006</v>
      </c>
      <c r="DD601" s="408">
        <v>0</v>
      </c>
      <c r="DE601" s="408">
        <v>0</v>
      </c>
      <c r="DF601" s="408">
        <v>0</v>
      </c>
      <c r="DG601" s="408">
        <v>0.45819111705740312</v>
      </c>
      <c r="DH601" s="408">
        <v>0</v>
      </c>
      <c r="DI601" s="408">
        <v>0</v>
      </c>
      <c r="DJ601" s="408"/>
      <c r="DK601" s="408">
        <v>0</v>
      </c>
      <c r="DL601" s="408">
        <v>0</v>
      </c>
      <c r="DM601" s="408">
        <v>0</v>
      </c>
      <c r="DN601" s="408">
        <v>0</v>
      </c>
      <c r="DO601" s="408">
        <v>0</v>
      </c>
      <c r="DP601" s="408">
        <v>-5.0577353953499826E-3</v>
      </c>
      <c r="DQ601" s="408">
        <v>0</v>
      </c>
      <c r="DR601" s="408">
        <v>0</v>
      </c>
      <c r="DS601" s="408"/>
      <c r="DT601" s="408"/>
      <c r="DU601" s="408"/>
      <c r="DV601" s="408">
        <v>46.248637426776121</v>
      </c>
      <c r="DW601" s="408">
        <v>0</v>
      </c>
      <c r="DX601" s="408">
        <v>0</v>
      </c>
      <c r="DY601" s="408">
        <v>-24.993599999999994</v>
      </c>
      <c r="DZ601" s="408">
        <v>2.7395999999999994</v>
      </c>
      <c r="EA601" s="408">
        <v>0</v>
      </c>
      <c r="EB601" s="408">
        <v>0</v>
      </c>
      <c r="EC601" s="408">
        <v>-25.945009198240079</v>
      </c>
      <c r="ED601" s="408">
        <v>0</v>
      </c>
      <c r="EE601" s="408">
        <v>0</v>
      </c>
      <c r="EF601" s="408">
        <v>0</v>
      </c>
      <c r="EG601" s="408">
        <v>0</v>
      </c>
      <c r="EH601" s="408">
        <v>0</v>
      </c>
      <c r="EI601" s="408">
        <v>0</v>
      </c>
      <c r="EJ601" s="408">
        <v>0</v>
      </c>
      <c r="EK601" s="408">
        <v>0</v>
      </c>
      <c r="EL601" s="408">
        <v>0</v>
      </c>
      <c r="EM601" s="408">
        <v>0</v>
      </c>
      <c r="EN601" s="408">
        <v>0</v>
      </c>
      <c r="EO601" s="408">
        <v>0</v>
      </c>
      <c r="EP601" s="408">
        <v>0</v>
      </c>
      <c r="EQ601" s="408">
        <v>0</v>
      </c>
      <c r="ER601" s="408">
        <v>0</v>
      </c>
      <c r="ES601" s="408">
        <v>0</v>
      </c>
      <c r="ET601" s="408">
        <v>0</v>
      </c>
      <c r="EU601" s="408">
        <v>0</v>
      </c>
      <c r="EV601" s="408">
        <v>238</v>
      </c>
      <c r="EW601" s="408">
        <v>0</v>
      </c>
      <c r="EX601" s="408">
        <v>0</v>
      </c>
      <c r="EY601" s="408">
        <v>0</v>
      </c>
      <c r="EZ601" s="408"/>
      <c r="FA601" s="408">
        <v>0</v>
      </c>
      <c r="FB601" s="408"/>
      <c r="FC601" s="408"/>
      <c r="FD601" s="408"/>
      <c r="FE601" s="408"/>
      <c r="FF601" s="408">
        <v>0</v>
      </c>
      <c r="FG601" s="408">
        <v>0</v>
      </c>
      <c r="FH601" s="408">
        <v>0</v>
      </c>
      <c r="FI601" s="408">
        <v>0</v>
      </c>
    </row>
    <row r="602" spans="1:165">
      <c r="A602" s="408">
        <v>606</v>
      </c>
      <c r="B602" s="408" t="s">
        <v>1036</v>
      </c>
      <c r="C602" s="408" t="s">
        <v>2235</v>
      </c>
      <c r="D602" s="408" t="s">
        <v>1955</v>
      </c>
      <c r="E602" s="408" t="s">
        <v>969</v>
      </c>
      <c r="F602" s="408" t="s">
        <v>2242</v>
      </c>
      <c r="G602" s="408" t="s">
        <v>1322</v>
      </c>
      <c r="H602" s="408" t="s">
        <v>1322</v>
      </c>
      <c r="I602" s="408" t="s">
        <v>1322</v>
      </c>
      <c r="J602" s="408" t="s">
        <v>2236</v>
      </c>
      <c r="K602" s="824">
        <v>44682</v>
      </c>
      <c r="L602" s="408">
        <v>0</v>
      </c>
      <c r="M602" s="408">
        <v>0</v>
      </c>
      <c r="N602" s="408">
        <v>18.498000000000001</v>
      </c>
      <c r="O602" s="408">
        <v>18.498000000000001</v>
      </c>
      <c r="P602" s="408">
        <v>18.498000000000001</v>
      </c>
      <c r="Q602" s="408">
        <v>18.498000000000001</v>
      </c>
      <c r="R602" s="408"/>
      <c r="S602" s="408">
        <v>510.28</v>
      </c>
      <c r="T602" s="408">
        <v>209.4</v>
      </c>
      <c r="U602" s="408"/>
      <c r="V602" s="408">
        <v>13312.64064</v>
      </c>
      <c r="W602" s="408">
        <v>13312.64064</v>
      </c>
      <c r="X602" s="408">
        <v>9882.1865400000006</v>
      </c>
      <c r="Y602" s="408">
        <v>0</v>
      </c>
      <c r="Z602" s="408">
        <v>0</v>
      </c>
      <c r="AA602" s="408">
        <v>0</v>
      </c>
      <c r="AB602" s="408">
        <v>0</v>
      </c>
      <c r="AC602" s="408">
        <v>0</v>
      </c>
      <c r="AD602" s="408">
        <v>1372.3877964329765</v>
      </c>
      <c r="AE602" s="408">
        <v>7129.2274593375396</v>
      </c>
      <c r="AF602" s="408">
        <v>3822.6254956423809</v>
      </c>
      <c r="AG602" s="408">
        <v>50.924345907548521</v>
      </c>
      <c r="AH602" s="408">
        <v>0</v>
      </c>
      <c r="AI602" s="408">
        <v>0</v>
      </c>
      <c r="AJ602" s="408">
        <v>0</v>
      </c>
      <c r="AK602" s="408">
        <v>0</v>
      </c>
      <c r="AL602" s="408">
        <v>0</v>
      </c>
      <c r="AM602" s="408"/>
      <c r="AN602" s="408">
        <v>33.721193914202438</v>
      </c>
      <c r="AO602" s="408">
        <v>105.42899537706359</v>
      </c>
      <c r="AP602" s="408">
        <v>158.80884407422687</v>
      </c>
      <c r="AQ602" s="408">
        <v>0</v>
      </c>
      <c r="AR602" s="408">
        <v>0</v>
      </c>
      <c r="AS602" s="408">
        <v>0</v>
      </c>
      <c r="AT602" s="408">
        <v>0</v>
      </c>
      <c r="AU602" s="408">
        <v>0</v>
      </c>
      <c r="AV602" s="408">
        <v>0</v>
      </c>
      <c r="AW602" s="408">
        <v>0</v>
      </c>
      <c r="AX602" s="408">
        <v>0</v>
      </c>
      <c r="AY602" s="408">
        <v>0</v>
      </c>
      <c r="AZ602" s="408">
        <v>0</v>
      </c>
      <c r="BA602" s="408"/>
      <c r="BB602" s="408">
        <v>0</v>
      </c>
      <c r="BC602" s="408">
        <v>0</v>
      </c>
      <c r="BD602" s="408">
        <v>0</v>
      </c>
      <c r="BE602" s="408">
        <v>0</v>
      </c>
      <c r="BF602" s="408">
        <v>0</v>
      </c>
      <c r="BG602" s="408">
        <v>639.51809939570478</v>
      </c>
      <c r="BH602" s="408">
        <v>0</v>
      </c>
      <c r="BI602" s="408">
        <v>20.29</v>
      </c>
      <c r="BJ602" s="408">
        <v>97.29</v>
      </c>
      <c r="BK602" s="408">
        <v>3332.05</v>
      </c>
      <c r="BL602" s="408">
        <v>254</v>
      </c>
      <c r="BM602" s="408"/>
      <c r="BN602" s="408"/>
      <c r="BO602" s="408"/>
      <c r="BP602" s="408"/>
      <c r="BQ602" s="408"/>
      <c r="BR602" s="408"/>
      <c r="BS602" s="408"/>
      <c r="BT602" s="408"/>
      <c r="BU602" s="408"/>
      <c r="BV602" s="408">
        <v>4462.1435950380856</v>
      </c>
      <c r="BW602" s="408"/>
      <c r="BX602" s="408"/>
      <c r="BY602" s="408"/>
      <c r="BZ602" s="408"/>
      <c r="CA602" s="408"/>
      <c r="CB602" s="408"/>
      <c r="CC602" s="408"/>
      <c r="CD602" s="408"/>
      <c r="CE602" s="408"/>
      <c r="CF602" s="408"/>
      <c r="CG602" s="408"/>
      <c r="CH602" s="408"/>
      <c r="CI602" s="408">
        <v>9883.255000000001</v>
      </c>
      <c r="CJ602" s="408">
        <v>-3429.4156399999993</v>
      </c>
      <c r="CK602" s="408"/>
      <c r="CL602" s="408"/>
      <c r="CM602" s="408"/>
      <c r="CN602" s="408"/>
      <c r="CO602" s="408">
        <v>-3852.7634399999997</v>
      </c>
      <c r="CP602" s="408">
        <v>422.30933999999974</v>
      </c>
      <c r="CQ602" s="408">
        <v>31</v>
      </c>
      <c r="CR602" s="408">
        <v>568.92410929536163</v>
      </c>
      <c r="CS602" s="408">
        <v>12.728656685546014</v>
      </c>
      <c r="CT602" s="408">
        <v>19.173314206586667</v>
      </c>
      <c r="CU602" s="408">
        <v>0</v>
      </c>
      <c r="CV602" s="408">
        <v>0</v>
      </c>
      <c r="CW602" s="408">
        <v>0</v>
      </c>
      <c r="CX602" s="408">
        <v>0</v>
      </c>
      <c r="CY602" s="408">
        <v>0</v>
      </c>
      <c r="CZ602" s="408">
        <v>44.990217450617365</v>
      </c>
      <c r="DA602" s="408">
        <v>0</v>
      </c>
      <c r="DB602" s="408">
        <v>0</v>
      </c>
      <c r="DC602" s="408">
        <v>422.18141016940717</v>
      </c>
      <c r="DD602" s="408">
        <v>0</v>
      </c>
      <c r="DE602" s="408">
        <v>0</v>
      </c>
      <c r="DF602" s="408">
        <v>0</v>
      </c>
      <c r="DG602" s="408">
        <v>70.630160694398796</v>
      </c>
      <c r="DH602" s="408">
        <v>0</v>
      </c>
      <c r="DI602" s="408">
        <v>0</v>
      </c>
      <c r="DJ602" s="408"/>
      <c r="DK602" s="408">
        <v>0</v>
      </c>
      <c r="DL602" s="408">
        <v>0</v>
      </c>
      <c r="DM602" s="408">
        <v>0</v>
      </c>
      <c r="DN602" s="408">
        <v>0</v>
      </c>
      <c r="DO602" s="408">
        <v>0</v>
      </c>
      <c r="DP602" s="408">
        <v>-0.77964991119319649</v>
      </c>
      <c r="DQ602" s="408">
        <v>0</v>
      </c>
      <c r="DR602" s="408">
        <v>0</v>
      </c>
      <c r="DS602" s="408"/>
      <c r="DT602" s="408"/>
      <c r="DU602" s="408"/>
      <c r="DV602" s="408">
        <v>7129.2274593375396</v>
      </c>
      <c r="DW602" s="408">
        <v>0</v>
      </c>
      <c r="DX602" s="408">
        <v>0</v>
      </c>
      <c r="DY602" s="408">
        <v>-3852.7634399999988</v>
      </c>
      <c r="DZ602" s="408">
        <v>422.30933999999979</v>
      </c>
      <c r="EA602" s="408">
        <v>0</v>
      </c>
      <c r="EB602" s="408">
        <v>0</v>
      </c>
      <c r="EC602" s="408">
        <v>-3999.4231679087088</v>
      </c>
      <c r="ED602" s="408">
        <v>0</v>
      </c>
      <c r="EE602" s="408">
        <v>0</v>
      </c>
      <c r="EF602" s="408">
        <v>0</v>
      </c>
      <c r="EG602" s="408">
        <v>0</v>
      </c>
      <c r="EH602" s="408">
        <v>0</v>
      </c>
      <c r="EI602" s="408">
        <v>0</v>
      </c>
      <c r="EJ602" s="408">
        <v>0</v>
      </c>
      <c r="EK602" s="408">
        <v>0</v>
      </c>
      <c r="EL602" s="408">
        <v>0</v>
      </c>
      <c r="EM602" s="408">
        <v>0</v>
      </c>
      <c r="EN602" s="408">
        <v>0</v>
      </c>
      <c r="EO602" s="408">
        <v>0</v>
      </c>
      <c r="EP602" s="408">
        <v>0</v>
      </c>
      <c r="EQ602" s="408">
        <v>0</v>
      </c>
      <c r="ER602" s="408">
        <v>0</v>
      </c>
      <c r="ES602" s="408">
        <v>0</v>
      </c>
      <c r="ET602" s="408">
        <v>0</v>
      </c>
      <c r="EU602" s="408">
        <v>0</v>
      </c>
      <c r="EV602" s="408">
        <v>238</v>
      </c>
      <c r="EW602" s="408">
        <v>0</v>
      </c>
      <c r="EX602" s="408">
        <v>0</v>
      </c>
      <c r="EY602" s="408">
        <v>0</v>
      </c>
      <c r="EZ602" s="408"/>
      <c r="FA602" s="408">
        <v>0</v>
      </c>
      <c r="FB602" s="408"/>
      <c r="FC602" s="408"/>
      <c r="FD602" s="408"/>
      <c r="FE602" s="408"/>
      <c r="FF602" s="408">
        <v>0</v>
      </c>
      <c r="FG602" s="408">
        <v>0</v>
      </c>
      <c r="FH602" s="408">
        <v>0</v>
      </c>
      <c r="FI602" s="408">
        <v>0</v>
      </c>
    </row>
    <row r="603" spans="1:165">
      <c r="A603" s="408">
        <v>607</v>
      </c>
      <c r="B603" s="408" t="s">
        <v>2237</v>
      </c>
      <c r="C603" s="408" t="s">
        <v>2235</v>
      </c>
      <c r="D603" s="408" t="s">
        <v>1955</v>
      </c>
      <c r="E603" s="408" t="s">
        <v>969</v>
      </c>
      <c r="F603" s="408" t="s">
        <v>2242</v>
      </c>
      <c r="G603" s="408" t="s">
        <v>1322</v>
      </c>
      <c r="H603" s="408" t="s">
        <v>1322</v>
      </c>
      <c r="I603" s="408" t="s">
        <v>1322</v>
      </c>
      <c r="J603" s="408" t="s">
        <v>2236</v>
      </c>
      <c r="K603" s="824">
        <v>44682</v>
      </c>
      <c r="L603" s="408">
        <v>0</v>
      </c>
      <c r="M603" s="408">
        <v>0</v>
      </c>
      <c r="N603" s="408">
        <v>-2.7E-2</v>
      </c>
      <c r="O603" s="408">
        <v>-2.7E-2</v>
      </c>
      <c r="P603" s="408">
        <v>-2.7E-2</v>
      </c>
      <c r="Q603" s="408">
        <v>-2.7E-2</v>
      </c>
      <c r="R603" s="408"/>
      <c r="S603" s="408">
        <v>510.28</v>
      </c>
      <c r="T603" s="408">
        <v>209.4</v>
      </c>
      <c r="U603" s="408"/>
      <c r="V603" s="408">
        <v>-19.431359999999998</v>
      </c>
      <c r="W603" s="408">
        <v>-19.431359999999998</v>
      </c>
      <c r="X603" s="408">
        <v>-14.424209999999999</v>
      </c>
      <c r="Y603" s="408">
        <v>0</v>
      </c>
      <c r="Z603" s="408">
        <v>0</v>
      </c>
      <c r="AA603" s="408">
        <v>0</v>
      </c>
      <c r="AB603" s="408">
        <v>0</v>
      </c>
      <c r="AC603" s="408">
        <v>0</v>
      </c>
      <c r="AD603" s="408">
        <v>-2.0031609094869913</v>
      </c>
      <c r="AE603" s="408">
        <v>-10.405943421024627</v>
      </c>
      <c r="AF603" s="408">
        <v>-5.5795701363576748</v>
      </c>
      <c r="AG603" s="408">
        <v>-7.4330054033074383E-2</v>
      </c>
      <c r="AH603" s="408">
        <v>0</v>
      </c>
      <c r="AI603" s="408">
        <v>0</v>
      </c>
      <c r="AJ603" s="408">
        <v>0</v>
      </c>
      <c r="AK603" s="408">
        <v>0</v>
      </c>
      <c r="AL603" s="408">
        <v>0</v>
      </c>
      <c r="AM603" s="408"/>
      <c r="AN603" s="408">
        <v>-4.9220036527379489E-2</v>
      </c>
      <c r="AO603" s="408">
        <v>-0.15388598092662542</v>
      </c>
      <c r="AP603" s="408">
        <v>-0.23180012920338008</v>
      </c>
      <c r="AQ603" s="408">
        <v>0</v>
      </c>
      <c r="AR603" s="408">
        <v>0</v>
      </c>
      <c r="AS603" s="408">
        <v>0</v>
      </c>
      <c r="AT603" s="408">
        <v>0</v>
      </c>
      <c r="AU603" s="408">
        <v>0</v>
      </c>
      <c r="AV603" s="408">
        <v>0</v>
      </c>
      <c r="AW603" s="408">
        <v>0</v>
      </c>
      <c r="AX603" s="408">
        <v>0</v>
      </c>
      <c r="AY603" s="408">
        <v>0</v>
      </c>
      <c r="AZ603" s="408">
        <v>0</v>
      </c>
      <c r="BA603" s="408"/>
      <c r="BB603" s="408">
        <v>0</v>
      </c>
      <c r="BC603" s="408">
        <v>0</v>
      </c>
      <c r="BD603" s="408">
        <v>0</v>
      </c>
      <c r="BE603" s="408">
        <v>0</v>
      </c>
      <c r="BF603" s="408">
        <v>0</v>
      </c>
      <c r="BG603" s="408">
        <v>-0.93345165335085023</v>
      </c>
      <c r="BH603" s="408">
        <v>0</v>
      </c>
      <c r="BI603" s="408">
        <v>0.02</v>
      </c>
      <c r="BJ603" s="408">
        <v>0.68</v>
      </c>
      <c r="BK603" s="408">
        <v>-4.5599999999999996</v>
      </c>
      <c r="BL603" s="408">
        <v>0</v>
      </c>
      <c r="BM603" s="408"/>
      <c r="BN603" s="408"/>
      <c r="BO603" s="408"/>
      <c r="BP603" s="408"/>
      <c r="BQ603" s="408"/>
      <c r="BR603" s="408"/>
      <c r="BS603" s="408"/>
      <c r="BT603" s="408"/>
      <c r="BU603" s="408"/>
      <c r="BV603" s="408">
        <v>-6.5130217897085254</v>
      </c>
      <c r="BW603" s="408"/>
      <c r="BX603" s="408"/>
      <c r="BY603" s="408"/>
      <c r="BZ603" s="408"/>
      <c r="CA603" s="408"/>
      <c r="CB603" s="408"/>
      <c r="CC603" s="408"/>
      <c r="CD603" s="408"/>
      <c r="CE603" s="408"/>
      <c r="CF603" s="408"/>
      <c r="CG603" s="408"/>
      <c r="CH603" s="408"/>
      <c r="CI603" s="408">
        <v>-16.026900000000001</v>
      </c>
      <c r="CJ603" s="408">
        <v>3.3744599999999991</v>
      </c>
      <c r="CK603" s="408"/>
      <c r="CL603" s="408"/>
      <c r="CM603" s="408"/>
      <c r="CN603" s="408"/>
      <c r="CO603" s="408">
        <v>5.6235599999999994</v>
      </c>
      <c r="CP603" s="408">
        <v>-0.61640999999999957</v>
      </c>
      <c r="CQ603" s="408">
        <v>31</v>
      </c>
      <c r="CR603" s="408">
        <v>-0.83041144723617499</v>
      </c>
      <c r="CS603" s="408">
        <v>-1.8578966942898789E-2</v>
      </c>
      <c r="CT603" s="408">
        <v>-2.7985700269101549E-2</v>
      </c>
      <c r="CU603" s="408">
        <v>0</v>
      </c>
      <c r="CV603" s="408">
        <v>0</v>
      </c>
      <c r="CW603" s="408">
        <v>0</v>
      </c>
      <c r="CX603" s="408">
        <v>0</v>
      </c>
      <c r="CY603" s="408">
        <v>0</v>
      </c>
      <c r="CZ603" s="408">
        <v>-6.566849773849448E-2</v>
      </c>
      <c r="DA603" s="408">
        <v>0</v>
      </c>
      <c r="DB603" s="408">
        <v>0</v>
      </c>
      <c r="DC603" s="408">
        <v>-0.61622327141171951</v>
      </c>
      <c r="DD603" s="408">
        <v>0</v>
      </c>
      <c r="DE603" s="408">
        <v>0</v>
      </c>
      <c r="DF603" s="408">
        <v>0</v>
      </c>
      <c r="DG603" s="408">
        <v>-0.10309300133791599</v>
      </c>
      <c r="DH603" s="408">
        <v>0</v>
      </c>
      <c r="DI603" s="408">
        <v>0</v>
      </c>
      <c r="DJ603" s="408"/>
      <c r="DK603" s="408">
        <v>0</v>
      </c>
      <c r="DL603" s="408">
        <v>0</v>
      </c>
      <c r="DM603" s="408">
        <v>0</v>
      </c>
      <c r="DN603" s="408">
        <v>0</v>
      </c>
      <c r="DO603" s="408">
        <v>0</v>
      </c>
      <c r="DP603" s="408">
        <v>1.1379904639537489E-3</v>
      </c>
      <c r="DQ603" s="408">
        <v>0</v>
      </c>
      <c r="DR603" s="408">
        <v>0</v>
      </c>
      <c r="DS603" s="408"/>
      <c r="DT603" s="408"/>
      <c r="DU603" s="408"/>
      <c r="DV603" s="408">
        <v>-10.405943421024627</v>
      </c>
      <c r="DW603" s="408">
        <v>0</v>
      </c>
      <c r="DX603" s="408">
        <v>0</v>
      </c>
      <c r="DY603" s="408">
        <v>5.6235599999999994</v>
      </c>
      <c r="DZ603" s="408">
        <v>-0.61640999999999924</v>
      </c>
      <c r="EA603" s="408">
        <v>0</v>
      </c>
      <c r="EB603" s="408">
        <v>0</v>
      </c>
      <c r="EC603" s="408">
        <v>5.837627069604018</v>
      </c>
      <c r="ED603" s="408">
        <v>0</v>
      </c>
      <c r="EE603" s="408">
        <v>0</v>
      </c>
      <c r="EF603" s="408">
        <v>0</v>
      </c>
      <c r="EG603" s="408">
        <v>0</v>
      </c>
      <c r="EH603" s="408">
        <v>0</v>
      </c>
      <c r="EI603" s="408">
        <v>0</v>
      </c>
      <c r="EJ603" s="408">
        <v>0</v>
      </c>
      <c r="EK603" s="408">
        <v>0</v>
      </c>
      <c r="EL603" s="408">
        <v>0</v>
      </c>
      <c r="EM603" s="408">
        <v>0</v>
      </c>
      <c r="EN603" s="408">
        <v>0</v>
      </c>
      <c r="EO603" s="408">
        <v>0</v>
      </c>
      <c r="EP603" s="408">
        <v>0</v>
      </c>
      <c r="EQ603" s="408">
        <v>0</v>
      </c>
      <c r="ER603" s="408">
        <v>0</v>
      </c>
      <c r="ES603" s="408">
        <v>0</v>
      </c>
      <c r="ET603" s="408">
        <v>0</v>
      </c>
      <c r="EU603" s="408">
        <v>0</v>
      </c>
      <c r="EV603" s="408">
        <v>238</v>
      </c>
      <c r="EW603" s="408">
        <v>0</v>
      </c>
      <c r="EX603" s="408">
        <v>0</v>
      </c>
      <c r="EY603" s="408">
        <v>0</v>
      </c>
      <c r="EZ603" s="408"/>
      <c r="FA603" s="408">
        <v>0</v>
      </c>
      <c r="FB603" s="408"/>
      <c r="FC603" s="408"/>
      <c r="FD603" s="408"/>
      <c r="FE603" s="408"/>
      <c r="FF603" s="408">
        <v>0</v>
      </c>
      <c r="FG603" s="408">
        <v>0</v>
      </c>
      <c r="FH603" s="408">
        <v>0</v>
      </c>
      <c r="FI603" s="408">
        <v>0</v>
      </c>
    </row>
    <row r="604" spans="1:165">
      <c r="A604" s="408">
        <v>608</v>
      </c>
      <c r="B604" s="408" t="s">
        <v>2238</v>
      </c>
      <c r="C604" s="408" t="s">
        <v>2235</v>
      </c>
      <c r="D604" s="408" t="s">
        <v>1955</v>
      </c>
      <c r="E604" s="408" t="s">
        <v>969</v>
      </c>
      <c r="F604" s="408" t="s">
        <v>2242</v>
      </c>
      <c r="G604" s="408" t="s">
        <v>1322</v>
      </c>
      <c r="H604" s="408" t="s">
        <v>1322</v>
      </c>
      <c r="I604" s="408" t="s">
        <v>1322</v>
      </c>
      <c r="J604" s="408" t="s">
        <v>2236</v>
      </c>
      <c r="K604" s="824">
        <v>44682</v>
      </c>
      <c r="L604" s="408">
        <v>0</v>
      </c>
      <c r="M604" s="408">
        <v>0</v>
      </c>
      <c r="N604" s="408">
        <v>0.72899999999999998</v>
      </c>
      <c r="O604" s="408">
        <v>0.72899999999999998</v>
      </c>
      <c r="P604" s="408">
        <v>0.72899999999999998</v>
      </c>
      <c r="Q604" s="408">
        <v>0.72899999999999998</v>
      </c>
      <c r="R604" s="408"/>
      <c r="S604" s="408">
        <v>510.28</v>
      </c>
      <c r="T604" s="408">
        <v>209.4</v>
      </c>
      <c r="U604" s="408"/>
      <c r="V604" s="408">
        <v>524.64671999999996</v>
      </c>
      <c r="W604" s="408">
        <v>524.64671999999996</v>
      </c>
      <c r="X604" s="408">
        <v>389.45366999999999</v>
      </c>
      <c r="Y604" s="408">
        <v>0</v>
      </c>
      <c r="Z604" s="408">
        <v>0</v>
      </c>
      <c r="AA604" s="408">
        <v>0</v>
      </c>
      <c r="AB604" s="408">
        <v>0</v>
      </c>
      <c r="AC604" s="408">
        <v>0</v>
      </c>
      <c r="AD604" s="408">
        <v>54.085344556148762</v>
      </c>
      <c r="AE604" s="408">
        <v>280.96047236766492</v>
      </c>
      <c r="AF604" s="408">
        <v>150.64839368165721</v>
      </c>
      <c r="AG604" s="408">
        <v>2.0069114588930081</v>
      </c>
      <c r="AH604" s="408">
        <v>0</v>
      </c>
      <c r="AI604" s="408">
        <v>0</v>
      </c>
      <c r="AJ604" s="408">
        <v>0</v>
      </c>
      <c r="AK604" s="408">
        <v>0</v>
      </c>
      <c r="AL604" s="408">
        <v>0</v>
      </c>
      <c r="AM604" s="408"/>
      <c r="AN604" s="408">
        <v>1.3289409862392463</v>
      </c>
      <c r="AO604" s="408">
        <v>4.1549214850188863</v>
      </c>
      <c r="AP604" s="408">
        <v>6.2586034884912625</v>
      </c>
      <c r="AQ604" s="408">
        <v>0</v>
      </c>
      <c r="AR604" s="408">
        <v>0</v>
      </c>
      <c r="AS604" s="408">
        <v>0</v>
      </c>
      <c r="AT604" s="408">
        <v>0</v>
      </c>
      <c r="AU604" s="408">
        <v>0</v>
      </c>
      <c r="AV604" s="408">
        <v>0</v>
      </c>
      <c r="AW604" s="408">
        <v>0</v>
      </c>
      <c r="AX604" s="408">
        <v>0</v>
      </c>
      <c r="AY604" s="408">
        <v>0</v>
      </c>
      <c r="AZ604" s="408">
        <v>0</v>
      </c>
      <c r="BA604" s="408"/>
      <c r="BB604" s="408">
        <v>0</v>
      </c>
      <c r="BC604" s="408">
        <v>0</v>
      </c>
      <c r="BD604" s="408">
        <v>0</v>
      </c>
      <c r="BE604" s="408">
        <v>0</v>
      </c>
      <c r="BF604" s="408">
        <v>0</v>
      </c>
      <c r="BG604" s="408">
        <v>25.203194640472958</v>
      </c>
      <c r="BH604" s="408">
        <v>0</v>
      </c>
      <c r="BI604" s="408">
        <v>0.82</v>
      </c>
      <c r="BJ604" s="408">
        <v>3.83</v>
      </c>
      <c r="BK604" s="408">
        <v>168.31</v>
      </c>
      <c r="BL604" s="408">
        <v>4</v>
      </c>
      <c r="BM604" s="408"/>
      <c r="BN604" s="408"/>
      <c r="BO604" s="408"/>
      <c r="BP604" s="408"/>
      <c r="BQ604" s="408"/>
      <c r="BR604" s="408"/>
      <c r="BS604" s="408"/>
      <c r="BT604" s="408"/>
      <c r="BU604" s="408"/>
      <c r="BV604" s="408">
        <v>175.85158832213017</v>
      </c>
      <c r="BW604" s="408"/>
      <c r="BX604" s="408"/>
      <c r="BY604" s="408"/>
      <c r="BZ604" s="408"/>
      <c r="CA604" s="408"/>
      <c r="CB604" s="408"/>
      <c r="CC604" s="408"/>
      <c r="CD604" s="408"/>
      <c r="CE604" s="408"/>
      <c r="CF604" s="408"/>
      <c r="CG604" s="408"/>
      <c r="CH604" s="408"/>
      <c r="CI604" s="408">
        <v>389.98789999999997</v>
      </c>
      <c r="CJ604" s="408">
        <v>-134.68881999999996</v>
      </c>
      <c r="CK604" s="408"/>
      <c r="CL604" s="408"/>
      <c r="CM604" s="408"/>
      <c r="CN604" s="408"/>
      <c r="CO604" s="408">
        <v>-151.83611999999997</v>
      </c>
      <c r="CP604" s="408">
        <v>16.643069999999987</v>
      </c>
      <c r="CQ604" s="408">
        <v>31</v>
      </c>
      <c r="CR604" s="408">
        <v>22.421109075376734</v>
      </c>
      <c r="CS604" s="408">
        <v>0.50163210745826792</v>
      </c>
      <c r="CT604" s="408">
        <v>0.75561390726574107</v>
      </c>
      <c r="CU604" s="408">
        <v>0</v>
      </c>
      <c r="CV604" s="408">
        <v>0</v>
      </c>
      <c r="CW604" s="408">
        <v>0</v>
      </c>
      <c r="CX604" s="408">
        <v>0</v>
      </c>
      <c r="CY604" s="408">
        <v>0</v>
      </c>
      <c r="CZ604" s="408">
        <v>1.7730494389393527</v>
      </c>
      <c r="DA604" s="408">
        <v>0</v>
      </c>
      <c r="DB604" s="408">
        <v>0</v>
      </c>
      <c r="DC604" s="408">
        <v>16.638028328116434</v>
      </c>
      <c r="DD604" s="408">
        <v>0</v>
      </c>
      <c r="DE604" s="408">
        <v>0</v>
      </c>
      <c r="DF604" s="408">
        <v>0</v>
      </c>
      <c r="DG604" s="408">
        <v>2.783511036123727</v>
      </c>
      <c r="DH604" s="408">
        <v>0</v>
      </c>
      <c r="DI604" s="408">
        <v>0</v>
      </c>
      <c r="DJ604" s="408"/>
      <c r="DK604" s="408">
        <v>0</v>
      </c>
      <c r="DL604" s="408">
        <v>0</v>
      </c>
      <c r="DM604" s="408">
        <v>0</v>
      </c>
      <c r="DN604" s="408">
        <v>0</v>
      </c>
      <c r="DO604" s="408">
        <v>0</v>
      </c>
      <c r="DP604" s="408">
        <v>-3.072574252675131E-2</v>
      </c>
      <c r="DQ604" s="408">
        <v>0</v>
      </c>
      <c r="DR604" s="408">
        <v>0</v>
      </c>
      <c r="DS604" s="408"/>
      <c r="DT604" s="408"/>
      <c r="DU604" s="408"/>
      <c r="DV604" s="408">
        <v>280.96047236766492</v>
      </c>
      <c r="DW604" s="408">
        <v>0</v>
      </c>
      <c r="DX604" s="408">
        <v>0</v>
      </c>
      <c r="DY604" s="408">
        <v>-151.83611999999997</v>
      </c>
      <c r="DZ604" s="408">
        <v>16.643069999999994</v>
      </c>
      <c r="EA604" s="408">
        <v>0</v>
      </c>
      <c r="EB604" s="408">
        <v>0</v>
      </c>
      <c r="EC604" s="408">
        <v>-157.61593087930845</v>
      </c>
      <c r="ED604" s="408">
        <v>0</v>
      </c>
      <c r="EE604" s="408">
        <v>0</v>
      </c>
      <c r="EF604" s="408">
        <v>0</v>
      </c>
      <c r="EG604" s="408">
        <v>0</v>
      </c>
      <c r="EH604" s="408">
        <v>0</v>
      </c>
      <c r="EI604" s="408">
        <v>0</v>
      </c>
      <c r="EJ604" s="408">
        <v>0</v>
      </c>
      <c r="EK604" s="408">
        <v>0</v>
      </c>
      <c r="EL604" s="408">
        <v>0</v>
      </c>
      <c r="EM604" s="408">
        <v>0</v>
      </c>
      <c r="EN604" s="408">
        <v>0</v>
      </c>
      <c r="EO604" s="408">
        <v>0</v>
      </c>
      <c r="EP604" s="408">
        <v>0</v>
      </c>
      <c r="EQ604" s="408">
        <v>0</v>
      </c>
      <c r="ER604" s="408">
        <v>0</v>
      </c>
      <c r="ES604" s="408">
        <v>0</v>
      </c>
      <c r="ET604" s="408">
        <v>0</v>
      </c>
      <c r="EU604" s="408">
        <v>0</v>
      </c>
      <c r="EV604" s="408">
        <v>238</v>
      </c>
      <c r="EW604" s="408">
        <v>0</v>
      </c>
      <c r="EX604" s="408">
        <v>0</v>
      </c>
      <c r="EY604" s="408">
        <v>0</v>
      </c>
      <c r="EZ604" s="408"/>
      <c r="FA604" s="408">
        <v>0</v>
      </c>
      <c r="FB604" s="408"/>
      <c r="FC604" s="408"/>
      <c r="FD604" s="408"/>
      <c r="FE604" s="408"/>
      <c r="FF604" s="408">
        <v>0</v>
      </c>
      <c r="FG604" s="408">
        <v>0</v>
      </c>
      <c r="FH604" s="408">
        <v>0</v>
      </c>
      <c r="FI604" s="408">
        <v>0</v>
      </c>
    </row>
    <row r="605" spans="1:165">
      <c r="A605" s="408">
        <v>609</v>
      </c>
      <c r="B605" s="408" t="s">
        <v>1036</v>
      </c>
      <c r="C605" s="408" t="s">
        <v>2321</v>
      </c>
      <c r="D605" s="408" t="s">
        <v>1955</v>
      </c>
      <c r="E605" s="408" t="s">
        <v>969</v>
      </c>
      <c r="F605" s="408" t="s">
        <v>969</v>
      </c>
      <c r="G605" s="408" t="s">
        <v>1322</v>
      </c>
      <c r="H605" s="408" t="s">
        <v>1322</v>
      </c>
      <c r="I605" s="408" t="s">
        <v>973</v>
      </c>
      <c r="J605" s="408" t="s">
        <v>2236</v>
      </c>
      <c r="K605" s="824">
        <v>44682</v>
      </c>
      <c r="L605" s="408">
        <v>0</v>
      </c>
      <c r="M605" s="408">
        <v>0</v>
      </c>
      <c r="N605" s="408">
        <v>3.6999999999999998E-2</v>
      </c>
      <c r="O605" s="408">
        <v>3.6999999999999998E-2</v>
      </c>
      <c r="P605" s="408">
        <v>3.6999999999999998E-2</v>
      </c>
      <c r="Q605" s="408">
        <v>3.6999999999999998E-2</v>
      </c>
      <c r="R605" s="408"/>
      <c r="S605" s="408">
        <v>1292.1099999999999</v>
      </c>
      <c r="T605" s="408">
        <v>209.4</v>
      </c>
      <c r="U605" s="408"/>
      <c r="V605" s="408">
        <v>55.555869999999992</v>
      </c>
      <c r="W605" s="408">
        <v>55.555869999999992</v>
      </c>
      <c r="X605" s="408">
        <v>36.880859999999998</v>
      </c>
      <c r="Y605" s="408">
        <v>0</v>
      </c>
      <c r="Z605" s="408">
        <v>2.2769025766370561</v>
      </c>
      <c r="AA605" s="408">
        <v>0</v>
      </c>
      <c r="AB605" s="408">
        <v>0</v>
      </c>
      <c r="AC605" s="408">
        <v>0</v>
      </c>
      <c r="AD605" s="408">
        <v>6.861459776016102</v>
      </c>
      <c r="AE605" s="408">
        <v>35.650003954916144</v>
      </c>
      <c r="AF605" s="408">
        <v>7.6460775942679247</v>
      </c>
      <c r="AG605" s="408">
        <v>0.10185970367495378</v>
      </c>
      <c r="AH605" s="408">
        <v>0</v>
      </c>
      <c r="AI605" s="408">
        <v>0</v>
      </c>
      <c r="AJ605" s="408">
        <v>0</v>
      </c>
      <c r="AK605" s="408">
        <v>0</v>
      </c>
      <c r="AL605" s="408">
        <v>0.35185526086961094</v>
      </c>
      <c r="AM605" s="408"/>
      <c r="AN605" s="408">
        <v>6.7449679685668187E-2</v>
      </c>
      <c r="AO605" s="408">
        <v>0.52720672008397629</v>
      </c>
      <c r="AP605" s="408">
        <v>0.7941300722708392</v>
      </c>
      <c r="AQ605" s="408">
        <v>0</v>
      </c>
      <c r="AR605" s="408">
        <v>0</v>
      </c>
      <c r="AS605" s="408">
        <v>0</v>
      </c>
      <c r="AT605" s="408">
        <v>0</v>
      </c>
      <c r="AU605" s="408">
        <v>0</v>
      </c>
      <c r="AV605" s="408">
        <v>0</v>
      </c>
      <c r="AW605" s="408">
        <v>0</v>
      </c>
      <c r="AX605" s="408">
        <v>0</v>
      </c>
      <c r="AY605" s="408">
        <v>0</v>
      </c>
      <c r="AZ605" s="408">
        <v>0</v>
      </c>
      <c r="BA605" s="408"/>
      <c r="BB605" s="408">
        <v>0</v>
      </c>
      <c r="BC605" s="408">
        <v>0</v>
      </c>
      <c r="BD605" s="408">
        <v>0</v>
      </c>
      <c r="BE605" s="408">
        <v>0</v>
      </c>
      <c r="BF605" s="408">
        <v>0</v>
      </c>
      <c r="BG605" s="408">
        <v>1.2791744879252391</v>
      </c>
      <c r="BH605" s="408">
        <v>0</v>
      </c>
      <c r="BI605" s="408">
        <v>0</v>
      </c>
      <c r="BJ605" s="408">
        <v>0</v>
      </c>
      <c r="BK605" s="408">
        <v>0</v>
      </c>
      <c r="BL605" s="408">
        <v>0</v>
      </c>
      <c r="BM605" s="408"/>
      <c r="BN605" s="408"/>
      <c r="BO605" s="408"/>
      <c r="BP605" s="408"/>
      <c r="BQ605" s="408"/>
      <c r="BR605" s="408"/>
      <c r="BS605" s="408"/>
      <c r="BT605" s="408"/>
      <c r="BU605" s="408"/>
      <c r="BV605" s="408">
        <v>8.9252520821931647</v>
      </c>
      <c r="BW605" s="408"/>
      <c r="BX605" s="408"/>
      <c r="BY605" s="408"/>
      <c r="BZ605" s="408"/>
      <c r="CA605" s="408"/>
      <c r="CB605" s="408"/>
      <c r="CC605" s="408"/>
      <c r="CD605" s="408"/>
      <c r="CE605" s="408"/>
      <c r="CF605" s="408"/>
      <c r="CG605" s="408"/>
      <c r="CH605" s="408"/>
      <c r="CI605" s="408">
        <v>39.871199999999995</v>
      </c>
      <c r="CJ605" s="408">
        <v>-15.714669999999991</v>
      </c>
      <c r="CK605" s="408"/>
      <c r="CL605" s="408"/>
      <c r="CM605" s="408"/>
      <c r="CN605" s="408"/>
      <c r="CO605" s="408">
        <v>-19.519719999999996</v>
      </c>
      <c r="CP605" s="408">
        <v>0.84470999999999941</v>
      </c>
      <c r="CQ605" s="408">
        <v>31</v>
      </c>
      <c r="CR605" s="408">
        <v>1.3237852640395893</v>
      </c>
      <c r="CS605" s="408">
        <v>6.3650737809475277E-2</v>
      </c>
      <c r="CT605" s="408">
        <v>9.5876936107106236E-2</v>
      </c>
      <c r="CU605" s="408">
        <v>0</v>
      </c>
      <c r="CV605" s="408">
        <v>0</v>
      </c>
      <c r="CW605" s="408">
        <v>0</v>
      </c>
      <c r="CX605" s="408">
        <v>0</v>
      </c>
      <c r="CY605" s="408">
        <v>0</v>
      </c>
      <c r="CZ605" s="408">
        <v>0.22493537770738392</v>
      </c>
      <c r="DA605" s="408">
        <v>0</v>
      </c>
      <c r="DB605" s="408">
        <v>0</v>
      </c>
      <c r="DC605" s="408">
        <v>0.84445411267531956</v>
      </c>
      <c r="DD605" s="408">
        <v>0</v>
      </c>
      <c r="DE605" s="408">
        <v>0</v>
      </c>
      <c r="DF605" s="408">
        <v>0</v>
      </c>
      <c r="DG605" s="408">
        <v>0.14127559442603288</v>
      </c>
      <c r="DH605" s="408">
        <v>0</v>
      </c>
      <c r="DI605" s="408">
        <v>-3.9691245399161357E-2</v>
      </c>
      <c r="DJ605" s="408"/>
      <c r="DK605" s="408">
        <v>0</v>
      </c>
      <c r="DL605" s="408">
        <v>0</v>
      </c>
      <c r="DM605" s="408">
        <v>0</v>
      </c>
      <c r="DN605" s="408">
        <v>0</v>
      </c>
      <c r="DO605" s="408">
        <v>-5.1567808729949816E-3</v>
      </c>
      <c r="DP605" s="408">
        <v>-1.5594684135662451E-3</v>
      </c>
      <c r="DQ605" s="408">
        <v>0</v>
      </c>
      <c r="DR605" s="408">
        <v>0</v>
      </c>
      <c r="DS605" s="408"/>
      <c r="DT605" s="408"/>
      <c r="DU605" s="408"/>
      <c r="DV605" s="408">
        <v>35.650003954916144</v>
      </c>
      <c r="DW605" s="408">
        <v>0</v>
      </c>
      <c r="DX605" s="408">
        <v>0</v>
      </c>
      <c r="DY605" s="408">
        <v>-19.519719999999996</v>
      </c>
      <c r="DZ605" s="408">
        <v>0.84470999999999918</v>
      </c>
      <c r="EA605" s="408">
        <v>0</v>
      </c>
      <c r="EB605" s="408">
        <v>0</v>
      </c>
      <c r="EC605" s="408">
        <v>-19.999284994980016</v>
      </c>
      <c r="ED605" s="408">
        <v>0</v>
      </c>
      <c r="EE605" s="408">
        <v>0</v>
      </c>
      <c r="EF605" s="408">
        <v>0</v>
      </c>
      <c r="EG605" s="408">
        <v>0</v>
      </c>
      <c r="EH605" s="408">
        <v>0</v>
      </c>
      <c r="EI605" s="408">
        <v>0</v>
      </c>
      <c r="EJ605" s="408">
        <v>0</v>
      </c>
      <c r="EK605" s="408">
        <v>0</v>
      </c>
      <c r="EL605" s="408">
        <v>0</v>
      </c>
      <c r="EM605" s="408">
        <v>0</v>
      </c>
      <c r="EN605" s="408">
        <v>0</v>
      </c>
      <c r="EO605" s="408">
        <v>0</v>
      </c>
      <c r="EP605" s="408">
        <v>0</v>
      </c>
      <c r="EQ605" s="408">
        <v>0</v>
      </c>
      <c r="ER605" s="408">
        <v>0</v>
      </c>
      <c r="ES605" s="408">
        <v>0</v>
      </c>
      <c r="ET605" s="408">
        <v>0</v>
      </c>
      <c r="EU605" s="408">
        <v>0</v>
      </c>
      <c r="EV605" s="408">
        <v>238</v>
      </c>
      <c r="EW605" s="408">
        <v>0</v>
      </c>
      <c r="EX605" s="408">
        <v>0</v>
      </c>
      <c r="EY605" s="408">
        <v>0</v>
      </c>
      <c r="EZ605" s="408"/>
      <c r="FA605" s="408">
        <v>0</v>
      </c>
      <c r="FB605" s="408"/>
      <c r="FC605" s="408"/>
      <c r="FD605" s="408"/>
      <c r="FE605" s="408"/>
      <c r="FF605" s="408">
        <v>0</v>
      </c>
      <c r="FG605" s="408">
        <v>0</v>
      </c>
      <c r="FH605" s="408">
        <v>0</v>
      </c>
      <c r="FI605" s="408">
        <v>0</v>
      </c>
    </row>
    <row r="606" spans="1:165">
      <c r="A606" s="408">
        <v>610</v>
      </c>
      <c r="B606" s="408" t="s">
        <v>1036</v>
      </c>
      <c r="C606" s="408" t="s">
        <v>2321</v>
      </c>
      <c r="D606" s="408" t="s">
        <v>1955</v>
      </c>
      <c r="E606" s="408" t="s">
        <v>969</v>
      </c>
      <c r="F606" s="408" t="s">
        <v>969</v>
      </c>
      <c r="G606" s="408" t="s">
        <v>1322</v>
      </c>
      <c r="H606" s="408" t="s">
        <v>1322</v>
      </c>
      <c r="I606" s="408" t="s">
        <v>2244</v>
      </c>
      <c r="J606" s="408" t="s">
        <v>2236</v>
      </c>
      <c r="K606" s="824">
        <v>44682</v>
      </c>
      <c r="L606" s="408">
        <v>0</v>
      </c>
      <c r="M606" s="408">
        <v>0</v>
      </c>
      <c r="N606" s="408">
        <v>0.40400000000000003</v>
      </c>
      <c r="O606" s="408">
        <v>0.40400000000000003</v>
      </c>
      <c r="P606" s="408">
        <v>0.40400000000000003</v>
      </c>
      <c r="Q606" s="408">
        <v>0.40400000000000003</v>
      </c>
      <c r="R606" s="408"/>
      <c r="S606" s="408">
        <v>344.38</v>
      </c>
      <c r="T606" s="408">
        <v>209.4</v>
      </c>
      <c r="U606" s="408"/>
      <c r="V606" s="408">
        <v>223.72712000000001</v>
      </c>
      <c r="W606" s="408">
        <v>223.72712000000001</v>
      </c>
      <c r="X606" s="408">
        <v>191.15260000000001</v>
      </c>
      <c r="Y606" s="408">
        <v>0</v>
      </c>
      <c r="Z606" s="408">
        <v>24.861314620577591</v>
      </c>
      <c r="AA606" s="408">
        <v>0</v>
      </c>
      <c r="AB606" s="408">
        <v>0</v>
      </c>
      <c r="AC606" s="408">
        <v>0</v>
      </c>
      <c r="AD606" s="408">
        <v>14.986611248754549</v>
      </c>
      <c r="AE606" s="408">
        <v>77.851873001740017</v>
      </c>
      <c r="AF606" s="408">
        <v>83.4869012995741</v>
      </c>
      <c r="AG606" s="408">
        <v>1.1121978455319279</v>
      </c>
      <c r="AH606" s="408">
        <v>0</v>
      </c>
      <c r="AI606" s="408">
        <v>0</v>
      </c>
      <c r="AJ606" s="408">
        <v>0</v>
      </c>
      <c r="AK606" s="408">
        <v>0</v>
      </c>
      <c r="AL606" s="408">
        <v>3.8418790646303469</v>
      </c>
      <c r="AM606" s="408"/>
      <c r="AN606" s="408">
        <v>0.73647758359486348</v>
      </c>
      <c r="AO606" s="408">
        <v>1.1512951165621605</v>
      </c>
      <c r="AP606" s="408">
        <v>1.7342083740401031</v>
      </c>
      <c r="AQ606" s="408">
        <v>0</v>
      </c>
      <c r="AR606" s="408">
        <v>0</v>
      </c>
      <c r="AS606" s="408">
        <v>0</v>
      </c>
      <c r="AT606" s="408">
        <v>0</v>
      </c>
      <c r="AU606" s="408">
        <v>0</v>
      </c>
      <c r="AV606" s="408">
        <v>0</v>
      </c>
      <c r="AW606" s="408">
        <v>0</v>
      </c>
      <c r="AX606" s="408">
        <v>0</v>
      </c>
      <c r="AY606" s="408">
        <v>0</v>
      </c>
      <c r="AZ606" s="408">
        <v>0</v>
      </c>
      <c r="BA606" s="408"/>
      <c r="BB606" s="408">
        <v>0</v>
      </c>
      <c r="BC606" s="408">
        <v>0</v>
      </c>
      <c r="BD606" s="408">
        <v>0</v>
      </c>
      <c r="BE606" s="408">
        <v>0</v>
      </c>
      <c r="BF606" s="408">
        <v>0</v>
      </c>
      <c r="BG606" s="408">
        <v>13.967202516805317</v>
      </c>
      <c r="BH606" s="408">
        <v>0</v>
      </c>
      <c r="BI606" s="408">
        <v>0</v>
      </c>
      <c r="BJ606" s="408">
        <v>0</v>
      </c>
      <c r="BK606" s="408">
        <v>0</v>
      </c>
      <c r="BL606" s="408">
        <v>0</v>
      </c>
      <c r="BM606" s="408"/>
      <c r="BN606" s="408"/>
      <c r="BO606" s="408"/>
      <c r="BP606" s="408"/>
      <c r="BQ606" s="408"/>
      <c r="BR606" s="408"/>
      <c r="BS606" s="408"/>
      <c r="BT606" s="408"/>
      <c r="BU606" s="408"/>
      <c r="BV606" s="408">
        <v>97.454103816379416</v>
      </c>
      <c r="BW606" s="408"/>
      <c r="BX606" s="408"/>
      <c r="BY606" s="408"/>
      <c r="BZ606" s="408"/>
      <c r="CA606" s="408"/>
      <c r="CB606" s="408"/>
      <c r="CC606" s="408"/>
      <c r="CD606" s="408"/>
      <c r="CE606" s="408"/>
      <c r="CF606" s="408"/>
      <c r="CG606" s="408"/>
      <c r="CH606" s="408"/>
      <c r="CI606" s="408">
        <v>189.26</v>
      </c>
      <c r="CJ606" s="408">
        <v>-34.497119999999995</v>
      </c>
      <c r="CK606" s="408"/>
      <c r="CL606" s="408"/>
      <c r="CM606" s="408"/>
      <c r="CN606" s="408"/>
      <c r="CO606" s="408">
        <v>-41.797840000000008</v>
      </c>
      <c r="CP606" s="408">
        <v>9.223319999999994</v>
      </c>
      <c r="CQ606" s="408">
        <v>31</v>
      </c>
      <c r="CR606" s="408">
        <v>11.096053421290975</v>
      </c>
      <c r="CS606" s="408">
        <v>0.13899819712835182</v>
      </c>
      <c r="CT606" s="408">
        <v>0.20937449830957644</v>
      </c>
      <c r="CU606" s="408">
        <v>0</v>
      </c>
      <c r="CV606" s="408">
        <v>0</v>
      </c>
      <c r="CW606" s="408">
        <v>0</v>
      </c>
      <c r="CX606" s="408">
        <v>0</v>
      </c>
      <c r="CY606" s="408">
        <v>0</v>
      </c>
      <c r="CZ606" s="408">
        <v>0.49129764974725454</v>
      </c>
      <c r="DA606" s="408">
        <v>0</v>
      </c>
      <c r="DB606" s="408">
        <v>0</v>
      </c>
      <c r="DC606" s="408">
        <v>9.2205259870494416</v>
      </c>
      <c r="DD606" s="408">
        <v>0</v>
      </c>
      <c r="DE606" s="408">
        <v>0</v>
      </c>
      <c r="DF606" s="408">
        <v>0</v>
      </c>
      <c r="DG606" s="408">
        <v>1.5425767607599248</v>
      </c>
      <c r="DH606" s="408">
        <v>0</v>
      </c>
      <c r="DI606" s="408">
        <v>-0.43338549030435658</v>
      </c>
      <c r="DJ606" s="408"/>
      <c r="DK606" s="408">
        <v>0</v>
      </c>
      <c r="DL606" s="408">
        <v>0</v>
      </c>
      <c r="DM606" s="408">
        <v>0</v>
      </c>
      <c r="DN606" s="408">
        <v>0</v>
      </c>
      <c r="DO606" s="408">
        <v>-5.6306472234863847E-2</v>
      </c>
      <c r="DP606" s="408">
        <v>-1.7027709164344929E-2</v>
      </c>
      <c r="DQ606" s="408">
        <v>0</v>
      </c>
      <c r="DR606" s="408">
        <v>0</v>
      </c>
      <c r="DS606" s="408"/>
      <c r="DT606" s="408"/>
      <c r="DU606" s="408"/>
      <c r="DV606" s="408">
        <v>77.851873001740017</v>
      </c>
      <c r="DW606" s="408">
        <v>0</v>
      </c>
      <c r="DX606" s="408">
        <v>0</v>
      </c>
      <c r="DY606" s="408">
        <v>-41.797840000000008</v>
      </c>
      <c r="DZ606" s="408">
        <v>9.2233199999999869</v>
      </c>
      <c r="EA606" s="408">
        <v>0</v>
      </c>
      <c r="EB606" s="408">
        <v>0</v>
      </c>
      <c r="EC606" s="408">
        <v>-43.674098817037681</v>
      </c>
      <c r="ED606" s="408">
        <v>0</v>
      </c>
      <c r="EE606" s="408">
        <v>0</v>
      </c>
      <c r="EF606" s="408">
        <v>0</v>
      </c>
      <c r="EG606" s="408">
        <v>0</v>
      </c>
      <c r="EH606" s="408">
        <v>0</v>
      </c>
      <c r="EI606" s="408">
        <v>0</v>
      </c>
      <c r="EJ606" s="408">
        <v>0</v>
      </c>
      <c r="EK606" s="408">
        <v>0</v>
      </c>
      <c r="EL606" s="408">
        <v>0</v>
      </c>
      <c r="EM606" s="408">
        <v>0</v>
      </c>
      <c r="EN606" s="408">
        <v>0</v>
      </c>
      <c r="EO606" s="408">
        <v>0</v>
      </c>
      <c r="EP606" s="408">
        <v>0</v>
      </c>
      <c r="EQ606" s="408">
        <v>0</v>
      </c>
      <c r="ER606" s="408">
        <v>0</v>
      </c>
      <c r="ES606" s="408">
        <v>0</v>
      </c>
      <c r="ET606" s="408">
        <v>0</v>
      </c>
      <c r="EU606" s="408">
        <v>0</v>
      </c>
      <c r="EV606" s="408">
        <v>238</v>
      </c>
      <c r="EW606" s="408">
        <v>0</v>
      </c>
      <c r="EX606" s="408">
        <v>0</v>
      </c>
      <c r="EY606" s="408">
        <v>0</v>
      </c>
      <c r="EZ606" s="408"/>
      <c r="FA606" s="408">
        <v>0</v>
      </c>
      <c r="FB606" s="408"/>
      <c r="FC606" s="408"/>
      <c r="FD606" s="408"/>
      <c r="FE606" s="408"/>
      <c r="FF606" s="408">
        <v>0</v>
      </c>
      <c r="FG606" s="408">
        <v>0</v>
      </c>
      <c r="FH606" s="408">
        <v>0</v>
      </c>
      <c r="FI606" s="408">
        <v>0</v>
      </c>
    </row>
    <row r="607" spans="1:165">
      <c r="A607" s="408">
        <v>611</v>
      </c>
      <c r="B607" s="408" t="s">
        <v>1036</v>
      </c>
      <c r="C607" s="408" t="s">
        <v>2321</v>
      </c>
      <c r="D607" s="408" t="s">
        <v>1955</v>
      </c>
      <c r="E607" s="408" t="s">
        <v>969</v>
      </c>
      <c r="F607" s="408" t="s">
        <v>969</v>
      </c>
      <c r="G607" s="408" t="s">
        <v>1322</v>
      </c>
      <c r="H607" s="408" t="s">
        <v>1322</v>
      </c>
      <c r="I607" s="408" t="s">
        <v>1322</v>
      </c>
      <c r="J607" s="408" t="s">
        <v>2236</v>
      </c>
      <c r="K607" s="824">
        <v>44682</v>
      </c>
      <c r="L607" s="408">
        <v>0</v>
      </c>
      <c r="M607" s="408">
        <v>0</v>
      </c>
      <c r="N607" s="408">
        <v>0</v>
      </c>
      <c r="O607" s="408">
        <v>0</v>
      </c>
      <c r="P607" s="408">
        <v>0</v>
      </c>
      <c r="Q607" s="408">
        <v>0</v>
      </c>
      <c r="R607" s="408"/>
      <c r="S607" s="408"/>
      <c r="T607" s="408"/>
      <c r="U607" s="408"/>
      <c r="V607" s="408"/>
      <c r="W607" s="408"/>
      <c r="X607" s="408"/>
      <c r="Y607" s="408"/>
      <c r="Z607" s="408"/>
      <c r="AA607" s="408">
        <v>0</v>
      </c>
      <c r="AB607" s="408"/>
      <c r="AC607" s="408"/>
      <c r="AD607" s="408"/>
      <c r="AE607" s="408"/>
      <c r="AF607" s="408"/>
      <c r="AG607" s="408"/>
      <c r="AH607" s="408"/>
      <c r="AI607" s="408"/>
      <c r="AJ607" s="408"/>
      <c r="AK607" s="408"/>
      <c r="AL607" s="408"/>
      <c r="AM607" s="408"/>
      <c r="AN607" s="408"/>
      <c r="AO607" s="408"/>
      <c r="AP607" s="408"/>
      <c r="AQ607" s="408"/>
      <c r="AR607" s="408"/>
      <c r="AS607" s="408"/>
      <c r="AT607" s="408"/>
      <c r="AU607" s="408"/>
      <c r="AV607" s="408"/>
      <c r="AW607" s="408"/>
      <c r="AX607" s="408"/>
      <c r="AY607" s="408"/>
      <c r="AZ607" s="408">
        <v>0</v>
      </c>
      <c r="BA607" s="408"/>
      <c r="BB607" s="408"/>
      <c r="BC607" s="408"/>
      <c r="BD607" s="408"/>
      <c r="BE607" s="408"/>
      <c r="BF607" s="408"/>
      <c r="BG607" s="408"/>
      <c r="BH607" s="408"/>
      <c r="BI607" s="408">
        <v>0.53</v>
      </c>
      <c r="BJ607" s="408">
        <v>2.4700000000000002</v>
      </c>
      <c r="BK607" s="408">
        <v>85.07</v>
      </c>
      <c r="BL607" s="408">
        <v>2</v>
      </c>
      <c r="BM607" s="408"/>
      <c r="BN607" s="408"/>
      <c r="BO607" s="408"/>
      <c r="BP607" s="408"/>
      <c r="BQ607" s="408"/>
      <c r="BR607" s="408"/>
      <c r="BS607" s="408"/>
      <c r="BT607" s="408"/>
      <c r="BU607" s="408"/>
      <c r="BV607" s="408"/>
      <c r="BW607" s="408"/>
      <c r="BX607" s="408"/>
      <c r="BY607" s="408"/>
      <c r="BZ607" s="408"/>
      <c r="CA607" s="408"/>
      <c r="CB607" s="408"/>
      <c r="CC607" s="408"/>
      <c r="CD607" s="408"/>
      <c r="CE607" s="408"/>
      <c r="CF607" s="408"/>
      <c r="CG607" s="408"/>
      <c r="CH607" s="408"/>
      <c r="CI607" s="408"/>
      <c r="CJ607" s="408">
        <v>-0.03</v>
      </c>
      <c r="CK607" s="408"/>
      <c r="CL607" s="408"/>
      <c r="CM607" s="408"/>
      <c r="CN607" s="408"/>
      <c r="CO607" s="408">
        <v>0</v>
      </c>
      <c r="CP607" s="408">
        <v>0</v>
      </c>
      <c r="CQ607" s="408">
        <v>31</v>
      </c>
      <c r="CR607" s="408"/>
      <c r="CS607" s="408"/>
      <c r="CT607" s="408"/>
      <c r="CU607" s="408"/>
      <c r="CV607" s="408"/>
      <c r="CW607" s="408"/>
      <c r="CX607" s="408"/>
      <c r="CY607" s="408"/>
      <c r="CZ607" s="408"/>
      <c r="DA607" s="408"/>
      <c r="DB607" s="408"/>
      <c r="DC607" s="408"/>
      <c r="DD607" s="408"/>
      <c r="DE607" s="408"/>
      <c r="DF607" s="408"/>
      <c r="DG607" s="408"/>
      <c r="DH607" s="408"/>
      <c r="DI607" s="408"/>
      <c r="DJ607" s="408"/>
      <c r="DK607" s="408">
        <v>0</v>
      </c>
      <c r="DL607" s="408"/>
      <c r="DM607" s="408"/>
      <c r="DN607" s="408"/>
      <c r="DO607" s="408"/>
      <c r="DP607" s="408"/>
      <c r="DQ607" s="408"/>
      <c r="DR607" s="408"/>
      <c r="DS607" s="408"/>
      <c r="DT607" s="408"/>
      <c r="DU607" s="408"/>
      <c r="DV607" s="408"/>
      <c r="DW607" s="408"/>
      <c r="DX607" s="408"/>
      <c r="DY607" s="408"/>
      <c r="DZ607" s="408"/>
      <c r="EA607" s="408"/>
      <c r="EB607" s="408"/>
      <c r="EC607" s="408"/>
      <c r="ED607" s="408"/>
      <c r="EE607" s="408"/>
      <c r="EF607" s="408"/>
      <c r="EG607" s="408"/>
      <c r="EH607" s="408"/>
      <c r="EI607" s="408"/>
      <c r="EJ607" s="408"/>
      <c r="EK607" s="408"/>
      <c r="EL607" s="408"/>
      <c r="EM607" s="408"/>
      <c r="EN607" s="408"/>
      <c r="EO607" s="408"/>
      <c r="EP607" s="408"/>
      <c r="EQ607" s="408"/>
      <c r="ER607" s="408"/>
      <c r="ES607" s="408"/>
      <c r="ET607" s="408"/>
      <c r="EU607" s="408"/>
      <c r="EV607" s="408">
        <v>238</v>
      </c>
      <c r="EW607" s="408"/>
      <c r="EX607" s="408"/>
      <c r="EY607" s="408"/>
      <c r="EZ607" s="408"/>
      <c r="FA607" s="408">
        <v>0</v>
      </c>
      <c r="FB607" s="408"/>
      <c r="FC607" s="408"/>
      <c r="FD607" s="408"/>
      <c r="FE607" s="408"/>
      <c r="FF607" s="408">
        <v>0</v>
      </c>
      <c r="FG607" s="408">
        <v>0</v>
      </c>
      <c r="FH607" s="408">
        <v>0</v>
      </c>
      <c r="FI607" s="408">
        <v>0</v>
      </c>
    </row>
    <row r="608" spans="1:165">
      <c r="A608" s="408">
        <v>612</v>
      </c>
      <c r="B608" s="408" t="s">
        <v>1036</v>
      </c>
      <c r="C608" s="408" t="s">
        <v>2321</v>
      </c>
      <c r="D608" s="408" t="s">
        <v>1955</v>
      </c>
      <c r="E608" s="408" t="s">
        <v>969</v>
      </c>
      <c r="F608" s="408" t="s">
        <v>969</v>
      </c>
      <c r="G608" s="408" t="s">
        <v>1322</v>
      </c>
      <c r="H608" s="408" t="s">
        <v>1322</v>
      </c>
      <c r="I608" s="408" t="s">
        <v>2322</v>
      </c>
      <c r="J608" s="408" t="s">
        <v>2236</v>
      </c>
      <c r="K608" s="824">
        <v>44682</v>
      </c>
      <c r="L608" s="408">
        <v>0</v>
      </c>
      <c r="M608" s="408">
        <v>0</v>
      </c>
      <c r="N608" s="408">
        <v>3.3000000000000002E-2</v>
      </c>
      <c r="O608" s="408">
        <v>3.3000000000000002E-2</v>
      </c>
      <c r="P608" s="408">
        <v>3.3000000000000002E-2</v>
      </c>
      <c r="Q608" s="408">
        <v>3.3000000000000002E-2</v>
      </c>
      <c r="R608" s="408"/>
      <c r="S608" s="408">
        <v>818.26</v>
      </c>
      <c r="T608" s="408">
        <v>209.4</v>
      </c>
      <c r="U608" s="408"/>
      <c r="V608" s="408">
        <v>33.912780000000005</v>
      </c>
      <c r="W608" s="408">
        <v>33.912780000000005</v>
      </c>
      <c r="X608" s="408">
        <v>24.254339999999999</v>
      </c>
      <c r="Y608" s="408">
        <v>0</v>
      </c>
      <c r="Z608" s="408">
        <v>2.0307509467303477</v>
      </c>
      <c r="AA608" s="408">
        <v>0</v>
      </c>
      <c r="AB608" s="408">
        <v>0</v>
      </c>
      <c r="AC608" s="408">
        <v>0</v>
      </c>
      <c r="AD608" s="408">
        <v>3.6724616673928261</v>
      </c>
      <c r="AE608" s="408">
        <v>19.077574180940154</v>
      </c>
      <c r="AF608" s="408">
        <v>6.8194746111038258</v>
      </c>
      <c r="AG608" s="408">
        <v>9.0847843818202031E-2</v>
      </c>
      <c r="AH608" s="408">
        <v>0</v>
      </c>
      <c r="AI608" s="408">
        <v>0</v>
      </c>
      <c r="AJ608" s="408">
        <v>0</v>
      </c>
      <c r="AK608" s="408">
        <v>0</v>
      </c>
      <c r="AL608" s="408">
        <v>0.31381685428911249</v>
      </c>
      <c r="AM608" s="408"/>
      <c r="AN608" s="408">
        <v>6.0157822422352715E-2</v>
      </c>
      <c r="AO608" s="408">
        <v>0.28212853341683175</v>
      </c>
      <c r="AP608" s="408">
        <v>0.42496690353952893</v>
      </c>
      <c r="AQ608" s="408">
        <v>0</v>
      </c>
      <c r="AR608" s="408">
        <v>0</v>
      </c>
      <c r="AS608" s="408">
        <v>0</v>
      </c>
      <c r="AT608" s="408">
        <v>0</v>
      </c>
      <c r="AU608" s="408">
        <v>0</v>
      </c>
      <c r="AV608" s="408">
        <v>0</v>
      </c>
      <c r="AW608" s="408">
        <v>0</v>
      </c>
      <c r="AX608" s="408">
        <v>0</v>
      </c>
      <c r="AY608" s="408">
        <v>0</v>
      </c>
      <c r="AZ608" s="408">
        <v>0</v>
      </c>
      <c r="BA608" s="408"/>
      <c r="BB608" s="408">
        <v>0</v>
      </c>
      <c r="BC608" s="408">
        <v>0</v>
      </c>
      <c r="BD608" s="408">
        <v>0</v>
      </c>
      <c r="BE608" s="408">
        <v>0</v>
      </c>
      <c r="BF608" s="408">
        <v>0</v>
      </c>
      <c r="BG608" s="408">
        <v>1.1408853540954838</v>
      </c>
      <c r="BH608" s="408">
        <v>0</v>
      </c>
      <c r="BI608" s="408">
        <v>0</v>
      </c>
      <c r="BJ608" s="408">
        <v>0</v>
      </c>
      <c r="BK608" s="408">
        <v>0</v>
      </c>
      <c r="BL608" s="408">
        <v>0</v>
      </c>
      <c r="BM608" s="408"/>
      <c r="BN608" s="408"/>
      <c r="BO608" s="408"/>
      <c r="BP608" s="408"/>
      <c r="BQ608" s="408"/>
      <c r="BR608" s="408"/>
      <c r="BS608" s="408"/>
      <c r="BT608" s="408"/>
      <c r="BU608" s="408"/>
      <c r="BV608" s="408">
        <v>7.9603599651993093</v>
      </c>
      <c r="BW608" s="408"/>
      <c r="BX608" s="408"/>
      <c r="BY608" s="408"/>
      <c r="BZ608" s="408"/>
      <c r="CA608" s="408"/>
      <c r="CB608" s="408"/>
      <c r="CC608" s="408"/>
      <c r="CD608" s="408"/>
      <c r="CE608" s="408"/>
      <c r="CF608" s="408"/>
      <c r="CG608" s="408"/>
      <c r="CH608" s="408"/>
      <c r="CI608" s="408">
        <v>22.049399999999999</v>
      </c>
      <c r="CJ608" s="408">
        <v>-11.893380000000008</v>
      </c>
      <c r="CK608" s="408"/>
      <c r="CL608" s="408"/>
      <c r="CM608" s="408"/>
      <c r="CN608" s="408"/>
      <c r="CO608" s="408">
        <v>-10.41183</v>
      </c>
      <c r="CP608" s="408">
        <v>0.75338999999999956</v>
      </c>
      <c r="CQ608" s="408">
        <v>31</v>
      </c>
      <c r="CR608" s="408">
        <v>1.0435351788430474</v>
      </c>
      <c r="CS608" s="408">
        <v>3.4061950701663068E-2</v>
      </c>
      <c r="CT608" s="408">
        <v>5.1307117160019566E-2</v>
      </c>
      <c r="CU608" s="408">
        <v>0</v>
      </c>
      <c r="CV608" s="408">
        <v>0</v>
      </c>
      <c r="CW608" s="408">
        <v>0</v>
      </c>
      <c r="CX608" s="408">
        <v>0</v>
      </c>
      <c r="CY608" s="408">
        <v>0</v>
      </c>
      <c r="CZ608" s="408">
        <v>0.12039224585391306</v>
      </c>
      <c r="DA608" s="408">
        <v>0</v>
      </c>
      <c r="DB608" s="408">
        <v>0</v>
      </c>
      <c r="DC608" s="408">
        <v>0.753161776169879</v>
      </c>
      <c r="DD608" s="408">
        <v>0</v>
      </c>
      <c r="DE608" s="408">
        <v>0</v>
      </c>
      <c r="DF608" s="408">
        <v>0</v>
      </c>
      <c r="DG608" s="408">
        <v>0.12600255719078612</v>
      </c>
      <c r="DH608" s="408">
        <v>0</v>
      </c>
      <c r="DI608" s="408">
        <v>-3.5400299950603342E-2</v>
      </c>
      <c r="DJ608" s="408"/>
      <c r="DK608" s="408">
        <v>0</v>
      </c>
      <c r="DL608" s="408">
        <v>0</v>
      </c>
      <c r="DM608" s="408">
        <v>0</v>
      </c>
      <c r="DN608" s="408">
        <v>0</v>
      </c>
      <c r="DO608" s="408">
        <v>-4.5992910488873995E-3</v>
      </c>
      <c r="DP608" s="408">
        <v>-1.3908772337212494E-3</v>
      </c>
      <c r="DQ608" s="408">
        <v>0</v>
      </c>
      <c r="DR608" s="408">
        <v>0</v>
      </c>
      <c r="DS608" s="408"/>
      <c r="DT608" s="408"/>
      <c r="DU608" s="408"/>
      <c r="DV608" s="408">
        <v>19.077574180940154</v>
      </c>
      <c r="DW608" s="408">
        <v>0</v>
      </c>
      <c r="DX608" s="408">
        <v>0</v>
      </c>
      <c r="DY608" s="408">
        <v>-10.411830000000002</v>
      </c>
      <c r="DZ608" s="408">
        <v>0.75338999999999956</v>
      </c>
      <c r="EA608" s="408">
        <v>0</v>
      </c>
      <c r="EB608" s="408">
        <v>0</v>
      </c>
      <c r="EC608" s="408">
        <v>-10.70232260114183</v>
      </c>
      <c r="ED608" s="408">
        <v>0</v>
      </c>
      <c r="EE608" s="408">
        <v>0</v>
      </c>
      <c r="EF608" s="408">
        <v>0</v>
      </c>
      <c r="EG608" s="408">
        <v>0</v>
      </c>
      <c r="EH608" s="408">
        <v>0</v>
      </c>
      <c r="EI608" s="408">
        <v>0</v>
      </c>
      <c r="EJ608" s="408">
        <v>0</v>
      </c>
      <c r="EK608" s="408">
        <v>0</v>
      </c>
      <c r="EL608" s="408">
        <v>0</v>
      </c>
      <c r="EM608" s="408">
        <v>0</v>
      </c>
      <c r="EN608" s="408">
        <v>0</v>
      </c>
      <c r="EO608" s="408">
        <v>0</v>
      </c>
      <c r="EP608" s="408">
        <v>0</v>
      </c>
      <c r="EQ608" s="408">
        <v>0</v>
      </c>
      <c r="ER608" s="408">
        <v>0</v>
      </c>
      <c r="ES608" s="408">
        <v>0</v>
      </c>
      <c r="ET608" s="408">
        <v>0</v>
      </c>
      <c r="EU608" s="408">
        <v>0</v>
      </c>
      <c r="EV608" s="408">
        <v>238</v>
      </c>
      <c r="EW608" s="408">
        <v>0</v>
      </c>
      <c r="EX608" s="408">
        <v>0</v>
      </c>
      <c r="EY608" s="408">
        <v>0</v>
      </c>
      <c r="EZ608" s="408"/>
      <c r="FA608" s="408">
        <v>0</v>
      </c>
      <c r="FB608" s="408"/>
      <c r="FC608" s="408"/>
      <c r="FD608" s="408"/>
      <c r="FE608" s="408"/>
      <c r="FF608" s="408">
        <v>0</v>
      </c>
      <c r="FG608" s="408">
        <v>0</v>
      </c>
      <c r="FH608" s="408">
        <v>0</v>
      </c>
      <c r="FI608" s="408">
        <v>0</v>
      </c>
    </row>
    <row r="609" spans="1:165">
      <c r="A609" s="408">
        <v>613</v>
      </c>
      <c r="B609" s="408" t="s">
        <v>1036</v>
      </c>
      <c r="C609" s="408" t="s">
        <v>2235</v>
      </c>
      <c r="D609" s="408" t="s">
        <v>1958</v>
      </c>
      <c r="E609" s="408" t="s">
        <v>970</v>
      </c>
      <c r="F609" s="408" t="s">
        <v>1322</v>
      </c>
      <c r="G609" s="408" t="s">
        <v>1322</v>
      </c>
      <c r="H609" s="408" t="s">
        <v>1322</v>
      </c>
      <c r="I609" s="408" t="s">
        <v>1322</v>
      </c>
      <c r="J609" s="408" t="s">
        <v>2236</v>
      </c>
      <c r="K609" s="824">
        <v>44682</v>
      </c>
      <c r="L609" s="408">
        <v>0</v>
      </c>
      <c r="M609" s="408">
        <v>0</v>
      </c>
      <c r="N609" s="408">
        <v>8.6120000000000001</v>
      </c>
      <c r="O609" s="408">
        <v>8.6120000000000001</v>
      </c>
      <c r="P609" s="408">
        <v>8.6120000000000001</v>
      </c>
      <c r="Q609" s="408">
        <v>8.6120000000000001</v>
      </c>
      <c r="R609" s="408"/>
      <c r="S609" s="408">
        <v>581.32000000000005</v>
      </c>
      <c r="T609" s="408">
        <v>209.4</v>
      </c>
      <c r="U609" s="408"/>
      <c r="V609" s="408">
        <v>6809.6806400000005</v>
      </c>
      <c r="W609" s="408">
        <v>6809.6806400000005</v>
      </c>
      <c r="X609" s="408">
        <v>5202.2508399999997</v>
      </c>
      <c r="Y609" s="408">
        <v>0</v>
      </c>
      <c r="Z609" s="408">
        <v>529.96445918914401</v>
      </c>
      <c r="AA609" s="408">
        <v>0</v>
      </c>
      <c r="AB609" s="408">
        <v>0</v>
      </c>
      <c r="AC609" s="408">
        <v>0</v>
      </c>
      <c r="AD609" s="408">
        <v>638.93413898155438</v>
      </c>
      <c r="AE609" s="408">
        <v>3319.1105459949663</v>
      </c>
      <c r="AF609" s="408">
        <v>1779.6762227523072</v>
      </c>
      <c r="AG609" s="408">
        <v>23.70853427158654</v>
      </c>
      <c r="AH609" s="408">
        <v>0</v>
      </c>
      <c r="AI609" s="408">
        <v>0</v>
      </c>
      <c r="AJ609" s="408">
        <v>0</v>
      </c>
      <c r="AK609" s="408">
        <v>0</v>
      </c>
      <c r="AL609" s="408">
        <v>81.896689367813238</v>
      </c>
      <c r="AM609" s="408"/>
      <c r="AN609" s="408">
        <v>15.699368687918229</v>
      </c>
      <c r="AO609" s="408">
        <v>49.083928434818446</v>
      </c>
      <c r="AP609" s="408">
        <v>73.935656025907761</v>
      </c>
      <c r="AQ609" s="408">
        <v>0</v>
      </c>
      <c r="AR609" s="408">
        <v>0</v>
      </c>
      <c r="AS609" s="408">
        <v>0</v>
      </c>
      <c r="AT609" s="408">
        <v>0</v>
      </c>
      <c r="AU609" s="408">
        <v>0</v>
      </c>
      <c r="AV609" s="408">
        <v>0</v>
      </c>
      <c r="AW609" s="408">
        <v>0</v>
      </c>
      <c r="AX609" s="408">
        <v>0</v>
      </c>
      <c r="AY609" s="408">
        <v>0</v>
      </c>
      <c r="AZ609" s="408">
        <v>0</v>
      </c>
      <c r="BA609" s="408"/>
      <c r="BB609" s="408">
        <v>0</v>
      </c>
      <c r="BC609" s="408">
        <v>0</v>
      </c>
      <c r="BD609" s="408">
        <v>0</v>
      </c>
      <c r="BE609" s="408">
        <v>0</v>
      </c>
      <c r="BF609" s="408">
        <v>0</v>
      </c>
      <c r="BG609" s="408">
        <v>297.7365051354638</v>
      </c>
      <c r="BH609" s="408">
        <v>0</v>
      </c>
      <c r="BI609" s="408">
        <v>11.15</v>
      </c>
      <c r="BJ609" s="408">
        <v>51.71</v>
      </c>
      <c r="BK609" s="408">
        <v>1091.31</v>
      </c>
      <c r="BL609" s="408">
        <v>7</v>
      </c>
      <c r="BM609" s="408"/>
      <c r="BN609" s="408"/>
      <c r="BO609" s="408"/>
      <c r="BP609" s="408"/>
      <c r="BQ609" s="408"/>
      <c r="BR609" s="408"/>
      <c r="BS609" s="408"/>
      <c r="BT609" s="408"/>
      <c r="BU609" s="408"/>
      <c r="BV609" s="408">
        <v>2077.4127278877709</v>
      </c>
      <c r="BW609" s="408"/>
      <c r="BX609" s="408"/>
      <c r="BY609" s="408"/>
      <c r="BZ609" s="408"/>
      <c r="CA609" s="408"/>
      <c r="CB609" s="408"/>
      <c r="CC609" s="408"/>
      <c r="CD609" s="408"/>
      <c r="CE609" s="408"/>
      <c r="CF609" s="408"/>
      <c r="CG609" s="408"/>
      <c r="CH609" s="408"/>
      <c r="CI609" s="408">
        <v>5201.0426999999991</v>
      </c>
      <c r="CJ609" s="408">
        <v>-1608.6679400000021</v>
      </c>
      <c r="CK609" s="408"/>
      <c r="CL609" s="408"/>
      <c r="CM609" s="408"/>
      <c r="CN609" s="408"/>
      <c r="CO609" s="408">
        <v>-1804.0417600000007</v>
      </c>
      <c r="CP609" s="408">
        <v>196.61195999999987</v>
      </c>
      <c r="CQ609" s="408">
        <v>31</v>
      </c>
      <c r="CR609" s="408">
        <v>254.43181454676369</v>
      </c>
      <c r="CS609" s="408">
        <v>5.9260023448979453</v>
      </c>
      <c r="CT609" s="408">
        <v>8.926401878426006</v>
      </c>
      <c r="CU609" s="408">
        <v>0</v>
      </c>
      <c r="CV609" s="408">
        <v>0</v>
      </c>
      <c r="CW609" s="408">
        <v>0</v>
      </c>
      <c r="CX609" s="408">
        <v>0</v>
      </c>
      <c r="CY609" s="408">
        <v>0</v>
      </c>
      <c r="CZ609" s="408">
        <v>20.945818611996856</v>
      </c>
      <c r="DA609" s="408">
        <v>0</v>
      </c>
      <c r="DB609" s="408">
        <v>0</v>
      </c>
      <c r="DC609" s="408">
        <v>196.55240049621239</v>
      </c>
      <c r="DD609" s="408">
        <v>0</v>
      </c>
      <c r="DE609" s="408">
        <v>0</v>
      </c>
      <c r="DF609" s="408">
        <v>0</v>
      </c>
      <c r="DG609" s="408">
        <v>32.88284916748637</v>
      </c>
      <c r="DH609" s="408">
        <v>0</v>
      </c>
      <c r="DI609" s="408">
        <v>-9.2384055507452558</v>
      </c>
      <c r="DJ609" s="408"/>
      <c r="DK609" s="408">
        <v>0</v>
      </c>
      <c r="DL609" s="408">
        <v>0</v>
      </c>
      <c r="DM609" s="408">
        <v>0</v>
      </c>
      <c r="DN609" s="408">
        <v>0</v>
      </c>
      <c r="DO609" s="408">
        <v>-1.2002755913035941</v>
      </c>
      <c r="DP609" s="408">
        <v>-0.36297681020628403</v>
      </c>
      <c r="DQ609" s="408">
        <v>0</v>
      </c>
      <c r="DR609" s="408">
        <v>0</v>
      </c>
      <c r="DS609" s="408"/>
      <c r="DT609" s="408"/>
      <c r="DU609" s="408"/>
      <c r="DV609" s="408">
        <v>3319.1105459949663</v>
      </c>
      <c r="DW609" s="408">
        <v>0</v>
      </c>
      <c r="DX609" s="408">
        <v>0</v>
      </c>
      <c r="DY609" s="408">
        <v>-1804.041760000001</v>
      </c>
      <c r="DZ609" s="408">
        <v>196.61195999999973</v>
      </c>
      <c r="EA609" s="408">
        <v>0</v>
      </c>
      <c r="EB609" s="408">
        <v>0</v>
      </c>
      <c r="EC609" s="408">
        <v>-1861.9868267936963</v>
      </c>
      <c r="ED609" s="408">
        <v>0</v>
      </c>
      <c r="EE609" s="408">
        <v>0</v>
      </c>
      <c r="EF609" s="408">
        <v>0</v>
      </c>
      <c r="EG609" s="408">
        <v>0</v>
      </c>
      <c r="EH609" s="408">
        <v>0</v>
      </c>
      <c r="EI609" s="408">
        <v>0</v>
      </c>
      <c r="EJ609" s="408">
        <v>0</v>
      </c>
      <c r="EK609" s="408">
        <v>0</v>
      </c>
      <c r="EL609" s="408">
        <v>0</v>
      </c>
      <c r="EM609" s="408">
        <v>0</v>
      </c>
      <c r="EN609" s="408">
        <v>0</v>
      </c>
      <c r="EO609" s="408">
        <v>0</v>
      </c>
      <c r="EP609" s="408">
        <v>0</v>
      </c>
      <c r="EQ609" s="408">
        <v>0</v>
      </c>
      <c r="ER609" s="408">
        <v>0</v>
      </c>
      <c r="ES609" s="408">
        <v>0</v>
      </c>
      <c r="ET609" s="408">
        <v>0</v>
      </c>
      <c r="EU609" s="408">
        <v>0</v>
      </c>
      <c r="EV609" s="408">
        <v>238</v>
      </c>
      <c r="EW609" s="408">
        <v>0</v>
      </c>
      <c r="EX609" s="408">
        <v>0</v>
      </c>
      <c r="EY609" s="408">
        <v>0</v>
      </c>
      <c r="EZ609" s="408"/>
      <c r="FA609" s="408">
        <v>0</v>
      </c>
      <c r="FB609" s="408"/>
      <c r="FC609" s="408"/>
      <c r="FD609" s="408"/>
      <c r="FE609" s="408"/>
      <c r="FF609" s="408">
        <v>0</v>
      </c>
      <c r="FG609" s="408">
        <v>0</v>
      </c>
      <c r="FH609" s="408">
        <v>0</v>
      </c>
      <c r="FI609" s="408">
        <v>0</v>
      </c>
    </row>
    <row r="610" spans="1:165">
      <c r="A610" s="408">
        <v>614</v>
      </c>
      <c r="B610" s="408" t="s">
        <v>2238</v>
      </c>
      <c r="C610" s="408" t="s">
        <v>2235</v>
      </c>
      <c r="D610" s="408" t="s">
        <v>1958</v>
      </c>
      <c r="E610" s="408" t="s">
        <v>970</v>
      </c>
      <c r="F610" s="408" t="s">
        <v>1322</v>
      </c>
      <c r="G610" s="408" t="s">
        <v>1322</v>
      </c>
      <c r="H610" s="408" t="s">
        <v>1322</v>
      </c>
      <c r="I610" s="408" t="s">
        <v>1322</v>
      </c>
      <c r="J610" s="408" t="s">
        <v>2236</v>
      </c>
      <c r="K610" s="824">
        <v>44682</v>
      </c>
      <c r="L610" s="408">
        <v>0</v>
      </c>
      <c r="M610" s="408">
        <v>0</v>
      </c>
      <c r="N610" s="408">
        <v>2.4910000000000001</v>
      </c>
      <c r="O610" s="408">
        <v>2.4910000000000001</v>
      </c>
      <c r="P610" s="408">
        <v>2.4910000000000001</v>
      </c>
      <c r="Q610" s="408">
        <v>2.4910000000000001</v>
      </c>
      <c r="R610" s="408"/>
      <c r="S610" s="408">
        <v>581.32000000000005</v>
      </c>
      <c r="T610" s="408">
        <v>209.4</v>
      </c>
      <c r="U610" s="408"/>
      <c r="V610" s="408">
        <v>1969.68352</v>
      </c>
      <c r="W610" s="408">
        <v>1969.68352</v>
      </c>
      <c r="X610" s="408">
        <v>1504.73837</v>
      </c>
      <c r="Y610" s="408">
        <v>0</v>
      </c>
      <c r="Z610" s="408">
        <v>153.29092752440292</v>
      </c>
      <c r="AA610" s="408">
        <v>0</v>
      </c>
      <c r="AB610" s="408">
        <v>0</v>
      </c>
      <c r="AC610" s="408">
        <v>0</v>
      </c>
      <c r="AD610" s="408">
        <v>184.81014168637392</v>
      </c>
      <c r="AE610" s="408">
        <v>960.04463191749437</v>
      </c>
      <c r="AF610" s="408">
        <v>514.76700776544328</v>
      </c>
      <c r="AG610" s="408">
        <v>6.857635725792159</v>
      </c>
      <c r="AH610" s="408">
        <v>0</v>
      </c>
      <c r="AI610" s="408">
        <v>0</v>
      </c>
      <c r="AJ610" s="408">
        <v>0</v>
      </c>
      <c r="AK610" s="408">
        <v>0</v>
      </c>
      <c r="AL610" s="408">
        <v>23.688417698005431</v>
      </c>
      <c r="AM610" s="408"/>
      <c r="AN610" s="408">
        <v>4.5410041107297152</v>
      </c>
      <c r="AO610" s="408">
        <v>14.19740661067496</v>
      </c>
      <c r="AP610" s="408">
        <v>21.38570821650444</v>
      </c>
      <c r="AQ610" s="408">
        <v>0</v>
      </c>
      <c r="AR610" s="408">
        <v>0</v>
      </c>
      <c r="AS610" s="408">
        <v>0</v>
      </c>
      <c r="AT610" s="408">
        <v>0</v>
      </c>
      <c r="AU610" s="408">
        <v>0</v>
      </c>
      <c r="AV610" s="408">
        <v>0</v>
      </c>
      <c r="AW610" s="408">
        <v>0</v>
      </c>
      <c r="AX610" s="408">
        <v>0</v>
      </c>
      <c r="AY610" s="408">
        <v>0</v>
      </c>
      <c r="AZ610" s="408">
        <v>0</v>
      </c>
      <c r="BA610" s="408"/>
      <c r="BB610" s="408">
        <v>0</v>
      </c>
      <c r="BC610" s="408">
        <v>0</v>
      </c>
      <c r="BD610" s="408">
        <v>0</v>
      </c>
      <c r="BE610" s="408">
        <v>0</v>
      </c>
      <c r="BF610" s="408">
        <v>0</v>
      </c>
      <c r="BG610" s="408">
        <v>86.119558092480304</v>
      </c>
      <c r="BH610" s="408">
        <v>0</v>
      </c>
      <c r="BI610" s="408">
        <v>3.18</v>
      </c>
      <c r="BJ610" s="408">
        <v>14.78</v>
      </c>
      <c r="BK610" s="408">
        <v>382.3</v>
      </c>
      <c r="BL610" s="408">
        <v>3</v>
      </c>
      <c r="BM610" s="408"/>
      <c r="BN610" s="408"/>
      <c r="BO610" s="408"/>
      <c r="BP610" s="408"/>
      <c r="BQ610" s="408"/>
      <c r="BR610" s="408"/>
      <c r="BS610" s="408"/>
      <c r="BT610" s="408"/>
      <c r="BU610" s="408"/>
      <c r="BV610" s="408">
        <v>600.88656585792364</v>
      </c>
      <c r="BW610" s="408"/>
      <c r="BX610" s="408"/>
      <c r="BY610" s="408"/>
      <c r="BZ610" s="408"/>
      <c r="CA610" s="408"/>
      <c r="CB610" s="408"/>
      <c r="CC610" s="408"/>
      <c r="CD610" s="408"/>
      <c r="CE610" s="408"/>
      <c r="CF610" s="408"/>
      <c r="CG610" s="408"/>
      <c r="CH610" s="408"/>
      <c r="CI610" s="408">
        <v>1504.1343000000002</v>
      </c>
      <c r="CJ610" s="408">
        <v>-465.57921999999985</v>
      </c>
      <c r="CK610" s="408"/>
      <c r="CL610" s="408"/>
      <c r="CM610" s="408"/>
      <c r="CN610" s="408"/>
      <c r="CO610" s="408">
        <v>-521.81468000000018</v>
      </c>
      <c r="CP610" s="408">
        <v>56.869529999999962</v>
      </c>
      <c r="CQ610" s="408">
        <v>31</v>
      </c>
      <c r="CR610" s="408">
        <v>73.593781936366781</v>
      </c>
      <c r="CS610" s="408">
        <v>1.7140817279541078</v>
      </c>
      <c r="CT610" s="408">
        <v>2.5819399766789566</v>
      </c>
      <c r="CU610" s="408">
        <v>0</v>
      </c>
      <c r="CV610" s="408">
        <v>0</v>
      </c>
      <c r="CW610" s="408">
        <v>0</v>
      </c>
      <c r="CX610" s="408">
        <v>0</v>
      </c>
      <c r="CY610" s="408">
        <v>0</v>
      </c>
      <c r="CZ610" s="408">
        <v>6.0585269580218153</v>
      </c>
      <c r="DA610" s="408">
        <v>0</v>
      </c>
      <c r="DB610" s="408">
        <v>0</v>
      </c>
      <c r="DC610" s="408">
        <v>56.852302558762744</v>
      </c>
      <c r="DD610" s="408">
        <v>0</v>
      </c>
      <c r="DE610" s="408">
        <v>0</v>
      </c>
      <c r="DF610" s="408">
        <v>0</v>
      </c>
      <c r="DG610" s="408">
        <v>9.5112839382499317</v>
      </c>
      <c r="DH610" s="408">
        <v>0</v>
      </c>
      <c r="DI610" s="408">
        <v>-2.672186278089498</v>
      </c>
      <c r="DJ610" s="408"/>
      <c r="DK610" s="408">
        <v>0</v>
      </c>
      <c r="DL610" s="408">
        <v>0</v>
      </c>
      <c r="DM610" s="408">
        <v>0</v>
      </c>
      <c r="DN610" s="408">
        <v>0</v>
      </c>
      <c r="DO610" s="408">
        <v>-0.34717678796298657</v>
      </c>
      <c r="DP610" s="408">
        <v>-0.10499015724847371</v>
      </c>
      <c r="DQ610" s="408">
        <v>0</v>
      </c>
      <c r="DR610" s="408">
        <v>0</v>
      </c>
      <c r="DS610" s="408"/>
      <c r="DT610" s="408"/>
      <c r="DU610" s="408"/>
      <c r="DV610" s="408">
        <v>960.04463191749437</v>
      </c>
      <c r="DW610" s="408">
        <v>0</v>
      </c>
      <c r="DX610" s="408">
        <v>0</v>
      </c>
      <c r="DY610" s="408">
        <v>-521.81468000000018</v>
      </c>
      <c r="DZ610" s="408">
        <v>56.869529999999941</v>
      </c>
      <c r="EA610" s="408">
        <v>0</v>
      </c>
      <c r="EB610" s="408">
        <v>0</v>
      </c>
      <c r="EC610" s="408">
        <v>-538.5751492734671</v>
      </c>
      <c r="ED610" s="408">
        <v>0</v>
      </c>
      <c r="EE610" s="408">
        <v>0</v>
      </c>
      <c r="EF610" s="408">
        <v>0</v>
      </c>
      <c r="EG610" s="408">
        <v>0</v>
      </c>
      <c r="EH610" s="408">
        <v>0</v>
      </c>
      <c r="EI610" s="408">
        <v>0</v>
      </c>
      <c r="EJ610" s="408">
        <v>0</v>
      </c>
      <c r="EK610" s="408">
        <v>0</v>
      </c>
      <c r="EL610" s="408">
        <v>0</v>
      </c>
      <c r="EM610" s="408">
        <v>0</v>
      </c>
      <c r="EN610" s="408">
        <v>0</v>
      </c>
      <c r="EO610" s="408">
        <v>0</v>
      </c>
      <c r="EP610" s="408">
        <v>0</v>
      </c>
      <c r="EQ610" s="408">
        <v>0</v>
      </c>
      <c r="ER610" s="408">
        <v>0</v>
      </c>
      <c r="ES610" s="408">
        <v>0</v>
      </c>
      <c r="ET610" s="408">
        <v>0</v>
      </c>
      <c r="EU610" s="408">
        <v>0</v>
      </c>
      <c r="EV610" s="408">
        <v>238</v>
      </c>
      <c r="EW610" s="408">
        <v>0</v>
      </c>
      <c r="EX610" s="408">
        <v>0</v>
      </c>
      <c r="EY610" s="408">
        <v>0</v>
      </c>
      <c r="EZ610" s="408"/>
      <c r="FA610" s="408">
        <v>0</v>
      </c>
      <c r="FB610" s="408"/>
      <c r="FC610" s="408"/>
      <c r="FD610" s="408"/>
      <c r="FE610" s="408"/>
      <c r="FF610" s="408">
        <v>0</v>
      </c>
      <c r="FG610" s="408">
        <v>0</v>
      </c>
      <c r="FH610" s="408">
        <v>0</v>
      </c>
      <c r="FI610" s="408">
        <v>0</v>
      </c>
    </row>
    <row r="611" spans="1:165">
      <c r="A611" s="408">
        <v>615</v>
      </c>
      <c r="B611" s="408" t="s">
        <v>1036</v>
      </c>
      <c r="C611" s="408" t="s">
        <v>2243</v>
      </c>
      <c r="D611" s="408" t="s">
        <v>597</v>
      </c>
      <c r="E611" s="408" t="s">
        <v>970</v>
      </c>
      <c r="F611" s="408" t="s">
        <v>1322</v>
      </c>
      <c r="G611" s="408" t="s">
        <v>1322</v>
      </c>
      <c r="H611" s="408" t="s">
        <v>1322</v>
      </c>
      <c r="I611" s="408" t="s">
        <v>973</v>
      </c>
      <c r="J611" s="408" t="s">
        <v>2236</v>
      </c>
      <c r="K611" s="824">
        <v>44682</v>
      </c>
      <c r="L611" s="408">
        <v>0</v>
      </c>
      <c r="M611" s="408">
        <v>0</v>
      </c>
      <c r="N611" s="408">
        <v>12.183999999999999</v>
      </c>
      <c r="O611" s="408">
        <v>12.183999999999999</v>
      </c>
      <c r="P611" s="408">
        <v>12.183999999999999</v>
      </c>
      <c r="Q611" s="408">
        <v>12.183999999999999</v>
      </c>
      <c r="R611" s="408"/>
      <c r="S611" s="408">
        <v>1614.19</v>
      </c>
      <c r="T611" s="408">
        <v>209.4</v>
      </c>
      <c r="U611" s="408"/>
      <c r="V611" s="408">
        <v>22218.620559999999</v>
      </c>
      <c r="W611" s="408">
        <v>22218.620559999999</v>
      </c>
      <c r="X611" s="408">
        <v>14768.835599999999</v>
      </c>
      <c r="Y611" s="408">
        <v>0</v>
      </c>
      <c r="Z611" s="408">
        <v>652.3067422853768</v>
      </c>
      <c r="AA611" s="408">
        <v>0</v>
      </c>
      <c r="AB611" s="408">
        <v>0</v>
      </c>
      <c r="AC611" s="408">
        <v>0</v>
      </c>
      <c r="AD611" s="408">
        <v>3794.3167943512594</v>
      </c>
      <c r="AE611" s="408">
        <v>14168.001331078514</v>
      </c>
      <c r="AF611" s="408">
        <v>2517.8326867178484</v>
      </c>
      <c r="AG611" s="408">
        <v>33.542125123665862</v>
      </c>
      <c r="AH611" s="408">
        <v>0</v>
      </c>
      <c r="AI611" s="408">
        <v>0</v>
      </c>
      <c r="AJ611" s="408">
        <v>0</v>
      </c>
      <c r="AK611" s="408">
        <v>0</v>
      </c>
      <c r="AL611" s="408">
        <v>115.86498644419837</v>
      </c>
      <c r="AM611" s="408"/>
      <c r="AN611" s="408">
        <v>16.178455054862933</v>
      </c>
      <c r="AO611" s="408">
        <v>294.79097074174803</v>
      </c>
      <c r="AP611" s="408">
        <v>439.09556751754735</v>
      </c>
      <c r="AQ611" s="408">
        <v>0</v>
      </c>
      <c r="AR611" s="408">
        <v>0</v>
      </c>
      <c r="AS611" s="408">
        <v>0</v>
      </c>
      <c r="AT611" s="408">
        <v>0</v>
      </c>
      <c r="AU611" s="408">
        <v>0</v>
      </c>
      <c r="AV611" s="408">
        <v>0</v>
      </c>
      <c r="AW611" s="408">
        <v>0</v>
      </c>
      <c r="AX611" s="408">
        <v>0</v>
      </c>
      <c r="AY611" s="408">
        <v>0</v>
      </c>
      <c r="AZ611" s="408">
        <v>0</v>
      </c>
      <c r="BA611" s="408"/>
      <c r="BB611" s="408">
        <v>0</v>
      </c>
      <c r="BC611" s="408">
        <v>0</v>
      </c>
      <c r="BD611" s="408">
        <v>0</v>
      </c>
      <c r="BE611" s="408">
        <v>0</v>
      </c>
      <c r="BF611" s="408">
        <v>0</v>
      </c>
      <c r="BG611" s="408">
        <v>186.71293262511179</v>
      </c>
      <c r="BH611" s="408">
        <v>0</v>
      </c>
      <c r="BI611" s="408">
        <v>0</v>
      </c>
      <c r="BJ611" s="408">
        <v>0</v>
      </c>
      <c r="BK611" s="408">
        <v>0</v>
      </c>
      <c r="BL611" s="408">
        <v>0</v>
      </c>
      <c r="BM611" s="408"/>
      <c r="BN611" s="408"/>
      <c r="BO611" s="408"/>
      <c r="BP611" s="408"/>
      <c r="BQ611" s="408"/>
      <c r="BR611" s="408"/>
      <c r="BS611" s="408"/>
      <c r="BT611" s="408"/>
      <c r="BU611" s="408"/>
      <c r="BV611" s="408">
        <v>2704.5456193429604</v>
      </c>
      <c r="BW611" s="408"/>
      <c r="BX611" s="408"/>
      <c r="BY611" s="408"/>
      <c r="BZ611" s="408"/>
      <c r="CA611" s="408"/>
      <c r="CB611" s="408"/>
      <c r="CC611" s="408"/>
      <c r="CD611" s="408"/>
      <c r="CE611" s="408"/>
      <c r="CF611" s="408"/>
      <c r="CG611" s="408"/>
      <c r="CH611" s="408"/>
      <c r="CI611" s="408">
        <v>14763.986999999997</v>
      </c>
      <c r="CJ611" s="408">
        <v>-7454.6635599999972</v>
      </c>
      <c r="CK611" s="408"/>
      <c r="CL611" s="408"/>
      <c r="CM611" s="408"/>
      <c r="CN611" s="408"/>
      <c r="CO611" s="408">
        <v>-7727.9456800000007</v>
      </c>
      <c r="CP611" s="408">
        <v>278.1607199999998</v>
      </c>
      <c r="CQ611" s="408">
        <v>31</v>
      </c>
      <c r="CR611" s="408">
        <v>498.24486059561059</v>
      </c>
      <c r="CS611" s="408">
        <v>35.590712470990468</v>
      </c>
      <c r="CT611" s="408">
        <v>53.01289945035154</v>
      </c>
      <c r="CU611" s="408">
        <v>0</v>
      </c>
      <c r="CV611" s="408">
        <v>0</v>
      </c>
      <c r="CW611" s="408">
        <v>0</v>
      </c>
      <c r="CX611" s="408">
        <v>0</v>
      </c>
      <c r="CY611" s="408">
        <v>0</v>
      </c>
      <c r="CZ611" s="408">
        <v>124.3869539630773</v>
      </c>
      <c r="DA611" s="408">
        <v>0</v>
      </c>
      <c r="DB611" s="408">
        <v>0</v>
      </c>
      <c r="DC611" s="408">
        <v>278.07645699556997</v>
      </c>
      <c r="DD611" s="408">
        <v>0</v>
      </c>
      <c r="DE611" s="408">
        <v>0</v>
      </c>
      <c r="DF611" s="408">
        <v>0</v>
      </c>
      <c r="DG611" s="408">
        <v>20.62109649045999</v>
      </c>
      <c r="DH611" s="408">
        <v>0</v>
      </c>
      <c r="DI611" s="408">
        <v>-11.371091257588091</v>
      </c>
      <c r="DJ611" s="408"/>
      <c r="DK611" s="408">
        <v>0</v>
      </c>
      <c r="DL611" s="408">
        <v>0</v>
      </c>
      <c r="DM611" s="408">
        <v>0</v>
      </c>
      <c r="DN611" s="408">
        <v>0</v>
      </c>
      <c r="DO611" s="408">
        <v>-1.6981140042316412</v>
      </c>
      <c r="DP611" s="408">
        <v>-0.37405351301804757</v>
      </c>
      <c r="DQ611" s="408">
        <v>0</v>
      </c>
      <c r="DR611" s="408">
        <v>0</v>
      </c>
      <c r="DS611" s="408"/>
      <c r="DT611" s="408"/>
      <c r="DU611" s="408"/>
      <c r="DV611" s="408">
        <v>14168.001331078514</v>
      </c>
      <c r="DW611" s="408">
        <v>0</v>
      </c>
      <c r="DX611" s="408">
        <v>0</v>
      </c>
      <c r="DY611" s="408">
        <v>-7727.9456799999989</v>
      </c>
      <c r="DZ611" s="408">
        <v>278.16071999999986</v>
      </c>
      <c r="EA611" s="408">
        <v>0</v>
      </c>
      <c r="EB611" s="408">
        <v>0</v>
      </c>
      <c r="EC611" s="408">
        <v>-7948.1028049205161</v>
      </c>
      <c r="ED611" s="408">
        <v>0</v>
      </c>
      <c r="EE611" s="408">
        <v>0</v>
      </c>
      <c r="EF611" s="408">
        <v>0</v>
      </c>
      <c r="EG611" s="408">
        <v>0</v>
      </c>
      <c r="EH611" s="408">
        <v>0</v>
      </c>
      <c r="EI611" s="408">
        <v>0</v>
      </c>
      <c r="EJ611" s="408">
        <v>0</v>
      </c>
      <c r="EK611" s="408">
        <v>0</v>
      </c>
      <c r="EL611" s="408">
        <v>0</v>
      </c>
      <c r="EM611" s="408">
        <v>0</v>
      </c>
      <c r="EN611" s="408">
        <v>0</v>
      </c>
      <c r="EO611" s="408">
        <v>0</v>
      </c>
      <c r="EP611" s="408">
        <v>0</v>
      </c>
      <c r="EQ611" s="408">
        <v>0</v>
      </c>
      <c r="ER611" s="408">
        <v>0</v>
      </c>
      <c r="ES611" s="408">
        <v>0</v>
      </c>
      <c r="ET611" s="408">
        <v>0</v>
      </c>
      <c r="EU611" s="408">
        <v>0</v>
      </c>
      <c r="EV611" s="408">
        <v>238</v>
      </c>
      <c r="EW611" s="408">
        <v>0</v>
      </c>
      <c r="EX611" s="408">
        <v>0</v>
      </c>
      <c r="EY611" s="408">
        <v>0</v>
      </c>
      <c r="EZ611" s="408"/>
      <c r="FA611" s="408">
        <v>0</v>
      </c>
      <c r="FB611" s="408"/>
      <c r="FC611" s="408"/>
      <c r="FD611" s="408"/>
      <c r="FE611" s="408"/>
      <c r="FF611" s="408">
        <v>0</v>
      </c>
      <c r="FG611" s="408">
        <v>0</v>
      </c>
      <c r="FH611" s="408">
        <v>0</v>
      </c>
      <c r="FI611" s="408">
        <v>0</v>
      </c>
    </row>
    <row r="612" spans="1:165">
      <c r="A612" s="408">
        <v>616</v>
      </c>
      <c r="B612" s="408" t="s">
        <v>1036</v>
      </c>
      <c r="C612" s="408" t="s">
        <v>2243</v>
      </c>
      <c r="D612" s="408" t="s">
        <v>597</v>
      </c>
      <c r="E612" s="408" t="s">
        <v>970</v>
      </c>
      <c r="F612" s="408" t="s">
        <v>1322</v>
      </c>
      <c r="G612" s="408" t="s">
        <v>1322</v>
      </c>
      <c r="H612" s="408" t="s">
        <v>1322</v>
      </c>
      <c r="I612" s="408" t="s">
        <v>2244</v>
      </c>
      <c r="J612" s="408" t="s">
        <v>2236</v>
      </c>
      <c r="K612" s="824">
        <v>44682</v>
      </c>
      <c r="L612" s="408">
        <v>0</v>
      </c>
      <c r="M612" s="408">
        <v>0</v>
      </c>
      <c r="N612" s="408">
        <v>275.39800000000002</v>
      </c>
      <c r="O612" s="408">
        <v>275.39800000000002</v>
      </c>
      <c r="P612" s="408">
        <v>275.39800000000002</v>
      </c>
      <c r="Q612" s="408">
        <v>275.39800000000002</v>
      </c>
      <c r="R612" s="408"/>
      <c r="S612" s="408">
        <v>79.7</v>
      </c>
      <c r="T612" s="408">
        <v>209.4</v>
      </c>
      <c r="U612" s="408"/>
      <c r="V612" s="408">
        <v>79617.56180000001</v>
      </c>
      <c r="W612" s="408">
        <v>79617.56180000001</v>
      </c>
      <c r="X612" s="408">
        <v>86067.382960000003</v>
      </c>
      <c r="Y612" s="408">
        <v>0</v>
      </c>
      <c r="Z612" s="408">
        <v>14744.252479637906</v>
      </c>
      <c r="AA612" s="408">
        <v>0</v>
      </c>
      <c r="AB612" s="408">
        <v>0</v>
      </c>
      <c r="AC612" s="408">
        <v>0</v>
      </c>
      <c r="AD612" s="408">
        <v>0</v>
      </c>
      <c r="AE612" s="408">
        <v>0</v>
      </c>
      <c r="AF612" s="408">
        <v>56911.20208935671</v>
      </c>
      <c r="AG612" s="408">
        <v>758.16104520743045</v>
      </c>
      <c r="AH612" s="408">
        <v>0</v>
      </c>
      <c r="AI612" s="408">
        <v>0</v>
      </c>
      <c r="AJ612" s="408">
        <v>0</v>
      </c>
      <c r="AK612" s="408">
        <v>0</v>
      </c>
      <c r="AL612" s="408">
        <v>2618.9252738640303</v>
      </c>
      <c r="AM612" s="408"/>
      <c r="AN612" s="408">
        <v>365.68566687451926</v>
      </c>
      <c r="AO612" s="408">
        <v>0</v>
      </c>
      <c r="AP612" s="408">
        <v>0</v>
      </c>
      <c r="AQ612" s="408">
        <v>0</v>
      </c>
      <c r="AR612" s="408">
        <v>0</v>
      </c>
      <c r="AS612" s="408">
        <v>0</v>
      </c>
      <c r="AT612" s="408">
        <v>0</v>
      </c>
      <c r="AU612" s="408">
        <v>0</v>
      </c>
      <c r="AV612" s="408">
        <v>0</v>
      </c>
      <c r="AW612" s="408">
        <v>0</v>
      </c>
      <c r="AX612" s="408">
        <v>0</v>
      </c>
      <c r="AY612" s="408">
        <v>0</v>
      </c>
      <c r="AZ612" s="408">
        <v>0</v>
      </c>
      <c r="BA612" s="408"/>
      <c r="BB612" s="408">
        <v>0</v>
      </c>
      <c r="BC612" s="408">
        <v>0</v>
      </c>
      <c r="BD612" s="408">
        <v>0</v>
      </c>
      <c r="BE612" s="408">
        <v>0</v>
      </c>
      <c r="BF612" s="408">
        <v>0</v>
      </c>
      <c r="BG612" s="408">
        <v>4220.3191250074315</v>
      </c>
      <c r="BH612" s="408">
        <v>0</v>
      </c>
      <c r="BI612" s="408">
        <v>0</v>
      </c>
      <c r="BJ612" s="408">
        <v>0</v>
      </c>
      <c r="BK612" s="408">
        <v>0</v>
      </c>
      <c r="BL612" s="408">
        <v>0</v>
      </c>
      <c r="BM612" s="408"/>
      <c r="BN612" s="408"/>
      <c r="BO612" s="408"/>
      <c r="BP612" s="408"/>
      <c r="BQ612" s="408"/>
      <c r="BR612" s="408"/>
      <c r="BS612" s="408"/>
      <c r="BT612" s="408"/>
      <c r="BU612" s="408"/>
      <c r="BV612" s="408">
        <v>61131.52121436414</v>
      </c>
      <c r="BW612" s="408"/>
      <c r="BX612" s="408"/>
      <c r="BY612" s="408"/>
      <c r="BZ612" s="408"/>
      <c r="CA612" s="408"/>
      <c r="CB612" s="408"/>
      <c r="CC612" s="408"/>
      <c r="CD612" s="408"/>
      <c r="CE612" s="408"/>
      <c r="CF612" s="408"/>
      <c r="CG612" s="408"/>
      <c r="CH612" s="408"/>
      <c r="CI612" s="408">
        <v>86068.007999999987</v>
      </c>
      <c r="CJ612" s="408">
        <v>6450.4161999999778</v>
      </c>
      <c r="CK612" s="408"/>
      <c r="CL612" s="408"/>
      <c r="CM612" s="408"/>
      <c r="CN612" s="408"/>
      <c r="CO612" s="408">
        <v>162.48482000000095</v>
      </c>
      <c r="CP612" s="408">
        <v>6287.3363399999962</v>
      </c>
      <c r="CQ612" s="408">
        <v>31</v>
      </c>
      <c r="CR612" s="408">
        <v>6447.6741837551672</v>
      </c>
      <c r="CS612" s="408">
        <v>0</v>
      </c>
      <c r="CT612" s="408">
        <v>0</v>
      </c>
      <c r="CU612" s="408">
        <v>0</v>
      </c>
      <c r="CV612" s="408">
        <v>0</v>
      </c>
      <c r="CW612" s="408">
        <v>0</v>
      </c>
      <c r="CX612" s="408">
        <v>0</v>
      </c>
      <c r="CY612" s="408">
        <v>0</v>
      </c>
      <c r="CZ612" s="408">
        <v>0</v>
      </c>
      <c r="DA612" s="408">
        <v>0</v>
      </c>
      <c r="DB612" s="408">
        <v>0</v>
      </c>
      <c r="DC612" s="408">
        <v>6285.4317222312893</v>
      </c>
      <c r="DD612" s="408">
        <v>0</v>
      </c>
      <c r="DE612" s="408">
        <v>0</v>
      </c>
      <c r="DF612" s="408">
        <v>0</v>
      </c>
      <c r="DG612" s="408">
        <v>466.103802632937</v>
      </c>
      <c r="DH612" s="408">
        <v>0</v>
      </c>
      <c r="DI612" s="408">
        <v>-257.02362033463942</v>
      </c>
      <c r="DJ612" s="408"/>
      <c r="DK612" s="408">
        <v>0</v>
      </c>
      <c r="DL612" s="408">
        <v>0</v>
      </c>
      <c r="DM612" s="408">
        <v>0</v>
      </c>
      <c r="DN612" s="408">
        <v>0</v>
      </c>
      <c r="DO612" s="408">
        <v>-38.382895644893324</v>
      </c>
      <c r="DP612" s="408">
        <v>-8.4548251295259433</v>
      </c>
      <c r="DQ612" s="408">
        <v>0</v>
      </c>
      <c r="DR612" s="408">
        <v>0</v>
      </c>
      <c r="DS612" s="408"/>
      <c r="DT612" s="408"/>
      <c r="DU612" s="408"/>
      <c r="DV612" s="408">
        <v>0</v>
      </c>
      <c r="DW612" s="408">
        <v>0</v>
      </c>
      <c r="DX612" s="408">
        <v>0</v>
      </c>
      <c r="DY612" s="408">
        <v>162.48481999999785</v>
      </c>
      <c r="DZ612" s="408">
        <v>6287.3363399999944</v>
      </c>
      <c r="EA612" s="408">
        <v>0</v>
      </c>
      <c r="EB612" s="408">
        <v>0</v>
      </c>
      <c r="EC612" s="408">
        <v>0</v>
      </c>
      <c r="ED612" s="408">
        <v>0</v>
      </c>
      <c r="EE612" s="408">
        <v>0</v>
      </c>
      <c r="EF612" s="408">
        <v>0</v>
      </c>
      <c r="EG612" s="408">
        <v>0</v>
      </c>
      <c r="EH612" s="408">
        <v>0</v>
      </c>
      <c r="EI612" s="408">
        <v>0</v>
      </c>
      <c r="EJ612" s="408">
        <v>0</v>
      </c>
      <c r="EK612" s="408">
        <v>0</v>
      </c>
      <c r="EL612" s="408">
        <v>0</v>
      </c>
      <c r="EM612" s="408">
        <v>0</v>
      </c>
      <c r="EN612" s="408">
        <v>0</v>
      </c>
      <c r="EO612" s="408">
        <v>0</v>
      </c>
      <c r="EP612" s="408">
        <v>0</v>
      </c>
      <c r="EQ612" s="408">
        <v>0</v>
      </c>
      <c r="ER612" s="408">
        <v>0</v>
      </c>
      <c r="ES612" s="408">
        <v>0</v>
      </c>
      <c r="ET612" s="408">
        <v>0</v>
      </c>
      <c r="EU612" s="408">
        <v>0</v>
      </c>
      <c r="EV612" s="408">
        <v>238</v>
      </c>
      <c r="EW612" s="408">
        <v>0</v>
      </c>
      <c r="EX612" s="408">
        <v>0</v>
      </c>
      <c r="EY612" s="408">
        <v>0</v>
      </c>
      <c r="EZ612" s="408"/>
      <c r="FA612" s="408">
        <v>0</v>
      </c>
      <c r="FB612" s="408"/>
      <c r="FC612" s="408"/>
      <c r="FD612" s="408"/>
      <c r="FE612" s="408"/>
      <c r="FF612" s="408">
        <v>0</v>
      </c>
      <c r="FG612" s="408">
        <v>0</v>
      </c>
      <c r="FH612" s="408">
        <v>0</v>
      </c>
      <c r="FI612" s="408">
        <v>0</v>
      </c>
    </row>
    <row r="613" spans="1:165">
      <c r="A613" s="408">
        <v>617</v>
      </c>
      <c r="B613" s="408" t="s">
        <v>1036</v>
      </c>
      <c r="C613" s="408" t="s">
        <v>2243</v>
      </c>
      <c r="D613" s="408" t="s">
        <v>597</v>
      </c>
      <c r="E613" s="408" t="s">
        <v>970</v>
      </c>
      <c r="F613" s="408" t="s">
        <v>1322</v>
      </c>
      <c r="G613" s="408" t="s">
        <v>1322</v>
      </c>
      <c r="H613" s="408" t="s">
        <v>1322</v>
      </c>
      <c r="I613" s="408" t="s">
        <v>1322</v>
      </c>
      <c r="J613" s="408" t="s">
        <v>2236</v>
      </c>
      <c r="K613" s="824">
        <v>44682</v>
      </c>
      <c r="L613" s="408">
        <v>1666</v>
      </c>
      <c r="M613" s="408">
        <v>1666</v>
      </c>
      <c r="N613" s="408">
        <v>0</v>
      </c>
      <c r="O613" s="408">
        <v>0</v>
      </c>
      <c r="P613" s="408">
        <v>0</v>
      </c>
      <c r="Q613" s="408">
        <v>0</v>
      </c>
      <c r="R613" s="408">
        <v>44.35</v>
      </c>
      <c r="S613" s="408"/>
      <c r="T613" s="408"/>
      <c r="U613" s="408">
        <v>73887.100000000006</v>
      </c>
      <c r="V613" s="408"/>
      <c r="W613" s="408">
        <v>73887.100000000006</v>
      </c>
      <c r="X613" s="408">
        <v>48264.02</v>
      </c>
      <c r="Y613" s="408">
        <v>0</v>
      </c>
      <c r="Z613" s="408">
        <v>0</v>
      </c>
      <c r="AA613" s="408">
        <v>0</v>
      </c>
      <c r="AB613" s="408">
        <v>0</v>
      </c>
      <c r="AC613" s="408">
        <v>0</v>
      </c>
      <c r="AD613" s="408">
        <v>21861.358104350111</v>
      </c>
      <c r="AE613" s="408">
        <v>47843.931912052838</v>
      </c>
      <c r="AF613" s="408"/>
      <c r="AG613" s="408"/>
      <c r="AH613" s="408"/>
      <c r="AI613" s="408">
        <v>0</v>
      </c>
      <c r="AJ613" s="408">
        <v>0</v>
      </c>
      <c r="AK613" s="408">
        <v>0</v>
      </c>
      <c r="AL613" s="408">
        <v>0</v>
      </c>
      <c r="AM613" s="408"/>
      <c r="AN613" s="408">
        <v>0</v>
      </c>
      <c r="AO613" s="408">
        <v>1652.2066723071709</v>
      </c>
      <c r="AP613" s="408">
        <v>2527.8074614179777</v>
      </c>
      <c r="AQ613" s="408">
        <v>0</v>
      </c>
      <c r="AR613" s="408">
        <v>0</v>
      </c>
      <c r="AS613" s="408"/>
      <c r="AT613" s="408"/>
      <c r="AU613" s="408">
        <v>0</v>
      </c>
      <c r="AV613" s="408">
        <v>0</v>
      </c>
      <c r="AW613" s="408">
        <v>0</v>
      </c>
      <c r="AX613" s="408"/>
      <c r="AY613" s="408"/>
      <c r="AZ613" s="408">
        <v>0</v>
      </c>
      <c r="BA613" s="408"/>
      <c r="BB613" s="408">
        <v>0</v>
      </c>
      <c r="BC613" s="408">
        <v>0</v>
      </c>
      <c r="BD613" s="408">
        <v>0</v>
      </c>
      <c r="BE613" s="408">
        <v>0</v>
      </c>
      <c r="BF613" s="408"/>
      <c r="BG613" s="408">
        <v>0</v>
      </c>
      <c r="BH613" s="408">
        <v>0</v>
      </c>
      <c r="BI613" s="408">
        <v>316.83</v>
      </c>
      <c r="BJ613" s="408">
        <v>1463.54</v>
      </c>
      <c r="BK613" s="408">
        <v>28999.79</v>
      </c>
      <c r="BL613" s="408">
        <v>7</v>
      </c>
      <c r="BM613" s="408"/>
      <c r="BN613" s="408"/>
      <c r="BO613" s="408"/>
      <c r="BP613" s="408"/>
      <c r="BQ613" s="408"/>
      <c r="BR613" s="408"/>
      <c r="BS613" s="408"/>
      <c r="BT613" s="408"/>
      <c r="BU613" s="408"/>
      <c r="BV613" s="408">
        <v>0</v>
      </c>
      <c r="BW613" s="408"/>
      <c r="BX613" s="408"/>
      <c r="BY613" s="408"/>
      <c r="BZ613" s="408"/>
      <c r="CA613" s="408"/>
      <c r="CB613" s="408"/>
      <c r="CC613" s="408"/>
      <c r="CD613" s="408"/>
      <c r="CE613" s="408"/>
      <c r="CF613" s="408"/>
      <c r="CG613" s="408"/>
      <c r="CH613" s="408"/>
      <c r="CI613" s="408">
        <v>48264.02</v>
      </c>
      <c r="CJ613" s="408">
        <v>-25623.109999999993</v>
      </c>
      <c r="CK613" s="408"/>
      <c r="CL613" s="408"/>
      <c r="CM613" s="408"/>
      <c r="CN613" s="408"/>
      <c r="CO613" s="408">
        <v>-25623.080000000005</v>
      </c>
      <c r="CP613" s="408">
        <v>0</v>
      </c>
      <c r="CQ613" s="408">
        <v>31</v>
      </c>
      <c r="CR613" s="408">
        <v>1221.3302042005598</v>
      </c>
      <c r="CS613" s="408">
        <v>199.47426635482566</v>
      </c>
      <c r="CT613" s="408">
        <v>305.18732753239146</v>
      </c>
      <c r="CU613" s="408">
        <v>0</v>
      </c>
      <c r="CV613" s="408">
        <v>0</v>
      </c>
      <c r="CW613" s="408"/>
      <c r="CX613" s="408"/>
      <c r="CY613" s="408"/>
      <c r="CZ613" s="408">
        <v>716.66861031334338</v>
      </c>
      <c r="DA613" s="408">
        <v>0</v>
      </c>
      <c r="DB613" s="408">
        <v>0</v>
      </c>
      <c r="DC613" s="408"/>
      <c r="DD613" s="408"/>
      <c r="DE613" s="408">
        <v>0</v>
      </c>
      <c r="DF613" s="408">
        <v>0</v>
      </c>
      <c r="DG613" s="408">
        <v>0</v>
      </c>
      <c r="DH613" s="408">
        <v>0</v>
      </c>
      <c r="DI613" s="408">
        <v>0</v>
      </c>
      <c r="DJ613" s="408"/>
      <c r="DK613" s="408">
        <v>0</v>
      </c>
      <c r="DL613" s="408">
        <v>0</v>
      </c>
      <c r="DM613" s="408"/>
      <c r="DN613" s="408">
        <v>0</v>
      </c>
      <c r="DO613" s="408">
        <v>0</v>
      </c>
      <c r="DP613" s="408">
        <v>0</v>
      </c>
      <c r="DQ613" s="408">
        <v>0</v>
      </c>
      <c r="DR613" s="408">
        <v>0</v>
      </c>
      <c r="DS613" s="408"/>
      <c r="DT613" s="408"/>
      <c r="DU613" s="408">
        <v>47843.931912052838</v>
      </c>
      <c r="DV613" s="408"/>
      <c r="DW613" s="408">
        <v>0</v>
      </c>
      <c r="DX613" s="408">
        <v>0</v>
      </c>
      <c r="DY613" s="408">
        <v>-25623.080000000009</v>
      </c>
      <c r="DZ613" s="408"/>
      <c r="EA613" s="408">
        <v>0</v>
      </c>
      <c r="EB613" s="408"/>
      <c r="EC613" s="408">
        <v>-26839.952971663417</v>
      </c>
      <c r="ED613" s="408"/>
      <c r="EE613" s="408">
        <v>0</v>
      </c>
      <c r="EF613" s="408">
        <v>0</v>
      </c>
      <c r="EG613" s="408"/>
      <c r="EH613" s="408">
        <v>0</v>
      </c>
      <c r="EI613" s="408">
        <v>0</v>
      </c>
      <c r="EJ613" s="408">
        <v>0</v>
      </c>
      <c r="EK613" s="408">
        <v>0</v>
      </c>
      <c r="EL613" s="408">
        <v>0</v>
      </c>
      <c r="EM613" s="408"/>
      <c r="EN613" s="408"/>
      <c r="EO613" s="408">
        <v>0</v>
      </c>
      <c r="EP613" s="408">
        <v>0</v>
      </c>
      <c r="EQ613" s="408"/>
      <c r="ER613" s="408">
        <v>0</v>
      </c>
      <c r="ES613" s="408"/>
      <c r="ET613" s="408">
        <v>0</v>
      </c>
      <c r="EU613" s="408"/>
      <c r="EV613" s="408">
        <v>238</v>
      </c>
      <c r="EW613" s="408"/>
      <c r="EX613" s="408"/>
      <c r="EY613" s="408"/>
      <c r="EZ613" s="408"/>
      <c r="FA613" s="408">
        <v>0</v>
      </c>
      <c r="FB613" s="408"/>
      <c r="FC613" s="408"/>
      <c r="FD613" s="408"/>
      <c r="FE613" s="408"/>
      <c r="FF613" s="408">
        <v>0</v>
      </c>
      <c r="FG613" s="408">
        <v>0</v>
      </c>
      <c r="FH613" s="408">
        <v>0</v>
      </c>
      <c r="FI613" s="408">
        <v>0</v>
      </c>
    </row>
    <row r="614" spans="1:165">
      <c r="A614" s="408">
        <v>618</v>
      </c>
      <c r="B614" s="408" t="s">
        <v>1036</v>
      </c>
      <c r="C614" s="408" t="s">
        <v>2235</v>
      </c>
      <c r="D614" s="408" t="s">
        <v>1958</v>
      </c>
      <c r="E614" s="408" t="s">
        <v>998</v>
      </c>
      <c r="F614" s="408" t="s">
        <v>1322</v>
      </c>
      <c r="G614" s="408" t="s">
        <v>1322</v>
      </c>
      <c r="H614" s="408" t="s">
        <v>1322</v>
      </c>
      <c r="I614" s="408" t="s">
        <v>1322</v>
      </c>
      <c r="J614" s="408" t="s">
        <v>2236</v>
      </c>
      <c r="K614" s="824">
        <v>44682</v>
      </c>
      <c r="L614" s="408">
        <v>0</v>
      </c>
      <c r="M614" s="408">
        <v>0</v>
      </c>
      <c r="N614" s="408">
        <v>302.43200000000002</v>
      </c>
      <c r="O614" s="408">
        <v>302.43200000000002</v>
      </c>
      <c r="P614" s="408">
        <v>302.43200000000002</v>
      </c>
      <c r="Q614" s="408">
        <v>302.43200000000002</v>
      </c>
      <c r="R614" s="408"/>
      <c r="S614" s="408">
        <v>581.32000000000005</v>
      </c>
      <c r="T614" s="408">
        <v>209.4</v>
      </c>
      <c r="U614" s="408"/>
      <c r="V614" s="408">
        <v>239139.03104000003</v>
      </c>
      <c r="W614" s="408">
        <v>239139.03104000003</v>
      </c>
      <c r="X614" s="408">
        <v>182690.09824000002</v>
      </c>
      <c r="Y614" s="408">
        <v>0</v>
      </c>
      <c r="Z614" s="408">
        <v>18611.032433986438</v>
      </c>
      <c r="AA614" s="408">
        <v>0</v>
      </c>
      <c r="AB614" s="408">
        <v>0</v>
      </c>
      <c r="AC614" s="408">
        <v>0</v>
      </c>
      <c r="AD614" s="408">
        <v>22437.776302887771</v>
      </c>
      <c r="AE614" s="408">
        <v>116558.8992854563</v>
      </c>
      <c r="AF614" s="408">
        <v>62497.79835107128</v>
      </c>
      <c r="AG614" s="408">
        <v>832.58470004928711</v>
      </c>
      <c r="AH614" s="408">
        <v>0</v>
      </c>
      <c r="AI614" s="408">
        <v>0</v>
      </c>
      <c r="AJ614" s="408">
        <v>0</v>
      </c>
      <c r="AK614" s="408">
        <v>0</v>
      </c>
      <c r="AL614" s="408">
        <v>2876.0078447383294</v>
      </c>
      <c r="AM614" s="408"/>
      <c r="AN614" s="408">
        <v>551.3227439647568</v>
      </c>
      <c r="AO614" s="408">
        <v>1723.7053697630065</v>
      </c>
      <c r="AP614" s="408">
        <v>2596.4361731569129</v>
      </c>
      <c r="AQ614" s="408">
        <v>0</v>
      </c>
      <c r="AR614" s="408">
        <v>0</v>
      </c>
      <c r="AS614" s="408">
        <v>0</v>
      </c>
      <c r="AT614" s="408">
        <v>0</v>
      </c>
      <c r="AU614" s="408">
        <v>0</v>
      </c>
      <c r="AV614" s="408">
        <v>0</v>
      </c>
      <c r="AW614" s="408">
        <v>0</v>
      </c>
      <c r="AX614" s="408">
        <v>0</v>
      </c>
      <c r="AY614" s="408">
        <v>0</v>
      </c>
      <c r="AZ614" s="408">
        <v>0</v>
      </c>
      <c r="BA614" s="408"/>
      <c r="BB614" s="408">
        <v>0</v>
      </c>
      <c r="BC614" s="408">
        <v>0</v>
      </c>
      <c r="BD614" s="408">
        <v>0</v>
      </c>
      <c r="BE614" s="408">
        <v>0</v>
      </c>
      <c r="BF614" s="408">
        <v>0</v>
      </c>
      <c r="BG614" s="408">
        <v>10455.764830600161</v>
      </c>
      <c r="BH614" s="408">
        <v>0</v>
      </c>
      <c r="BI614" s="408">
        <v>390.6</v>
      </c>
      <c r="BJ614" s="408">
        <v>1825.28</v>
      </c>
      <c r="BK614" s="408">
        <v>62546.84</v>
      </c>
      <c r="BL614" s="408">
        <v>817</v>
      </c>
      <c r="BM614" s="408"/>
      <c r="BN614" s="408"/>
      <c r="BO614" s="408"/>
      <c r="BP614" s="408"/>
      <c r="BQ614" s="408"/>
      <c r="BR614" s="408"/>
      <c r="BS614" s="408"/>
      <c r="BT614" s="408"/>
      <c r="BU614" s="408"/>
      <c r="BV614" s="408">
        <v>72953.563181671445</v>
      </c>
      <c r="BW614" s="408"/>
      <c r="BX614" s="408"/>
      <c r="BY614" s="408"/>
      <c r="BZ614" s="408"/>
      <c r="CA614" s="408"/>
      <c r="CB614" s="408"/>
      <c r="CC614" s="408"/>
      <c r="CD614" s="408"/>
      <c r="CE614" s="408"/>
      <c r="CF614" s="408"/>
      <c r="CG614" s="408"/>
      <c r="CH614" s="408"/>
      <c r="CI614" s="408">
        <v>182688.89009999999</v>
      </c>
      <c r="CJ614" s="408">
        <v>-56450.170940000069</v>
      </c>
      <c r="CK614" s="408"/>
      <c r="CL614" s="408"/>
      <c r="CM614" s="408"/>
      <c r="CN614" s="408"/>
      <c r="CO614" s="408">
        <v>-63353.455360000029</v>
      </c>
      <c r="CP614" s="408">
        <v>6904.5225599999958</v>
      </c>
      <c r="CQ614" s="408">
        <v>31</v>
      </c>
      <c r="CR614" s="408">
        <v>8935.0119062943704</v>
      </c>
      <c r="CS614" s="408">
        <v>208.10644927684348</v>
      </c>
      <c r="CT614" s="408">
        <v>313.47301125129297</v>
      </c>
      <c r="CU614" s="408">
        <v>0</v>
      </c>
      <c r="CV614" s="408">
        <v>0</v>
      </c>
      <c r="CW614" s="408">
        <v>0</v>
      </c>
      <c r="CX614" s="408">
        <v>0</v>
      </c>
      <c r="CY614" s="408">
        <v>0</v>
      </c>
      <c r="CZ614" s="408">
        <v>735.56500400178993</v>
      </c>
      <c r="DA614" s="408">
        <v>0</v>
      </c>
      <c r="DB614" s="408">
        <v>0</v>
      </c>
      <c r="DC614" s="408">
        <v>6902.4309785032965</v>
      </c>
      <c r="DD614" s="408">
        <v>0</v>
      </c>
      <c r="DE614" s="408">
        <v>0</v>
      </c>
      <c r="DF614" s="408">
        <v>0</v>
      </c>
      <c r="DG614" s="408">
        <v>1154.7637992825403</v>
      </c>
      <c r="DH614" s="408">
        <v>0</v>
      </c>
      <c r="DI614" s="408">
        <v>-324.42980347456978</v>
      </c>
      <c r="DJ614" s="408"/>
      <c r="DK614" s="408">
        <v>0</v>
      </c>
      <c r="DL614" s="408">
        <v>0</v>
      </c>
      <c r="DM614" s="408">
        <v>0</v>
      </c>
      <c r="DN614" s="408">
        <v>0</v>
      </c>
      <c r="DO614" s="408">
        <v>-42.150690621124795</v>
      </c>
      <c r="DP614" s="408">
        <v>-12.746841925720673</v>
      </c>
      <c r="DQ614" s="408">
        <v>0</v>
      </c>
      <c r="DR614" s="408">
        <v>0</v>
      </c>
      <c r="DS614" s="408"/>
      <c r="DT614" s="408"/>
      <c r="DU614" s="408"/>
      <c r="DV614" s="408">
        <v>116558.8992854563</v>
      </c>
      <c r="DW614" s="408">
        <v>0</v>
      </c>
      <c r="DX614" s="408">
        <v>0</v>
      </c>
      <c r="DY614" s="408">
        <v>-63353.455360000007</v>
      </c>
      <c r="DZ614" s="408">
        <v>6904.5225599999976</v>
      </c>
      <c r="EA614" s="408">
        <v>0</v>
      </c>
      <c r="EB614" s="408">
        <v>0</v>
      </c>
      <c r="EC614" s="408">
        <v>-65388.341848684526</v>
      </c>
      <c r="ED614" s="408">
        <v>0</v>
      </c>
      <c r="EE614" s="408">
        <v>0</v>
      </c>
      <c r="EF614" s="408">
        <v>0</v>
      </c>
      <c r="EG614" s="408">
        <v>0</v>
      </c>
      <c r="EH614" s="408">
        <v>0</v>
      </c>
      <c r="EI614" s="408">
        <v>0</v>
      </c>
      <c r="EJ614" s="408">
        <v>0</v>
      </c>
      <c r="EK614" s="408">
        <v>0</v>
      </c>
      <c r="EL614" s="408">
        <v>0</v>
      </c>
      <c r="EM614" s="408">
        <v>0</v>
      </c>
      <c r="EN614" s="408">
        <v>0</v>
      </c>
      <c r="EO614" s="408">
        <v>0</v>
      </c>
      <c r="EP614" s="408">
        <v>0</v>
      </c>
      <c r="EQ614" s="408">
        <v>0</v>
      </c>
      <c r="ER614" s="408">
        <v>0</v>
      </c>
      <c r="ES614" s="408">
        <v>0</v>
      </c>
      <c r="ET614" s="408">
        <v>0</v>
      </c>
      <c r="EU614" s="408">
        <v>0</v>
      </c>
      <c r="EV614" s="408">
        <v>238</v>
      </c>
      <c r="EW614" s="408">
        <v>0</v>
      </c>
      <c r="EX614" s="408">
        <v>0</v>
      </c>
      <c r="EY614" s="408">
        <v>0</v>
      </c>
      <c r="EZ614" s="408"/>
      <c r="FA614" s="408">
        <v>0</v>
      </c>
      <c r="FB614" s="408"/>
      <c r="FC614" s="408"/>
      <c r="FD614" s="408"/>
      <c r="FE614" s="408"/>
      <c r="FF614" s="408">
        <v>0</v>
      </c>
      <c r="FG614" s="408">
        <v>0</v>
      </c>
      <c r="FH614" s="408">
        <v>0</v>
      </c>
      <c r="FI614" s="408">
        <v>0</v>
      </c>
    </row>
    <row r="615" spans="1:165">
      <c r="A615" s="408">
        <v>619</v>
      </c>
      <c r="B615" s="408" t="s">
        <v>2237</v>
      </c>
      <c r="C615" s="408" t="s">
        <v>2235</v>
      </c>
      <c r="D615" s="408" t="s">
        <v>1958</v>
      </c>
      <c r="E615" s="408" t="s">
        <v>998</v>
      </c>
      <c r="F615" s="408" t="s">
        <v>1322</v>
      </c>
      <c r="G615" s="408" t="s">
        <v>1322</v>
      </c>
      <c r="H615" s="408" t="s">
        <v>1322</v>
      </c>
      <c r="I615" s="408" t="s">
        <v>1322</v>
      </c>
      <c r="J615" s="408" t="s">
        <v>2236</v>
      </c>
      <c r="K615" s="824">
        <v>44682</v>
      </c>
      <c r="L615" s="408">
        <v>0</v>
      </c>
      <c r="M615" s="408">
        <v>0</v>
      </c>
      <c r="N615" s="408">
        <v>-0.28799999999999998</v>
      </c>
      <c r="O615" s="408">
        <v>-0.28799999999999998</v>
      </c>
      <c r="P615" s="408">
        <v>-0.28799999999999998</v>
      </c>
      <c r="Q615" s="408">
        <v>-0.28799999999999998</v>
      </c>
      <c r="R615" s="408"/>
      <c r="S615" s="408">
        <v>581.32000000000005</v>
      </c>
      <c r="T615" s="408">
        <v>209.4</v>
      </c>
      <c r="U615" s="408"/>
      <c r="V615" s="408">
        <v>-227.72736</v>
      </c>
      <c r="W615" s="408">
        <v>-227.72736</v>
      </c>
      <c r="X615" s="408">
        <v>-173.97215999999997</v>
      </c>
      <c r="Y615" s="408">
        <v>0</v>
      </c>
      <c r="Z615" s="408">
        <v>-17.72291735328303</v>
      </c>
      <c r="AA615" s="408">
        <v>0</v>
      </c>
      <c r="AB615" s="408">
        <v>0</v>
      </c>
      <c r="AC615" s="408">
        <v>0</v>
      </c>
      <c r="AD615" s="408">
        <v>-21.367049701194574</v>
      </c>
      <c r="AE615" s="408">
        <v>-110.99672982426267</v>
      </c>
      <c r="AF615" s="408">
        <v>-59.515414787815196</v>
      </c>
      <c r="AG615" s="408">
        <v>-0.79285390968612668</v>
      </c>
      <c r="AH615" s="408">
        <v>0</v>
      </c>
      <c r="AI615" s="408">
        <v>0</v>
      </c>
      <c r="AJ615" s="408">
        <v>0</v>
      </c>
      <c r="AK615" s="408">
        <v>0</v>
      </c>
      <c r="AL615" s="408">
        <v>-2.7387652737958903</v>
      </c>
      <c r="AM615" s="408"/>
      <c r="AN615" s="408">
        <v>-0.52501372295871451</v>
      </c>
      <c r="AO615" s="408">
        <v>-1.6414504632173377</v>
      </c>
      <c r="AP615" s="408">
        <v>-2.4725347115027208</v>
      </c>
      <c r="AQ615" s="408">
        <v>0</v>
      </c>
      <c r="AR615" s="408">
        <v>0</v>
      </c>
      <c r="AS615" s="408">
        <v>0</v>
      </c>
      <c r="AT615" s="408">
        <v>0</v>
      </c>
      <c r="AU615" s="408">
        <v>0</v>
      </c>
      <c r="AV615" s="408">
        <v>0</v>
      </c>
      <c r="AW615" s="408">
        <v>0</v>
      </c>
      <c r="AX615" s="408">
        <v>0</v>
      </c>
      <c r="AY615" s="408">
        <v>0</v>
      </c>
      <c r="AZ615" s="408">
        <v>0</v>
      </c>
      <c r="BA615" s="408"/>
      <c r="BB615" s="408">
        <v>0</v>
      </c>
      <c r="BC615" s="408">
        <v>0</v>
      </c>
      <c r="BD615" s="408">
        <v>0</v>
      </c>
      <c r="BE615" s="408">
        <v>0</v>
      </c>
      <c r="BF615" s="408">
        <v>0</v>
      </c>
      <c r="BG615" s="408">
        <v>-9.9568176357424019</v>
      </c>
      <c r="BH615" s="408">
        <v>0</v>
      </c>
      <c r="BI615" s="408">
        <v>-0.54</v>
      </c>
      <c r="BJ615" s="408">
        <v>-2.58</v>
      </c>
      <c r="BK615" s="408">
        <v>-72.66</v>
      </c>
      <c r="BL615" s="408">
        <v>0</v>
      </c>
      <c r="BM615" s="408"/>
      <c r="BN615" s="408"/>
      <c r="BO615" s="408"/>
      <c r="BP615" s="408"/>
      <c r="BQ615" s="408"/>
      <c r="BR615" s="408"/>
      <c r="BS615" s="408"/>
      <c r="BT615" s="408"/>
      <c r="BU615" s="408"/>
      <c r="BV615" s="408">
        <v>-69.4722324235576</v>
      </c>
      <c r="BW615" s="408"/>
      <c r="BX615" s="408"/>
      <c r="BY615" s="408"/>
      <c r="BZ615" s="408"/>
      <c r="CA615" s="408"/>
      <c r="CB615" s="408"/>
      <c r="CC615" s="408"/>
      <c r="CD615" s="408"/>
      <c r="CE615" s="408"/>
      <c r="CF615" s="408"/>
      <c r="CG615" s="408"/>
      <c r="CH615" s="408"/>
      <c r="CI615" s="408">
        <v>-175.18029999999999</v>
      </c>
      <c r="CJ615" s="408">
        <v>52.517060000000043</v>
      </c>
      <c r="CK615" s="408"/>
      <c r="CL615" s="408"/>
      <c r="CM615" s="408"/>
      <c r="CN615" s="408"/>
      <c r="CO615" s="408">
        <v>60.330240000000018</v>
      </c>
      <c r="CP615" s="408">
        <v>-6.5750399999999951</v>
      </c>
      <c r="CQ615" s="408">
        <v>31</v>
      </c>
      <c r="CR615" s="408">
        <v>-8.5086347642206448</v>
      </c>
      <c r="CS615" s="408">
        <v>-0.19817564739092064</v>
      </c>
      <c r="CT615" s="408">
        <v>-0.29851413620374956</v>
      </c>
      <c r="CU615" s="408">
        <v>0</v>
      </c>
      <c r="CV615" s="408">
        <v>0</v>
      </c>
      <c r="CW615" s="408">
        <v>0</v>
      </c>
      <c r="CX615" s="408">
        <v>0</v>
      </c>
      <c r="CY615" s="408">
        <v>0</v>
      </c>
      <c r="CZ615" s="408">
        <v>-0.70046397587727327</v>
      </c>
      <c r="DA615" s="408">
        <v>0</v>
      </c>
      <c r="DB615" s="408">
        <v>0</v>
      </c>
      <c r="DC615" s="408">
        <v>-6.5730482283916771</v>
      </c>
      <c r="DD615" s="408">
        <v>0</v>
      </c>
      <c r="DE615" s="408">
        <v>0</v>
      </c>
      <c r="DF615" s="408">
        <v>0</v>
      </c>
      <c r="DG615" s="408">
        <v>-1.09965868093777</v>
      </c>
      <c r="DH615" s="408">
        <v>0</v>
      </c>
      <c r="DI615" s="408">
        <v>0.30894807229617172</v>
      </c>
      <c r="DJ615" s="408"/>
      <c r="DK615" s="408">
        <v>0</v>
      </c>
      <c r="DL615" s="408">
        <v>0</v>
      </c>
      <c r="DM615" s="408">
        <v>0</v>
      </c>
      <c r="DN615" s="408">
        <v>0</v>
      </c>
      <c r="DO615" s="408">
        <v>4.0139267335744577E-2</v>
      </c>
      <c r="DP615" s="408">
        <v>1.2138564948839914E-2</v>
      </c>
      <c r="DQ615" s="408">
        <v>0</v>
      </c>
      <c r="DR615" s="408">
        <v>0</v>
      </c>
      <c r="DS615" s="408"/>
      <c r="DT615" s="408"/>
      <c r="DU615" s="408"/>
      <c r="DV615" s="408">
        <v>-110.99672982426267</v>
      </c>
      <c r="DW615" s="408">
        <v>0</v>
      </c>
      <c r="DX615" s="408">
        <v>0</v>
      </c>
      <c r="DY615" s="408">
        <v>60.330240000000032</v>
      </c>
      <c r="DZ615" s="408">
        <v>-6.5750400000000013</v>
      </c>
      <c r="EA615" s="408">
        <v>0</v>
      </c>
      <c r="EB615" s="408">
        <v>0</v>
      </c>
      <c r="EC615" s="408">
        <v>62.26802207577618</v>
      </c>
      <c r="ED615" s="408">
        <v>0</v>
      </c>
      <c r="EE615" s="408">
        <v>0</v>
      </c>
      <c r="EF615" s="408">
        <v>0</v>
      </c>
      <c r="EG615" s="408">
        <v>0</v>
      </c>
      <c r="EH615" s="408">
        <v>0</v>
      </c>
      <c r="EI615" s="408">
        <v>0</v>
      </c>
      <c r="EJ615" s="408">
        <v>0</v>
      </c>
      <c r="EK615" s="408">
        <v>0</v>
      </c>
      <c r="EL615" s="408">
        <v>0</v>
      </c>
      <c r="EM615" s="408">
        <v>0</v>
      </c>
      <c r="EN615" s="408">
        <v>0</v>
      </c>
      <c r="EO615" s="408">
        <v>0</v>
      </c>
      <c r="EP615" s="408">
        <v>0</v>
      </c>
      <c r="EQ615" s="408">
        <v>0</v>
      </c>
      <c r="ER615" s="408">
        <v>0</v>
      </c>
      <c r="ES615" s="408">
        <v>0</v>
      </c>
      <c r="ET615" s="408">
        <v>0</v>
      </c>
      <c r="EU615" s="408">
        <v>0</v>
      </c>
      <c r="EV615" s="408">
        <v>238</v>
      </c>
      <c r="EW615" s="408">
        <v>0</v>
      </c>
      <c r="EX615" s="408">
        <v>0</v>
      </c>
      <c r="EY615" s="408">
        <v>0</v>
      </c>
      <c r="EZ615" s="408"/>
      <c r="FA615" s="408">
        <v>0</v>
      </c>
      <c r="FB615" s="408"/>
      <c r="FC615" s="408"/>
      <c r="FD615" s="408"/>
      <c r="FE615" s="408"/>
      <c r="FF615" s="408">
        <v>0</v>
      </c>
      <c r="FG615" s="408">
        <v>0</v>
      </c>
      <c r="FH615" s="408">
        <v>0</v>
      </c>
      <c r="FI615" s="408">
        <v>0</v>
      </c>
    </row>
    <row r="616" spans="1:165">
      <c r="A616" s="408">
        <v>620</v>
      </c>
      <c r="B616" s="408" t="s">
        <v>2238</v>
      </c>
      <c r="C616" s="408" t="s">
        <v>2235</v>
      </c>
      <c r="D616" s="408" t="s">
        <v>1958</v>
      </c>
      <c r="E616" s="408" t="s">
        <v>998</v>
      </c>
      <c r="F616" s="408" t="s">
        <v>1322</v>
      </c>
      <c r="G616" s="408" t="s">
        <v>1322</v>
      </c>
      <c r="H616" s="408" t="s">
        <v>1322</v>
      </c>
      <c r="I616" s="408" t="s">
        <v>1322</v>
      </c>
      <c r="J616" s="408" t="s">
        <v>2236</v>
      </c>
      <c r="K616" s="824">
        <v>44682</v>
      </c>
      <c r="L616" s="408">
        <v>0</v>
      </c>
      <c r="M616" s="408">
        <v>0</v>
      </c>
      <c r="N616" s="408">
        <v>42.094000000000001</v>
      </c>
      <c r="O616" s="408">
        <v>42.094000000000001</v>
      </c>
      <c r="P616" s="408">
        <v>42.094000000000001</v>
      </c>
      <c r="Q616" s="408">
        <v>42.094000000000001</v>
      </c>
      <c r="R616" s="408"/>
      <c r="S616" s="408">
        <v>581.32000000000005</v>
      </c>
      <c r="T616" s="408">
        <v>209.4</v>
      </c>
      <c r="U616" s="408"/>
      <c r="V616" s="408">
        <v>33284.567680000007</v>
      </c>
      <c r="W616" s="408">
        <v>33284.567680000007</v>
      </c>
      <c r="X616" s="408">
        <v>25427.722580000001</v>
      </c>
      <c r="Y616" s="408">
        <v>0</v>
      </c>
      <c r="Z616" s="408">
        <v>2590.3766773232501</v>
      </c>
      <c r="AA616" s="408">
        <v>0</v>
      </c>
      <c r="AB616" s="408">
        <v>0</v>
      </c>
      <c r="AC616" s="408">
        <v>0</v>
      </c>
      <c r="AD616" s="408">
        <v>3123.0020490350153</v>
      </c>
      <c r="AE616" s="408">
        <v>16223.251198689284</v>
      </c>
      <c r="AF616" s="408">
        <v>8698.7564933274061</v>
      </c>
      <c r="AG616" s="408">
        <v>115.88330720252715</v>
      </c>
      <c r="AH616" s="408">
        <v>0</v>
      </c>
      <c r="AI616" s="408">
        <v>0</v>
      </c>
      <c r="AJ616" s="408">
        <v>0</v>
      </c>
      <c r="AK616" s="408">
        <v>0</v>
      </c>
      <c r="AL616" s="408">
        <v>400.29717164987579</v>
      </c>
      <c r="AM616" s="408"/>
      <c r="AN616" s="408">
        <v>76.735859910500452</v>
      </c>
      <c r="AO616" s="408">
        <v>239.91394374538407</v>
      </c>
      <c r="AP616" s="408">
        <v>361.3849866180401</v>
      </c>
      <c r="AQ616" s="408">
        <v>0</v>
      </c>
      <c r="AR616" s="408">
        <v>0</v>
      </c>
      <c r="AS616" s="408">
        <v>0</v>
      </c>
      <c r="AT616" s="408">
        <v>0</v>
      </c>
      <c r="AU616" s="408">
        <v>0</v>
      </c>
      <c r="AV616" s="408">
        <v>0</v>
      </c>
      <c r="AW616" s="408">
        <v>0</v>
      </c>
      <c r="AX616" s="408">
        <v>0</v>
      </c>
      <c r="AY616" s="408">
        <v>0</v>
      </c>
      <c r="AZ616" s="408">
        <v>0</v>
      </c>
      <c r="BA616" s="408"/>
      <c r="BB616" s="408">
        <v>0</v>
      </c>
      <c r="BC616" s="408">
        <v>0</v>
      </c>
      <c r="BD616" s="408">
        <v>0</v>
      </c>
      <c r="BE616" s="408">
        <v>0</v>
      </c>
      <c r="BF616" s="408">
        <v>0</v>
      </c>
      <c r="BG616" s="408">
        <v>1455.285699857433</v>
      </c>
      <c r="BH616" s="408">
        <v>0</v>
      </c>
      <c r="BI616" s="408">
        <v>54.58</v>
      </c>
      <c r="BJ616" s="408">
        <v>254.63</v>
      </c>
      <c r="BK616" s="408">
        <v>23042.27</v>
      </c>
      <c r="BL616" s="408">
        <v>101</v>
      </c>
      <c r="BM616" s="408"/>
      <c r="BN616" s="408"/>
      <c r="BO616" s="408"/>
      <c r="BP616" s="408"/>
      <c r="BQ616" s="408"/>
      <c r="BR616" s="408"/>
      <c r="BS616" s="408"/>
      <c r="BT616" s="408"/>
      <c r="BU616" s="408"/>
      <c r="BV616" s="408">
        <v>10154.04219318484</v>
      </c>
      <c r="BW616" s="408"/>
      <c r="BX616" s="408"/>
      <c r="BY616" s="408"/>
      <c r="BZ616" s="408"/>
      <c r="CA616" s="408"/>
      <c r="CB616" s="408"/>
      <c r="CC616" s="408"/>
      <c r="CD616" s="408"/>
      <c r="CE616" s="408"/>
      <c r="CF616" s="408"/>
      <c r="CG616" s="408"/>
      <c r="CH616" s="408"/>
      <c r="CI616" s="408">
        <v>25425.3063</v>
      </c>
      <c r="CJ616" s="408">
        <v>-7859.291380000006</v>
      </c>
      <c r="CK616" s="408"/>
      <c r="CL616" s="408"/>
      <c r="CM616" s="408"/>
      <c r="CN616" s="408"/>
      <c r="CO616" s="408">
        <v>-8817.851120000003</v>
      </c>
      <c r="CP616" s="408">
        <v>961.00601999999935</v>
      </c>
      <c r="CQ616" s="408">
        <v>31</v>
      </c>
      <c r="CR616" s="408">
        <v>1243.6196936288288</v>
      </c>
      <c r="CS616" s="408">
        <v>28.965297573866053</v>
      </c>
      <c r="CT616" s="408">
        <v>43.630743226946606</v>
      </c>
      <c r="CU616" s="408">
        <v>0</v>
      </c>
      <c r="CV616" s="408">
        <v>0</v>
      </c>
      <c r="CW616" s="408">
        <v>0</v>
      </c>
      <c r="CX616" s="408">
        <v>0</v>
      </c>
      <c r="CY616" s="408">
        <v>0</v>
      </c>
      <c r="CZ616" s="408">
        <v>102.3796201408959</v>
      </c>
      <c r="DA616" s="408">
        <v>0</v>
      </c>
      <c r="DB616" s="408">
        <v>0</v>
      </c>
      <c r="DC616" s="408">
        <v>960.71490321499732</v>
      </c>
      <c r="DD616" s="408">
        <v>0</v>
      </c>
      <c r="DE616" s="408">
        <v>0</v>
      </c>
      <c r="DF616" s="408">
        <v>0</v>
      </c>
      <c r="DG616" s="408">
        <v>160.72580734511962</v>
      </c>
      <c r="DH616" s="408">
        <v>0</v>
      </c>
      <c r="DI616" s="408">
        <v>-45.155764427900067</v>
      </c>
      <c r="DJ616" s="408"/>
      <c r="DK616" s="408">
        <v>0</v>
      </c>
      <c r="DL616" s="408">
        <v>0</v>
      </c>
      <c r="DM616" s="408">
        <v>0</v>
      </c>
      <c r="DN616" s="408">
        <v>0</v>
      </c>
      <c r="DO616" s="408">
        <v>-5.8667441639959748</v>
      </c>
      <c r="DP616" s="408">
        <v>-1.7741692810988496</v>
      </c>
      <c r="DQ616" s="408">
        <v>0</v>
      </c>
      <c r="DR616" s="408">
        <v>0</v>
      </c>
      <c r="DS616" s="408"/>
      <c r="DT616" s="408"/>
      <c r="DU616" s="408"/>
      <c r="DV616" s="408">
        <v>16223.251198689284</v>
      </c>
      <c r="DW616" s="408">
        <v>0</v>
      </c>
      <c r="DX616" s="408">
        <v>0</v>
      </c>
      <c r="DY616" s="408">
        <v>-8817.8511200000048</v>
      </c>
      <c r="DZ616" s="408">
        <v>961.0060199999989</v>
      </c>
      <c r="EA616" s="408">
        <v>0</v>
      </c>
      <c r="EB616" s="408">
        <v>0</v>
      </c>
      <c r="EC616" s="408">
        <v>-9101.0768099226498</v>
      </c>
      <c r="ED616" s="408">
        <v>0</v>
      </c>
      <c r="EE616" s="408">
        <v>0</v>
      </c>
      <c r="EF616" s="408">
        <v>0</v>
      </c>
      <c r="EG616" s="408">
        <v>0</v>
      </c>
      <c r="EH616" s="408">
        <v>0</v>
      </c>
      <c r="EI616" s="408">
        <v>0</v>
      </c>
      <c r="EJ616" s="408">
        <v>0</v>
      </c>
      <c r="EK616" s="408">
        <v>0</v>
      </c>
      <c r="EL616" s="408">
        <v>0</v>
      </c>
      <c r="EM616" s="408">
        <v>0</v>
      </c>
      <c r="EN616" s="408">
        <v>0</v>
      </c>
      <c r="EO616" s="408">
        <v>0</v>
      </c>
      <c r="EP616" s="408">
        <v>0</v>
      </c>
      <c r="EQ616" s="408">
        <v>0</v>
      </c>
      <c r="ER616" s="408">
        <v>0</v>
      </c>
      <c r="ES616" s="408">
        <v>0</v>
      </c>
      <c r="ET616" s="408">
        <v>0</v>
      </c>
      <c r="EU616" s="408">
        <v>0</v>
      </c>
      <c r="EV616" s="408">
        <v>238</v>
      </c>
      <c r="EW616" s="408">
        <v>0</v>
      </c>
      <c r="EX616" s="408">
        <v>0</v>
      </c>
      <c r="EY616" s="408">
        <v>0</v>
      </c>
      <c r="EZ616" s="408"/>
      <c r="FA616" s="408">
        <v>0</v>
      </c>
      <c r="FB616" s="408"/>
      <c r="FC616" s="408"/>
      <c r="FD616" s="408"/>
      <c r="FE616" s="408"/>
      <c r="FF616" s="408">
        <v>0</v>
      </c>
      <c r="FG616" s="408">
        <v>0</v>
      </c>
      <c r="FH616" s="408">
        <v>0</v>
      </c>
      <c r="FI616" s="408">
        <v>0</v>
      </c>
    </row>
    <row r="617" spans="1:165">
      <c r="A617" s="408">
        <v>621</v>
      </c>
      <c r="B617" s="408" t="s">
        <v>1036</v>
      </c>
      <c r="C617" s="408" t="s">
        <v>2243</v>
      </c>
      <c r="D617" s="408" t="s">
        <v>597</v>
      </c>
      <c r="E617" s="408" t="s">
        <v>998</v>
      </c>
      <c r="F617" s="408" t="s">
        <v>1322</v>
      </c>
      <c r="G617" s="408" t="s">
        <v>1322</v>
      </c>
      <c r="H617" s="408" t="s">
        <v>1322</v>
      </c>
      <c r="I617" s="408" t="s">
        <v>973</v>
      </c>
      <c r="J617" s="408" t="s">
        <v>2236</v>
      </c>
      <c r="K617" s="824">
        <v>44682</v>
      </c>
      <c r="L617" s="408">
        <v>0</v>
      </c>
      <c r="M617" s="408">
        <v>0</v>
      </c>
      <c r="N617" s="408">
        <v>30.815999999999999</v>
      </c>
      <c r="O617" s="408">
        <v>30.815999999999999</v>
      </c>
      <c r="P617" s="408">
        <v>30.815999999999999</v>
      </c>
      <c r="Q617" s="408">
        <v>30.815999999999999</v>
      </c>
      <c r="R617" s="408"/>
      <c r="S617" s="408">
        <v>1614.19</v>
      </c>
      <c r="T617" s="408">
        <v>209.4</v>
      </c>
      <c r="U617" s="408"/>
      <c r="V617" s="408">
        <v>56195.74944</v>
      </c>
      <c r="W617" s="408">
        <v>56195.74944</v>
      </c>
      <c r="X617" s="408">
        <v>37353.614399999999</v>
      </c>
      <c r="Y617" s="408">
        <v>0</v>
      </c>
      <c r="Z617" s="408">
        <v>1649.8263764171186</v>
      </c>
      <c r="AA617" s="408">
        <v>0</v>
      </c>
      <c r="AB617" s="408">
        <v>0</v>
      </c>
      <c r="AC617" s="408">
        <v>0</v>
      </c>
      <c r="AD617" s="408">
        <v>9596.6567904406111</v>
      </c>
      <c r="AE617" s="408">
        <v>35833.973163042967</v>
      </c>
      <c r="AF617" s="408">
        <v>6368.1493822962266</v>
      </c>
      <c r="AG617" s="408">
        <v>84.835368336415556</v>
      </c>
      <c r="AH617" s="408">
        <v>0</v>
      </c>
      <c r="AI617" s="408">
        <v>0</v>
      </c>
      <c r="AJ617" s="408">
        <v>0</v>
      </c>
      <c r="AK617" s="408">
        <v>0</v>
      </c>
      <c r="AL617" s="408">
        <v>293.0478842961603</v>
      </c>
      <c r="AM617" s="408"/>
      <c r="AN617" s="408">
        <v>40.918850210986221</v>
      </c>
      <c r="AO617" s="408">
        <v>745.59082028707383</v>
      </c>
      <c r="AP617" s="408">
        <v>1110.568697358892</v>
      </c>
      <c r="AQ617" s="408">
        <v>0</v>
      </c>
      <c r="AR617" s="408">
        <v>0</v>
      </c>
      <c r="AS617" s="408">
        <v>0</v>
      </c>
      <c r="AT617" s="408">
        <v>0</v>
      </c>
      <c r="AU617" s="408">
        <v>0</v>
      </c>
      <c r="AV617" s="408">
        <v>0</v>
      </c>
      <c r="AW617" s="408">
        <v>0</v>
      </c>
      <c r="AX617" s="408">
        <v>0</v>
      </c>
      <c r="AY617" s="408">
        <v>0</v>
      </c>
      <c r="AZ617" s="408">
        <v>0</v>
      </c>
      <c r="BA617" s="408"/>
      <c r="BB617" s="408">
        <v>0</v>
      </c>
      <c r="BC617" s="408">
        <v>0</v>
      </c>
      <c r="BD617" s="408">
        <v>0</v>
      </c>
      <c r="BE617" s="408">
        <v>0</v>
      </c>
      <c r="BF617" s="408">
        <v>0</v>
      </c>
      <c r="BG617" s="408">
        <v>472.23783090737402</v>
      </c>
      <c r="BH617" s="408">
        <v>0</v>
      </c>
      <c r="BI617" s="408">
        <v>0</v>
      </c>
      <c r="BJ617" s="408">
        <v>0</v>
      </c>
      <c r="BK617" s="408">
        <v>0</v>
      </c>
      <c r="BL617" s="408">
        <v>0</v>
      </c>
      <c r="BM617" s="408"/>
      <c r="BN617" s="408"/>
      <c r="BO617" s="408"/>
      <c r="BP617" s="408"/>
      <c r="BQ617" s="408"/>
      <c r="BR617" s="408"/>
      <c r="BS617" s="408"/>
      <c r="BT617" s="408"/>
      <c r="BU617" s="408"/>
      <c r="BV617" s="408">
        <v>6840.3872132036004</v>
      </c>
      <c r="BW617" s="408"/>
      <c r="BX617" s="408"/>
      <c r="BY617" s="408"/>
      <c r="BZ617" s="408"/>
      <c r="CA617" s="408"/>
      <c r="CB617" s="408"/>
      <c r="CC617" s="408"/>
      <c r="CD617" s="408"/>
      <c r="CE617" s="408"/>
      <c r="CF617" s="408"/>
      <c r="CG617" s="408"/>
      <c r="CH617" s="408"/>
      <c r="CI617" s="408">
        <v>37358.462999999996</v>
      </c>
      <c r="CJ617" s="408">
        <v>-18837.31644000001</v>
      </c>
      <c r="CK617" s="408"/>
      <c r="CL617" s="408"/>
      <c r="CM617" s="408"/>
      <c r="CN617" s="408"/>
      <c r="CO617" s="408">
        <v>-19545.664320000003</v>
      </c>
      <c r="CP617" s="408">
        <v>703.52927999999952</v>
      </c>
      <c r="CQ617" s="408">
        <v>31</v>
      </c>
      <c r="CR617" s="408">
        <v>1260.1701923928449</v>
      </c>
      <c r="CS617" s="408">
        <v>90.016693656109851</v>
      </c>
      <c r="CT617" s="408">
        <v>134.08121384291144</v>
      </c>
      <c r="CU617" s="408">
        <v>0</v>
      </c>
      <c r="CV617" s="408">
        <v>0</v>
      </c>
      <c r="CW617" s="408">
        <v>0</v>
      </c>
      <c r="CX617" s="408">
        <v>0</v>
      </c>
      <c r="CY617" s="408">
        <v>0</v>
      </c>
      <c r="CZ617" s="408">
        <v>314.60180345750086</v>
      </c>
      <c r="DA617" s="408">
        <v>0</v>
      </c>
      <c r="DB617" s="408">
        <v>0</v>
      </c>
      <c r="DC617" s="408">
        <v>703.31616043790928</v>
      </c>
      <c r="DD617" s="408">
        <v>0</v>
      </c>
      <c r="DE617" s="408">
        <v>0</v>
      </c>
      <c r="DF617" s="408">
        <v>0</v>
      </c>
      <c r="DG617" s="408">
        <v>52.155261773638813</v>
      </c>
      <c r="DH617" s="408">
        <v>0</v>
      </c>
      <c r="DI617" s="408">
        <v>-28.759976050052046</v>
      </c>
      <c r="DJ617" s="408"/>
      <c r="DK617" s="408">
        <v>0</v>
      </c>
      <c r="DL617" s="408">
        <v>0</v>
      </c>
      <c r="DM617" s="408">
        <v>0</v>
      </c>
      <c r="DN617" s="408">
        <v>0</v>
      </c>
      <c r="DO617" s="408">
        <v>-4.2949016049246893</v>
      </c>
      <c r="DP617" s="408">
        <v>-0.94606312025312889</v>
      </c>
      <c r="DQ617" s="408">
        <v>0</v>
      </c>
      <c r="DR617" s="408">
        <v>0</v>
      </c>
      <c r="DS617" s="408"/>
      <c r="DT617" s="408"/>
      <c r="DU617" s="408"/>
      <c r="DV617" s="408">
        <v>35833.973163042967</v>
      </c>
      <c r="DW617" s="408">
        <v>0</v>
      </c>
      <c r="DX617" s="408">
        <v>0</v>
      </c>
      <c r="DY617" s="408">
        <v>-19545.664320000003</v>
      </c>
      <c r="DZ617" s="408">
        <v>703.52927999999974</v>
      </c>
      <c r="EA617" s="408">
        <v>0</v>
      </c>
      <c r="EB617" s="408">
        <v>0</v>
      </c>
      <c r="EC617" s="408">
        <v>-20102.489825708355</v>
      </c>
      <c r="ED617" s="408">
        <v>0</v>
      </c>
      <c r="EE617" s="408">
        <v>0</v>
      </c>
      <c r="EF617" s="408">
        <v>0</v>
      </c>
      <c r="EG617" s="408">
        <v>0</v>
      </c>
      <c r="EH617" s="408">
        <v>0</v>
      </c>
      <c r="EI617" s="408">
        <v>0</v>
      </c>
      <c r="EJ617" s="408">
        <v>0</v>
      </c>
      <c r="EK617" s="408">
        <v>0</v>
      </c>
      <c r="EL617" s="408">
        <v>0</v>
      </c>
      <c r="EM617" s="408">
        <v>0</v>
      </c>
      <c r="EN617" s="408">
        <v>0</v>
      </c>
      <c r="EO617" s="408">
        <v>0</v>
      </c>
      <c r="EP617" s="408">
        <v>0</v>
      </c>
      <c r="EQ617" s="408">
        <v>0</v>
      </c>
      <c r="ER617" s="408">
        <v>0</v>
      </c>
      <c r="ES617" s="408">
        <v>0</v>
      </c>
      <c r="ET617" s="408">
        <v>0</v>
      </c>
      <c r="EU617" s="408">
        <v>0</v>
      </c>
      <c r="EV617" s="408">
        <v>238</v>
      </c>
      <c r="EW617" s="408">
        <v>0</v>
      </c>
      <c r="EX617" s="408">
        <v>0</v>
      </c>
      <c r="EY617" s="408">
        <v>0</v>
      </c>
      <c r="EZ617" s="408"/>
      <c r="FA617" s="408">
        <v>0</v>
      </c>
      <c r="FB617" s="408"/>
      <c r="FC617" s="408"/>
      <c r="FD617" s="408"/>
      <c r="FE617" s="408"/>
      <c r="FF617" s="408">
        <v>0</v>
      </c>
      <c r="FG617" s="408">
        <v>0</v>
      </c>
      <c r="FH617" s="408">
        <v>0</v>
      </c>
      <c r="FI617" s="408">
        <v>0</v>
      </c>
    </row>
    <row r="618" spans="1:165">
      <c r="A618" s="408">
        <v>622</v>
      </c>
      <c r="B618" s="408" t="s">
        <v>1036</v>
      </c>
      <c r="C618" s="408" t="s">
        <v>2243</v>
      </c>
      <c r="D618" s="408" t="s">
        <v>597</v>
      </c>
      <c r="E618" s="408" t="s">
        <v>998</v>
      </c>
      <c r="F618" s="408" t="s">
        <v>1322</v>
      </c>
      <c r="G618" s="408" t="s">
        <v>1322</v>
      </c>
      <c r="H618" s="408" t="s">
        <v>1322</v>
      </c>
      <c r="I618" s="408" t="s">
        <v>2244</v>
      </c>
      <c r="J618" s="408" t="s">
        <v>2236</v>
      </c>
      <c r="K618" s="824">
        <v>44682</v>
      </c>
      <c r="L618" s="408">
        <v>0</v>
      </c>
      <c r="M618" s="408">
        <v>0</v>
      </c>
      <c r="N618" s="408">
        <v>469.56299999999999</v>
      </c>
      <c r="O618" s="408">
        <v>469.56299999999999</v>
      </c>
      <c r="P618" s="408">
        <v>469.56299999999999</v>
      </c>
      <c r="Q618" s="408">
        <v>469.56299999999999</v>
      </c>
      <c r="R618" s="408"/>
      <c r="S618" s="408">
        <v>79.7</v>
      </c>
      <c r="T618" s="408">
        <v>209.4</v>
      </c>
      <c r="U618" s="408"/>
      <c r="V618" s="408">
        <v>135750.66329999999</v>
      </c>
      <c r="W618" s="408">
        <v>135750.66329999999</v>
      </c>
      <c r="X618" s="408">
        <v>146747.82876</v>
      </c>
      <c r="Y618" s="408">
        <v>0</v>
      </c>
      <c r="Z618" s="408">
        <v>25139.454270169765</v>
      </c>
      <c r="AA618" s="408">
        <v>0</v>
      </c>
      <c r="AB618" s="408">
        <v>0</v>
      </c>
      <c r="AC618" s="408">
        <v>0</v>
      </c>
      <c r="AD618" s="408">
        <v>0</v>
      </c>
      <c r="AE618" s="408">
        <v>0</v>
      </c>
      <c r="AF618" s="408">
        <v>97035.54414587107</v>
      </c>
      <c r="AG618" s="408">
        <v>1292.6904874789816</v>
      </c>
      <c r="AH618" s="408">
        <v>0</v>
      </c>
      <c r="AI618" s="408">
        <v>0</v>
      </c>
      <c r="AJ618" s="408">
        <v>0</v>
      </c>
      <c r="AK618" s="408">
        <v>0</v>
      </c>
      <c r="AL618" s="408">
        <v>4465.3570772896519</v>
      </c>
      <c r="AM618" s="408"/>
      <c r="AN618" s="408">
        <v>623.5065570359983</v>
      </c>
      <c r="AO618" s="408">
        <v>0</v>
      </c>
      <c r="AP618" s="408">
        <v>0</v>
      </c>
      <c r="AQ618" s="408">
        <v>0</v>
      </c>
      <c r="AR618" s="408">
        <v>0</v>
      </c>
      <c r="AS618" s="408">
        <v>0</v>
      </c>
      <c r="AT618" s="408">
        <v>0</v>
      </c>
      <c r="AU618" s="408">
        <v>0</v>
      </c>
      <c r="AV618" s="408">
        <v>0</v>
      </c>
      <c r="AW618" s="408">
        <v>0</v>
      </c>
      <c r="AX618" s="408">
        <v>0</v>
      </c>
      <c r="AY618" s="408">
        <v>0</v>
      </c>
      <c r="AZ618" s="408">
        <v>0</v>
      </c>
      <c r="BA618" s="408"/>
      <c r="BB618" s="408">
        <v>0</v>
      </c>
      <c r="BC618" s="408">
        <v>0</v>
      </c>
      <c r="BD618" s="408">
        <v>0</v>
      </c>
      <c r="BE618" s="408">
        <v>0</v>
      </c>
      <c r="BF618" s="408">
        <v>0</v>
      </c>
      <c r="BG618" s="408">
        <v>7195.7883110838284</v>
      </c>
      <c r="BH618" s="408">
        <v>0</v>
      </c>
      <c r="BI618" s="408">
        <v>0</v>
      </c>
      <c r="BJ618" s="408">
        <v>0</v>
      </c>
      <c r="BK618" s="408">
        <v>0</v>
      </c>
      <c r="BL618" s="408">
        <v>0</v>
      </c>
      <c r="BM618" s="408"/>
      <c r="BN618" s="408"/>
      <c r="BO618" s="408"/>
      <c r="BP618" s="408"/>
      <c r="BQ618" s="408"/>
      <c r="BR618" s="408"/>
      <c r="BS618" s="408"/>
      <c r="BT618" s="408"/>
      <c r="BU618" s="408"/>
      <c r="BV618" s="408">
        <v>104231.3324569549</v>
      </c>
      <c r="BW618" s="408"/>
      <c r="BX618" s="408"/>
      <c r="BY618" s="408"/>
      <c r="BZ618" s="408"/>
      <c r="CA618" s="408"/>
      <c r="CB618" s="408"/>
      <c r="CC618" s="408"/>
      <c r="CD618" s="408"/>
      <c r="CE618" s="408"/>
      <c r="CF618" s="408"/>
      <c r="CG618" s="408"/>
      <c r="CH618" s="408"/>
      <c r="CI618" s="408">
        <v>146746.89120000001</v>
      </c>
      <c r="CJ618" s="408">
        <v>10996.197899999999</v>
      </c>
      <c r="CK618" s="408"/>
      <c r="CL618" s="408"/>
      <c r="CM618" s="408"/>
      <c r="CN618" s="408"/>
      <c r="CO618" s="408">
        <v>277.04217000000159</v>
      </c>
      <c r="CP618" s="408">
        <v>10720.123289999992</v>
      </c>
      <c r="CQ618" s="408">
        <v>31</v>
      </c>
      <c r="CR618" s="408">
        <v>10993.504792143096</v>
      </c>
      <c r="CS618" s="408">
        <v>0</v>
      </c>
      <c r="CT618" s="408">
        <v>0</v>
      </c>
      <c r="CU618" s="408">
        <v>0</v>
      </c>
      <c r="CV618" s="408">
        <v>0</v>
      </c>
      <c r="CW618" s="408">
        <v>0</v>
      </c>
      <c r="CX618" s="408">
        <v>0</v>
      </c>
      <c r="CY618" s="408">
        <v>0</v>
      </c>
      <c r="CZ618" s="408">
        <v>0</v>
      </c>
      <c r="DA618" s="408">
        <v>0</v>
      </c>
      <c r="DB618" s="408">
        <v>0</v>
      </c>
      <c r="DC618" s="408">
        <v>10716.87585162597</v>
      </c>
      <c r="DD618" s="408">
        <v>0</v>
      </c>
      <c r="DE618" s="408">
        <v>0</v>
      </c>
      <c r="DF618" s="408">
        <v>0</v>
      </c>
      <c r="DG618" s="408">
        <v>794.72290966430319</v>
      </c>
      <c r="DH618" s="408">
        <v>0</v>
      </c>
      <c r="DI618" s="408">
        <v>-438.23405484133764</v>
      </c>
      <c r="DJ618" s="408"/>
      <c r="DK618" s="408">
        <v>0</v>
      </c>
      <c r="DL618" s="408">
        <v>0</v>
      </c>
      <c r="DM618" s="408">
        <v>0</v>
      </c>
      <c r="DN618" s="408">
        <v>0</v>
      </c>
      <c r="DO618" s="408">
        <v>-65.444148569355093</v>
      </c>
      <c r="DP618" s="408">
        <v>-14.415765736481717</v>
      </c>
      <c r="DQ618" s="408">
        <v>0</v>
      </c>
      <c r="DR618" s="408">
        <v>0</v>
      </c>
      <c r="DS618" s="408"/>
      <c r="DT618" s="408"/>
      <c r="DU618" s="408"/>
      <c r="DV618" s="408">
        <v>0</v>
      </c>
      <c r="DW618" s="408">
        <v>0</v>
      </c>
      <c r="DX618" s="408">
        <v>0</v>
      </c>
      <c r="DY618" s="408">
        <v>277.04217000000062</v>
      </c>
      <c r="DZ618" s="408">
        <v>10720.123290000003</v>
      </c>
      <c r="EA618" s="408">
        <v>0</v>
      </c>
      <c r="EB618" s="408">
        <v>0</v>
      </c>
      <c r="EC618" s="408">
        <v>0</v>
      </c>
      <c r="ED618" s="408">
        <v>0</v>
      </c>
      <c r="EE618" s="408">
        <v>0</v>
      </c>
      <c r="EF618" s="408">
        <v>0</v>
      </c>
      <c r="EG618" s="408">
        <v>0</v>
      </c>
      <c r="EH618" s="408">
        <v>0</v>
      </c>
      <c r="EI618" s="408">
        <v>0</v>
      </c>
      <c r="EJ618" s="408">
        <v>0</v>
      </c>
      <c r="EK618" s="408">
        <v>0</v>
      </c>
      <c r="EL618" s="408">
        <v>0</v>
      </c>
      <c r="EM618" s="408">
        <v>0</v>
      </c>
      <c r="EN618" s="408">
        <v>0</v>
      </c>
      <c r="EO618" s="408">
        <v>0</v>
      </c>
      <c r="EP618" s="408">
        <v>0</v>
      </c>
      <c r="EQ618" s="408">
        <v>0</v>
      </c>
      <c r="ER618" s="408">
        <v>0</v>
      </c>
      <c r="ES618" s="408">
        <v>0</v>
      </c>
      <c r="ET618" s="408">
        <v>0</v>
      </c>
      <c r="EU618" s="408">
        <v>0</v>
      </c>
      <c r="EV618" s="408">
        <v>238</v>
      </c>
      <c r="EW618" s="408">
        <v>0</v>
      </c>
      <c r="EX618" s="408">
        <v>0</v>
      </c>
      <c r="EY618" s="408">
        <v>0</v>
      </c>
      <c r="EZ618" s="408"/>
      <c r="FA618" s="408">
        <v>0</v>
      </c>
      <c r="FB618" s="408"/>
      <c r="FC618" s="408"/>
      <c r="FD618" s="408"/>
      <c r="FE618" s="408"/>
      <c r="FF618" s="408">
        <v>0</v>
      </c>
      <c r="FG618" s="408">
        <v>0</v>
      </c>
      <c r="FH618" s="408">
        <v>0</v>
      </c>
      <c r="FI618" s="408">
        <v>0</v>
      </c>
    </row>
    <row r="619" spans="1:165">
      <c r="A619" s="408">
        <v>623</v>
      </c>
      <c r="B619" s="408" t="s">
        <v>1036</v>
      </c>
      <c r="C619" s="408" t="s">
        <v>2243</v>
      </c>
      <c r="D619" s="408" t="s">
        <v>597</v>
      </c>
      <c r="E619" s="408" t="s">
        <v>998</v>
      </c>
      <c r="F619" s="408" t="s">
        <v>1322</v>
      </c>
      <c r="G619" s="408" t="s">
        <v>1322</v>
      </c>
      <c r="H619" s="408" t="s">
        <v>1322</v>
      </c>
      <c r="I619" s="408" t="s">
        <v>1322</v>
      </c>
      <c r="J619" s="408" t="s">
        <v>2236</v>
      </c>
      <c r="K619" s="824">
        <v>44682</v>
      </c>
      <c r="L619" s="408">
        <v>4901</v>
      </c>
      <c r="M619" s="408">
        <v>4901</v>
      </c>
      <c r="N619" s="408">
        <v>0</v>
      </c>
      <c r="O619" s="408">
        <v>0</v>
      </c>
      <c r="P619" s="408">
        <v>0</v>
      </c>
      <c r="Q619" s="408">
        <v>0</v>
      </c>
      <c r="R619" s="408">
        <v>44.35</v>
      </c>
      <c r="S619" s="408"/>
      <c r="T619" s="408"/>
      <c r="U619" s="408">
        <v>217359.35</v>
      </c>
      <c r="V619" s="408"/>
      <c r="W619" s="408">
        <v>217359.35</v>
      </c>
      <c r="X619" s="408">
        <v>141981.97</v>
      </c>
      <c r="Y619" s="408">
        <v>0</v>
      </c>
      <c r="Z619" s="408">
        <v>0</v>
      </c>
      <c r="AA619" s="408">
        <v>0</v>
      </c>
      <c r="AB619" s="408">
        <v>0</v>
      </c>
      <c r="AC619" s="408">
        <v>0</v>
      </c>
      <c r="AD619" s="408">
        <v>64311.234135306055</v>
      </c>
      <c r="AE619" s="408">
        <v>140746.16464644115</v>
      </c>
      <c r="AF619" s="408"/>
      <c r="AG619" s="408"/>
      <c r="AH619" s="408"/>
      <c r="AI619" s="408">
        <v>0</v>
      </c>
      <c r="AJ619" s="408">
        <v>0</v>
      </c>
      <c r="AK619" s="408">
        <v>0</v>
      </c>
      <c r="AL619" s="408">
        <v>0</v>
      </c>
      <c r="AM619" s="408"/>
      <c r="AN619" s="408">
        <v>0</v>
      </c>
      <c r="AO619" s="408">
        <v>4860.423109830399</v>
      </c>
      <c r="AP619" s="408">
        <v>7436.2451190933434</v>
      </c>
      <c r="AQ619" s="408">
        <v>0</v>
      </c>
      <c r="AR619" s="408">
        <v>0</v>
      </c>
      <c r="AS619" s="408"/>
      <c r="AT619" s="408"/>
      <c r="AU619" s="408">
        <v>0</v>
      </c>
      <c r="AV619" s="408">
        <v>0</v>
      </c>
      <c r="AW619" s="408">
        <v>0</v>
      </c>
      <c r="AX619" s="408"/>
      <c r="AY619" s="408"/>
      <c r="AZ619" s="408">
        <v>0</v>
      </c>
      <c r="BA619" s="408"/>
      <c r="BB619" s="408">
        <v>0</v>
      </c>
      <c r="BC619" s="408">
        <v>0</v>
      </c>
      <c r="BD619" s="408">
        <v>0</v>
      </c>
      <c r="BE619" s="408">
        <v>0</v>
      </c>
      <c r="BF619" s="408"/>
      <c r="BG619" s="408">
        <v>0</v>
      </c>
      <c r="BH619" s="408">
        <v>0</v>
      </c>
      <c r="BI619" s="408">
        <v>720.16</v>
      </c>
      <c r="BJ619" s="408">
        <v>3326.98</v>
      </c>
      <c r="BK619" s="408">
        <v>112083.23</v>
      </c>
      <c r="BL619" s="408">
        <v>33</v>
      </c>
      <c r="BM619" s="408"/>
      <c r="BN619" s="408"/>
      <c r="BO619" s="408"/>
      <c r="BP619" s="408"/>
      <c r="BQ619" s="408"/>
      <c r="BR619" s="408"/>
      <c r="BS619" s="408"/>
      <c r="BT619" s="408"/>
      <c r="BU619" s="408"/>
      <c r="BV619" s="408">
        <v>0</v>
      </c>
      <c r="BW619" s="408"/>
      <c r="BX619" s="408"/>
      <c r="BY619" s="408"/>
      <c r="BZ619" s="408"/>
      <c r="CA619" s="408"/>
      <c r="CB619" s="408"/>
      <c r="CC619" s="408"/>
      <c r="CD619" s="408"/>
      <c r="CE619" s="408"/>
      <c r="CF619" s="408"/>
      <c r="CG619" s="408"/>
      <c r="CH619" s="408"/>
      <c r="CI619" s="408">
        <v>141981.97</v>
      </c>
      <c r="CJ619" s="408">
        <v>-75377.410000000033</v>
      </c>
      <c r="CK619" s="408"/>
      <c r="CL619" s="408"/>
      <c r="CM619" s="408"/>
      <c r="CN619" s="408"/>
      <c r="CO619" s="408">
        <v>-75377.380000000019</v>
      </c>
      <c r="CP619" s="408">
        <v>0</v>
      </c>
      <c r="CQ619" s="408">
        <v>31</v>
      </c>
      <c r="CR619" s="408">
        <v>3592.880750772485</v>
      </c>
      <c r="CS619" s="408">
        <v>586.80875114345781</v>
      </c>
      <c r="CT619" s="408">
        <v>897.79297253076311</v>
      </c>
      <c r="CU619" s="408">
        <v>0</v>
      </c>
      <c r="CV619" s="408">
        <v>0</v>
      </c>
      <c r="CW619" s="408"/>
      <c r="CX619" s="408"/>
      <c r="CY619" s="408"/>
      <c r="CZ619" s="408">
        <v>2108.2790270982587</v>
      </c>
      <c r="DA619" s="408">
        <v>0</v>
      </c>
      <c r="DB619" s="408">
        <v>0</v>
      </c>
      <c r="DC619" s="408"/>
      <c r="DD619" s="408"/>
      <c r="DE619" s="408">
        <v>0</v>
      </c>
      <c r="DF619" s="408">
        <v>0</v>
      </c>
      <c r="DG619" s="408">
        <v>0</v>
      </c>
      <c r="DH619" s="408">
        <v>0</v>
      </c>
      <c r="DI619" s="408">
        <v>0</v>
      </c>
      <c r="DJ619" s="408"/>
      <c r="DK619" s="408">
        <v>0</v>
      </c>
      <c r="DL619" s="408">
        <v>0</v>
      </c>
      <c r="DM619" s="408"/>
      <c r="DN619" s="408">
        <v>0</v>
      </c>
      <c r="DO619" s="408">
        <v>0</v>
      </c>
      <c r="DP619" s="408">
        <v>0</v>
      </c>
      <c r="DQ619" s="408">
        <v>0</v>
      </c>
      <c r="DR619" s="408">
        <v>0</v>
      </c>
      <c r="DS619" s="408"/>
      <c r="DT619" s="408"/>
      <c r="DU619" s="408">
        <v>140746.16464644115</v>
      </c>
      <c r="DV619" s="408"/>
      <c r="DW619" s="408">
        <v>0</v>
      </c>
      <c r="DX619" s="408">
        <v>0</v>
      </c>
      <c r="DY619" s="408">
        <v>-75377.38</v>
      </c>
      <c r="DZ619" s="408"/>
      <c r="EA619" s="408">
        <v>0</v>
      </c>
      <c r="EB619" s="408"/>
      <c r="EC619" s="408">
        <v>-78957.1485679006</v>
      </c>
      <c r="ED619" s="408"/>
      <c r="EE619" s="408">
        <v>0</v>
      </c>
      <c r="EF619" s="408">
        <v>0</v>
      </c>
      <c r="EG619" s="408"/>
      <c r="EH619" s="408">
        <v>0</v>
      </c>
      <c r="EI619" s="408">
        <v>0</v>
      </c>
      <c r="EJ619" s="408">
        <v>0</v>
      </c>
      <c r="EK619" s="408">
        <v>0</v>
      </c>
      <c r="EL619" s="408">
        <v>0</v>
      </c>
      <c r="EM619" s="408"/>
      <c r="EN619" s="408"/>
      <c r="EO619" s="408">
        <v>0</v>
      </c>
      <c r="EP619" s="408">
        <v>0</v>
      </c>
      <c r="EQ619" s="408"/>
      <c r="ER619" s="408">
        <v>0</v>
      </c>
      <c r="ES619" s="408"/>
      <c r="ET619" s="408">
        <v>0</v>
      </c>
      <c r="EU619" s="408"/>
      <c r="EV619" s="408">
        <v>238</v>
      </c>
      <c r="EW619" s="408"/>
      <c r="EX619" s="408"/>
      <c r="EY619" s="408"/>
      <c r="EZ619" s="408"/>
      <c r="FA619" s="408">
        <v>0</v>
      </c>
      <c r="FB619" s="408"/>
      <c r="FC619" s="408"/>
      <c r="FD619" s="408"/>
      <c r="FE619" s="408"/>
      <c r="FF619" s="408">
        <v>0</v>
      </c>
      <c r="FG619" s="408">
        <v>0</v>
      </c>
      <c r="FH619" s="408">
        <v>0</v>
      </c>
      <c r="FI619" s="408">
        <v>0</v>
      </c>
    </row>
    <row r="620" spans="1:165">
      <c r="A620" s="408">
        <v>624</v>
      </c>
      <c r="B620" s="408" t="s">
        <v>2238</v>
      </c>
      <c r="C620" s="408" t="s">
        <v>2243</v>
      </c>
      <c r="D620" s="408" t="s">
        <v>597</v>
      </c>
      <c r="E620" s="408" t="s">
        <v>998</v>
      </c>
      <c r="F620" s="408" t="s">
        <v>1322</v>
      </c>
      <c r="G620" s="408" t="s">
        <v>1322</v>
      </c>
      <c r="H620" s="408" t="s">
        <v>1322</v>
      </c>
      <c r="I620" s="408" t="s">
        <v>1322</v>
      </c>
      <c r="J620" s="408" t="s">
        <v>2236</v>
      </c>
      <c r="K620" s="824">
        <v>44682</v>
      </c>
      <c r="L620" s="408">
        <v>554</v>
      </c>
      <c r="M620" s="408">
        <v>554</v>
      </c>
      <c r="N620" s="408">
        <v>0</v>
      </c>
      <c r="O620" s="408">
        <v>0</v>
      </c>
      <c r="P620" s="408">
        <v>0</v>
      </c>
      <c r="Q620" s="408">
        <v>0</v>
      </c>
      <c r="R620" s="408">
        <v>44.35</v>
      </c>
      <c r="S620" s="408"/>
      <c r="T620" s="408"/>
      <c r="U620" s="408">
        <v>24569.9</v>
      </c>
      <c r="V620" s="408"/>
      <c r="W620" s="408">
        <v>24569.9</v>
      </c>
      <c r="X620" s="408">
        <v>16049.38</v>
      </c>
      <c r="Y620" s="408">
        <v>0</v>
      </c>
      <c r="Z620" s="408">
        <v>0</v>
      </c>
      <c r="AA620" s="408">
        <v>0</v>
      </c>
      <c r="AB620" s="408">
        <v>0</v>
      </c>
      <c r="AC620" s="408">
        <v>0</v>
      </c>
      <c r="AD620" s="408">
        <v>7269.6232831992556</v>
      </c>
      <c r="AE620" s="408">
        <v>15909.686842303283</v>
      </c>
      <c r="AF620" s="408"/>
      <c r="AG620" s="408"/>
      <c r="AH620" s="408"/>
      <c r="AI620" s="408">
        <v>0</v>
      </c>
      <c r="AJ620" s="408">
        <v>0</v>
      </c>
      <c r="AK620" s="408">
        <v>0</v>
      </c>
      <c r="AL620" s="408">
        <v>0</v>
      </c>
      <c r="AM620" s="408"/>
      <c r="AN620" s="408">
        <v>0</v>
      </c>
      <c r="AO620" s="408">
        <v>549.4132631801757</v>
      </c>
      <c r="AP620" s="408">
        <v>840.57943194811514</v>
      </c>
      <c r="AQ620" s="408">
        <v>0</v>
      </c>
      <c r="AR620" s="408">
        <v>0</v>
      </c>
      <c r="AS620" s="408"/>
      <c r="AT620" s="408"/>
      <c r="AU620" s="408">
        <v>0</v>
      </c>
      <c r="AV620" s="408">
        <v>0</v>
      </c>
      <c r="AW620" s="408">
        <v>0</v>
      </c>
      <c r="AX620" s="408"/>
      <c r="AY620" s="408"/>
      <c r="AZ620" s="408">
        <v>0</v>
      </c>
      <c r="BA620" s="408"/>
      <c r="BB620" s="408">
        <v>0</v>
      </c>
      <c r="BC620" s="408">
        <v>0</v>
      </c>
      <c r="BD620" s="408">
        <v>0</v>
      </c>
      <c r="BE620" s="408">
        <v>0</v>
      </c>
      <c r="BF620" s="408"/>
      <c r="BG620" s="408">
        <v>0</v>
      </c>
      <c r="BH620" s="408">
        <v>0</v>
      </c>
      <c r="BI620" s="408">
        <v>37.57</v>
      </c>
      <c r="BJ620" s="408">
        <v>173.66</v>
      </c>
      <c r="BK620" s="408">
        <v>8096.64</v>
      </c>
      <c r="BL620" s="408">
        <v>4</v>
      </c>
      <c r="BM620" s="408"/>
      <c r="BN620" s="408"/>
      <c r="BO620" s="408"/>
      <c r="BP620" s="408"/>
      <c r="BQ620" s="408"/>
      <c r="BR620" s="408"/>
      <c r="BS620" s="408"/>
      <c r="BT620" s="408"/>
      <c r="BU620" s="408"/>
      <c r="BV620" s="408">
        <v>0</v>
      </c>
      <c r="BW620" s="408"/>
      <c r="BX620" s="408"/>
      <c r="BY620" s="408"/>
      <c r="BZ620" s="408"/>
      <c r="CA620" s="408"/>
      <c r="CB620" s="408"/>
      <c r="CC620" s="408"/>
      <c r="CD620" s="408"/>
      <c r="CE620" s="408"/>
      <c r="CF620" s="408"/>
      <c r="CG620" s="408"/>
      <c r="CH620" s="408"/>
      <c r="CI620" s="408">
        <v>16049.38</v>
      </c>
      <c r="CJ620" s="408">
        <v>-8520.5499999999975</v>
      </c>
      <c r="CK620" s="408"/>
      <c r="CL620" s="408"/>
      <c r="CM620" s="408"/>
      <c r="CN620" s="408"/>
      <c r="CO620" s="408">
        <v>-8520.5200000000023</v>
      </c>
      <c r="CP620" s="408">
        <v>0</v>
      </c>
      <c r="CQ620" s="408">
        <v>31</v>
      </c>
      <c r="CR620" s="408">
        <v>406.13261292143579</v>
      </c>
      <c r="CS620" s="408">
        <v>66.331778847883243</v>
      </c>
      <c r="CT620" s="408">
        <v>101.48486161641347</v>
      </c>
      <c r="CU620" s="408">
        <v>0</v>
      </c>
      <c r="CV620" s="408">
        <v>0</v>
      </c>
      <c r="CW620" s="408"/>
      <c r="CX620" s="408"/>
      <c r="CY620" s="408"/>
      <c r="CZ620" s="408">
        <v>238.31597245713965</v>
      </c>
      <c r="DA620" s="408">
        <v>0</v>
      </c>
      <c r="DB620" s="408">
        <v>0</v>
      </c>
      <c r="DC620" s="408"/>
      <c r="DD620" s="408"/>
      <c r="DE620" s="408">
        <v>0</v>
      </c>
      <c r="DF620" s="408">
        <v>0</v>
      </c>
      <c r="DG620" s="408">
        <v>0</v>
      </c>
      <c r="DH620" s="408">
        <v>0</v>
      </c>
      <c r="DI620" s="408">
        <v>0</v>
      </c>
      <c r="DJ620" s="408"/>
      <c r="DK620" s="408">
        <v>0</v>
      </c>
      <c r="DL620" s="408">
        <v>0</v>
      </c>
      <c r="DM620" s="408"/>
      <c r="DN620" s="408">
        <v>0</v>
      </c>
      <c r="DO620" s="408">
        <v>0</v>
      </c>
      <c r="DP620" s="408">
        <v>0</v>
      </c>
      <c r="DQ620" s="408">
        <v>0</v>
      </c>
      <c r="DR620" s="408">
        <v>0</v>
      </c>
      <c r="DS620" s="408"/>
      <c r="DT620" s="408"/>
      <c r="DU620" s="408">
        <v>15909.686842303283</v>
      </c>
      <c r="DV620" s="408"/>
      <c r="DW620" s="408">
        <v>0</v>
      </c>
      <c r="DX620" s="408">
        <v>0</v>
      </c>
      <c r="DY620" s="408">
        <v>-8520.5200000000023</v>
      </c>
      <c r="DZ620" s="408"/>
      <c r="EA620" s="408">
        <v>0</v>
      </c>
      <c r="EB620" s="408"/>
      <c r="EC620" s="408">
        <v>-8925.1704359553005</v>
      </c>
      <c r="ED620" s="408"/>
      <c r="EE620" s="408">
        <v>0</v>
      </c>
      <c r="EF620" s="408">
        <v>0</v>
      </c>
      <c r="EG620" s="408"/>
      <c r="EH620" s="408">
        <v>0</v>
      </c>
      <c r="EI620" s="408">
        <v>0</v>
      </c>
      <c r="EJ620" s="408">
        <v>0</v>
      </c>
      <c r="EK620" s="408">
        <v>0</v>
      </c>
      <c r="EL620" s="408">
        <v>0</v>
      </c>
      <c r="EM620" s="408"/>
      <c r="EN620" s="408"/>
      <c r="EO620" s="408">
        <v>0</v>
      </c>
      <c r="EP620" s="408">
        <v>0</v>
      </c>
      <c r="EQ620" s="408"/>
      <c r="ER620" s="408">
        <v>0</v>
      </c>
      <c r="ES620" s="408"/>
      <c r="ET620" s="408">
        <v>0</v>
      </c>
      <c r="EU620" s="408"/>
      <c r="EV620" s="408">
        <v>238</v>
      </c>
      <c r="EW620" s="408"/>
      <c r="EX620" s="408"/>
      <c r="EY620" s="408"/>
      <c r="EZ620" s="408"/>
      <c r="FA620" s="408">
        <v>0</v>
      </c>
      <c r="FB620" s="408"/>
      <c r="FC620" s="408"/>
      <c r="FD620" s="408"/>
      <c r="FE620" s="408"/>
      <c r="FF620" s="408">
        <v>0</v>
      </c>
      <c r="FG620" s="408">
        <v>0</v>
      </c>
      <c r="FH620" s="408">
        <v>0</v>
      </c>
      <c r="FI620" s="408">
        <v>0</v>
      </c>
    </row>
    <row r="621" spans="1:165">
      <c r="A621" s="408">
        <v>625</v>
      </c>
      <c r="B621" s="408" t="s">
        <v>1036</v>
      </c>
      <c r="C621" s="408" t="s">
        <v>2235</v>
      </c>
      <c r="D621" s="408" t="s">
        <v>2245</v>
      </c>
      <c r="E621" s="408" t="s">
        <v>974</v>
      </c>
      <c r="F621" s="408" t="s">
        <v>1322</v>
      </c>
      <c r="G621" s="408" t="s">
        <v>1322</v>
      </c>
      <c r="H621" s="408" t="s">
        <v>1322</v>
      </c>
      <c r="I621" s="408" t="s">
        <v>1322</v>
      </c>
      <c r="J621" s="408" t="s">
        <v>2236</v>
      </c>
      <c r="K621" s="824">
        <v>44682</v>
      </c>
      <c r="L621" s="408">
        <v>0</v>
      </c>
      <c r="M621" s="408">
        <v>0</v>
      </c>
      <c r="N621" s="408">
        <v>3569.2060000000001</v>
      </c>
      <c r="O621" s="408">
        <v>3569.2060000000001</v>
      </c>
      <c r="P621" s="408">
        <v>3569.2060000000001</v>
      </c>
      <c r="Q621" s="408">
        <v>3569.2060000000001</v>
      </c>
      <c r="R621" s="408"/>
      <c r="S621" s="408">
        <v>581.32000000000005</v>
      </c>
      <c r="T621" s="408">
        <v>209.4</v>
      </c>
      <c r="U621" s="408"/>
      <c r="V621" s="408">
        <v>2822242.5683200005</v>
      </c>
      <c r="W621" s="408">
        <v>2822242.5683200005</v>
      </c>
      <c r="X621" s="408">
        <v>2156050.2684200001</v>
      </c>
      <c r="Y621" s="408">
        <v>0</v>
      </c>
      <c r="Z621" s="408">
        <v>219641.46859320113</v>
      </c>
      <c r="AA621" s="408">
        <v>0</v>
      </c>
      <c r="AB621" s="408">
        <v>0</v>
      </c>
      <c r="AC621" s="408">
        <v>0</v>
      </c>
      <c r="AD621" s="408">
        <v>264803.47915208986</v>
      </c>
      <c r="AE621" s="408">
        <v>1375590.951628949</v>
      </c>
      <c r="AF621" s="408">
        <v>737579.08178180119</v>
      </c>
      <c r="AG621" s="408">
        <v>9825.8990679693816</v>
      </c>
      <c r="AH621" s="408">
        <v>0</v>
      </c>
      <c r="AI621" s="408">
        <v>0</v>
      </c>
      <c r="AJ621" s="408">
        <v>0</v>
      </c>
      <c r="AK621" s="408">
        <v>0</v>
      </c>
      <c r="AL621" s="408">
        <v>33941.72724938867</v>
      </c>
      <c r="AM621" s="408"/>
      <c r="AN621" s="408">
        <v>6506.5351738422978</v>
      </c>
      <c r="AO621" s="408">
        <v>20342.620979229519</v>
      </c>
      <c r="AP621" s="408">
        <v>30642.311553832573</v>
      </c>
      <c r="AQ621" s="408">
        <v>0</v>
      </c>
      <c r="AR621" s="408">
        <v>0</v>
      </c>
      <c r="AS621" s="408">
        <v>0</v>
      </c>
      <c r="AT621" s="408">
        <v>0</v>
      </c>
      <c r="AU621" s="408">
        <v>0</v>
      </c>
      <c r="AV621" s="408">
        <v>0</v>
      </c>
      <c r="AW621" s="408">
        <v>0</v>
      </c>
      <c r="AX621" s="408">
        <v>0</v>
      </c>
      <c r="AY621" s="408">
        <v>0</v>
      </c>
      <c r="AZ621" s="408">
        <v>0</v>
      </c>
      <c r="BA621" s="408"/>
      <c r="BB621" s="408">
        <v>0</v>
      </c>
      <c r="BC621" s="408">
        <v>0</v>
      </c>
      <c r="BD621" s="408">
        <v>0</v>
      </c>
      <c r="BE621" s="408">
        <v>0</v>
      </c>
      <c r="BF621" s="408">
        <v>0</v>
      </c>
      <c r="BG621" s="408">
        <v>123395.60154999167</v>
      </c>
      <c r="BH621" s="408">
        <v>0</v>
      </c>
      <c r="BI621" s="408">
        <v>4118.4399999999996</v>
      </c>
      <c r="BJ621" s="408">
        <v>19338.87</v>
      </c>
      <c r="BK621" s="408">
        <v>196001.81</v>
      </c>
      <c r="BL621" s="408">
        <v>13347</v>
      </c>
      <c r="BM621" s="408"/>
      <c r="BN621" s="408"/>
      <c r="BO621" s="408"/>
      <c r="BP621" s="408"/>
      <c r="BQ621" s="408"/>
      <c r="BR621" s="408">
        <v>258731.74293999973</v>
      </c>
      <c r="BS621" s="408"/>
      <c r="BT621" s="408"/>
      <c r="BU621" s="408"/>
      <c r="BV621" s="408">
        <v>860974.68333179282</v>
      </c>
      <c r="BW621" s="408"/>
      <c r="BX621" s="408"/>
      <c r="BY621" s="408"/>
      <c r="BZ621" s="408"/>
      <c r="CA621" s="408"/>
      <c r="CB621" s="408"/>
      <c r="CC621" s="408"/>
      <c r="CD621" s="408"/>
      <c r="CE621" s="408"/>
      <c r="CF621" s="408"/>
      <c r="CG621" s="408"/>
      <c r="CH621" s="408"/>
      <c r="CI621" s="408">
        <v>1897320.6518000001</v>
      </c>
      <c r="CJ621" s="408">
        <v>-586311.37329999963</v>
      </c>
      <c r="CK621" s="408"/>
      <c r="CL621" s="408"/>
      <c r="CM621" s="408"/>
      <c r="CN621" s="408"/>
      <c r="CO621" s="408">
        <v>-747677.2728800003</v>
      </c>
      <c r="CP621" s="408">
        <v>81484.972979999948</v>
      </c>
      <c r="CQ621" s="408">
        <v>31</v>
      </c>
      <c r="CR621" s="408">
        <v>105448.16059814184</v>
      </c>
      <c r="CS621" s="408">
        <v>2456.0059365331872</v>
      </c>
      <c r="CT621" s="408">
        <v>3699.5084931362508</v>
      </c>
      <c r="CU621" s="408">
        <v>0</v>
      </c>
      <c r="CV621" s="408">
        <v>0</v>
      </c>
      <c r="CW621" s="408">
        <v>0</v>
      </c>
      <c r="CX621" s="408">
        <v>0</v>
      </c>
      <c r="CY621" s="408">
        <v>0</v>
      </c>
      <c r="CZ621" s="408">
        <v>8680.9035607118858</v>
      </c>
      <c r="DA621" s="408">
        <v>0</v>
      </c>
      <c r="DB621" s="408">
        <v>0</v>
      </c>
      <c r="DC621" s="408">
        <v>81460.288802308845</v>
      </c>
      <c r="DD621" s="408">
        <v>0</v>
      </c>
      <c r="DE621" s="408">
        <v>0</v>
      </c>
      <c r="DF621" s="408">
        <v>0</v>
      </c>
      <c r="DG621" s="408">
        <v>13628.154034566571</v>
      </c>
      <c r="DH621" s="408">
        <v>0</v>
      </c>
      <c r="DI621" s="408">
        <v>-3828.8170601664751</v>
      </c>
      <c r="DJ621" s="408"/>
      <c r="DK621" s="408">
        <v>0</v>
      </c>
      <c r="DL621" s="408">
        <v>0</v>
      </c>
      <c r="DM621" s="408">
        <v>0</v>
      </c>
      <c r="DN621" s="408">
        <v>0</v>
      </c>
      <c r="DO621" s="408">
        <v>-497.44900628591859</v>
      </c>
      <c r="DP621" s="408">
        <v>-150.43416266246277</v>
      </c>
      <c r="DQ621" s="408">
        <v>0</v>
      </c>
      <c r="DR621" s="408">
        <v>0</v>
      </c>
      <c r="DS621" s="408"/>
      <c r="DT621" s="408"/>
      <c r="DU621" s="408"/>
      <c r="DV621" s="408">
        <v>1375590.951628949</v>
      </c>
      <c r="DW621" s="408">
        <v>0</v>
      </c>
      <c r="DX621" s="408">
        <v>0</v>
      </c>
      <c r="DY621" s="408">
        <v>-747677.2728800003</v>
      </c>
      <c r="DZ621" s="408">
        <v>81484.972979999962</v>
      </c>
      <c r="EA621" s="408">
        <v>0</v>
      </c>
      <c r="EB621" s="408">
        <v>0</v>
      </c>
      <c r="EC621" s="408">
        <v>-771692.35417011392</v>
      </c>
      <c r="ED621" s="408">
        <v>0</v>
      </c>
      <c r="EE621" s="408">
        <v>0</v>
      </c>
      <c r="EF621" s="408">
        <v>0</v>
      </c>
      <c r="EG621" s="408">
        <v>0</v>
      </c>
      <c r="EH621" s="408">
        <v>0</v>
      </c>
      <c r="EI621" s="408">
        <v>0</v>
      </c>
      <c r="EJ621" s="408">
        <v>0</v>
      </c>
      <c r="EK621" s="408">
        <v>0</v>
      </c>
      <c r="EL621" s="408">
        <v>0</v>
      </c>
      <c r="EM621" s="408">
        <v>0</v>
      </c>
      <c r="EN621" s="408">
        <v>0</v>
      </c>
      <c r="EO621" s="408">
        <v>0</v>
      </c>
      <c r="EP621" s="408">
        <v>0</v>
      </c>
      <c r="EQ621" s="408">
        <v>0</v>
      </c>
      <c r="ER621" s="408">
        <v>0</v>
      </c>
      <c r="ES621" s="408">
        <v>0</v>
      </c>
      <c r="ET621" s="408">
        <v>0</v>
      </c>
      <c r="EU621" s="408">
        <v>0</v>
      </c>
      <c r="EV621" s="408">
        <v>238</v>
      </c>
      <c r="EW621" s="408">
        <v>0</v>
      </c>
      <c r="EX621" s="408">
        <v>0</v>
      </c>
      <c r="EY621" s="408">
        <v>0</v>
      </c>
      <c r="EZ621" s="408"/>
      <c r="FA621" s="408">
        <v>0</v>
      </c>
      <c r="FB621" s="408"/>
      <c r="FC621" s="408"/>
      <c r="FD621" s="408"/>
      <c r="FE621" s="408"/>
      <c r="FF621" s="408">
        <v>0</v>
      </c>
      <c r="FG621" s="408">
        <v>0</v>
      </c>
      <c r="FH621" s="408">
        <v>0</v>
      </c>
      <c r="FI621" s="408">
        <v>0</v>
      </c>
    </row>
    <row r="622" spans="1:165">
      <c r="A622" s="408">
        <v>626</v>
      </c>
      <c r="B622" s="408" t="s">
        <v>2237</v>
      </c>
      <c r="C622" s="408" t="s">
        <v>2235</v>
      </c>
      <c r="D622" s="408" t="s">
        <v>2245</v>
      </c>
      <c r="E622" s="408" t="s">
        <v>974</v>
      </c>
      <c r="F622" s="408" t="s">
        <v>1322</v>
      </c>
      <c r="G622" s="408" t="s">
        <v>1322</v>
      </c>
      <c r="H622" s="408" t="s">
        <v>1322</v>
      </c>
      <c r="I622" s="408" t="s">
        <v>1322</v>
      </c>
      <c r="J622" s="408" t="s">
        <v>2236</v>
      </c>
      <c r="K622" s="824">
        <v>44682</v>
      </c>
      <c r="L622" s="408">
        <v>0</v>
      </c>
      <c r="M622" s="408">
        <v>0</v>
      </c>
      <c r="N622" s="408">
        <v>-6.7149999999999999</v>
      </c>
      <c r="O622" s="408">
        <v>-6.7149999999999999</v>
      </c>
      <c r="P622" s="408">
        <v>-6.7149999999999999</v>
      </c>
      <c r="Q622" s="408">
        <v>-6.7149999999999999</v>
      </c>
      <c r="R622" s="408"/>
      <c r="S622" s="408">
        <v>581.32000000000005</v>
      </c>
      <c r="T622" s="408">
        <v>209.4</v>
      </c>
      <c r="U622" s="408"/>
      <c r="V622" s="408">
        <v>-5309.6848000000009</v>
      </c>
      <c r="W622" s="408">
        <v>-5309.6848000000009</v>
      </c>
      <c r="X622" s="408">
        <v>-4056.3300499999996</v>
      </c>
      <c r="Y622" s="408">
        <v>0</v>
      </c>
      <c r="Z622" s="408">
        <v>-413.2270487058874</v>
      </c>
      <c r="AA622" s="408">
        <v>0</v>
      </c>
      <c r="AB622" s="408">
        <v>0</v>
      </c>
      <c r="AC622" s="408">
        <v>0</v>
      </c>
      <c r="AD622" s="408">
        <v>-498.19353730389435</v>
      </c>
      <c r="AE622" s="408">
        <v>-2587.9966693400138</v>
      </c>
      <c r="AF622" s="408">
        <v>-1387.6597579867328</v>
      </c>
      <c r="AG622" s="408">
        <v>-18.486159734522019</v>
      </c>
      <c r="AH622" s="408">
        <v>0</v>
      </c>
      <c r="AI622" s="408">
        <v>0</v>
      </c>
      <c r="AJ622" s="408">
        <v>0</v>
      </c>
      <c r="AK622" s="408">
        <v>0</v>
      </c>
      <c r="AL622" s="408">
        <v>-63.856975047011822</v>
      </c>
      <c r="AM622" s="408"/>
      <c r="AN622" s="408">
        <v>-12.241205380790861</v>
      </c>
      <c r="AO622" s="408">
        <v>-38.272013404529247</v>
      </c>
      <c r="AP622" s="408">
        <v>-57.649550651877682</v>
      </c>
      <c r="AQ622" s="408">
        <v>0</v>
      </c>
      <c r="AR622" s="408">
        <v>0</v>
      </c>
      <c r="AS622" s="408">
        <v>0</v>
      </c>
      <c r="AT622" s="408">
        <v>0</v>
      </c>
      <c r="AU622" s="408">
        <v>0</v>
      </c>
      <c r="AV622" s="408">
        <v>0</v>
      </c>
      <c r="AW622" s="408">
        <v>0</v>
      </c>
      <c r="AX622" s="408">
        <v>0</v>
      </c>
      <c r="AY622" s="408">
        <v>0</v>
      </c>
      <c r="AZ622" s="408">
        <v>0</v>
      </c>
      <c r="BA622" s="408"/>
      <c r="BB622" s="408">
        <v>0</v>
      </c>
      <c r="BC622" s="408">
        <v>0</v>
      </c>
      <c r="BD622" s="408">
        <v>0</v>
      </c>
      <c r="BE622" s="408">
        <v>0</v>
      </c>
      <c r="BF622" s="408">
        <v>0</v>
      </c>
      <c r="BG622" s="408">
        <v>-232.1528834167022</v>
      </c>
      <c r="BH622" s="408">
        <v>0</v>
      </c>
      <c r="BI622" s="408">
        <v>-11.99</v>
      </c>
      <c r="BJ622" s="408">
        <v>-61.81</v>
      </c>
      <c r="BK622" s="408">
        <v>-53.7</v>
      </c>
      <c r="BL622" s="408">
        <v>0</v>
      </c>
      <c r="BM622" s="408"/>
      <c r="BN622" s="408"/>
      <c r="BO622" s="408"/>
      <c r="BP622" s="408"/>
      <c r="BQ622" s="408"/>
      <c r="BR622" s="408">
        <v>-486.77034999999944</v>
      </c>
      <c r="BS622" s="408"/>
      <c r="BT622" s="408"/>
      <c r="BU622" s="408"/>
      <c r="BV622" s="408">
        <v>-1619.812641403435</v>
      </c>
      <c r="BW622" s="408"/>
      <c r="BX622" s="408"/>
      <c r="BY622" s="408"/>
      <c r="BZ622" s="408"/>
      <c r="CA622" s="408"/>
      <c r="CB622" s="408"/>
      <c r="CC622" s="408"/>
      <c r="CD622" s="408"/>
      <c r="CE622" s="408"/>
      <c r="CF622" s="408"/>
      <c r="CG622" s="408"/>
      <c r="CH622" s="408"/>
      <c r="CI622" s="408">
        <v>-3572.2175999999999</v>
      </c>
      <c r="CJ622" s="408">
        <v>1100.3851499999992</v>
      </c>
      <c r="CK622" s="408"/>
      <c r="CL622" s="408"/>
      <c r="CM622" s="408"/>
      <c r="CN622" s="408"/>
      <c r="CO622" s="408">
        <v>1406.6582000000005</v>
      </c>
      <c r="CP622" s="408">
        <v>-153.30344999999988</v>
      </c>
      <c r="CQ622" s="408">
        <v>31</v>
      </c>
      <c r="CR622" s="408">
        <v>-198.38709181160266</v>
      </c>
      <c r="CS622" s="408">
        <v>-4.6206578896876067</v>
      </c>
      <c r="CT622" s="408">
        <v>-6.9601473076672775</v>
      </c>
      <c r="CU622" s="408">
        <v>0</v>
      </c>
      <c r="CV622" s="408">
        <v>0</v>
      </c>
      <c r="CW622" s="408">
        <v>0</v>
      </c>
      <c r="CX622" s="408">
        <v>0</v>
      </c>
      <c r="CY622" s="408">
        <v>0</v>
      </c>
      <c r="CZ622" s="408">
        <v>-16.331998604221781</v>
      </c>
      <c r="DA622" s="408">
        <v>0</v>
      </c>
      <c r="DB622" s="408">
        <v>0</v>
      </c>
      <c r="DC622" s="408">
        <v>-153.25700990850737</v>
      </c>
      <c r="DD622" s="408">
        <v>0</v>
      </c>
      <c r="DE622" s="408">
        <v>0</v>
      </c>
      <c r="DF622" s="408">
        <v>0</v>
      </c>
      <c r="DG622" s="408">
        <v>-25.639611258670584</v>
      </c>
      <c r="DH622" s="408">
        <v>0</v>
      </c>
      <c r="DI622" s="408">
        <v>7.2034246717667543</v>
      </c>
      <c r="DJ622" s="408"/>
      <c r="DK622" s="408">
        <v>0</v>
      </c>
      <c r="DL622" s="408">
        <v>0</v>
      </c>
      <c r="DM622" s="408">
        <v>0</v>
      </c>
      <c r="DN622" s="408">
        <v>0</v>
      </c>
      <c r="DO622" s="408">
        <v>0.93588604222056659</v>
      </c>
      <c r="DP622" s="408">
        <v>0.28302244316479275</v>
      </c>
      <c r="DQ622" s="408">
        <v>0</v>
      </c>
      <c r="DR622" s="408">
        <v>0</v>
      </c>
      <c r="DS622" s="408"/>
      <c r="DT622" s="408"/>
      <c r="DU622" s="408"/>
      <c r="DV622" s="408">
        <v>-2587.9966693400138</v>
      </c>
      <c r="DW622" s="408">
        <v>0</v>
      </c>
      <c r="DX622" s="408">
        <v>0</v>
      </c>
      <c r="DY622" s="408">
        <v>1406.6582000000008</v>
      </c>
      <c r="DZ622" s="408">
        <v>-153.30344999999988</v>
      </c>
      <c r="EA622" s="408">
        <v>0</v>
      </c>
      <c r="EB622" s="408">
        <v>0</v>
      </c>
      <c r="EC622" s="408">
        <v>1451.8394730515179</v>
      </c>
      <c r="ED622" s="408">
        <v>0</v>
      </c>
      <c r="EE622" s="408">
        <v>0</v>
      </c>
      <c r="EF622" s="408">
        <v>0</v>
      </c>
      <c r="EG622" s="408">
        <v>0</v>
      </c>
      <c r="EH622" s="408">
        <v>0</v>
      </c>
      <c r="EI622" s="408">
        <v>0</v>
      </c>
      <c r="EJ622" s="408">
        <v>0</v>
      </c>
      <c r="EK622" s="408">
        <v>0</v>
      </c>
      <c r="EL622" s="408">
        <v>0</v>
      </c>
      <c r="EM622" s="408">
        <v>0</v>
      </c>
      <c r="EN622" s="408">
        <v>0</v>
      </c>
      <c r="EO622" s="408">
        <v>0</v>
      </c>
      <c r="EP622" s="408">
        <v>0</v>
      </c>
      <c r="EQ622" s="408">
        <v>0</v>
      </c>
      <c r="ER622" s="408">
        <v>0</v>
      </c>
      <c r="ES622" s="408">
        <v>0</v>
      </c>
      <c r="ET622" s="408">
        <v>0</v>
      </c>
      <c r="EU622" s="408">
        <v>0</v>
      </c>
      <c r="EV622" s="408">
        <v>238</v>
      </c>
      <c r="EW622" s="408">
        <v>0</v>
      </c>
      <c r="EX622" s="408">
        <v>0</v>
      </c>
      <c r="EY622" s="408">
        <v>0</v>
      </c>
      <c r="EZ622" s="408"/>
      <c r="FA622" s="408">
        <v>0</v>
      </c>
      <c r="FB622" s="408"/>
      <c r="FC622" s="408"/>
      <c r="FD622" s="408"/>
      <c r="FE622" s="408"/>
      <c r="FF622" s="408">
        <v>0</v>
      </c>
      <c r="FG622" s="408">
        <v>0</v>
      </c>
      <c r="FH622" s="408">
        <v>0</v>
      </c>
      <c r="FI622" s="408">
        <v>0</v>
      </c>
    </row>
    <row r="623" spans="1:165">
      <c r="A623" s="408">
        <v>627</v>
      </c>
      <c r="B623" s="408" t="s">
        <v>2238</v>
      </c>
      <c r="C623" s="408" t="s">
        <v>2235</v>
      </c>
      <c r="D623" s="408" t="s">
        <v>2245</v>
      </c>
      <c r="E623" s="408" t="s">
        <v>974</v>
      </c>
      <c r="F623" s="408" t="s">
        <v>1322</v>
      </c>
      <c r="G623" s="408" t="s">
        <v>1322</v>
      </c>
      <c r="H623" s="408" t="s">
        <v>1322</v>
      </c>
      <c r="I623" s="408" t="s">
        <v>1322</v>
      </c>
      <c r="J623" s="408" t="s">
        <v>2236</v>
      </c>
      <c r="K623" s="824">
        <v>44682</v>
      </c>
      <c r="L623" s="408">
        <v>0</v>
      </c>
      <c r="M623" s="408">
        <v>0</v>
      </c>
      <c r="N623" s="408">
        <v>203.92</v>
      </c>
      <c r="O623" s="408">
        <v>203.92</v>
      </c>
      <c r="P623" s="408">
        <v>203.92</v>
      </c>
      <c r="Q623" s="408">
        <v>203.92</v>
      </c>
      <c r="R623" s="408"/>
      <c r="S623" s="408">
        <v>581.32000000000005</v>
      </c>
      <c r="T623" s="408">
        <v>209.4</v>
      </c>
      <c r="U623" s="408"/>
      <c r="V623" s="408">
        <v>161243.62239999999</v>
      </c>
      <c r="W623" s="408">
        <v>161243.62239999999</v>
      </c>
      <c r="X623" s="408">
        <v>123181.95439999999</v>
      </c>
      <c r="Y623" s="408">
        <v>0</v>
      </c>
      <c r="Z623" s="408">
        <v>12548.810092644013</v>
      </c>
      <c r="AA623" s="408">
        <v>0</v>
      </c>
      <c r="AB623" s="408">
        <v>0</v>
      </c>
      <c r="AC623" s="408">
        <v>0</v>
      </c>
      <c r="AD623" s="408">
        <v>15129.05824676249</v>
      </c>
      <c r="AE623" s="408">
        <v>78591.851200568213</v>
      </c>
      <c r="AF623" s="408">
        <v>42140.220081705818</v>
      </c>
      <c r="AG623" s="408">
        <v>561.38461549720466</v>
      </c>
      <c r="AH623" s="408">
        <v>0</v>
      </c>
      <c r="AI623" s="408">
        <v>0</v>
      </c>
      <c r="AJ623" s="408">
        <v>0</v>
      </c>
      <c r="AK623" s="408">
        <v>0</v>
      </c>
      <c r="AL623" s="408">
        <v>1939.1979674738125</v>
      </c>
      <c r="AM623" s="408"/>
      <c r="AN623" s="408">
        <v>371.73888328382316</v>
      </c>
      <c r="AO623" s="408">
        <v>1162.2381196502761</v>
      </c>
      <c r="AP623" s="408">
        <v>1750.6919387834544</v>
      </c>
      <c r="AQ623" s="408">
        <v>0</v>
      </c>
      <c r="AR623" s="408">
        <v>0</v>
      </c>
      <c r="AS623" s="408">
        <v>0</v>
      </c>
      <c r="AT623" s="408">
        <v>0</v>
      </c>
      <c r="AU623" s="408">
        <v>0</v>
      </c>
      <c r="AV623" s="408">
        <v>0</v>
      </c>
      <c r="AW623" s="408">
        <v>0</v>
      </c>
      <c r="AX623" s="408">
        <v>0</v>
      </c>
      <c r="AY623" s="408">
        <v>0</v>
      </c>
      <c r="AZ623" s="408">
        <v>0</v>
      </c>
      <c r="BA623" s="408"/>
      <c r="BB623" s="408">
        <v>0</v>
      </c>
      <c r="BC623" s="408">
        <v>0</v>
      </c>
      <c r="BD623" s="408">
        <v>0</v>
      </c>
      <c r="BE623" s="408">
        <v>0</v>
      </c>
      <c r="BF623" s="408">
        <v>0</v>
      </c>
      <c r="BG623" s="408">
        <v>7049.9800426409402</v>
      </c>
      <c r="BH623" s="408">
        <v>0</v>
      </c>
      <c r="BI623" s="408">
        <v>243.2</v>
      </c>
      <c r="BJ623" s="408">
        <v>1146.47</v>
      </c>
      <c r="BK623" s="408">
        <v>9374.5499999999993</v>
      </c>
      <c r="BL623" s="408">
        <v>1017</v>
      </c>
      <c r="BM623" s="408"/>
      <c r="BN623" s="408"/>
      <c r="BO623" s="408"/>
      <c r="BP623" s="408"/>
      <c r="BQ623" s="408"/>
      <c r="BR623" s="408">
        <v>14782.160799999983</v>
      </c>
      <c r="BS623" s="408"/>
      <c r="BT623" s="408"/>
      <c r="BU623" s="408"/>
      <c r="BV623" s="408">
        <v>49190.20012434676</v>
      </c>
      <c r="BW623" s="408"/>
      <c r="BX623" s="408"/>
      <c r="BY623" s="408"/>
      <c r="BZ623" s="408"/>
      <c r="CA623" s="408"/>
      <c r="CB623" s="408"/>
      <c r="CC623" s="408"/>
      <c r="CD623" s="408"/>
      <c r="CE623" s="408"/>
      <c r="CF623" s="408"/>
      <c r="CG623" s="408"/>
      <c r="CH623" s="408"/>
      <c r="CI623" s="408">
        <v>108399.7936</v>
      </c>
      <c r="CJ623" s="408">
        <v>-33497.968399999983</v>
      </c>
      <c r="CK623" s="408"/>
      <c r="CL623" s="408"/>
      <c r="CM623" s="408"/>
      <c r="CN623" s="408"/>
      <c r="CO623" s="408">
        <v>-42717.161600000014</v>
      </c>
      <c r="CP623" s="408">
        <v>4655.4935999999961</v>
      </c>
      <c r="CQ623" s="408">
        <v>31</v>
      </c>
      <c r="CR623" s="408">
        <v>6024.5861149995617</v>
      </c>
      <c r="CS623" s="408">
        <v>140.31936811096011</v>
      </c>
      <c r="CT623" s="408">
        <v>211.36459255093268</v>
      </c>
      <c r="CU623" s="408">
        <v>0</v>
      </c>
      <c r="CV623" s="408">
        <v>0</v>
      </c>
      <c r="CW623" s="408">
        <v>0</v>
      </c>
      <c r="CX623" s="408">
        <v>0</v>
      </c>
      <c r="CY623" s="408">
        <v>0</v>
      </c>
      <c r="CZ623" s="408">
        <v>495.9674095864375</v>
      </c>
      <c r="DA623" s="408">
        <v>0</v>
      </c>
      <c r="DB623" s="408">
        <v>0</v>
      </c>
      <c r="DC623" s="408">
        <v>4654.0833150473263</v>
      </c>
      <c r="DD623" s="408">
        <v>0</v>
      </c>
      <c r="DE623" s="408">
        <v>0</v>
      </c>
      <c r="DF623" s="408">
        <v>0</v>
      </c>
      <c r="DG623" s="408">
        <v>778.61943825288108</v>
      </c>
      <c r="DH623" s="408">
        <v>0</v>
      </c>
      <c r="DI623" s="408">
        <v>-218.75239896748462</v>
      </c>
      <c r="DJ623" s="408"/>
      <c r="DK623" s="408">
        <v>0</v>
      </c>
      <c r="DL623" s="408">
        <v>0</v>
      </c>
      <c r="DM623" s="408">
        <v>0</v>
      </c>
      <c r="DN623" s="408">
        <v>0</v>
      </c>
      <c r="DO623" s="408">
        <v>-28.420831233003582</v>
      </c>
      <c r="DP623" s="408">
        <v>-8.594778348498096</v>
      </c>
      <c r="DQ623" s="408">
        <v>0</v>
      </c>
      <c r="DR623" s="408">
        <v>0</v>
      </c>
      <c r="DS623" s="408"/>
      <c r="DT623" s="408"/>
      <c r="DU623" s="408"/>
      <c r="DV623" s="408">
        <v>78591.851200568213</v>
      </c>
      <c r="DW623" s="408">
        <v>0</v>
      </c>
      <c r="DX623" s="408">
        <v>0</v>
      </c>
      <c r="DY623" s="408">
        <v>-42717.161600000021</v>
      </c>
      <c r="DZ623" s="408">
        <v>4655.4935999999943</v>
      </c>
      <c r="EA623" s="408">
        <v>0</v>
      </c>
      <c r="EB623" s="408">
        <v>0</v>
      </c>
      <c r="EC623" s="408">
        <v>-44089.2189642093</v>
      </c>
      <c r="ED623" s="408">
        <v>0</v>
      </c>
      <c r="EE623" s="408">
        <v>0</v>
      </c>
      <c r="EF623" s="408">
        <v>0</v>
      </c>
      <c r="EG623" s="408">
        <v>0</v>
      </c>
      <c r="EH623" s="408">
        <v>0</v>
      </c>
      <c r="EI623" s="408">
        <v>0</v>
      </c>
      <c r="EJ623" s="408">
        <v>0</v>
      </c>
      <c r="EK623" s="408">
        <v>0</v>
      </c>
      <c r="EL623" s="408">
        <v>0</v>
      </c>
      <c r="EM623" s="408">
        <v>0</v>
      </c>
      <c r="EN623" s="408">
        <v>0</v>
      </c>
      <c r="EO623" s="408">
        <v>0</v>
      </c>
      <c r="EP623" s="408">
        <v>0</v>
      </c>
      <c r="EQ623" s="408">
        <v>0</v>
      </c>
      <c r="ER623" s="408">
        <v>0</v>
      </c>
      <c r="ES623" s="408">
        <v>0</v>
      </c>
      <c r="ET623" s="408">
        <v>0</v>
      </c>
      <c r="EU623" s="408">
        <v>0</v>
      </c>
      <c r="EV623" s="408">
        <v>238</v>
      </c>
      <c r="EW623" s="408">
        <v>0</v>
      </c>
      <c r="EX623" s="408">
        <v>0</v>
      </c>
      <c r="EY623" s="408">
        <v>0</v>
      </c>
      <c r="EZ623" s="408"/>
      <c r="FA623" s="408">
        <v>0</v>
      </c>
      <c r="FB623" s="408"/>
      <c r="FC623" s="408"/>
      <c r="FD623" s="408"/>
      <c r="FE623" s="408"/>
      <c r="FF623" s="408">
        <v>0</v>
      </c>
      <c r="FG623" s="408">
        <v>0</v>
      </c>
      <c r="FH623" s="408">
        <v>0</v>
      </c>
      <c r="FI623" s="408">
        <v>0</v>
      </c>
    </row>
    <row r="624" spans="1:165">
      <c r="A624" s="408">
        <v>628</v>
      </c>
      <c r="B624" s="408" t="s">
        <v>2238</v>
      </c>
      <c r="C624" s="408" t="s">
        <v>2235</v>
      </c>
      <c r="D624" s="408" t="s">
        <v>2245</v>
      </c>
      <c r="E624" s="408" t="s">
        <v>974</v>
      </c>
      <c r="F624" s="408" t="s">
        <v>1322</v>
      </c>
      <c r="G624" s="408" t="s">
        <v>1322</v>
      </c>
      <c r="H624" s="408" t="s">
        <v>1322</v>
      </c>
      <c r="I624" s="408" t="s">
        <v>1322</v>
      </c>
      <c r="J624" s="408" t="s">
        <v>2236</v>
      </c>
      <c r="K624" s="824">
        <v>44682</v>
      </c>
      <c r="L624" s="408">
        <v>0</v>
      </c>
      <c r="M624" s="408">
        <v>0</v>
      </c>
      <c r="N624" s="408">
        <v>0.1</v>
      </c>
      <c r="O624" s="408">
        <v>0.1</v>
      </c>
      <c r="P624" s="408">
        <v>0.1</v>
      </c>
      <c r="Q624" s="408">
        <v>0.1</v>
      </c>
      <c r="R624" s="408"/>
      <c r="S624" s="408">
        <v>581.32000000000005</v>
      </c>
      <c r="T624" s="408">
        <v>209.4</v>
      </c>
      <c r="U624" s="408"/>
      <c r="V624" s="408">
        <v>79.072000000000003</v>
      </c>
      <c r="W624" s="408">
        <v>79.072000000000003</v>
      </c>
      <c r="X624" s="408">
        <v>60.406999999999996</v>
      </c>
      <c r="Y624" s="408">
        <v>0</v>
      </c>
      <c r="Z624" s="408">
        <v>6.1537907476677205</v>
      </c>
      <c r="AA624" s="408">
        <v>0</v>
      </c>
      <c r="AB624" s="408">
        <v>0</v>
      </c>
      <c r="AC624" s="408">
        <v>0</v>
      </c>
      <c r="AD624" s="408">
        <v>7.4191144795814497</v>
      </c>
      <c r="AE624" s="408">
        <v>38.540531188980104</v>
      </c>
      <c r="AF624" s="408">
        <v>20.665074579102502</v>
      </c>
      <c r="AG624" s="408">
        <v>0.275296496418794</v>
      </c>
      <c r="AH624" s="408">
        <v>0</v>
      </c>
      <c r="AI624" s="408">
        <v>0</v>
      </c>
      <c r="AJ624" s="408">
        <v>0</v>
      </c>
      <c r="AK624" s="408">
        <v>0</v>
      </c>
      <c r="AL624" s="408">
        <v>0.95096016451246212</v>
      </c>
      <c r="AM624" s="408"/>
      <c r="AN624" s="408">
        <v>0.182296431582887</v>
      </c>
      <c r="AO624" s="408">
        <v>0.56994807750602006</v>
      </c>
      <c r="AP624" s="408">
        <v>0.85851899704955592</v>
      </c>
      <c r="AQ624" s="408">
        <v>0</v>
      </c>
      <c r="AR624" s="408">
        <v>0</v>
      </c>
      <c r="AS624" s="408">
        <v>0</v>
      </c>
      <c r="AT624" s="408">
        <v>0</v>
      </c>
      <c r="AU624" s="408">
        <v>0</v>
      </c>
      <c r="AV624" s="408">
        <v>0</v>
      </c>
      <c r="AW624" s="408">
        <v>0</v>
      </c>
      <c r="AX624" s="408">
        <v>0</v>
      </c>
      <c r="AY624" s="408">
        <v>0</v>
      </c>
      <c r="AZ624" s="408">
        <v>0</v>
      </c>
      <c r="BA624" s="408"/>
      <c r="BB624" s="408">
        <v>0</v>
      </c>
      <c r="BC624" s="408">
        <v>0</v>
      </c>
      <c r="BD624" s="408">
        <v>0</v>
      </c>
      <c r="BE624" s="408">
        <v>0</v>
      </c>
      <c r="BF624" s="408">
        <v>0</v>
      </c>
      <c r="BG624" s="408">
        <v>3.4572283457438902</v>
      </c>
      <c r="BH624" s="408">
        <v>0</v>
      </c>
      <c r="BI624" s="408">
        <v>0.19</v>
      </c>
      <c r="BJ624" s="408">
        <v>0.88</v>
      </c>
      <c r="BK624" s="408">
        <v>11.12</v>
      </c>
      <c r="BL624" s="408">
        <v>3</v>
      </c>
      <c r="BM624" s="408"/>
      <c r="BN624" s="408"/>
      <c r="BO624" s="408"/>
      <c r="BP624" s="408"/>
      <c r="BQ624" s="408"/>
      <c r="BR624" s="408">
        <v>7.2489999999999934</v>
      </c>
      <c r="BS624" s="408"/>
      <c r="BT624" s="408"/>
      <c r="BU624" s="408"/>
      <c r="BV624" s="408">
        <v>24.122302924846391</v>
      </c>
      <c r="BW624" s="408"/>
      <c r="BX624" s="408"/>
      <c r="BY624" s="408"/>
      <c r="BZ624" s="408"/>
      <c r="CA624" s="408"/>
      <c r="CB624" s="408"/>
      <c r="CC624" s="408"/>
      <c r="CD624" s="408"/>
      <c r="CE624" s="408"/>
      <c r="CF624" s="408"/>
      <c r="CG624" s="408"/>
      <c r="CH624" s="408"/>
      <c r="CI624" s="408">
        <v>53.158000000000001</v>
      </c>
      <c r="CJ624" s="408">
        <v>-16.457000000000008</v>
      </c>
      <c r="CK624" s="408"/>
      <c r="CL624" s="408"/>
      <c r="CM624" s="408"/>
      <c r="CN624" s="408"/>
      <c r="CO624" s="408">
        <v>-20.948000000000008</v>
      </c>
      <c r="CP624" s="408">
        <v>2.2829999999999986</v>
      </c>
      <c r="CQ624" s="408">
        <v>31</v>
      </c>
      <c r="CR624" s="408">
        <v>2.9543870709099522</v>
      </c>
      <c r="CS624" s="408">
        <v>6.8810988677402984E-2</v>
      </c>
      <c r="CT624" s="408">
        <v>0.10365074173741307</v>
      </c>
      <c r="CU624" s="408">
        <v>0</v>
      </c>
      <c r="CV624" s="408">
        <v>0</v>
      </c>
      <c r="CW624" s="408">
        <v>0</v>
      </c>
      <c r="CX624" s="408">
        <v>0</v>
      </c>
      <c r="CY624" s="408">
        <v>0</v>
      </c>
      <c r="CZ624" s="408">
        <v>0.24321665829072003</v>
      </c>
      <c r="DA624" s="408">
        <v>0</v>
      </c>
      <c r="DB624" s="408">
        <v>0</v>
      </c>
      <c r="DC624" s="408">
        <v>2.2823084126359987</v>
      </c>
      <c r="DD624" s="408">
        <v>0</v>
      </c>
      <c r="DE624" s="408">
        <v>0</v>
      </c>
      <c r="DF624" s="408">
        <v>0</v>
      </c>
      <c r="DG624" s="408">
        <v>0.38182593088116956</v>
      </c>
      <c r="DH624" s="408">
        <v>0</v>
      </c>
      <c r="DI624" s="408">
        <v>-0.10727363621395014</v>
      </c>
      <c r="DJ624" s="408"/>
      <c r="DK624" s="408">
        <v>0</v>
      </c>
      <c r="DL624" s="408">
        <v>0</v>
      </c>
      <c r="DM624" s="408">
        <v>0</v>
      </c>
      <c r="DN624" s="408">
        <v>0</v>
      </c>
      <c r="DO624" s="408">
        <v>-1.3937245602689163E-2</v>
      </c>
      <c r="DP624" s="408">
        <v>-4.2147794961249763E-3</v>
      </c>
      <c r="DQ624" s="408">
        <v>0</v>
      </c>
      <c r="DR624" s="408">
        <v>0</v>
      </c>
      <c r="DS624" s="408"/>
      <c r="DT624" s="408"/>
      <c r="DU624" s="408"/>
      <c r="DV624" s="408">
        <v>38.540531188980104</v>
      </c>
      <c r="DW624" s="408">
        <v>0</v>
      </c>
      <c r="DX624" s="408">
        <v>0</v>
      </c>
      <c r="DY624" s="408">
        <v>-20.948000000000008</v>
      </c>
      <c r="DZ624" s="408">
        <v>2.2829999999999977</v>
      </c>
      <c r="EA624" s="408">
        <v>0</v>
      </c>
      <c r="EB624" s="408">
        <v>0</v>
      </c>
      <c r="EC624" s="408">
        <v>-21.620840998533403</v>
      </c>
      <c r="ED624" s="408">
        <v>0</v>
      </c>
      <c r="EE624" s="408">
        <v>0</v>
      </c>
      <c r="EF624" s="408">
        <v>0</v>
      </c>
      <c r="EG624" s="408">
        <v>0</v>
      </c>
      <c r="EH624" s="408">
        <v>0</v>
      </c>
      <c r="EI624" s="408">
        <v>0</v>
      </c>
      <c r="EJ624" s="408">
        <v>0</v>
      </c>
      <c r="EK624" s="408">
        <v>0</v>
      </c>
      <c r="EL624" s="408">
        <v>0</v>
      </c>
      <c r="EM624" s="408">
        <v>0</v>
      </c>
      <c r="EN624" s="408">
        <v>0</v>
      </c>
      <c r="EO624" s="408">
        <v>0</v>
      </c>
      <c r="EP624" s="408">
        <v>0</v>
      </c>
      <c r="EQ624" s="408">
        <v>0</v>
      </c>
      <c r="ER624" s="408">
        <v>0</v>
      </c>
      <c r="ES624" s="408">
        <v>0</v>
      </c>
      <c r="ET624" s="408">
        <v>0</v>
      </c>
      <c r="EU624" s="408">
        <v>0</v>
      </c>
      <c r="EV624" s="408">
        <v>238</v>
      </c>
      <c r="EW624" s="408">
        <v>0</v>
      </c>
      <c r="EX624" s="408">
        <v>0</v>
      </c>
      <c r="EY624" s="408">
        <v>0</v>
      </c>
      <c r="EZ624" s="408"/>
      <c r="FA624" s="408">
        <v>0</v>
      </c>
      <c r="FB624" s="408"/>
      <c r="FC624" s="408"/>
      <c r="FD624" s="408"/>
      <c r="FE624" s="408"/>
      <c r="FF624" s="408">
        <v>0</v>
      </c>
      <c r="FG624" s="408">
        <v>0</v>
      </c>
      <c r="FH624" s="408">
        <v>0</v>
      </c>
      <c r="FI624" s="408">
        <v>0</v>
      </c>
    </row>
    <row r="625" spans="1:165">
      <c r="A625" s="408">
        <v>629</v>
      </c>
      <c r="B625" s="408" t="s">
        <v>1036</v>
      </c>
      <c r="C625" s="408" t="s">
        <v>2243</v>
      </c>
      <c r="D625" s="408" t="s">
        <v>597</v>
      </c>
      <c r="E625" s="408" t="s">
        <v>974</v>
      </c>
      <c r="F625" s="408" t="s">
        <v>1322</v>
      </c>
      <c r="G625" s="408" t="s">
        <v>1322</v>
      </c>
      <c r="H625" s="408" t="s">
        <v>1322</v>
      </c>
      <c r="I625" s="408" t="s">
        <v>973</v>
      </c>
      <c r="J625" s="408" t="s">
        <v>2236</v>
      </c>
      <c r="K625" s="824">
        <v>44682</v>
      </c>
      <c r="L625" s="408">
        <v>0</v>
      </c>
      <c r="M625" s="408">
        <v>0</v>
      </c>
      <c r="N625" s="408">
        <v>34.584000000000003</v>
      </c>
      <c r="O625" s="408">
        <v>33.20064</v>
      </c>
      <c r="P625" s="408">
        <v>34.584000000000003</v>
      </c>
      <c r="Q625" s="408">
        <v>33.20064</v>
      </c>
      <c r="R625" s="408"/>
      <c r="S625" s="408">
        <v>1614.19</v>
      </c>
      <c r="T625" s="408">
        <v>209.4</v>
      </c>
      <c r="U625" s="408"/>
      <c r="V625" s="408">
        <v>63067.036560000008</v>
      </c>
      <c r="W625" s="408">
        <v>63067.036560000008</v>
      </c>
      <c r="X625" s="408">
        <v>41920.995600000002</v>
      </c>
      <c r="Y625" s="408">
        <v>0</v>
      </c>
      <c r="Z625" s="408">
        <v>1851.5574831908632</v>
      </c>
      <c r="AA625" s="408">
        <v>0</v>
      </c>
      <c r="AB625" s="408">
        <v>0</v>
      </c>
      <c r="AC625" s="408">
        <v>0</v>
      </c>
      <c r="AD625" s="408">
        <v>10770.079778056794</v>
      </c>
      <c r="AE625" s="408">
        <v>40215.541532667383</v>
      </c>
      <c r="AF625" s="408">
        <v>7146.8093924368095</v>
      </c>
      <c r="AG625" s="408">
        <v>95.208540321475724</v>
      </c>
      <c r="AH625" s="408">
        <v>0</v>
      </c>
      <c r="AI625" s="408">
        <v>0</v>
      </c>
      <c r="AJ625" s="408">
        <v>0</v>
      </c>
      <c r="AK625" s="408">
        <v>0</v>
      </c>
      <c r="AL625" s="408">
        <v>328.8800632949899</v>
      </c>
      <c r="AM625" s="408"/>
      <c r="AN625" s="408">
        <v>45.922167565444823</v>
      </c>
      <c r="AO625" s="408">
        <v>836.75729909164602</v>
      </c>
      <c r="AP625" s="408">
        <v>1246.3625334066694</v>
      </c>
      <c r="AQ625" s="408">
        <v>0</v>
      </c>
      <c r="AR625" s="408">
        <v>0</v>
      </c>
      <c r="AS625" s="408">
        <v>0</v>
      </c>
      <c r="AT625" s="408">
        <v>0</v>
      </c>
      <c r="AU625" s="408">
        <v>0</v>
      </c>
      <c r="AV625" s="408">
        <v>0</v>
      </c>
      <c r="AW625" s="408">
        <v>0</v>
      </c>
      <c r="AX625" s="408">
        <v>0</v>
      </c>
      <c r="AY625" s="408">
        <v>0</v>
      </c>
      <c r="AZ625" s="408">
        <v>0</v>
      </c>
      <c r="BA625" s="408"/>
      <c r="BB625" s="408">
        <v>0</v>
      </c>
      <c r="BC625" s="408">
        <v>0</v>
      </c>
      <c r="BD625" s="408">
        <v>0</v>
      </c>
      <c r="BE625" s="408">
        <v>0</v>
      </c>
      <c r="BF625" s="408">
        <v>0</v>
      </c>
      <c r="BG625" s="408">
        <v>529.98030711645333</v>
      </c>
      <c r="BH625" s="408">
        <v>0</v>
      </c>
      <c r="BI625" s="408">
        <v>0</v>
      </c>
      <c r="BJ625" s="408">
        <v>0</v>
      </c>
      <c r="BK625" s="408">
        <v>0</v>
      </c>
      <c r="BL625" s="408">
        <v>0</v>
      </c>
      <c r="BM625" s="408"/>
      <c r="BN625" s="408"/>
      <c r="BO625" s="408"/>
      <c r="BP625" s="408"/>
      <c r="BQ625" s="408"/>
      <c r="BR625" s="408">
        <v>1676.839824000004</v>
      </c>
      <c r="BS625" s="408"/>
      <c r="BT625" s="408"/>
      <c r="BU625" s="408"/>
      <c r="BV625" s="408">
        <v>7676.7896995532628</v>
      </c>
      <c r="BW625" s="408"/>
      <c r="BX625" s="408"/>
      <c r="BY625" s="408"/>
      <c r="BZ625" s="408"/>
      <c r="CA625" s="408"/>
      <c r="CB625" s="408"/>
      <c r="CC625" s="408"/>
      <c r="CD625" s="408"/>
      <c r="CE625" s="408"/>
      <c r="CF625" s="408"/>
      <c r="CG625" s="408"/>
      <c r="CH625" s="408"/>
      <c r="CI625" s="408">
        <v>40243.380000000005</v>
      </c>
      <c r="CJ625" s="408">
        <v>-20301.005097599998</v>
      </c>
      <c r="CK625" s="408"/>
      <c r="CL625" s="408"/>
      <c r="CM625" s="408"/>
      <c r="CN625" s="408"/>
      <c r="CO625" s="408">
        <v>-21935.593680000005</v>
      </c>
      <c r="CP625" s="408">
        <v>789.55271999999957</v>
      </c>
      <c r="CQ625" s="408">
        <v>31</v>
      </c>
      <c r="CR625" s="408">
        <v>1414.2564230826174</v>
      </c>
      <c r="CS625" s="408">
        <v>101.02340775580558</v>
      </c>
      <c r="CT625" s="408">
        <v>150.47587939846994</v>
      </c>
      <c r="CU625" s="408">
        <v>0</v>
      </c>
      <c r="CV625" s="408">
        <v>0</v>
      </c>
      <c r="CW625" s="408">
        <v>0</v>
      </c>
      <c r="CX625" s="408">
        <v>0</v>
      </c>
      <c r="CY625" s="408">
        <v>0</v>
      </c>
      <c r="CZ625" s="408">
        <v>353.06946945658819</v>
      </c>
      <c r="DA625" s="408">
        <v>0</v>
      </c>
      <c r="DB625" s="408">
        <v>0</v>
      </c>
      <c r="DC625" s="408">
        <v>789.31354142603413</v>
      </c>
      <c r="DD625" s="408">
        <v>0</v>
      </c>
      <c r="DE625" s="408">
        <v>0</v>
      </c>
      <c r="DF625" s="408">
        <v>0</v>
      </c>
      <c r="DG625" s="408">
        <v>58.532501725711427</v>
      </c>
      <c r="DH625" s="408">
        <v>0</v>
      </c>
      <c r="DI625" s="408">
        <v>-32.276577482963603</v>
      </c>
      <c r="DJ625" s="408"/>
      <c r="DK625" s="408">
        <v>0</v>
      </c>
      <c r="DL625" s="408">
        <v>0</v>
      </c>
      <c r="DM625" s="408">
        <v>0</v>
      </c>
      <c r="DN625" s="408">
        <v>0</v>
      </c>
      <c r="DO625" s="408">
        <v>-4.8200570192339569</v>
      </c>
      <c r="DP625" s="408">
        <v>-1.0617421777918707</v>
      </c>
      <c r="DQ625" s="408">
        <v>0</v>
      </c>
      <c r="DR625" s="408">
        <v>0</v>
      </c>
      <c r="DS625" s="408"/>
      <c r="DT625" s="408"/>
      <c r="DU625" s="408"/>
      <c r="DV625" s="408">
        <v>40215.541532667383</v>
      </c>
      <c r="DW625" s="408">
        <v>0</v>
      </c>
      <c r="DX625" s="408">
        <v>0</v>
      </c>
      <c r="DY625" s="408">
        <v>-21935.593680000005</v>
      </c>
      <c r="DZ625" s="408">
        <v>789.55271999999968</v>
      </c>
      <c r="EA625" s="408">
        <v>0</v>
      </c>
      <c r="EB625" s="408">
        <v>0</v>
      </c>
      <c r="EC625" s="408">
        <v>-22560.504547387653</v>
      </c>
      <c r="ED625" s="408">
        <v>0</v>
      </c>
      <c r="EE625" s="408">
        <v>0</v>
      </c>
      <c r="EF625" s="408">
        <v>0</v>
      </c>
      <c r="EG625" s="408">
        <v>0</v>
      </c>
      <c r="EH625" s="408">
        <v>0</v>
      </c>
      <c r="EI625" s="408">
        <v>0</v>
      </c>
      <c r="EJ625" s="408">
        <v>0</v>
      </c>
      <c r="EK625" s="408">
        <v>0</v>
      </c>
      <c r="EL625" s="408">
        <v>0</v>
      </c>
      <c r="EM625" s="408">
        <v>0</v>
      </c>
      <c r="EN625" s="408">
        <v>0</v>
      </c>
      <c r="EO625" s="408">
        <v>0</v>
      </c>
      <c r="EP625" s="408">
        <v>0</v>
      </c>
      <c r="EQ625" s="408">
        <v>0</v>
      </c>
      <c r="ER625" s="408">
        <v>0</v>
      </c>
      <c r="ES625" s="408">
        <v>0</v>
      </c>
      <c r="ET625" s="408">
        <v>0</v>
      </c>
      <c r="EU625" s="408">
        <v>0</v>
      </c>
      <c r="EV625" s="408">
        <v>238</v>
      </c>
      <c r="EW625" s="408">
        <v>0</v>
      </c>
      <c r="EX625" s="408">
        <v>0</v>
      </c>
      <c r="EY625" s="408">
        <v>0</v>
      </c>
      <c r="EZ625" s="408"/>
      <c r="FA625" s="408">
        <v>0</v>
      </c>
      <c r="FB625" s="408"/>
      <c r="FC625" s="408"/>
      <c r="FD625" s="408"/>
      <c r="FE625" s="408"/>
      <c r="FF625" s="408">
        <v>0</v>
      </c>
      <c r="FG625" s="408">
        <v>0</v>
      </c>
      <c r="FH625" s="408">
        <v>0</v>
      </c>
      <c r="FI625" s="408">
        <v>0</v>
      </c>
    </row>
    <row r="626" spans="1:165">
      <c r="A626" s="408">
        <v>630</v>
      </c>
      <c r="B626" s="408" t="s">
        <v>2238</v>
      </c>
      <c r="C626" s="408" t="s">
        <v>2243</v>
      </c>
      <c r="D626" s="408" t="s">
        <v>597</v>
      </c>
      <c r="E626" s="408" t="s">
        <v>974</v>
      </c>
      <c r="F626" s="408" t="s">
        <v>1322</v>
      </c>
      <c r="G626" s="408" t="s">
        <v>1322</v>
      </c>
      <c r="H626" s="408" t="s">
        <v>1322</v>
      </c>
      <c r="I626" s="408" t="s">
        <v>973</v>
      </c>
      <c r="J626" s="408" t="s">
        <v>2236</v>
      </c>
      <c r="K626" s="824">
        <v>44682</v>
      </c>
      <c r="L626" s="408">
        <v>0</v>
      </c>
      <c r="M626" s="408">
        <v>0</v>
      </c>
      <c r="N626" s="408">
        <v>3.1629999999999998</v>
      </c>
      <c r="O626" s="408">
        <v>3.0364800000000001</v>
      </c>
      <c r="P626" s="408">
        <v>3.1629999999999998</v>
      </c>
      <c r="Q626" s="408">
        <v>3.0364800000000001</v>
      </c>
      <c r="R626" s="408"/>
      <c r="S626" s="408">
        <v>1614.19</v>
      </c>
      <c r="T626" s="408">
        <v>209.4</v>
      </c>
      <c r="U626" s="408"/>
      <c r="V626" s="408">
        <v>5768.0151699999997</v>
      </c>
      <c r="W626" s="408">
        <v>5768.0151699999997</v>
      </c>
      <c r="X626" s="408">
        <v>3834.0304499999997</v>
      </c>
      <c r="Y626" s="408">
        <v>0</v>
      </c>
      <c r="Z626" s="408">
        <v>169.34062917339517</v>
      </c>
      <c r="AA626" s="408">
        <v>0</v>
      </c>
      <c r="AB626" s="408">
        <v>0</v>
      </c>
      <c r="AC626" s="408">
        <v>0</v>
      </c>
      <c r="AD626" s="408">
        <v>985.01510345806253</v>
      </c>
      <c r="AE626" s="408">
        <v>3678.0522168582847</v>
      </c>
      <c r="AF626" s="408">
        <v>653.63630893701202</v>
      </c>
      <c r="AG626" s="408">
        <v>8.707628181726454</v>
      </c>
      <c r="AH626" s="408">
        <v>0</v>
      </c>
      <c r="AI626" s="408">
        <v>0</v>
      </c>
      <c r="AJ626" s="408">
        <v>0</v>
      </c>
      <c r="AK626" s="408">
        <v>0</v>
      </c>
      <c r="AL626" s="408">
        <v>30.078870003529172</v>
      </c>
      <c r="AM626" s="408"/>
      <c r="AN626" s="408">
        <v>4.1999715478111828</v>
      </c>
      <c r="AO626" s="408">
        <v>76.528548954050322</v>
      </c>
      <c r="AP626" s="408">
        <v>113.99042022800413</v>
      </c>
      <c r="AQ626" s="408">
        <v>0</v>
      </c>
      <c r="AR626" s="408">
        <v>0</v>
      </c>
      <c r="AS626" s="408">
        <v>0</v>
      </c>
      <c r="AT626" s="408">
        <v>0</v>
      </c>
      <c r="AU626" s="408">
        <v>0</v>
      </c>
      <c r="AV626" s="408">
        <v>0</v>
      </c>
      <c r="AW626" s="408">
        <v>0</v>
      </c>
      <c r="AX626" s="408">
        <v>0</v>
      </c>
      <c r="AY626" s="408">
        <v>0</v>
      </c>
      <c r="AZ626" s="408">
        <v>0</v>
      </c>
      <c r="BA626" s="408"/>
      <c r="BB626" s="408">
        <v>0</v>
      </c>
      <c r="BC626" s="408">
        <v>0</v>
      </c>
      <c r="BD626" s="408">
        <v>0</v>
      </c>
      <c r="BE626" s="408">
        <v>0</v>
      </c>
      <c r="BF626" s="408">
        <v>0</v>
      </c>
      <c r="BG626" s="408">
        <v>48.471192210540757</v>
      </c>
      <c r="BH626" s="408">
        <v>0</v>
      </c>
      <c r="BI626" s="408">
        <v>0</v>
      </c>
      <c r="BJ626" s="408">
        <v>0</v>
      </c>
      <c r="BK626" s="408">
        <v>0</v>
      </c>
      <c r="BL626" s="408">
        <v>0</v>
      </c>
      <c r="BM626" s="408"/>
      <c r="BN626" s="408"/>
      <c r="BO626" s="408"/>
      <c r="BP626" s="408"/>
      <c r="BQ626" s="408"/>
      <c r="BR626" s="408">
        <v>153.3612179999997</v>
      </c>
      <c r="BS626" s="408"/>
      <c r="BT626" s="408"/>
      <c r="BU626" s="408"/>
      <c r="BV626" s="408">
        <v>702.10750114755274</v>
      </c>
      <c r="BW626" s="408"/>
      <c r="BX626" s="408"/>
      <c r="BY626" s="408"/>
      <c r="BZ626" s="408"/>
      <c r="CA626" s="408"/>
      <c r="CB626" s="408"/>
      <c r="CC626" s="408"/>
      <c r="CD626" s="408"/>
      <c r="CE626" s="408"/>
      <c r="CF626" s="408"/>
      <c r="CG626" s="408"/>
      <c r="CH626" s="408"/>
      <c r="CI626" s="408">
        <v>3684.9359999999997</v>
      </c>
      <c r="CJ626" s="408">
        <v>-1852.388563200001</v>
      </c>
      <c r="CK626" s="408"/>
      <c r="CL626" s="408"/>
      <c r="CM626" s="408"/>
      <c r="CN626" s="408"/>
      <c r="CO626" s="408">
        <v>-2006.1960100000001</v>
      </c>
      <c r="CP626" s="408">
        <v>72.211289999999948</v>
      </c>
      <c r="CQ626" s="408">
        <v>31</v>
      </c>
      <c r="CR626" s="408">
        <v>129.34573982796428</v>
      </c>
      <c r="CS626" s="408">
        <v>9.2394471065120456</v>
      </c>
      <c r="CT626" s="408">
        <v>13.762294891781195</v>
      </c>
      <c r="CU626" s="408">
        <v>0</v>
      </c>
      <c r="CV626" s="408">
        <v>0</v>
      </c>
      <c r="CW626" s="408">
        <v>0</v>
      </c>
      <c r="CX626" s="408">
        <v>0</v>
      </c>
      <c r="CY626" s="408">
        <v>0</v>
      </c>
      <c r="CZ626" s="408">
        <v>32.291196272588081</v>
      </c>
      <c r="DA626" s="408">
        <v>0</v>
      </c>
      <c r="DB626" s="408">
        <v>0</v>
      </c>
      <c r="DC626" s="408">
        <v>72.189415091676665</v>
      </c>
      <c r="DD626" s="408">
        <v>0</v>
      </c>
      <c r="DE626" s="408">
        <v>0</v>
      </c>
      <c r="DF626" s="408">
        <v>0</v>
      </c>
      <c r="DG626" s="408">
        <v>5.3532935160312647</v>
      </c>
      <c r="DH626" s="408">
        <v>0</v>
      </c>
      <c r="DI626" s="408">
        <v>-2.951966648699198</v>
      </c>
      <c r="DJ626" s="408"/>
      <c r="DK626" s="408">
        <v>0</v>
      </c>
      <c r="DL626" s="408">
        <v>0</v>
      </c>
      <c r="DM626" s="408">
        <v>0</v>
      </c>
      <c r="DN626" s="408">
        <v>0</v>
      </c>
      <c r="DO626" s="408">
        <v>-0.44083507841305547</v>
      </c>
      <c r="DP626" s="408">
        <v>-9.7105323512481689E-2</v>
      </c>
      <c r="DQ626" s="408">
        <v>0</v>
      </c>
      <c r="DR626" s="408">
        <v>0</v>
      </c>
      <c r="DS626" s="408"/>
      <c r="DT626" s="408"/>
      <c r="DU626" s="408"/>
      <c r="DV626" s="408">
        <v>3678.0522168582847</v>
      </c>
      <c r="DW626" s="408">
        <v>0</v>
      </c>
      <c r="DX626" s="408">
        <v>0</v>
      </c>
      <c r="DY626" s="408">
        <v>-2006.1960100000001</v>
      </c>
      <c r="DZ626" s="408">
        <v>72.211289999999963</v>
      </c>
      <c r="EA626" s="408">
        <v>0</v>
      </c>
      <c r="EB626" s="408">
        <v>0</v>
      </c>
      <c r="EC626" s="408">
        <v>-2063.3494067599795</v>
      </c>
      <c r="ED626" s="408">
        <v>0</v>
      </c>
      <c r="EE626" s="408">
        <v>0</v>
      </c>
      <c r="EF626" s="408">
        <v>0</v>
      </c>
      <c r="EG626" s="408">
        <v>0</v>
      </c>
      <c r="EH626" s="408">
        <v>0</v>
      </c>
      <c r="EI626" s="408">
        <v>0</v>
      </c>
      <c r="EJ626" s="408">
        <v>0</v>
      </c>
      <c r="EK626" s="408">
        <v>0</v>
      </c>
      <c r="EL626" s="408">
        <v>0</v>
      </c>
      <c r="EM626" s="408">
        <v>0</v>
      </c>
      <c r="EN626" s="408">
        <v>0</v>
      </c>
      <c r="EO626" s="408">
        <v>0</v>
      </c>
      <c r="EP626" s="408">
        <v>0</v>
      </c>
      <c r="EQ626" s="408">
        <v>0</v>
      </c>
      <c r="ER626" s="408">
        <v>0</v>
      </c>
      <c r="ES626" s="408">
        <v>0</v>
      </c>
      <c r="ET626" s="408">
        <v>0</v>
      </c>
      <c r="EU626" s="408">
        <v>0</v>
      </c>
      <c r="EV626" s="408">
        <v>238</v>
      </c>
      <c r="EW626" s="408">
        <v>0</v>
      </c>
      <c r="EX626" s="408">
        <v>0</v>
      </c>
      <c r="EY626" s="408">
        <v>0</v>
      </c>
      <c r="EZ626" s="408"/>
      <c r="FA626" s="408">
        <v>0</v>
      </c>
      <c r="FB626" s="408"/>
      <c r="FC626" s="408"/>
      <c r="FD626" s="408"/>
      <c r="FE626" s="408"/>
      <c r="FF626" s="408">
        <v>0</v>
      </c>
      <c r="FG626" s="408">
        <v>0</v>
      </c>
      <c r="FH626" s="408">
        <v>0</v>
      </c>
      <c r="FI626" s="408">
        <v>0</v>
      </c>
    </row>
    <row r="627" spans="1:165">
      <c r="A627" s="408">
        <v>631</v>
      </c>
      <c r="B627" s="408" t="s">
        <v>1036</v>
      </c>
      <c r="C627" s="408" t="s">
        <v>2243</v>
      </c>
      <c r="D627" s="408" t="s">
        <v>597</v>
      </c>
      <c r="E627" s="408" t="s">
        <v>974</v>
      </c>
      <c r="F627" s="408" t="s">
        <v>1322</v>
      </c>
      <c r="G627" s="408" t="s">
        <v>1322</v>
      </c>
      <c r="H627" s="408" t="s">
        <v>1322</v>
      </c>
      <c r="I627" s="408" t="s">
        <v>2244</v>
      </c>
      <c r="J627" s="408" t="s">
        <v>2236</v>
      </c>
      <c r="K627" s="824">
        <v>44682</v>
      </c>
      <c r="L627" s="408">
        <v>0</v>
      </c>
      <c r="M627" s="408">
        <v>0</v>
      </c>
      <c r="N627" s="408">
        <v>385.24200000000002</v>
      </c>
      <c r="O627" s="408">
        <v>369.83231999999998</v>
      </c>
      <c r="P627" s="408">
        <v>385.24200000000002</v>
      </c>
      <c r="Q627" s="408">
        <v>369.83231999999998</v>
      </c>
      <c r="R627" s="408"/>
      <c r="S627" s="408">
        <v>79.7</v>
      </c>
      <c r="T627" s="408">
        <v>209.4</v>
      </c>
      <c r="U627" s="408"/>
      <c r="V627" s="408">
        <v>111373.46220000001</v>
      </c>
      <c r="W627" s="408">
        <v>111373.46220000001</v>
      </c>
      <c r="X627" s="408">
        <v>120395.82984000001</v>
      </c>
      <c r="Y627" s="408">
        <v>0</v>
      </c>
      <c r="Z627" s="408">
        <v>20625.078300353183</v>
      </c>
      <c r="AA627" s="408">
        <v>0</v>
      </c>
      <c r="AB627" s="408">
        <v>0</v>
      </c>
      <c r="AC627" s="408">
        <v>0</v>
      </c>
      <c r="AD627" s="408">
        <v>0</v>
      </c>
      <c r="AE627" s="408">
        <v>0</v>
      </c>
      <c r="AF627" s="408">
        <v>79610.546610026053</v>
      </c>
      <c r="AG627" s="408">
        <v>1060.5577287336905</v>
      </c>
      <c r="AH627" s="408">
        <v>0</v>
      </c>
      <c r="AI627" s="408">
        <v>0</v>
      </c>
      <c r="AJ627" s="408">
        <v>0</v>
      </c>
      <c r="AK627" s="408">
        <v>0</v>
      </c>
      <c r="AL627" s="408">
        <v>3663.497956971099</v>
      </c>
      <c r="AM627" s="408"/>
      <c r="AN627" s="408">
        <v>511.54139709828519</v>
      </c>
      <c r="AO627" s="408">
        <v>0</v>
      </c>
      <c r="AP627" s="408">
        <v>0</v>
      </c>
      <c r="AQ627" s="408">
        <v>0</v>
      </c>
      <c r="AR627" s="408">
        <v>0</v>
      </c>
      <c r="AS627" s="408">
        <v>0</v>
      </c>
      <c r="AT627" s="408">
        <v>0</v>
      </c>
      <c r="AU627" s="408">
        <v>0</v>
      </c>
      <c r="AV627" s="408">
        <v>0</v>
      </c>
      <c r="AW627" s="408">
        <v>0</v>
      </c>
      <c r="AX627" s="408">
        <v>0</v>
      </c>
      <c r="AY627" s="408">
        <v>0</v>
      </c>
      <c r="AZ627" s="408">
        <v>0</v>
      </c>
      <c r="BA627" s="408"/>
      <c r="BB627" s="408">
        <v>0</v>
      </c>
      <c r="BC627" s="408">
        <v>0</v>
      </c>
      <c r="BD627" s="408">
        <v>0</v>
      </c>
      <c r="BE627" s="408">
        <v>0</v>
      </c>
      <c r="BF627" s="408">
        <v>0</v>
      </c>
      <c r="BG627" s="408">
        <v>5903.6165126693468</v>
      </c>
      <c r="BH627" s="408">
        <v>0</v>
      </c>
      <c r="BI627" s="408">
        <v>0</v>
      </c>
      <c r="BJ627" s="408">
        <v>0</v>
      </c>
      <c r="BK627" s="408">
        <v>0</v>
      </c>
      <c r="BL627" s="408">
        <v>0</v>
      </c>
      <c r="BM627" s="408"/>
      <c r="BN627" s="408"/>
      <c r="BO627" s="408"/>
      <c r="BP627" s="408"/>
      <c r="BQ627" s="408"/>
      <c r="BR627" s="408">
        <v>4815.8331936000113</v>
      </c>
      <c r="BS627" s="408"/>
      <c r="BT627" s="408"/>
      <c r="BU627" s="408"/>
      <c r="BV627" s="408">
        <v>85514.163122695405</v>
      </c>
      <c r="BW627" s="408"/>
      <c r="BX627" s="408"/>
      <c r="BY627" s="408"/>
      <c r="BZ627" s="408"/>
      <c r="CA627" s="408"/>
      <c r="CB627" s="408"/>
      <c r="CC627" s="408"/>
      <c r="CD627" s="408"/>
      <c r="CE627" s="408"/>
      <c r="CF627" s="408"/>
      <c r="CG627" s="408"/>
      <c r="CH627" s="408"/>
      <c r="CI627" s="408">
        <v>115579.27159999999</v>
      </c>
      <c r="CJ627" s="408">
        <v>8660.7178879999992</v>
      </c>
      <c r="CK627" s="408"/>
      <c r="CL627" s="408"/>
      <c r="CM627" s="408"/>
      <c r="CN627" s="408"/>
      <c r="CO627" s="408">
        <v>227.29278000000133</v>
      </c>
      <c r="CP627" s="408">
        <v>8795.0748599999952</v>
      </c>
      <c r="CQ627" s="408">
        <v>31</v>
      </c>
      <c r="CR627" s="408">
        <v>9019.3643305260193</v>
      </c>
      <c r="CS627" s="408">
        <v>0</v>
      </c>
      <c r="CT627" s="408">
        <v>0</v>
      </c>
      <c r="CU627" s="408">
        <v>0</v>
      </c>
      <c r="CV627" s="408">
        <v>0</v>
      </c>
      <c r="CW627" s="408">
        <v>0</v>
      </c>
      <c r="CX627" s="408">
        <v>0</v>
      </c>
      <c r="CY627" s="408">
        <v>0</v>
      </c>
      <c r="CZ627" s="408">
        <v>0</v>
      </c>
      <c r="DA627" s="408">
        <v>0</v>
      </c>
      <c r="DB627" s="408">
        <v>0</v>
      </c>
      <c r="DC627" s="408">
        <v>8792.4105750071758</v>
      </c>
      <c r="DD627" s="408">
        <v>0</v>
      </c>
      <c r="DE627" s="408">
        <v>0</v>
      </c>
      <c r="DF627" s="408">
        <v>0</v>
      </c>
      <c r="DG627" s="408">
        <v>652.011856055301</v>
      </c>
      <c r="DH627" s="408">
        <v>0</v>
      </c>
      <c r="DI627" s="408">
        <v>-359.53889841232376</v>
      </c>
      <c r="DJ627" s="408"/>
      <c r="DK627" s="408">
        <v>0</v>
      </c>
      <c r="DL627" s="408">
        <v>0</v>
      </c>
      <c r="DM627" s="408">
        <v>0</v>
      </c>
      <c r="DN627" s="408">
        <v>0</v>
      </c>
      <c r="DO627" s="408">
        <v>-53.692123704711321</v>
      </c>
      <c r="DP627" s="408">
        <v>-11.827078419410611</v>
      </c>
      <c r="DQ627" s="408">
        <v>0</v>
      </c>
      <c r="DR627" s="408">
        <v>0</v>
      </c>
      <c r="DS627" s="408"/>
      <c r="DT627" s="408"/>
      <c r="DU627" s="408"/>
      <c r="DV627" s="408">
        <v>0</v>
      </c>
      <c r="DW627" s="408">
        <v>0</v>
      </c>
      <c r="DX627" s="408">
        <v>0</v>
      </c>
      <c r="DY627" s="408">
        <v>227.2927800000034</v>
      </c>
      <c r="DZ627" s="408">
        <v>8795.0748599999934</v>
      </c>
      <c r="EA627" s="408">
        <v>0</v>
      </c>
      <c r="EB627" s="408">
        <v>0</v>
      </c>
      <c r="EC627" s="408">
        <v>0</v>
      </c>
      <c r="ED627" s="408">
        <v>0</v>
      </c>
      <c r="EE627" s="408">
        <v>0</v>
      </c>
      <c r="EF627" s="408">
        <v>0</v>
      </c>
      <c r="EG627" s="408">
        <v>0</v>
      </c>
      <c r="EH627" s="408">
        <v>0</v>
      </c>
      <c r="EI627" s="408">
        <v>0</v>
      </c>
      <c r="EJ627" s="408">
        <v>0</v>
      </c>
      <c r="EK627" s="408">
        <v>0</v>
      </c>
      <c r="EL627" s="408">
        <v>0</v>
      </c>
      <c r="EM627" s="408">
        <v>0</v>
      </c>
      <c r="EN627" s="408">
        <v>0</v>
      </c>
      <c r="EO627" s="408">
        <v>0</v>
      </c>
      <c r="EP627" s="408">
        <v>0</v>
      </c>
      <c r="EQ627" s="408">
        <v>0</v>
      </c>
      <c r="ER627" s="408">
        <v>0</v>
      </c>
      <c r="ES627" s="408">
        <v>0</v>
      </c>
      <c r="ET627" s="408">
        <v>0</v>
      </c>
      <c r="EU627" s="408">
        <v>0</v>
      </c>
      <c r="EV627" s="408">
        <v>238</v>
      </c>
      <c r="EW627" s="408">
        <v>0</v>
      </c>
      <c r="EX627" s="408">
        <v>0</v>
      </c>
      <c r="EY627" s="408">
        <v>0</v>
      </c>
      <c r="EZ627" s="408"/>
      <c r="FA627" s="408">
        <v>0</v>
      </c>
      <c r="FB627" s="408"/>
      <c r="FC627" s="408"/>
      <c r="FD627" s="408"/>
      <c r="FE627" s="408"/>
      <c r="FF627" s="408">
        <v>0</v>
      </c>
      <c r="FG627" s="408">
        <v>0</v>
      </c>
      <c r="FH627" s="408">
        <v>0</v>
      </c>
      <c r="FI627" s="408">
        <v>0</v>
      </c>
    </row>
    <row r="628" spans="1:165">
      <c r="A628" s="408">
        <v>632</v>
      </c>
      <c r="B628" s="408" t="s">
        <v>2238</v>
      </c>
      <c r="C628" s="408" t="s">
        <v>2243</v>
      </c>
      <c r="D628" s="408" t="s">
        <v>597</v>
      </c>
      <c r="E628" s="408" t="s">
        <v>974</v>
      </c>
      <c r="F628" s="408" t="s">
        <v>1322</v>
      </c>
      <c r="G628" s="408" t="s">
        <v>1322</v>
      </c>
      <c r="H628" s="408" t="s">
        <v>1322</v>
      </c>
      <c r="I628" s="408" t="s">
        <v>2244</v>
      </c>
      <c r="J628" s="408" t="s">
        <v>2236</v>
      </c>
      <c r="K628" s="824">
        <v>44682</v>
      </c>
      <c r="L628" s="408">
        <v>0</v>
      </c>
      <c r="M628" s="408">
        <v>0</v>
      </c>
      <c r="N628" s="408">
        <v>26.338000000000001</v>
      </c>
      <c r="O628" s="408">
        <v>25.284479999999999</v>
      </c>
      <c r="P628" s="408">
        <v>26.338000000000001</v>
      </c>
      <c r="Q628" s="408">
        <v>25.284479999999999</v>
      </c>
      <c r="R628" s="408"/>
      <c r="S628" s="408">
        <v>79.7</v>
      </c>
      <c r="T628" s="408">
        <v>209.4</v>
      </c>
      <c r="U628" s="408"/>
      <c r="V628" s="408">
        <v>7614.3158000000003</v>
      </c>
      <c r="W628" s="408">
        <v>7614.3158000000003</v>
      </c>
      <c r="X628" s="408">
        <v>8231.1517600000006</v>
      </c>
      <c r="Y628" s="408">
        <v>0</v>
      </c>
      <c r="Z628" s="408">
        <v>1410.0833041950309</v>
      </c>
      <c r="AA628" s="408">
        <v>0</v>
      </c>
      <c r="AB628" s="408">
        <v>0</v>
      </c>
      <c r="AC628" s="408">
        <v>0</v>
      </c>
      <c r="AD628" s="408">
        <v>0</v>
      </c>
      <c r="AE628" s="408">
        <v>0</v>
      </c>
      <c r="AF628" s="408">
        <v>5442.7673426440169</v>
      </c>
      <c r="AG628" s="408">
        <v>72.507591226781969</v>
      </c>
      <c r="AH628" s="408">
        <v>0</v>
      </c>
      <c r="AI628" s="408">
        <v>0</v>
      </c>
      <c r="AJ628" s="408">
        <v>0</v>
      </c>
      <c r="AK628" s="408">
        <v>0</v>
      </c>
      <c r="AL628" s="408">
        <v>250.46388812929226</v>
      </c>
      <c r="AM628" s="408"/>
      <c r="AN628" s="408">
        <v>34.972763397486865</v>
      </c>
      <c r="AO628" s="408">
        <v>0</v>
      </c>
      <c r="AP628" s="408">
        <v>0</v>
      </c>
      <c r="AQ628" s="408">
        <v>0</v>
      </c>
      <c r="AR628" s="408">
        <v>0</v>
      </c>
      <c r="AS628" s="408">
        <v>0</v>
      </c>
      <c r="AT628" s="408">
        <v>0</v>
      </c>
      <c r="AU628" s="408">
        <v>0</v>
      </c>
      <c r="AV628" s="408">
        <v>0</v>
      </c>
      <c r="AW628" s="408">
        <v>0</v>
      </c>
      <c r="AX628" s="408">
        <v>0</v>
      </c>
      <c r="AY628" s="408">
        <v>0</v>
      </c>
      <c r="AZ628" s="408">
        <v>0</v>
      </c>
      <c r="BA628" s="408"/>
      <c r="BB628" s="408">
        <v>0</v>
      </c>
      <c r="BC628" s="408">
        <v>0</v>
      </c>
      <c r="BD628" s="408">
        <v>0</v>
      </c>
      <c r="BE628" s="408">
        <v>0</v>
      </c>
      <c r="BF628" s="408">
        <v>0</v>
      </c>
      <c r="BG628" s="408">
        <v>403.61500488182821</v>
      </c>
      <c r="BH628" s="408">
        <v>0</v>
      </c>
      <c r="BI628" s="408">
        <v>0</v>
      </c>
      <c r="BJ628" s="408">
        <v>0</v>
      </c>
      <c r="BK628" s="408">
        <v>0</v>
      </c>
      <c r="BL628" s="408">
        <v>0</v>
      </c>
      <c r="BM628" s="408"/>
      <c r="BN628" s="408"/>
      <c r="BO628" s="408"/>
      <c r="BP628" s="408"/>
      <c r="BQ628" s="408"/>
      <c r="BR628" s="408">
        <v>329.2460704000008</v>
      </c>
      <c r="BS628" s="408"/>
      <c r="BT628" s="408"/>
      <c r="BU628" s="408"/>
      <c r="BV628" s="408">
        <v>5846.382347525845</v>
      </c>
      <c r="BW628" s="408"/>
      <c r="BX628" s="408"/>
      <c r="BY628" s="408"/>
      <c r="BZ628" s="408"/>
      <c r="CA628" s="408"/>
      <c r="CB628" s="408"/>
      <c r="CC628" s="408"/>
      <c r="CD628" s="408"/>
      <c r="CE628" s="408"/>
      <c r="CF628" s="408"/>
      <c r="CG628" s="408"/>
      <c r="CH628" s="408"/>
      <c r="CI628" s="408">
        <v>7900.5056000000004</v>
      </c>
      <c r="CJ628" s="408">
        <v>590.7324320000007</v>
      </c>
      <c r="CK628" s="408"/>
      <c r="CL628" s="408"/>
      <c r="CM628" s="408"/>
      <c r="CN628" s="408"/>
      <c r="CO628" s="408">
        <v>15.53942000000009</v>
      </c>
      <c r="CP628" s="408">
        <v>601.2965399999996</v>
      </c>
      <c r="CQ628" s="408">
        <v>31</v>
      </c>
      <c r="CR628" s="408">
        <v>616.6306314923977</v>
      </c>
      <c r="CS628" s="408">
        <v>0</v>
      </c>
      <c r="CT628" s="408">
        <v>0</v>
      </c>
      <c r="CU628" s="408">
        <v>0</v>
      </c>
      <c r="CV628" s="408">
        <v>0</v>
      </c>
      <c r="CW628" s="408">
        <v>0</v>
      </c>
      <c r="CX628" s="408">
        <v>0</v>
      </c>
      <c r="CY628" s="408">
        <v>0</v>
      </c>
      <c r="CZ628" s="408">
        <v>0</v>
      </c>
      <c r="DA628" s="408">
        <v>0</v>
      </c>
      <c r="DB628" s="408">
        <v>0</v>
      </c>
      <c r="DC628" s="408">
        <v>601.11438972006908</v>
      </c>
      <c r="DD628" s="408">
        <v>0</v>
      </c>
      <c r="DE628" s="408">
        <v>0</v>
      </c>
      <c r="DF628" s="408">
        <v>0</v>
      </c>
      <c r="DG628" s="408">
        <v>44.576365673484531</v>
      </c>
      <c r="DH628" s="408">
        <v>0</v>
      </c>
      <c r="DI628" s="408">
        <v>-24.580745366247129</v>
      </c>
      <c r="DJ628" s="408"/>
      <c r="DK628" s="408">
        <v>0</v>
      </c>
      <c r="DL628" s="408">
        <v>0</v>
      </c>
      <c r="DM628" s="408">
        <v>0</v>
      </c>
      <c r="DN628" s="408">
        <v>0</v>
      </c>
      <c r="DO628" s="408">
        <v>-3.6707917468362439</v>
      </c>
      <c r="DP628" s="408">
        <v>-0.8085867880720059</v>
      </c>
      <c r="DQ628" s="408">
        <v>0</v>
      </c>
      <c r="DR628" s="408">
        <v>0</v>
      </c>
      <c r="DS628" s="408"/>
      <c r="DT628" s="408"/>
      <c r="DU628" s="408"/>
      <c r="DV628" s="408">
        <v>0</v>
      </c>
      <c r="DW628" s="408">
        <v>0</v>
      </c>
      <c r="DX628" s="408">
        <v>0</v>
      </c>
      <c r="DY628" s="408">
        <v>15.539420000000064</v>
      </c>
      <c r="DZ628" s="408">
        <v>601.29654000000028</v>
      </c>
      <c r="EA628" s="408">
        <v>0</v>
      </c>
      <c r="EB628" s="408">
        <v>0</v>
      </c>
      <c r="EC628" s="408">
        <v>0</v>
      </c>
      <c r="ED628" s="408">
        <v>0</v>
      </c>
      <c r="EE628" s="408">
        <v>0</v>
      </c>
      <c r="EF628" s="408">
        <v>0</v>
      </c>
      <c r="EG628" s="408">
        <v>0</v>
      </c>
      <c r="EH628" s="408">
        <v>0</v>
      </c>
      <c r="EI628" s="408">
        <v>0</v>
      </c>
      <c r="EJ628" s="408">
        <v>0</v>
      </c>
      <c r="EK628" s="408">
        <v>0</v>
      </c>
      <c r="EL628" s="408">
        <v>0</v>
      </c>
      <c r="EM628" s="408">
        <v>0</v>
      </c>
      <c r="EN628" s="408">
        <v>0</v>
      </c>
      <c r="EO628" s="408">
        <v>0</v>
      </c>
      <c r="EP628" s="408">
        <v>0</v>
      </c>
      <c r="EQ628" s="408">
        <v>0</v>
      </c>
      <c r="ER628" s="408">
        <v>0</v>
      </c>
      <c r="ES628" s="408">
        <v>0</v>
      </c>
      <c r="ET628" s="408">
        <v>0</v>
      </c>
      <c r="EU628" s="408">
        <v>0</v>
      </c>
      <c r="EV628" s="408">
        <v>238</v>
      </c>
      <c r="EW628" s="408">
        <v>0</v>
      </c>
      <c r="EX628" s="408">
        <v>0</v>
      </c>
      <c r="EY628" s="408">
        <v>0</v>
      </c>
      <c r="EZ628" s="408"/>
      <c r="FA628" s="408">
        <v>0</v>
      </c>
      <c r="FB628" s="408"/>
      <c r="FC628" s="408"/>
      <c r="FD628" s="408"/>
      <c r="FE628" s="408"/>
      <c r="FF628" s="408">
        <v>0</v>
      </c>
      <c r="FG628" s="408">
        <v>0</v>
      </c>
      <c r="FH628" s="408">
        <v>0</v>
      </c>
      <c r="FI628" s="408">
        <v>0</v>
      </c>
    </row>
    <row r="629" spans="1:165">
      <c r="A629" s="408">
        <v>633</v>
      </c>
      <c r="B629" s="408" t="s">
        <v>1036</v>
      </c>
      <c r="C629" s="408" t="s">
        <v>2243</v>
      </c>
      <c r="D629" s="408" t="s">
        <v>597</v>
      </c>
      <c r="E629" s="408" t="s">
        <v>974</v>
      </c>
      <c r="F629" s="408" t="s">
        <v>1322</v>
      </c>
      <c r="G629" s="408" t="s">
        <v>1322</v>
      </c>
      <c r="H629" s="408" t="s">
        <v>1322</v>
      </c>
      <c r="I629" s="408" t="s">
        <v>1322</v>
      </c>
      <c r="J629" s="408" t="s">
        <v>2236</v>
      </c>
      <c r="K629" s="824">
        <v>44682</v>
      </c>
      <c r="L629" s="408">
        <v>2516</v>
      </c>
      <c r="M629" s="408">
        <v>2415.36</v>
      </c>
      <c r="N629" s="408">
        <v>0</v>
      </c>
      <c r="O629" s="408">
        <v>0</v>
      </c>
      <c r="P629" s="408">
        <v>0</v>
      </c>
      <c r="Q629" s="408">
        <v>0</v>
      </c>
      <c r="R629" s="408">
        <v>44.35</v>
      </c>
      <c r="S629" s="408"/>
      <c r="T629" s="408"/>
      <c r="U629" s="408">
        <v>111584.6</v>
      </c>
      <c r="V629" s="408"/>
      <c r="W629" s="408">
        <v>111584.6</v>
      </c>
      <c r="X629" s="408">
        <v>72888.52</v>
      </c>
      <c r="Y629" s="408">
        <v>0</v>
      </c>
      <c r="Z629" s="408">
        <v>0</v>
      </c>
      <c r="AA629" s="408">
        <v>0</v>
      </c>
      <c r="AB629" s="408">
        <v>0</v>
      </c>
      <c r="AC629" s="408">
        <v>0</v>
      </c>
      <c r="AD629" s="408">
        <v>33015.112239222617</v>
      </c>
      <c r="AE629" s="408">
        <v>72254.101254936933</v>
      </c>
      <c r="AF629" s="408"/>
      <c r="AG629" s="408"/>
      <c r="AH629" s="408"/>
      <c r="AI629" s="408">
        <v>0</v>
      </c>
      <c r="AJ629" s="408">
        <v>0</v>
      </c>
      <c r="AK629" s="408">
        <v>0</v>
      </c>
      <c r="AL629" s="408">
        <v>0</v>
      </c>
      <c r="AM629" s="408"/>
      <c r="AN629" s="408">
        <v>0</v>
      </c>
      <c r="AO629" s="408">
        <v>2495.1692602189928</v>
      </c>
      <c r="AP629" s="408">
        <v>3817.5051458149055</v>
      </c>
      <c r="AQ629" s="408">
        <v>0</v>
      </c>
      <c r="AR629" s="408">
        <v>0</v>
      </c>
      <c r="AS629" s="408"/>
      <c r="AT629" s="408"/>
      <c r="AU629" s="408">
        <v>0</v>
      </c>
      <c r="AV629" s="408">
        <v>0</v>
      </c>
      <c r="AW629" s="408">
        <v>0</v>
      </c>
      <c r="AX629" s="408"/>
      <c r="AY629" s="408"/>
      <c r="AZ629" s="408">
        <v>0</v>
      </c>
      <c r="BA629" s="408"/>
      <c r="BB629" s="408">
        <v>0</v>
      </c>
      <c r="BC629" s="408">
        <v>0</v>
      </c>
      <c r="BD629" s="408">
        <v>0</v>
      </c>
      <c r="BE629" s="408">
        <v>0</v>
      </c>
      <c r="BF629" s="408"/>
      <c r="BG629" s="408">
        <v>0</v>
      </c>
      <c r="BH629" s="408">
        <v>0</v>
      </c>
      <c r="BI629" s="408">
        <v>479.8</v>
      </c>
      <c r="BJ629" s="408">
        <v>2216.3200000000002</v>
      </c>
      <c r="BK629" s="408">
        <v>91.28</v>
      </c>
      <c r="BL629" s="408">
        <v>17</v>
      </c>
      <c r="BM629" s="408"/>
      <c r="BN629" s="408"/>
      <c r="BO629" s="408"/>
      <c r="BP629" s="408"/>
      <c r="BQ629" s="408"/>
      <c r="BR629" s="408">
        <v>2915.5407999999961</v>
      </c>
      <c r="BS629" s="408"/>
      <c r="BT629" s="408"/>
      <c r="BU629" s="408"/>
      <c r="BV629" s="408">
        <v>0</v>
      </c>
      <c r="BW629" s="408"/>
      <c r="BX629" s="408"/>
      <c r="BY629" s="408"/>
      <c r="BZ629" s="408"/>
      <c r="CA629" s="408"/>
      <c r="CB629" s="408"/>
      <c r="CC629" s="408"/>
      <c r="CD629" s="408"/>
      <c r="CE629" s="408"/>
      <c r="CF629" s="408"/>
      <c r="CG629" s="408"/>
      <c r="CH629" s="408"/>
      <c r="CI629" s="408">
        <v>69972.979200000002</v>
      </c>
      <c r="CJ629" s="408">
        <v>-37148.266799999998</v>
      </c>
      <c r="CK629" s="408"/>
      <c r="CL629" s="408"/>
      <c r="CM629" s="408"/>
      <c r="CN629" s="408"/>
      <c r="CO629" s="408">
        <v>-38696.080000000009</v>
      </c>
      <c r="CP629" s="408">
        <v>0</v>
      </c>
      <c r="CQ629" s="408">
        <v>31</v>
      </c>
      <c r="CR629" s="408">
        <v>1844.4578594049308</v>
      </c>
      <c r="CS629" s="408">
        <v>301.24685122973688</v>
      </c>
      <c r="CT629" s="408">
        <v>460.89514770197911</v>
      </c>
      <c r="CU629" s="408">
        <v>0</v>
      </c>
      <c r="CV629" s="408">
        <v>0</v>
      </c>
      <c r="CW629" s="408"/>
      <c r="CX629" s="408"/>
      <c r="CY629" s="408"/>
      <c r="CZ629" s="408">
        <v>1082.3158604732162</v>
      </c>
      <c r="DA629" s="408">
        <v>0</v>
      </c>
      <c r="DB629" s="408">
        <v>0</v>
      </c>
      <c r="DC629" s="408"/>
      <c r="DD629" s="408"/>
      <c r="DE629" s="408">
        <v>0</v>
      </c>
      <c r="DF629" s="408">
        <v>0</v>
      </c>
      <c r="DG629" s="408">
        <v>0</v>
      </c>
      <c r="DH629" s="408">
        <v>0</v>
      </c>
      <c r="DI629" s="408">
        <v>0</v>
      </c>
      <c r="DJ629" s="408"/>
      <c r="DK629" s="408">
        <v>0</v>
      </c>
      <c r="DL629" s="408">
        <v>0</v>
      </c>
      <c r="DM629" s="408"/>
      <c r="DN629" s="408">
        <v>0</v>
      </c>
      <c r="DO629" s="408">
        <v>0</v>
      </c>
      <c r="DP629" s="408">
        <v>0</v>
      </c>
      <c r="DQ629" s="408">
        <v>0</v>
      </c>
      <c r="DR629" s="408">
        <v>0</v>
      </c>
      <c r="DS629" s="408"/>
      <c r="DT629" s="408"/>
      <c r="DU629" s="408">
        <v>72254.101254936933</v>
      </c>
      <c r="DV629" s="408"/>
      <c r="DW629" s="408">
        <v>0</v>
      </c>
      <c r="DX629" s="408">
        <v>0</v>
      </c>
      <c r="DY629" s="408">
        <v>-38696.080000000002</v>
      </c>
      <c r="DZ629" s="408"/>
      <c r="EA629" s="408">
        <v>0</v>
      </c>
      <c r="EB629" s="408"/>
      <c r="EC629" s="408">
        <v>-40533.806528634537</v>
      </c>
      <c r="ED629" s="408"/>
      <c r="EE629" s="408">
        <v>0</v>
      </c>
      <c r="EF629" s="408">
        <v>0</v>
      </c>
      <c r="EG629" s="408"/>
      <c r="EH629" s="408">
        <v>0</v>
      </c>
      <c r="EI629" s="408">
        <v>0</v>
      </c>
      <c r="EJ629" s="408">
        <v>0</v>
      </c>
      <c r="EK629" s="408">
        <v>0</v>
      </c>
      <c r="EL629" s="408">
        <v>0</v>
      </c>
      <c r="EM629" s="408"/>
      <c r="EN629" s="408"/>
      <c r="EO629" s="408">
        <v>0</v>
      </c>
      <c r="EP629" s="408">
        <v>0</v>
      </c>
      <c r="EQ629" s="408"/>
      <c r="ER629" s="408">
        <v>0</v>
      </c>
      <c r="ES629" s="408"/>
      <c r="ET629" s="408">
        <v>0</v>
      </c>
      <c r="EU629" s="408"/>
      <c r="EV629" s="408">
        <v>238</v>
      </c>
      <c r="EW629" s="408"/>
      <c r="EX629" s="408"/>
      <c r="EY629" s="408"/>
      <c r="EZ629" s="408"/>
      <c r="FA629" s="408">
        <v>0</v>
      </c>
      <c r="FB629" s="408"/>
      <c r="FC629" s="408"/>
      <c r="FD629" s="408"/>
      <c r="FE629" s="408"/>
      <c r="FF629" s="408">
        <v>0</v>
      </c>
      <c r="FG629" s="408">
        <v>0</v>
      </c>
      <c r="FH629" s="408">
        <v>0</v>
      </c>
      <c r="FI629" s="408">
        <v>0</v>
      </c>
    </row>
    <row r="630" spans="1:165">
      <c r="A630" s="408">
        <v>634</v>
      </c>
      <c r="B630" s="408" t="s">
        <v>2238</v>
      </c>
      <c r="C630" s="408" t="s">
        <v>2243</v>
      </c>
      <c r="D630" s="408" t="s">
        <v>597</v>
      </c>
      <c r="E630" s="408" t="s">
        <v>974</v>
      </c>
      <c r="F630" s="408" t="s">
        <v>1322</v>
      </c>
      <c r="G630" s="408" t="s">
        <v>1322</v>
      </c>
      <c r="H630" s="408" t="s">
        <v>1322</v>
      </c>
      <c r="I630" s="408" t="s">
        <v>1322</v>
      </c>
      <c r="J630" s="408" t="s">
        <v>2236</v>
      </c>
      <c r="K630" s="824">
        <v>44682</v>
      </c>
      <c r="L630" s="408">
        <v>0</v>
      </c>
      <c r="M630" s="408">
        <v>0</v>
      </c>
      <c r="N630" s="408">
        <v>0</v>
      </c>
      <c r="O630" s="408">
        <v>0</v>
      </c>
      <c r="P630" s="408">
        <v>0</v>
      </c>
      <c r="Q630" s="408">
        <v>0</v>
      </c>
      <c r="R630" s="408"/>
      <c r="S630" s="408"/>
      <c r="T630" s="408"/>
      <c r="U630" s="408"/>
      <c r="V630" s="408"/>
      <c r="W630" s="408"/>
      <c r="X630" s="408"/>
      <c r="Y630" s="408"/>
      <c r="Z630" s="408"/>
      <c r="AA630" s="408">
        <v>0</v>
      </c>
      <c r="AB630" s="408"/>
      <c r="AC630" s="408"/>
      <c r="AD630" s="408"/>
      <c r="AE630" s="408"/>
      <c r="AF630" s="408"/>
      <c r="AG630" s="408"/>
      <c r="AH630" s="408"/>
      <c r="AI630" s="408"/>
      <c r="AJ630" s="408"/>
      <c r="AK630" s="408"/>
      <c r="AL630" s="408"/>
      <c r="AM630" s="408"/>
      <c r="AN630" s="408"/>
      <c r="AO630" s="408"/>
      <c r="AP630" s="408"/>
      <c r="AQ630" s="408"/>
      <c r="AR630" s="408"/>
      <c r="AS630" s="408"/>
      <c r="AT630" s="408"/>
      <c r="AU630" s="408"/>
      <c r="AV630" s="408"/>
      <c r="AW630" s="408"/>
      <c r="AX630" s="408"/>
      <c r="AY630" s="408"/>
      <c r="AZ630" s="408">
        <v>0</v>
      </c>
      <c r="BA630" s="408"/>
      <c r="BB630" s="408"/>
      <c r="BC630" s="408"/>
      <c r="BD630" s="408"/>
      <c r="BE630" s="408"/>
      <c r="BF630" s="408"/>
      <c r="BG630" s="408"/>
      <c r="BH630" s="408"/>
      <c r="BI630" s="408">
        <v>83.8</v>
      </c>
      <c r="BJ630" s="408">
        <v>387.24</v>
      </c>
      <c r="BK630" s="408">
        <v>34.83</v>
      </c>
      <c r="BL630" s="408">
        <v>9</v>
      </c>
      <c r="BM630" s="408"/>
      <c r="BN630" s="408"/>
      <c r="BO630" s="408"/>
      <c r="BP630" s="408"/>
      <c r="BQ630" s="408"/>
      <c r="BR630" s="408"/>
      <c r="BS630" s="408"/>
      <c r="BT630" s="408"/>
      <c r="BU630" s="408"/>
      <c r="BV630" s="408"/>
      <c r="BW630" s="408"/>
      <c r="BX630" s="408"/>
      <c r="BY630" s="408"/>
      <c r="BZ630" s="408"/>
      <c r="CA630" s="408"/>
      <c r="CB630" s="408"/>
      <c r="CC630" s="408"/>
      <c r="CD630" s="408"/>
      <c r="CE630" s="408"/>
      <c r="CF630" s="408"/>
      <c r="CG630" s="408"/>
      <c r="CH630" s="408"/>
      <c r="CI630" s="408"/>
      <c r="CJ630" s="408">
        <v>-0.03</v>
      </c>
      <c r="CK630" s="408"/>
      <c r="CL630" s="408"/>
      <c r="CM630" s="408"/>
      <c r="CN630" s="408"/>
      <c r="CO630" s="408">
        <v>0</v>
      </c>
      <c r="CP630" s="408">
        <v>0</v>
      </c>
      <c r="CQ630" s="408">
        <v>31</v>
      </c>
      <c r="CR630" s="408"/>
      <c r="CS630" s="408"/>
      <c r="CT630" s="408"/>
      <c r="CU630" s="408"/>
      <c r="CV630" s="408"/>
      <c r="CW630" s="408"/>
      <c r="CX630" s="408"/>
      <c r="CY630" s="408"/>
      <c r="CZ630" s="408"/>
      <c r="DA630" s="408"/>
      <c r="DB630" s="408"/>
      <c r="DC630" s="408"/>
      <c r="DD630" s="408"/>
      <c r="DE630" s="408"/>
      <c r="DF630" s="408"/>
      <c r="DG630" s="408"/>
      <c r="DH630" s="408"/>
      <c r="DI630" s="408"/>
      <c r="DJ630" s="408"/>
      <c r="DK630" s="408">
        <v>0</v>
      </c>
      <c r="DL630" s="408"/>
      <c r="DM630" s="408"/>
      <c r="DN630" s="408"/>
      <c r="DO630" s="408"/>
      <c r="DP630" s="408"/>
      <c r="DQ630" s="408"/>
      <c r="DR630" s="408"/>
      <c r="DS630" s="408"/>
      <c r="DT630" s="408"/>
      <c r="DU630" s="408"/>
      <c r="DV630" s="408"/>
      <c r="DW630" s="408"/>
      <c r="DX630" s="408"/>
      <c r="DY630" s="408"/>
      <c r="DZ630" s="408"/>
      <c r="EA630" s="408"/>
      <c r="EB630" s="408"/>
      <c r="EC630" s="408"/>
      <c r="ED630" s="408"/>
      <c r="EE630" s="408"/>
      <c r="EF630" s="408"/>
      <c r="EG630" s="408"/>
      <c r="EH630" s="408"/>
      <c r="EI630" s="408"/>
      <c r="EJ630" s="408"/>
      <c r="EK630" s="408"/>
      <c r="EL630" s="408"/>
      <c r="EM630" s="408"/>
      <c r="EN630" s="408"/>
      <c r="EO630" s="408"/>
      <c r="EP630" s="408"/>
      <c r="EQ630" s="408"/>
      <c r="ER630" s="408"/>
      <c r="ES630" s="408"/>
      <c r="ET630" s="408"/>
      <c r="EU630" s="408"/>
      <c r="EV630" s="408">
        <v>238</v>
      </c>
      <c r="EW630" s="408"/>
      <c r="EX630" s="408"/>
      <c r="EY630" s="408"/>
      <c r="EZ630" s="408"/>
      <c r="FA630" s="408">
        <v>0</v>
      </c>
      <c r="FB630" s="408"/>
      <c r="FC630" s="408"/>
      <c r="FD630" s="408"/>
      <c r="FE630" s="408"/>
      <c r="FF630" s="408">
        <v>0</v>
      </c>
      <c r="FG630" s="408">
        <v>0</v>
      </c>
      <c r="FH630" s="408">
        <v>0</v>
      </c>
      <c r="FI630" s="408">
        <v>0</v>
      </c>
    </row>
    <row r="631" spans="1:165">
      <c r="A631" s="408">
        <v>635</v>
      </c>
      <c r="B631" s="408" t="s">
        <v>1036</v>
      </c>
      <c r="C631" s="408" t="s">
        <v>2235</v>
      </c>
      <c r="D631" s="408" t="s">
        <v>1958</v>
      </c>
      <c r="E631" s="408" t="s">
        <v>2246</v>
      </c>
      <c r="F631" s="408" t="s">
        <v>1322</v>
      </c>
      <c r="G631" s="408" t="s">
        <v>1322</v>
      </c>
      <c r="H631" s="408" t="s">
        <v>1322</v>
      </c>
      <c r="I631" s="408" t="s">
        <v>1322</v>
      </c>
      <c r="J631" s="408" t="s">
        <v>2236</v>
      </c>
      <c r="K631" s="824">
        <v>44682</v>
      </c>
      <c r="L631" s="408">
        <v>0</v>
      </c>
      <c r="M631" s="408">
        <v>0</v>
      </c>
      <c r="N631" s="408">
        <v>262.964</v>
      </c>
      <c r="O631" s="408">
        <v>262.964</v>
      </c>
      <c r="P631" s="408">
        <v>262.964</v>
      </c>
      <c r="Q631" s="408">
        <v>262.964</v>
      </c>
      <c r="R631" s="408"/>
      <c r="S631" s="408">
        <v>581.32000000000005</v>
      </c>
      <c r="T631" s="408">
        <v>209.4</v>
      </c>
      <c r="U631" s="408"/>
      <c r="V631" s="408">
        <v>207930.89408</v>
      </c>
      <c r="W631" s="408">
        <v>207930.89408</v>
      </c>
      <c r="X631" s="408">
        <v>158848.66347999999</v>
      </c>
      <c r="Y631" s="408">
        <v>0</v>
      </c>
      <c r="Z631" s="408">
        <v>16182.254301696943</v>
      </c>
      <c r="AA631" s="408">
        <v>0</v>
      </c>
      <c r="AB631" s="408">
        <v>0</v>
      </c>
      <c r="AC631" s="408">
        <v>0</v>
      </c>
      <c r="AD631" s="408">
        <v>19509.600200086563</v>
      </c>
      <c r="AE631" s="408">
        <v>101347.72243578963</v>
      </c>
      <c r="AF631" s="408">
        <v>54341.706716191096</v>
      </c>
      <c r="AG631" s="408">
        <v>723.9306788427175</v>
      </c>
      <c r="AH631" s="408">
        <v>0</v>
      </c>
      <c r="AI631" s="408">
        <v>0</v>
      </c>
      <c r="AJ631" s="408">
        <v>0</v>
      </c>
      <c r="AK631" s="408">
        <v>0</v>
      </c>
      <c r="AL631" s="408">
        <v>2500.6828870085506</v>
      </c>
      <c r="AM631" s="408"/>
      <c r="AN631" s="408">
        <v>479.37398834762297</v>
      </c>
      <c r="AO631" s="408">
        <v>1498.7582625329305</v>
      </c>
      <c r="AP631" s="408">
        <v>2257.595895401394</v>
      </c>
      <c r="AQ631" s="408">
        <v>0</v>
      </c>
      <c r="AR631" s="408">
        <v>0</v>
      </c>
      <c r="AS631" s="408">
        <v>0</v>
      </c>
      <c r="AT631" s="408">
        <v>0</v>
      </c>
      <c r="AU631" s="408">
        <v>0</v>
      </c>
      <c r="AV631" s="408">
        <v>0</v>
      </c>
      <c r="AW631" s="408">
        <v>0</v>
      </c>
      <c r="AX631" s="408">
        <v>0</v>
      </c>
      <c r="AY631" s="408">
        <v>0</v>
      </c>
      <c r="AZ631" s="408">
        <v>0</v>
      </c>
      <c r="BA631" s="408"/>
      <c r="BB631" s="408">
        <v>0</v>
      </c>
      <c r="BC631" s="408">
        <v>0</v>
      </c>
      <c r="BD631" s="408">
        <v>0</v>
      </c>
      <c r="BE631" s="408">
        <v>0</v>
      </c>
      <c r="BF631" s="408">
        <v>0</v>
      </c>
      <c r="BG631" s="408">
        <v>9091.2659471019633</v>
      </c>
      <c r="BH631" s="408">
        <v>0</v>
      </c>
      <c r="BI631" s="408">
        <v>350.66</v>
      </c>
      <c r="BJ631" s="408">
        <v>1632.66</v>
      </c>
      <c r="BK631" s="408">
        <v>47473.9</v>
      </c>
      <c r="BL631" s="408">
        <v>480</v>
      </c>
      <c r="BM631" s="408"/>
      <c r="BN631" s="408"/>
      <c r="BO631" s="408"/>
      <c r="BP631" s="408"/>
      <c r="BQ631" s="408"/>
      <c r="BR631" s="408"/>
      <c r="BS631" s="408"/>
      <c r="BT631" s="408"/>
      <c r="BU631" s="408"/>
      <c r="BV631" s="408">
        <v>63432.972663293061</v>
      </c>
      <c r="BW631" s="408"/>
      <c r="BX631" s="408"/>
      <c r="BY631" s="408"/>
      <c r="BZ631" s="408"/>
      <c r="CA631" s="408"/>
      <c r="CB631" s="408"/>
      <c r="CC631" s="408"/>
      <c r="CD631" s="408"/>
      <c r="CE631" s="408"/>
      <c r="CF631" s="408"/>
      <c r="CG631" s="408"/>
      <c r="CH631" s="408"/>
      <c r="CI631" s="408">
        <v>158846.24719999998</v>
      </c>
      <c r="CJ631" s="408">
        <v>-49084.676880000043</v>
      </c>
      <c r="CK631" s="408"/>
      <c r="CL631" s="408"/>
      <c r="CM631" s="408"/>
      <c r="CN631" s="408"/>
      <c r="CO631" s="408">
        <v>-55085.698720000022</v>
      </c>
      <c r="CP631" s="408">
        <v>6003.4681199999959</v>
      </c>
      <c r="CQ631" s="408">
        <v>31</v>
      </c>
      <c r="CR631" s="408">
        <v>7768.9744171476195</v>
      </c>
      <c r="CS631" s="408">
        <v>180.94812826564612</v>
      </c>
      <c r="CT631" s="408">
        <v>272.56413650237073</v>
      </c>
      <c r="CU631" s="408">
        <v>0</v>
      </c>
      <c r="CV631" s="408">
        <v>0</v>
      </c>
      <c r="CW631" s="408">
        <v>0</v>
      </c>
      <c r="CX631" s="408">
        <v>0</v>
      </c>
      <c r="CY631" s="408">
        <v>0</v>
      </c>
      <c r="CZ631" s="408">
        <v>639.57225330760775</v>
      </c>
      <c r="DA631" s="408">
        <v>0</v>
      </c>
      <c r="DB631" s="408">
        <v>0</v>
      </c>
      <c r="DC631" s="408">
        <v>6001.6494942041318</v>
      </c>
      <c r="DD631" s="408">
        <v>0</v>
      </c>
      <c r="DE631" s="408">
        <v>0</v>
      </c>
      <c r="DF631" s="408">
        <v>0</v>
      </c>
      <c r="DG631" s="408">
        <v>1004.0647408823588</v>
      </c>
      <c r="DH631" s="408">
        <v>0</v>
      </c>
      <c r="DI631" s="408">
        <v>-282.09104473365005</v>
      </c>
      <c r="DJ631" s="408"/>
      <c r="DK631" s="408">
        <v>0</v>
      </c>
      <c r="DL631" s="408">
        <v>0</v>
      </c>
      <c r="DM631" s="408">
        <v>0</v>
      </c>
      <c r="DN631" s="408">
        <v>0</v>
      </c>
      <c r="DO631" s="408">
        <v>-36.649938526655205</v>
      </c>
      <c r="DP631" s="408">
        <v>-11.083352754190116</v>
      </c>
      <c r="DQ631" s="408">
        <v>0</v>
      </c>
      <c r="DR631" s="408">
        <v>0</v>
      </c>
      <c r="DS631" s="408"/>
      <c r="DT631" s="408"/>
      <c r="DU631" s="408"/>
      <c r="DV631" s="408">
        <v>101347.72243578963</v>
      </c>
      <c r="DW631" s="408">
        <v>0</v>
      </c>
      <c r="DX631" s="408">
        <v>0</v>
      </c>
      <c r="DY631" s="408">
        <v>-55085.698720000015</v>
      </c>
      <c r="DZ631" s="408">
        <v>6003.4681199999977</v>
      </c>
      <c r="EA631" s="408">
        <v>0</v>
      </c>
      <c r="EB631" s="408">
        <v>0</v>
      </c>
      <c r="EC631" s="408">
        <v>-56855.028323383369</v>
      </c>
      <c r="ED631" s="408">
        <v>0</v>
      </c>
      <c r="EE631" s="408">
        <v>0</v>
      </c>
      <c r="EF631" s="408">
        <v>0</v>
      </c>
      <c r="EG631" s="408">
        <v>0</v>
      </c>
      <c r="EH631" s="408">
        <v>0</v>
      </c>
      <c r="EI631" s="408">
        <v>0</v>
      </c>
      <c r="EJ631" s="408">
        <v>0</v>
      </c>
      <c r="EK631" s="408">
        <v>0</v>
      </c>
      <c r="EL631" s="408">
        <v>0</v>
      </c>
      <c r="EM631" s="408">
        <v>0</v>
      </c>
      <c r="EN631" s="408">
        <v>0</v>
      </c>
      <c r="EO631" s="408">
        <v>0</v>
      </c>
      <c r="EP631" s="408">
        <v>0</v>
      </c>
      <c r="EQ631" s="408">
        <v>0</v>
      </c>
      <c r="ER631" s="408">
        <v>0</v>
      </c>
      <c r="ES631" s="408">
        <v>0</v>
      </c>
      <c r="ET631" s="408">
        <v>0</v>
      </c>
      <c r="EU631" s="408">
        <v>0</v>
      </c>
      <c r="EV631" s="408">
        <v>238</v>
      </c>
      <c r="EW631" s="408">
        <v>0</v>
      </c>
      <c r="EX631" s="408">
        <v>0</v>
      </c>
      <c r="EY631" s="408">
        <v>0</v>
      </c>
      <c r="EZ631" s="408"/>
      <c r="FA631" s="408">
        <v>0</v>
      </c>
      <c r="FB631" s="408"/>
      <c r="FC631" s="408"/>
      <c r="FD631" s="408"/>
      <c r="FE631" s="408"/>
      <c r="FF631" s="408">
        <v>0</v>
      </c>
      <c r="FG631" s="408">
        <v>0</v>
      </c>
      <c r="FH631" s="408">
        <v>0</v>
      </c>
      <c r="FI631" s="408">
        <v>0</v>
      </c>
    </row>
    <row r="632" spans="1:165">
      <c r="A632" s="408">
        <v>636</v>
      </c>
      <c r="B632" s="408" t="s">
        <v>2238</v>
      </c>
      <c r="C632" s="408" t="s">
        <v>2235</v>
      </c>
      <c r="D632" s="408" t="s">
        <v>1958</v>
      </c>
      <c r="E632" s="408" t="s">
        <v>2246</v>
      </c>
      <c r="F632" s="408" t="s">
        <v>1322</v>
      </c>
      <c r="G632" s="408" t="s">
        <v>1322</v>
      </c>
      <c r="H632" s="408" t="s">
        <v>1322</v>
      </c>
      <c r="I632" s="408" t="s">
        <v>1322</v>
      </c>
      <c r="J632" s="408" t="s">
        <v>2236</v>
      </c>
      <c r="K632" s="824">
        <v>44682</v>
      </c>
      <c r="L632" s="408">
        <v>0</v>
      </c>
      <c r="M632" s="408">
        <v>0</v>
      </c>
      <c r="N632" s="408">
        <v>4.8559999999999999</v>
      </c>
      <c r="O632" s="408">
        <v>4.8559999999999999</v>
      </c>
      <c r="P632" s="408">
        <v>4.8559999999999999</v>
      </c>
      <c r="Q632" s="408">
        <v>4.8559999999999999</v>
      </c>
      <c r="R632" s="408"/>
      <c r="S632" s="408">
        <v>581.32000000000005</v>
      </c>
      <c r="T632" s="408">
        <v>209.4</v>
      </c>
      <c r="U632" s="408"/>
      <c r="V632" s="408">
        <v>3839.73632</v>
      </c>
      <c r="W632" s="408">
        <v>3839.73632</v>
      </c>
      <c r="X632" s="408">
        <v>2933.3639199999998</v>
      </c>
      <c r="Y632" s="408">
        <v>0</v>
      </c>
      <c r="Z632" s="408">
        <v>298.82807870674446</v>
      </c>
      <c r="AA632" s="408">
        <v>0</v>
      </c>
      <c r="AB632" s="408">
        <v>0</v>
      </c>
      <c r="AC632" s="408">
        <v>0</v>
      </c>
      <c r="AD632" s="408">
        <v>360.27219912847517</v>
      </c>
      <c r="AE632" s="408">
        <v>1871.5281945368736</v>
      </c>
      <c r="AF632" s="408">
        <v>1003.4960215612174</v>
      </c>
      <c r="AG632" s="408">
        <v>13.368397866096636</v>
      </c>
      <c r="AH632" s="408">
        <v>0</v>
      </c>
      <c r="AI632" s="408">
        <v>0</v>
      </c>
      <c r="AJ632" s="408">
        <v>0</v>
      </c>
      <c r="AK632" s="408">
        <v>0</v>
      </c>
      <c r="AL632" s="408">
        <v>46.178625588725154</v>
      </c>
      <c r="AM632" s="408"/>
      <c r="AN632" s="408">
        <v>8.8523147176649921</v>
      </c>
      <c r="AO632" s="408">
        <v>27.67667864369233</v>
      </c>
      <c r="AP632" s="408">
        <v>41.689682496726434</v>
      </c>
      <c r="AQ632" s="408">
        <v>0</v>
      </c>
      <c r="AR632" s="408">
        <v>0</v>
      </c>
      <c r="AS632" s="408">
        <v>0</v>
      </c>
      <c r="AT632" s="408">
        <v>0</v>
      </c>
      <c r="AU632" s="408">
        <v>0</v>
      </c>
      <c r="AV632" s="408">
        <v>0</v>
      </c>
      <c r="AW632" s="408">
        <v>0</v>
      </c>
      <c r="AX632" s="408">
        <v>0</v>
      </c>
      <c r="AY632" s="408">
        <v>0</v>
      </c>
      <c r="AZ632" s="408">
        <v>0</v>
      </c>
      <c r="BA632" s="408"/>
      <c r="BB632" s="408">
        <v>0</v>
      </c>
      <c r="BC632" s="408">
        <v>0</v>
      </c>
      <c r="BD632" s="408">
        <v>0</v>
      </c>
      <c r="BE632" s="408">
        <v>0</v>
      </c>
      <c r="BF632" s="408">
        <v>0</v>
      </c>
      <c r="BG632" s="408">
        <v>167.8830084693233</v>
      </c>
      <c r="BH632" s="408">
        <v>0</v>
      </c>
      <c r="BI632" s="408">
        <v>6.3</v>
      </c>
      <c r="BJ632" s="408">
        <v>29.23</v>
      </c>
      <c r="BK632" s="408">
        <v>1041.8599999999999</v>
      </c>
      <c r="BL632" s="408">
        <v>6</v>
      </c>
      <c r="BM632" s="408"/>
      <c r="BN632" s="408"/>
      <c r="BO632" s="408"/>
      <c r="BP632" s="408"/>
      <c r="BQ632" s="408"/>
      <c r="BR632" s="408"/>
      <c r="BS632" s="408"/>
      <c r="BT632" s="408"/>
      <c r="BU632" s="408"/>
      <c r="BV632" s="408">
        <v>1171.3790300305407</v>
      </c>
      <c r="BW632" s="408"/>
      <c r="BX632" s="408"/>
      <c r="BY632" s="408"/>
      <c r="BZ632" s="408"/>
      <c r="CA632" s="408"/>
      <c r="CB632" s="408"/>
      <c r="CC632" s="408"/>
      <c r="CD632" s="408"/>
      <c r="CE632" s="408"/>
      <c r="CF632" s="408"/>
      <c r="CG632" s="408"/>
      <c r="CH632" s="408"/>
      <c r="CI632" s="408">
        <v>2935.7802000000001</v>
      </c>
      <c r="CJ632" s="408">
        <v>-903.98612000000048</v>
      </c>
      <c r="CK632" s="408"/>
      <c r="CL632" s="408"/>
      <c r="CM632" s="408"/>
      <c r="CN632" s="408"/>
      <c r="CO632" s="408">
        <v>-1017.2348800000003</v>
      </c>
      <c r="CP632" s="408">
        <v>110.86247999999992</v>
      </c>
      <c r="CQ632" s="408">
        <v>31</v>
      </c>
      <c r="CR632" s="408">
        <v>143.46503616338578</v>
      </c>
      <c r="CS632" s="408">
        <v>3.3414616101746901</v>
      </c>
      <c r="CT632" s="408">
        <v>5.0332800187687781</v>
      </c>
      <c r="CU632" s="408">
        <v>0</v>
      </c>
      <c r="CV632" s="408">
        <v>0</v>
      </c>
      <c r="CW632" s="408">
        <v>0</v>
      </c>
      <c r="CX632" s="408">
        <v>0</v>
      </c>
      <c r="CY632" s="408">
        <v>0</v>
      </c>
      <c r="CZ632" s="408">
        <v>11.810600926597374</v>
      </c>
      <c r="DA632" s="408">
        <v>0</v>
      </c>
      <c r="DB632" s="408">
        <v>0</v>
      </c>
      <c r="DC632" s="408">
        <v>110.82889651760399</v>
      </c>
      <c r="DD632" s="408">
        <v>0</v>
      </c>
      <c r="DE632" s="408">
        <v>0</v>
      </c>
      <c r="DF632" s="408">
        <v>0</v>
      </c>
      <c r="DG632" s="408">
        <v>18.541467203589605</v>
      </c>
      <c r="DH632" s="408">
        <v>0</v>
      </c>
      <c r="DI632" s="408">
        <v>-5.2092077745493839</v>
      </c>
      <c r="DJ632" s="408"/>
      <c r="DK632" s="408">
        <v>0</v>
      </c>
      <c r="DL632" s="408">
        <v>0</v>
      </c>
      <c r="DM632" s="408">
        <v>0</v>
      </c>
      <c r="DN632" s="408">
        <v>0</v>
      </c>
      <c r="DO632" s="408">
        <v>-0.67679264646658055</v>
      </c>
      <c r="DP632" s="408">
        <v>-0.2046696923318283</v>
      </c>
      <c r="DQ632" s="408">
        <v>0</v>
      </c>
      <c r="DR632" s="408">
        <v>0</v>
      </c>
      <c r="DS632" s="408"/>
      <c r="DT632" s="408"/>
      <c r="DU632" s="408"/>
      <c r="DV632" s="408">
        <v>1871.5281945368736</v>
      </c>
      <c r="DW632" s="408">
        <v>0</v>
      </c>
      <c r="DX632" s="408">
        <v>0</v>
      </c>
      <c r="DY632" s="408">
        <v>-1017.2348800000002</v>
      </c>
      <c r="DZ632" s="408">
        <v>110.86247999999989</v>
      </c>
      <c r="EA632" s="408">
        <v>0</v>
      </c>
      <c r="EB632" s="408">
        <v>0</v>
      </c>
      <c r="EC632" s="408">
        <v>-1049.9080388887819</v>
      </c>
      <c r="ED632" s="408">
        <v>0</v>
      </c>
      <c r="EE632" s="408">
        <v>0</v>
      </c>
      <c r="EF632" s="408">
        <v>0</v>
      </c>
      <c r="EG632" s="408">
        <v>0</v>
      </c>
      <c r="EH632" s="408">
        <v>0</v>
      </c>
      <c r="EI632" s="408">
        <v>0</v>
      </c>
      <c r="EJ632" s="408">
        <v>0</v>
      </c>
      <c r="EK632" s="408">
        <v>0</v>
      </c>
      <c r="EL632" s="408">
        <v>0</v>
      </c>
      <c r="EM632" s="408">
        <v>0</v>
      </c>
      <c r="EN632" s="408">
        <v>0</v>
      </c>
      <c r="EO632" s="408">
        <v>0</v>
      </c>
      <c r="EP632" s="408">
        <v>0</v>
      </c>
      <c r="EQ632" s="408">
        <v>0</v>
      </c>
      <c r="ER632" s="408">
        <v>0</v>
      </c>
      <c r="ES632" s="408">
        <v>0</v>
      </c>
      <c r="ET632" s="408">
        <v>0</v>
      </c>
      <c r="EU632" s="408">
        <v>0</v>
      </c>
      <c r="EV632" s="408">
        <v>238</v>
      </c>
      <c r="EW632" s="408">
        <v>0</v>
      </c>
      <c r="EX632" s="408">
        <v>0</v>
      </c>
      <c r="EY632" s="408">
        <v>0</v>
      </c>
      <c r="EZ632" s="408"/>
      <c r="FA632" s="408">
        <v>0</v>
      </c>
      <c r="FB632" s="408"/>
      <c r="FC632" s="408"/>
      <c r="FD632" s="408"/>
      <c r="FE632" s="408"/>
      <c r="FF632" s="408">
        <v>0</v>
      </c>
      <c r="FG632" s="408">
        <v>0</v>
      </c>
      <c r="FH632" s="408">
        <v>0</v>
      </c>
      <c r="FI632" s="408">
        <v>0</v>
      </c>
    </row>
    <row r="633" spans="1:165">
      <c r="A633" s="408">
        <v>637</v>
      </c>
      <c r="B633" s="408" t="s">
        <v>1036</v>
      </c>
      <c r="C633" s="408" t="s">
        <v>2243</v>
      </c>
      <c r="D633" s="408" t="s">
        <v>597</v>
      </c>
      <c r="E633" s="408" t="s">
        <v>2246</v>
      </c>
      <c r="F633" s="408" t="s">
        <v>1322</v>
      </c>
      <c r="G633" s="408" t="s">
        <v>1322</v>
      </c>
      <c r="H633" s="408" t="s">
        <v>1322</v>
      </c>
      <c r="I633" s="408" t="s">
        <v>973</v>
      </c>
      <c r="J633" s="408" t="s">
        <v>2236</v>
      </c>
      <c r="K633" s="824">
        <v>44682</v>
      </c>
      <c r="L633" s="408">
        <v>0</v>
      </c>
      <c r="M633" s="408">
        <v>0</v>
      </c>
      <c r="N633" s="408">
        <v>0.23799999999999999</v>
      </c>
      <c r="O633" s="408">
        <v>0.23799999999999999</v>
      </c>
      <c r="P633" s="408">
        <v>0.23799999999999999</v>
      </c>
      <c r="Q633" s="408">
        <v>0.23799999999999999</v>
      </c>
      <c r="R633" s="408"/>
      <c r="S633" s="408">
        <v>1614.19</v>
      </c>
      <c r="T633" s="408">
        <v>209.4</v>
      </c>
      <c r="U633" s="408"/>
      <c r="V633" s="408">
        <v>434.01441999999997</v>
      </c>
      <c r="W633" s="408">
        <v>434.01441999999997</v>
      </c>
      <c r="X633" s="408">
        <v>288.49169999999998</v>
      </c>
      <c r="Y633" s="408">
        <v>0</v>
      </c>
      <c r="Z633" s="408">
        <v>12.742039122120788</v>
      </c>
      <c r="AA633" s="408">
        <v>0</v>
      </c>
      <c r="AB633" s="408">
        <v>0</v>
      </c>
      <c r="AC633" s="408">
        <v>0</v>
      </c>
      <c r="AD633" s="408">
        <v>74.117481701871284</v>
      </c>
      <c r="AE633" s="408">
        <v>276.75511464188168</v>
      </c>
      <c r="AF633" s="408">
        <v>49.182877498263949</v>
      </c>
      <c r="AG633" s="408">
        <v>0.65520566147672976</v>
      </c>
      <c r="AH633" s="408">
        <v>0</v>
      </c>
      <c r="AI633" s="408">
        <v>0</v>
      </c>
      <c r="AJ633" s="408">
        <v>0</v>
      </c>
      <c r="AK633" s="408">
        <v>0</v>
      </c>
      <c r="AL633" s="408">
        <v>2.2632851915396595</v>
      </c>
      <c r="AM633" s="408"/>
      <c r="AN633" s="408">
        <v>0.31602694542493254</v>
      </c>
      <c r="AO633" s="408">
        <v>5.7583922387176649</v>
      </c>
      <c r="AP633" s="408">
        <v>8.5772115125719193</v>
      </c>
      <c r="AQ633" s="408">
        <v>0</v>
      </c>
      <c r="AR633" s="408">
        <v>0</v>
      </c>
      <c r="AS633" s="408">
        <v>0</v>
      </c>
      <c r="AT633" s="408">
        <v>0</v>
      </c>
      <c r="AU633" s="408">
        <v>0</v>
      </c>
      <c r="AV633" s="408">
        <v>0</v>
      </c>
      <c r="AW633" s="408">
        <v>0</v>
      </c>
      <c r="AX633" s="408">
        <v>0</v>
      </c>
      <c r="AY633" s="408">
        <v>0</v>
      </c>
      <c r="AZ633" s="408">
        <v>0</v>
      </c>
      <c r="BA633" s="408"/>
      <c r="BB633" s="408">
        <v>0</v>
      </c>
      <c r="BC633" s="408">
        <v>0</v>
      </c>
      <c r="BD633" s="408">
        <v>0</v>
      </c>
      <c r="BE633" s="408">
        <v>0</v>
      </c>
      <c r="BF633" s="408">
        <v>0</v>
      </c>
      <c r="BG633" s="408">
        <v>3.6472158539705029</v>
      </c>
      <c r="BH633" s="408">
        <v>0</v>
      </c>
      <c r="BI633" s="408">
        <v>0</v>
      </c>
      <c r="BJ633" s="408">
        <v>0</v>
      </c>
      <c r="BK633" s="408">
        <v>0</v>
      </c>
      <c r="BL633" s="408">
        <v>0</v>
      </c>
      <c r="BM633" s="408"/>
      <c r="BN633" s="408"/>
      <c r="BO633" s="408"/>
      <c r="BP633" s="408"/>
      <c r="BQ633" s="408"/>
      <c r="BR633" s="408"/>
      <c r="BS633" s="408"/>
      <c r="BT633" s="408"/>
      <c r="BU633" s="408"/>
      <c r="BV633" s="408">
        <v>52.830093352234449</v>
      </c>
      <c r="BW633" s="408"/>
      <c r="BX633" s="408"/>
      <c r="BY633" s="408"/>
      <c r="BZ633" s="408"/>
      <c r="CA633" s="408"/>
      <c r="CB633" s="408"/>
      <c r="CC633" s="408"/>
      <c r="CD633" s="408"/>
      <c r="CE633" s="408"/>
      <c r="CF633" s="408"/>
      <c r="CG633" s="408"/>
      <c r="CH633" s="408"/>
      <c r="CI633" s="408">
        <v>290.916</v>
      </c>
      <c r="CJ633" s="408">
        <v>-143.12841999999995</v>
      </c>
      <c r="CK633" s="408"/>
      <c r="CL633" s="408"/>
      <c r="CM633" s="408"/>
      <c r="CN633" s="408"/>
      <c r="CO633" s="408">
        <v>-150.95626000000001</v>
      </c>
      <c r="CP633" s="408">
        <v>5.4335399999999963</v>
      </c>
      <c r="CQ633" s="408">
        <v>31</v>
      </c>
      <c r="CR633" s="408">
        <v>9.7326228514243951</v>
      </c>
      <c r="CS633" s="408">
        <v>0.69522238740116027</v>
      </c>
      <c r="CT633" s="408">
        <v>1.0355441619487582</v>
      </c>
      <c r="CU633" s="408">
        <v>0</v>
      </c>
      <c r="CV633" s="408">
        <v>0</v>
      </c>
      <c r="CW633" s="408">
        <v>0</v>
      </c>
      <c r="CX633" s="408">
        <v>0</v>
      </c>
      <c r="CY633" s="408">
        <v>0</v>
      </c>
      <c r="CZ633" s="408">
        <v>2.4297517271185427</v>
      </c>
      <c r="DA633" s="408">
        <v>0</v>
      </c>
      <c r="DB633" s="408">
        <v>0</v>
      </c>
      <c r="DC633" s="408">
        <v>5.4318940220736778</v>
      </c>
      <c r="DD633" s="408">
        <v>0</v>
      </c>
      <c r="DE633" s="408">
        <v>0</v>
      </c>
      <c r="DF633" s="408">
        <v>0</v>
      </c>
      <c r="DG633" s="408">
        <v>0.40280868062454678</v>
      </c>
      <c r="DH633" s="408">
        <v>0</v>
      </c>
      <c r="DI633" s="408">
        <v>-0.22212079114461325</v>
      </c>
      <c r="DJ633" s="408"/>
      <c r="DK633" s="408">
        <v>0</v>
      </c>
      <c r="DL633" s="408">
        <v>0</v>
      </c>
      <c r="DM633" s="408">
        <v>0</v>
      </c>
      <c r="DN633" s="408">
        <v>0</v>
      </c>
      <c r="DO633" s="408">
        <v>-3.3170644534399774E-2</v>
      </c>
      <c r="DP633" s="408">
        <v>-7.3066920632218757E-3</v>
      </c>
      <c r="DQ633" s="408">
        <v>0</v>
      </c>
      <c r="DR633" s="408">
        <v>0</v>
      </c>
      <c r="DS633" s="408"/>
      <c r="DT633" s="408"/>
      <c r="DU633" s="408"/>
      <c r="DV633" s="408">
        <v>276.75511464188168</v>
      </c>
      <c r="DW633" s="408">
        <v>0</v>
      </c>
      <c r="DX633" s="408">
        <v>0</v>
      </c>
      <c r="DY633" s="408">
        <v>-150.95625999999999</v>
      </c>
      <c r="DZ633" s="408">
        <v>5.4335400000000007</v>
      </c>
      <c r="EA633" s="408">
        <v>0</v>
      </c>
      <c r="EB633" s="408">
        <v>0</v>
      </c>
      <c r="EC633" s="408">
        <v>-155.25676851371327</v>
      </c>
      <c r="ED633" s="408">
        <v>0</v>
      </c>
      <c r="EE633" s="408">
        <v>0</v>
      </c>
      <c r="EF633" s="408">
        <v>0</v>
      </c>
      <c r="EG633" s="408">
        <v>0</v>
      </c>
      <c r="EH633" s="408">
        <v>0</v>
      </c>
      <c r="EI633" s="408">
        <v>0</v>
      </c>
      <c r="EJ633" s="408">
        <v>0</v>
      </c>
      <c r="EK633" s="408">
        <v>0</v>
      </c>
      <c r="EL633" s="408">
        <v>0</v>
      </c>
      <c r="EM633" s="408">
        <v>0</v>
      </c>
      <c r="EN633" s="408">
        <v>0</v>
      </c>
      <c r="EO633" s="408">
        <v>0</v>
      </c>
      <c r="EP633" s="408">
        <v>0</v>
      </c>
      <c r="EQ633" s="408">
        <v>0</v>
      </c>
      <c r="ER633" s="408">
        <v>0</v>
      </c>
      <c r="ES633" s="408">
        <v>0</v>
      </c>
      <c r="ET633" s="408">
        <v>0</v>
      </c>
      <c r="EU633" s="408">
        <v>0</v>
      </c>
      <c r="EV633" s="408">
        <v>238</v>
      </c>
      <c r="EW633" s="408">
        <v>0</v>
      </c>
      <c r="EX633" s="408">
        <v>0</v>
      </c>
      <c r="EY633" s="408">
        <v>0</v>
      </c>
      <c r="EZ633" s="408"/>
      <c r="FA633" s="408">
        <v>0</v>
      </c>
      <c r="FB633" s="408"/>
      <c r="FC633" s="408"/>
      <c r="FD633" s="408"/>
      <c r="FE633" s="408"/>
      <c r="FF633" s="408">
        <v>0</v>
      </c>
      <c r="FG633" s="408">
        <v>0</v>
      </c>
      <c r="FH633" s="408">
        <v>0</v>
      </c>
      <c r="FI633" s="408">
        <v>0</v>
      </c>
    </row>
    <row r="634" spans="1:165">
      <c r="A634" s="408">
        <v>638</v>
      </c>
      <c r="B634" s="408" t="s">
        <v>1036</v>
      </c>
      <c r="C634" s="408" t="s">
        <v>2243</v>
      </c>
      <c r="D634" s="408" t="s">
        <v>597</v>
      </c>
      <c r="E634" s="408" t="s">
        <v>2246</v>
      </c>
      <c r="F634" s="408" t="s">
        <v>1322</v>
      </c>
      <c r="G634" s="408" t="s">
        <v>1322</v>
      </c>
      <c r="H634" s="408" t="s">
        <v>1322</v>
      </c>
      <c r="I634" s="408" t="s">
        <v>2244</v>
      </c>
      <c r="J634" s="408" t="s">
        <v>2236</v>
      </c>
      <c r="K634" s="824">
        <v>44682</v>
      </c>
      <c r="L634" s="408">
        <v>0</v>
      </c>
      <c r="M634" s="408">
        <v>0</v>
      </c>
      <c r="N634" s="408">
        <v>4.9580000000000002</v>
      </c>
      <c r="O634" s="408">
        <v>4.9580000000000002</v>
      </c>
      <c r="P634" s="408">
        <v>4.9580000000000002</v>
      </c>
      <c r="Q634" s="408">
        <v>4.9580000000000002</v>
      </c>
      <c r="R634" s="408"/>
      <c r="S634" s="408">
        <v>79.7</v>
      </c>
      <c r="T634" s="408">
        <v>209.4</v>
      </c>
      <c r="U634" s="408"/>
      <c r="V634" s="408">
        <v>1433.3578000000002</v>
      </c>
      <c r="W634" s="408">
        <v>1433.3578000000002</v>
      </c>
      <c r="X634" s="408">
        <v>1549.47416</v>
      </c>
      <c r="Y634" s="408">
        <v>0</v>
      </c>
      <c r="Z634" s="408">
        <v>265.44130238434821</v>
      </c>
      <c r="AA634" s="408">
        <v>0</v>
      </c>
      <c r="AB634" s="408">
        <v>0</v>
      </c>
      <c r="AC634" s="408">
        <v>0</v>
      </c>
      <c r="AD634" s="408">
        <v>0</v>
      </c>
      <c r="AE634" s="408">
        <v>0</v>
      </c>
      <c r="AF634" s="408">
        <v>1024.574397631902</v>
      </c>
      <c r="AG634" s="408">
        <v>13.649200292443808</v>
      </c>
      <c r="AH634" s="408">
        <v>0</v>
      </c>
      <c r="AI634" s="408">
        <v>0</v>
      </c>
      <c r="AJ634" s="408">
        <v>0</v>
      </c>
      <c r="AK634" s="408">
        <v>0</v>
      </c>
      <c r="AL634" s="408">
        <v>47.148604956527869</v>
      </c>
      <c r="AM634" s="408"/>
      <c r="AN634" s="408">
        <v>6.5834520815832587</v>
      </c>
      <c r="AO634" s="408">
        <v>0</v>
      </c>
      <c r="AP634" s="408">
        <v>0</v>
      </c>
      <c r="AQ634" s="408">
        <v>0</v>
      </c>
      <c r="AR634" s="408">
        <v>0</v>
      </c>
      <c r="AS634" s="408">
        <v>0</v>
      </c>
      <c r="AT634" s="408">
        <v>0</v>
      </c>
      <c r="AU634" s="408">
        <v>0</v>
      </c>
      <c r="AV634" s="408">
        <v>0</v>
      </c>
      <c r="AW634" s="408">
        <v>0</v>
      </c>
      <c r="AX634" s="408">
        <v>0</v>
      </c>
      <c r="AY634" s="408">
        <v>0</v>
      </c>
      <c r="AZ634" s="408">
        <v>0</v>
      </c>
      <c r="BA634" s="408"/>
      <c r="BB634" s="408">
        <v>0</v>
      </c>
      <c r="BC634" s="408">
        <v>0</v>
      </c>
      <c r="BD634" s="408">
        <v>0</v>
      </c>
      <c r="BE634" s="408">
        <v>0</v>
      </c>
      <c r="BF634" s="408">
        <v>0</v>
      </c>
      <c r="BG634" s="408">
        <v>75.978555478931739</v>
      </c>
      <c r="BH634" s="408">
        <v>0</v>
      </c>
      <c r="BI634" s="408">
        <v>0</v>
      </c>
      <c r="BJ634" s="408">
        <v>0</v>
      </c>
      <c r="BK634" s="408">
        <v>0</v>
      </c>
      <c r="BL634" s="408">
        <v>0</v>
      </c>
      <c r="BM634" s="408"/>
      <c r="BN634" s="408"/>
      <c r="BO634" s="408"/>
      <c r="BP634" s="408"/>
      <c r="BQ634" s="408"/>
      <c r="BR634" s="408"/>
      <c r="BS634" s="408"/>
      <c r="BT634" s="408"/>
      <c r="BU634" s="408"/>
      <c r="BV634" s="408">
        <v>1100.5529531108336</v>
      </c>
      <c r="BW634" s="408"/>
      <c r="BX634" s="408"/>
      <c r="BY634" s="408"/>
      <c r="BZ634" s="408"/>
      <c r="CA634" s="408"/>
      <c r="CB634" s="408"/>
      <c r="CC634" s="408"/>
      <c r="CD634" s="408"/>
      <c r="CE634" s="408"/>
      <c r="CF634" s="408"/>
      <c r="CG634" s="408"/>
      <c r="CH634" s="408"/>
      <c r="CI634" s="408">
        <v>1550.0991999999999</v>
      </c>
      <c r="CJ634" s="408">
        <v>116.71139999999968</v>
      </c>
      <c r="CK634" s="408"/>
      <c r="CL634" s="408"/>
      <c r="CM634" s="408"/>
      <c r="CN634" s="408"/>
      <c r="CO634" s="408">
        <v>2.9252200000000168</v>
      </c>
      <c r="CP634" s="408">
        <v>113.19113999999992</v>
      </c>
      <c r="CQ634" s="408">
        <v>31</v>
      </c>
      <c r="CR634" s="408">
        <v>116.07770791021767</v>
      </c>
      <c r="CS634" s="408">
        <v>0</v>
      </c>
      <c r="CT634" s="408">
        <v>0</v>
      </c>
      <c r="CU634" s="408">
        <v>0</v>
      </c>
      <c r="CV634" s="408">
        <v>0</v>
      </c>
      <c r="CW634" s="408">
        <v>0</v>
      </c>
      <c r="CX634" s="408">
        <v>0</v>
      </c>
      <c r="CY634" s="408">
        <v>0</v>
      </c>
      <c r="CZ634" s="408">
        <v>0</v>
      </c>
      <c r="DA634" s="408">
        <v>0</v>
      </c>
      <c r="DB634" s="408">
        <v>0</v>
      </c>
      <c r="DC634" s="408">
        <v>113.15685109849278</v>
      </c>
      <c r="DD634" s="408">
        <v>0</v>
      </c>
      <c r="DE634" s="408">
        <v>0</v>
      </c>
      <c r="DF634" s="408">
        <v>0</v>
      </c>
      <c r="DG634" s="408">
        <v>8.391283355195398</v>
      </c>
      <c r="DH634" s="408">
        <v>0</v>
      </c>
      <c r="DI634" s="408">
        <v>-4.6272053886344224</v>
      </c>
      <c r="DJ634" s="408"/>
      <c r="DK634" s="408">
        <v>0</v>
      </c>
      <c r="DL634" s="408">
        <v>0</v>
      </c>
      <c r="DM634" s="408">
        <v>0</v>
      </c>
      <c r="DN634" s="408">
        <v>0</v>
      </c>
      <c r="DO634" s="408">
        <v>-0.69100863698132287</v>
      </c>
      <c r="DP634" s="408">
        <v>-0.15221251785484835</v>
      </c>
      <c r="DQ634" s="408">
        <v>0</v>
      </c>
      <c r="DR634" s="408">
        <v>0</v>
      </c>
      <c r="DS634" s="408"/>
      <c r="DT634" s="408"/>
      <c r="DU634" s="408"/>
      <c r="DV634" s="408">
        <v>0</v>
      </c>
      <c r="DW634" s="408">
        <v>0</v>
      </c>
      <c r="DX634" s="408">
        <v>0</v>
      </c>
      <c r="DY634" s="408">
        <v>2.9252200000000244</v>
      </c>
      <c r="DZ634" s="408">
        <v>113.1911399999999</v>
      </c>
      <c r="EA634" s="408">
        <v>0</v>
      </c>
      <c r="EB634" s="408">
        <v>0</v>
      </c>
      <c r="EC634" s="408">
        <v>0</v>
      </c>
      <c r="ED634" s="408">
        <v>0</v>
      </c>
      <c r="EE634" s="408">
        <v>0</v>
      </c>
      <c r="EF634" s="408">
        <v>0</v>
      </c>
      <c r="EG634" s="408">
        <v>0</v>
      </c>
      <c r="EH634" s="408">
        <v>0</v>
      </c>
      <c r="EI634" s="408">
        <v>0</v>
      </c>
      <c r="EJ634" s="408">
        <v>0</v>
      </c>
      <c r="EK634" s="408">
        <v>0</v>
      </c>
      <c r="EL634" s="408">
        <v>0</v>
      </c>
      <c r="EM634" s="408">
        <v>0</v>
      </c>
      <c r="EN634" s="408">
        <v>0</v>
      </c>
      <c r="EO634" s="408">
        <v>0</v>
      </c>
      <c r="EP634" s="408">
        <v>0</v>
      </c>
      <c r="EQ634" s="408">
        <v>0</v>
      </c>
      <c r="ER634" s="408">
        <v>0</v>
      </c>
      <c r="ES634" s="408">
        <v>0</v>
      </c>
      <c r="ET634" s="408">
        <v>0</v>
      </c>
      <c r="EU634" s="408">
        <v>0</v>
      </c>
      <c r="EV634" s="408">
        <v>238</v>
      </c>
      <c r="EW634" s="408">
        <v>0</v>
      </c>
      <c r="EX634" s="408">
        <v>0</v>
      </c>
      <c r="EY634" s="408">
        <v>0</v>
      </c>
      <c r="EZ634" s="408"/>
      <c r="FA634" s="408">
        <v>0</v>
      </c>
      <c r="FB634" s="408"/>
      <c r="FC634" s="408"/>
      <c r="FD634" s="408"/>
      <c r="FE634" s="408"/>
      <c r="FF634" s="408">
        <v>0</v>
      </c>
      <c r="FG634" s="408">
        <v>0</v>
      </c>
      <c r="FH634" s="408">
        <v>0</v>
      </c>
      <c r="FI634" s="408">
        <v>0</v>
      </c>
    </row>
    <row r="635" spans="1:165">
      <c r="A635" s="408">
        <v>639</v>
      </c>
      <c r="B635" s="408" t="s">
        <v>1036</v>
      </c>
      <c r="C635" s="408" t="s">
        <v>2243</v>
      </c>
      <c r="D635" s="408" t="s">
        <v>597</v>
      </c>
      <c r="E635" s="408" t="s">
        <v>2246</v>
      </c>
      <c r="F635" s="408" t="s">
        <v>1322</v>
      </c>
      <c r="G635" s="408" t="s">
        <v>1322</v>
      </c>
      <c r="H635" s="408" t="s">
        <v>1322</v>
      </c>
      <c r="I635" s="408" t="s">
        <v>1322</v>
      </c>
      <c r="J635" s="408" t="s">
        <v>2236</v>
      </c>
      <c r="K635" s="824">
        <v>44682</v>
      </c>
      <c r="L635" s="408">
        <v>143</v>
      </c>
      <c r="M635" s="408">
        <v>143</v>
      </c>
      <c r="N635" s="408">
        <v>0</v>
      </c>
      <c r="O635" s="408">
        <v>0</v>
      </c>
      <c r="P635" s="408">
        <v>0</v>
      </c>
      <c r="Q635" s="408">
        <v>0</v>
      </c>
      <c r="R635" s="408">
        <v>44.35</v>
      </c>
      <c r="S635" s="408"/>
      <c r="T635" s="408"/>
      <c r="U635" s="408">
        <v>6342.05</v>
      </c>
      <c r="V635" s="408"/>
      <c r="W635" s="408">
        <v>6342.05</v>
      </c>
      <c r="X635" s="408">
        <v>4142.71</v>
      </c>
      <c r="Y635" s="408">
        <v>0</v>
      </c>
      <c r="Z635" s="408">
        <v>0</v>
      </c>
      <c r="AA635" s="408">
        <v>0</v>
      </c>
      <c r="AB635" s="408">
        <v>0</v>
      </c>
      <c r="AC635" s="408">
        <v>0</v>
      </c>
      <c r="AD635" s="408">
        <v>1876.4551073961979</v>
      </c>
      <c r="AE635" s="408">
        <v>4106.6520188616778</v>
      </c>
      <c r="AF635" s="408"/>
      <c r="AG635" s="408"/>
      <c r="AH635" s="408"/>
      <c r="AI635" s="408">
        <v>0</v>
      </c>
      <c r="AJ635" s="408">
        <v>0</v>
      </c>
      <c r="AK635" s="408">
        <v>0</v>
      </c>
      <c r="AL635" s="408">
        <v>0</v>
      </c>
      <c r="AM635" s="408"/>
      <c r="AN635" s="408">
        <v>0</v>
      </c>
      <c r="AO635" s="408">
        <v>141.81605890751828</v>
      </c>
      <c r="AP635" s="408">
        <v>216.97266925736545</v>
      </c>
      <c r="AQ635" s="408">
        <v>0</v>
      </c>
      <c r="AR635" s="408">
        <v>0</v>
      </c>
      <c r="AS635" s="408"/>
      <c r="AT635" s="408"/>
      <c r="AU635" s="408">
        <v>0</v>
      </c>
      <c r="AV635" s="408">
        <v>0</v>
      </c>
      <c r="AW635" s="408">
        <v>0</v>
      </c>
      <c r="AX635" s="408"/>
      <c r="AY635" s="408"/>
      <c r="AZ635" s="408">
        <v>0</v>
      </c>
      <c r="BA635" s="408"/>
      <c r="BB635" s="408">
        <v>0</v>
      </c>
      <c r="BC635" s="408">
        <v>0</v>
      </c>
      <c r="BD635" s="408">
        <v>0</v>
      </c>
      <c r="BE635" s="408">
        <v>0</v>
      </c>
      <c r="BF635" s="408"/>
      <c r="BG635" s="408">
        <v>0</v>
      </c>
      <c r="BH635" s="408">
        <v>0</v>
      </c>
      <c r="BI635" s="408">
        <v>12.7</v>
      </c>
      <c r="BJ635" s="408">
        <v>58.71</v>
      </c>
      <c r="BK635" s="408">
        <v>1108.55</v>
      </c>
      <c r="BL635" s="408">
        <v>2</v>
      </c>
      <c r="BM635" s="408"/>
      <c r="BN635" s="408"/>
      <c r="BO635" s="408"/>
      <c r="BP635" s="408"/>
      <c r="BQ635" s="408"/>
      <c r="BR635" s="408"/>
      <c r="BS635" s="408"/>
      <c r="BT635" s="408"/>
      <c r="BU635" s="408"/>
      <c r="BV635" s="408">
        <v>0</v>
      </c>
      <c r="BW635" s="408"/>
      <c r="BX635" s="408"/>
      <c r="BY635" s="408"/>
      <c r="BZ635" s="408"/>
      <c r="CA635" s="408"/>
      <c r="CB635" s="408"/>
      <c r="CC635" s="408"/>
      <c r="CD635" s="408"/>
      <c r="CE635" s="408"/>
      <c r="CF635" s="408"/>
      <c r="CG635" s="408"/>
      <c r="CH635" s="408"/>
      <c r="CI635" s="408">
        <v>4142.71</v>
      </c>
      <c r="CJ635" s="408">
        <v>-2199.3700000000008</v>
      </c>
      <c r="CK635" s="408"/>
      <c r="CL635" s="408"/>
      <c r="CM635" s="408"/>
      <c r="CN635" s="408"/>
      <c r="CO635" s="408">
        <v>-2199.34</v>
      </c>
      <c r="CP635" s="408">
        <v>0</v>
      </c>
      <c r="CQ635" s="408">
        <v>31</v>
      </c>
      <c r="CR635" s="408">
        <v>104.83206434614658</v>
      </c>
      <c r="CS635" s="408">
        <v>17.121740749543847</v>
      </c>
      <c r="CT635" s="408">
        <v>26.195550922648238</v>
      </c>
      <c r="CU635" s="408">
        <v>0</v>
      </c>
      <c r="CV635" s="408">
        <v>0</v>
      </c>
      <c r="CW635" s="408"/>
      <c r="CX635" s="408"/>
      <c r="CY635" s="408"/>
      <c r="CZ635" s="408">
        <v>61.514772673954667</v>
      </c>
      <c r="DA635" s="408">
        <v>0</v>
      </c>
      <c r="DB635" s="408">
        <v>0</v>
      </c>
      <c r="DC635" s="408"/>
      <c r="DD635" s="408"/>
      <c r="DE635" s="408">
        <v>0</v>
      </c>
      <c r="DF635" s="408">
        <v>0</v>
      </c>
      <c r="DG635" s="408">
        <v>0</v>
      </c>
      <c r="DH635" s="408">
        <v>0</v>
      </c>
      <c r="DI635" s="408">
        <v>0</v>
      </c>
      <c r="DJ635" s="408"/>
      <c r="DK635" s="408">
        <v>0</v>
      </c>
      <c r="DL635" s="408">
        <v>0</v>
      </c>
      <c r="DM635" s="408"/>
      <c r="DN635" s="408">
        <v>0</v>
      </c>
      <c r="DO635" s="408">
        <v>0</v>
      </c>
      <c r="DP635" s="408">
        <v>0</v>
      </c>
      <c r="DQ635" s="408">
        <v>0</v>
      </c>
      <c r="DR635" s="408">
        <v>0</v>
      </c>
      <c r="DS635" s="408"/>
      <c r="DT635" s="408"/>
      <c r="DU635" s="408">
        <v>4106.6520188616778</v>
      </c>
      <c r="DV635" s="408"/>
      <c r="DW635" s="408">
        <v>0</v>
      </c>
      <c r="DX635" s="408">
        <v>0</v>
      </c>
      <c r="DY635" s="408">
        <v>-2199.34</v>
      </c>
      <c r="DZ635" s="408"/>
      <c r="EA635" s="408">
        <v>0</v>
      </c>
      <c r="EB635" s="408"/>
      <c r="EC635" s="408">
        <v>-2303.7894807610255</v>
      </c>
      <c r="ED635" s="408"/>
      <c r="EE635" s="408">
        <v>0</v>
      </c>
      <c r="EF635" s="408">
        <v>0</v>
      </c>
      <c r="EG635" s="408"/>
      <c r="EH635" s="408">
        <v>0</v>
      </c>
      <c r="EI635" s="408">
        <v>0</v>
      </c>
      <c r="EJ635" s="408">
        <v>0</v>
      </c>
      <c r="EK635" s="408">
        <v>0</v>
      </c>
      <c r="EL635" s="408">
        <v>0</v>
      </c>
      <c r="EM635" s="408"/>
      <c r="EN635" s="408"/>
      <c r="EO635" s="408">
        <v>0</v>
      </c>
      <c r="EP635" s="408">
        <v>0</v>
      </c>
      <c r="EQ635" s="408"/>
      <c r="ER635" s="408">
        <v>0</v>
      </c>
      <c r="ES635" s="408"/>
      <c r="ET635" s="408">
        <v>0</v>
      </c>
      <c r="EU635" s="408"/>
      <c r="EV635" s="408">
        <v>238</v>
      </c>
      <c r="EW635" s="408"/>
      <c r="EX635" s="408"/>
      <c r="EY635" s="408"/>
      <c r="EZ635" s="408"/>
      <c r="FA635" s="408">
        <v>0</v>
      </c>
      <c r="FB635" s="408"/>
      <c r="FC635" s="408"/>
      <c r="FD635" s="408"/>
      <c r="FE635" s="408"/>
      <c r="FF635" s="408">
        <v>0</v>
      </c>
      <c r="FG635" s="408">
        <v>0</v>
      </c>
      <c r="FH635" s="408">
        <v>0</v>
      </c>
      <c r="FI635" s="408">
        <v>0</v>
      </c>
    </row>
    <row r="636" spans="1:165">
      <c r="A636" s="408">
        <v>640</v>
      </c>
      <c r="B636" s="408" t="s">
        <v>1036</v>
      </c>
      <c r="C636" s="408" t="s">
        <v>2235</v>
      </c>
      <c r="D636" s="408" t="s">
        <v>2247</v>
      </c>
      <c r="E636" s="408" t="s">
        <v>2248</v>
      </c>
      <c r="F636" s="408" t="s">
        <v>2249</v>
      </c>
      <c r="G636" s="408" t="s">
        <v>1322</v>
      </c>
      <c r="H636" s="408" t="s">
        <v>1322</v>
      </c>
      <c r="I636" s="408" t="s">
        <v>1322</v>
      </c>
      <c r="J636" s="408" t="s">
        <v>2236</v>
      </c>
      <c r="K636" s="824">
        <v>44682</v>
      </c>
      <c r="L636" s="408">
        <v>0</v>
      </c>
      <c r="M636" s="408">
        <v>0</v>
      </c>
      <c r="N636" s="408">
        <v>582.70899999999995</v>
      </c>
      <c r="O636" s="408">
        <v>582.70899999999995</v>
      </c>
      <c r="P636" s="408">
        <v>582.70899999999995</v>
      </c>
      <c r="Q636" s="408">
        <v>582.70899999999995</v>
      </c>
      <c r="R636" s="408"/>
      <c r="S636" s="408">
        <v>319.73</v>
      </c>
      <c r="T636" s="408">
        <v>115.17</v>
      </c>
      <c r="U636" s="408"/>
      <c r="V636" s="408">
        <v>253420.14409999998</v>
      </c>
      <c r="W636" s="408">
        <v>253420.14409999998</v>
      </c>
      <c r="X636" s="408">
        <v>193593.41106999997</v>
      </c>
      <c r="Y636" s="408">
        <v>0</v>
      </c>
      <c r="Z636" s="408">
        <v>19722.280890304926</v>
      </c>
      <c r="AA636" s="408">
        <v>0</v>
      </c>
      <c r="AB636" s="408">
        <v>0</v>
      </c>
      <c r="AC636" s="408">
        <v>0</v>
      </c>
      <c r="AD636" s="408">
        <v>23777.516286053364</v>
      </c>
      <c r="AE636" s="408">
        <v>123518.52913729698</v>
      </c>
      <c r="AF636" s="408">
        <v>66229.487186028447</v>
      </c>
      <c r="AG636" s="408">
        <v>882.29760372434055</v>
      </c>
      <c r="AH636" s="408">
        <v>0</v>
      </c>
      <c r="AI636" s="408">
        <v>0</v>
      </c>
      <c r="AJ636" s="408">
        <v>0</v>
      </c>
      <c r="AK636" s="408">
        <v>0</v>
      </c>
      <c r="AL636" s="408">
        <v>3047.7317557659062</v>
      </c>
      <c r="AM636" s="408"/>
      <c r="AN636" s="408">
        <v>584.24174243177958</v>
      </c>
      <c r="AO636" s="408">
        <v>1826.6263086250046</v>
      </c>
      <c r="AP636" s="408">
        <v>2751.4671043846247</v>
      </c>
      <c r="AQ636" s="408">
        <v>0</v>
      </c>
      <c r="AR636" s="408">
        <v>0</v>
      </c>
      <c r="AS636" s="408">
        <v>0</v>
      </c>
      <c r="AT636" s="408">
        <v>0</v>
      </c>
      <c r="AU636" s="408">
        <v>0</v>
      </c>
      <c r="AV636" s="408">
        <v>0</v>
      </c>
      <c r="AW636" s="408">
        <v>0</v>
      </c>
      <c r="AX636" s="408">
        <v>0</v>
      </c>
      <c r="AY636" s="408">
        <v>0</v>
      </c>
      <c r="AZ636" s="408">
        <v>0</v>
      </c>
      <c r="BA636" s="408"/>
      <c r="BB636" s="408">
        <v>0</v>
      </c>
      <c r="BC636" s="408">
        <v>0</v>
      </c>
      <c r="BD636" s="408">
        <v>0</v>
      </c>
      <c r="BE636" s="408">
        <v>0</v>
      </c>
      <c r="BF636" s="408">
        <v>0</v>
      </c>
      <c r="BG636" s="408">
        <v>11080.069396660421</v>
      </c>
      <c r="BH636" s="408">
        <v>0</v>
      </c>
      <c r="BI636" s="408">
        <v>411.88</v>
      </c>
      <c r="BJ636" s="408">
        <v>1903.19</v>
      </c>
      <c r="BK636" s="408">
        <v>49009.82</v>
      </c>
      <c r="BL636" s="408">
        <v>41</v>
      </c>
      <c r="BM636" s="408"/>
      <c r="BN636" s="408"/>
      <c r="BO636" s="408"/>
      <c r="BP636" s="408"/>
      <c r="BQ636" s="408"/>
      <c r="BR636" s="408"/>
      <c r="BS636" s="408"/>
      <c r="BT636" s="408"/>
      <c r="BU636" s="408"/>
      <c r="BV636" s="408">
        <v>77309.556582688863</v>
      </c>
      <c r="BW636" s="408"/>
      <c r="BX636" s="408"/>
      <c r="BY636" s="408"/>
      <c r="BZ636" s="408"/>
      <c r="CA636" s="408"/>
      <c r="CB636" s="408"/>
      <c r="CC636" s="408"/>
      <c r="CD636" s="408"/>
      <c r="CE636" s="408"/>
      <c r="CF636" s="408"/>
      <c r="CG636" s="408"/>
      <c r="CH636" s="408"/>
      <c r="CI636" s="408">
        <v>193593.7433</v>
      </c>
      <c r="CJ636" s="408">
        <v>-59826.430800000002</v>
      </c>
      <c r="CK636" s="408"/>
      <c r="CL636" s="408"/>
      <c r="CM636" s="408"/>
      <c r="CN636" s="408"/>
      <c r="CO636" s="408">
        <v>-67139.730980000008</v>
      </c>
      <c r="CP636" s="408">
        <v>7312.9979499999972</v>
      </c>
      <c r="CQ636" s="408">
        <v>31</v>
      </c>
      <c r="CR636" s="408">
        <v>9468.5136463656381</v>
      </c>
      <c r="CS636" s="408">
        <v>220.53230320671651</v>
      </c>
      <c r="CT636" s="408">
        <v>332.19021036886306</v>
      </c>
      <c r="CU636" s="408">
        <v>0</v>
      </c>
      <c r="CV636" s="408">
        <v>0</v>
      </c>
      <c r="CW636" s="408">
        <v>0</v>
      </c>
      <c r="CX636" s="408">
        <v>0</v>
      </c>
      <c r="CY636" s="408">
        <v>0</v>
      </c>
      <c r="CZ636" s="408">
        <v>779.48494654755996</v>
      </c>
      <c r="DA636" s="408">
        <v>0</v>
      </c>
      <c r="DB636" s="408">
        <v>0</v>
      </c>
      <c r="DC636" s="408">
        <v>7314.5690905029187</v>
      </c>
      <c r="DD636" s="408">
        <v>0</v>
      </c>
      <c r="DE636" s="408">
        <v>0</v>
      </c>
      <c r="DF636" s="408">
        <v>0</v>
      </c>
      <c r="DG636" s="408">
        <v>1223.7137349680761</v>
      </c>
      <c r="DH636" s="408">
        <v>0</v>
      </c>
      <c r="DI636" s="408">
        <v>-343.80122306531484</v>
      </c>
      <c r="DJ636" s="408"/>
      <c r="DK636" s="408">
        <v>0</v>
      </c>
      <c r="DL636" s="408">
        <v>0</v>
      </c>
      <c r="DM636" s="408">
        <v>0</v>
      </c>
      <c r="DN636" s="408">
        <v>0</v>
      </c>
      <c r="DO636" s="408">
        <v>-44.667471463435504</v>
      </c>
      <c r="DP636" s="408">
        <v>-13.50794469974096</v>
      </c>
      <c r="DQ636" s="408">
        <v>0</v>
      </c>
      <c r="DR636" s="408">
        <v>0</v>
      </c>
      <c r="DS636" s="408"/>
      <c r="DT636" s="408"/>
      <c r="DU636" s="408"/>
      <c r="DV636" s="408">
        <v>123518.52913729698</v>
      </c>
      <c r="DW636" s="408">
        <v>0</v>
      </c>
      <c r="DX636" s="408">
        <v>0</v>
      </c>
      <c r="DY636" s="408">
        <v>-67139.730980000008</v>
      </c>
      <c r="DZ636" s="408">
        <v>7312.9979500000045</v>
      </c>
      <c r="EA636" s="408">
        <v>0</v>
      </c>
      <c r="EB636" s="408">
        <v>0</v>
      </c>
      <c r="EC636" s="408">
        <v>-69292.62250577948</v>
      </c>
      <c r="ED636" s="408">
        <v>0</v>
      </c>
      <c r="EE636" s="408">
        <v>0</v>
      </c>
      <c r="EF636" s="408">
        <v>0</v>
      </c>
      <c r="EG636" s="408">
        <v>0</v>
      </c>
      <c r="EH636" s="408">
        <v>0</v>
      </c>
      <c r="EI636" s="408">
        <v>0</v>
      </c>
      <c r="EJ636" s="408">
        <v>0</v>
      </c>
      <c r="EK636" s="408">
        <v>0</v>
      </c>
      <c r="EL636" s="408">
        <v>0</v>
      </c>
      <c r="EM636" s="408">
        <v>0</v>
      </c>
      <c r="EN636" s="408">
        <v>0</v>
      </c>
      <c r="EO636" s="408">
        <v>0</v>
      </c>
      <c r="EP636" s="408">
        <v>0</v>
      </c>
      <c r="EQ636" s="408">
        <v>0</v>
      </c>
      <c r="ER636" s="408">
        <v>0</v>
      </c>
      <c r="ES636" s="408">
        <v>0</v>
      </c>
      <c r="ET636" s="408">
        <v>0</v>
      </c>
      <c r="EU636" s="408">
        <v>0</v>
      </c>
      <c r="EV636" s="408">
        <v>238</v>
      </c>
      <c r="EW636" s="408">
        <v>0</v>
      </c>
      <c r="EX636" s="408">
        <v>0</v>
      </c>
      <c r="EY636" s="408">
        <v>0</v>
      </c>
      <c r="EZ636" s="408"/>
      <c r="FA636" s="408">
        <v>0</v>
      </c>
      <c r="FB636" s="408"/>
      <c r="FC636" s="408"/>
      <c r="FD636" s="408"/>
      <c r="FE636" s="408"/>
      <c r="FF636" s="408">
        <v>0</v>
      </c>
      <c r="FG636" s="408">
        <v>0</v>
      </c>
      <c r="FH636" s="408">
        <v>0</v>
      </c>
      <c r="FI636" s="408">
        <v>0</v>
      </c>
    </row>
    <row r="637" spans="1:165">
      <c r="A637" s="408">
        <v>641</v>
      </c>
      <c r="B637" s="408" t="s">
        <v>1036</v>
      </c>
      <c r="C637" s="408" t="s">
        <v>2235</v>
      </c>
      <c r="D637" s="408" t="s">
        <v>1958</v>
      </c>
      <c r="E637" s="408" t="s">
        <v>1001</v>
      </c>
      <c r="F637" s="408" t="s">
        <v>2250</v>
      </c>
      <c r="G637" s="408" t="s">
        <v>1322</v>
      </c>
      <c r="H637" s="408" t="s">
        <v>1322</v>
      </c>
      <c r="I637" s="408" t="s">
        <v>1322</v>
      </c>
      <c r="J637" s="408" t="s">
        <v>2236</v>
      </c>
      <c r="K637" s="824">
        <v>44682</v>
      </c>
      <c r="L637" s="408">
        <v>0</v>
      </c>
      <c r="M637" s="408">
        <v>0</v>
      </c>
      <c r="N637" s="408">
        <v>82.465999999999994</v>
      </c>
      <c r="O637" s="408">
        <v>77.518039999999999</v>
      </c>
      <c r="P637" s="408">
        <v>82.465999999999994</v>
      </c>
      <c r="Q637" s="408">
        <v>77.518039999999999</v>
      </c>
      <c r="R637" s="408"/>
      <c r="S637" s="408">
        <v>581.32000000000005</v>
      </c>
      <c r="T637" s="408">
        <v>209.4</v>
      </c>
      <c r="U637" s="408"/>
      <c r="V637" s="408">
        <v>65207.515520000001</v>
      </c>
      <c r="W637" s="408">
        <v>65207.515520000001</v>
      </c>
      <c r="X637" s="408">
        <v>49815.236619999996</v>
      </c>
      <c r="Y637" s="408">
        <v>0</v>
      </c>
      <c r="Z637" s="408">
        <v>5074.7850779716618</v>
      </c>
      <c r="AA637" s="408">
        <v>0</v>
      </c>
      <c r="AB637" s="408">
        <v>0</v>
      </c>
      <c r="AC637" s="408">
        <v>0</v>
      </c>
      <c r="AD637" s="408">
        <v>6118.2469467316378</v>
      </c>
      <c r="AE637" s="408">
        <v>31782.834450304326</v>
      </c>
      <c r="AF637" s="408">
        <v>17041.660402402667</v>
      </c>
      <c r="AG637" s="408">
        <v>227.02600873672264</v>
      </c>
      <c r="AH637" s="408">
        <v>0</v>
      </c>
      <c r="AI637" s="408">
        <v>0</v>
      </c>
      <c r="AJ637" s="408">
        <v>0</v>
      </c>
      <c r="AK637" s="408">
        <v>0</v>
      </c>
      <c r="AL637" s="408">
        <v>784.21880926684685</v>
      </c>
      <c r="AM637" s="408"/>
      <c r="AN637" s="408">
        <v>150.33257526914358</v>
      </c>
      <c r="AO637" s="408">
        <v>470.01338159611447</v>
      </c>
      <c r="AP637" s="408">
        <v>707.98627610688675</v>
      </c>
      <c r="AQ637" s="408">
        <v>0</v>
      </c>
      <c r="AR637" s="408">
        <v>0</v>
      </c>
      <c r="AS637" s="408">
        <v>0</v>
      </c>
      <c r="AT637" s="408">
        <v>0</v>
      </c>
      <c r="AU637" s="408">
        <v>0</v>
      </c>
      <c r="AV637" s="408">
        <v>0</v>
      </c>
      <c r="AW637" s="408">
        <v>0</v>
      </c>
      <c r="AX637" s="408">
        <v>0</v>
      </c>
      <c r="AY637" s="408">
        <v>0</v>
      </c>
      <c r="AZ637" s="408">
        <v>0</v>
      </c>
      <c r="BA637" s="408"/>
      <c r="BB637" s="408">
        <v>0</v>
      </c>
      <c r="BC637" s="408">
        <v>0</v>
      </c>
      <c r="BD637" s="408">
        <v>0</v>
      </c>
      <c r="BE637" s="408">
        <v>0</v>
      </c>
      <c r="BF637" s="408">
        <v>0</v>
      </c>
      <c r="BG637" s="408">
        <v>2851.0379276011563</v>
      </c>
      <c r="BH637" s="408">
        <v>0</v>
      </c>
      <c r="BI637" s="408">
        <v>100.12</v>
      </c>
      <c r="BJ637" s="408">
        <v>462.85</v>
      </c>
      <c r="BK637" s="408">
        <v>16888.900000000001</v>
      </c>
      <c r="BL637" s="408">
        <v>21</v>
      </c>
      <c r="BM637" s="408"/>
      <c r="BN637" s="408"/>
      <c r="BO637" s="408"/>
      <c r="BP637" s="408"/>
      <c r="BQ637" s="408">
        <v>2988.914197199997</v>
      </c>
      <c r="BR637" s="408"/>
      <c r="BS637" s="408"/>
      <c r="BT637" s="408"/>
      <c r="BU637" s="408"/>
      <c r="BV637" s="408">
        <v>19892.698330003823</v>
      </c>
      <c r="BW637" s="408"/>
      <c r="BX637" s="408"/>
      <c r="BY637" s="408"/>
      <c r="BZ637" s="408"/>
      <c r="CA637" s="408"/>
      <c r="CB637" s="408"/>
      <c r="CC637" s="408"/>
      <c r="CD637" s="408"/>
      <c r="CE637" s="408"/>
      <c r="CF637" s="408"/>
      <c r="CG637" s="408"/>
      <c r="CH637" s="408"/>
      <c r="CI637" s="408">
        <v>46827.506399999998</v>
      </c>
      <c r="CJ637" s="408">
        <v>-14467.588188800015</v>
      </c>
      <c r="CK637" s="408"/>
      <c r="CL637" s="408"/>
      <c r="CM637" s="408"/>
      <c r="CN637" s="408"/>
      <c r="CO637" s="408">
        <v>-17274.977680000004</v>
      </c>
      <c r="CP637" s="408">
        <v>1882.6987799999986</v>
      </c>
      <c r="CQ637" s="408">
        <v>31</v>
      </c>
      <c r="CR637" s="408">
        <v>2436.3648418965822</v>
      </c>
      <c r="CS637" s="408">
        <v>56.745669922707123</v>
      </c>
      <c r="CT637" s="408">
        <v>85.47662068117495</v>
      </c>
      <c r="CU637" s="408">
        <v>0</v>
      </c>
      <c r="CV637" s="408">
        <v>0</v>
      </c>
      <c r="CW637" s="408">
        <v>0</v>
      </c>
      <c r="CX637" s="408">
        <v>0</v>
      </c>
      <c r="CY637" s="408">
        <v>0</v>
      </c>
      <c r="CZ637" s="408">
        <v>200.57104942602473</v>
      </c>
      <c r="DA637" s="408">
        <v>0</v>
      </c>
      <c r="DB637" s="408">
        <v>0</v>
      </c>
      <c r="DC637" s="408">
        <v>1882.1284555644015</v>
      </c>
      <c r="DD637" s="408">
        <v>0</v>
      </c>
      <c r="DE637" s="408">
        <v>0</v>
      </c>
      <c r="DF637" s="408">
        <v>0</v>
      </c>
      <c r="DG637" s="408">
        <v>314.876572160465</v>
      </c>
      <c r="DH637" s="408">
        <v>0</v>
      </c>
      <c r="DI637" s="408">
        <v>-88.464276840196362</v>
      </c>
      <c r="DJ637" s="408"/>
      <c r="DK637" s="408">
        <v>0</v>
      </c>
      <c r="DL637" s="408">
        <v>0</v>
      </c>
      <c r="DM637" s="408">
        <v>0</v>
      </c>
      <c r="DN637" s="408">
        <v>0</v>
      </c>
      <c r="DO637" s="408">
        <v>-11.493488958713556</v>
      </c>
      <c r="DP637" s="408">
        <v>-3.4757600592744211</v>
      </c>
      <c r="DQ637" s="408">
        <v>0</v>
      </c>
      <c r="DR637" s="408">
        <v>0</v>
      </c>
      <c r="DS637" s="408"/>
      <c r="DT637" s="408"/>
      <c r="DU637" s="408"/>
      <c r="DV637" s="408">
        <v>31782.834450304326</v>
      </c>
      <c r="DW637" s="408">
        <v>0</v>
      </c>
      <c r="DX637" s="408">
        <v>0</v>
      </c>
      <c r="DY637" s="408">
        <v>-17274.977680000004</v>
      </c>
      <c r="DZ637" s="408">
        <v>1882.6987799999988</v>
      </c>
      <c r="EA637" s="408">
        <v>0</v>
      </c>
      <c r="EB637" s="408">
        <v>0</v>
      </c>
      <c r="EC637" s="408">
        <v>-17829.842737850551</v>
      </c>
      <c r="ED637" s="408">
        <v>0</v>
      </c>
      <c r="EE637" s="408">
        <v>0</v>
      </c>
      <c r="EF637" s="408">
        <v>0</v>
      </c>
      <c r="EG637" s="408">
        <v>0</v>
      </c>
      <c r="EH637" s="408">
        <v>0</v>
      </c>
      <c r="EI637" s="408">
        <v>0</v>
      </c>
      <c r="EJ637" s="408">
        <v>0</v>
      </c>
      <c r="EK637" s="408">
        <v>0</v>
      </c>
      <c r="EL637" s="408">
        <v>0</v>
      </c>
      <c r="EM637" s="408">
        <v>0</v>
      </c>
      <c r="EN637" s="408">
        <v>0</v>
      </c>
      <c r="EO637" s="408">
        <v>0</v>
      </c>
      <c r="EP637" s="408">
        <v>0</v>
      </c>
      <c r="EQ637" s="408">
        <v>0</v>
      </c>
      <c r="ER637" s="408">
        <v>0</v>
      </c>
      <c r="ES637" s="408">
        <v>0</v>
      </c>
      <c r="ET637" s="408">
        <v>0</v>
      </c>
      <c r="EU637" s="408">
        <v>0</v>
      </c>
      <c r="EV637" s="408">
        <v>238</v>
      </c>
      <c r="EW637" s="408">
        <v>0</v>
      </c>
      <c r="EX637" s="408">
        <v>0</v>
      </c>
      <c r="EY637" s="408">
        <v>0</v>
      </c>
      <c r="EZ637" s="408"/>
      <c r="FA637" s="408">
        <v>0</v>
      </c>
      <c r="FB637" s="408"/>
      <c r="FC637" s="408"/>
      <c r="FD637" s="408"/>
      <c r="FE637" s="408"/>
      <c r="FF637" s="408">
        <v>0</v>
      </c>
      <c r="FG637" s="408">
        <v>0</v>
      </c>
      <c r="FH637" s="408">
        <v>0</v>
      </c>
      <c r="FI637" s="408">
        <v>0</v>
      </c>
    </row>
    <row r="638" spans="1:165">
      <c r="A638" s="408">
        <v>642</v>
      </c>
      <c r="B638" s="408" t="s">
        <v>1036</v>
      </c>
      <c r="C638" s="408" t="s">
        <v>2235</v>
      </c>
      <c r="D638" s="408" t="s">
        <v>1958</v>
      </c>
      <c r="E638" s="408" t="s">
        <v>2251</v>
      </c>
      <c r="F638" s="408" t="s">
        <v>1322</v>
      </c>
      <c r="G638" s="408" t="s">
        <v>1322</v>
      </c>
      <c r="H638" s="408" t="s">
        <v>1322</v>
      </c>
      <c r="I638" s="408" t="s">
        <v>1322</v>
      </c>
      <c r="J638" s="408" t="s">
        <v>2236</v>
      </c>
      <c r="K638" s="824">
        <v>44682</v>
      </c>
      <c r="L638" s="408">
        <v>0</v>
      </c>
      <c r="M638" s="408">
        <v>0</v>
      </c>
      <c r="N638" s="408">
        <v>25.890999999999998</v>
      </c>
      <c r="O638" s="408">
        <v>25.890999999999998</v>
      </c>
      <c r="P638" s="408">
        <v>25.890999999999998</v>
      </c>
      <c r="Q638" s="408">
        <v>25.890999999999998</v>
      </c>
      <c r="R638" s="408"/>
      <c r="S638" s="408">
        <v>581.32000000000005</v>
      </c>
      <c r="T638" s="408">
        <v>209.4</v>
      </c>
      <c r="U638" s="408"/>
      <c r="V638" s="408">
        <v>20472.53152</v>
      </c>
      <c r="W638" s="408">
        <v>20472.53152</v>
      </c>
      <c r="X638" s="408">
        <v>15639.976369999998</v>
      </c>
      <c r="Y638" s="408">
        <v>0</v>
      </c>
      <c r="Z638" s="408">
        <v>1593.2779624786492</v>
      </c>
      <c r="AA638" s="408">
        <v>0</v>
      </c>
      <c r="AB638" s="408">
        <v>0</v>
      </c>
      <c r="AC638" s="408">
        <v>0</v>
      </c>
      <c r="AD638" s="408">
        <v>1920.882929908433</v>
      </c>
      <c r="AE638" s="408">
        <v>9978.5289301388366</v>
      </c>
      <c r="AF638" s="408">
        <v>5350.3944592754278</v>
      </c>
      <c r="AG638" s="408">
        <v>71.277015887789958</v>
      </c>
      <c r="AH638" s="408">
        <v>0</v>
      </c>
      <c r="AI638" s="408">
        <v>0</v>
      </c>
      <c r="AJ638" s="408">
        <v>0</v>
      </c>
      <c r="AK638" s="408">
        <v>0</v>
      </c>
      <c r="AL638" s="408">
        <v>246.21309619392153</v>
      </c>
      <c r="AM638" s="408"/>
      <c r="AN638" s="408">
        <v>47.198369101125266</v>
      </c>
      <c r="AO638" s="408">
        <v>147.56525674708362</v>
      </c>
      <c r="AP638" s="408">
        <v>222.27915352610052</v>
      </c>
      <c r="AQ638" s="408">
        <v>0</v>
      </c>
      <c r="AR638" s="408">
        <v>0</v>
      </c>
      <c r="AS638" s="408">
        <v>0</v>
      </c>
      <c r="AT638" s="408">
        <v>0</v>
      </c>
      <c r="AU638" s="408">
        <v>0</v>
      </c>
      <c r="AV638" s="408">
        <v>0</v>
      </c>
      <c r="AW638" s="408">
        <v>0</v>
      </c>
      <c r="AX638" s="408">
        <v>0</v>
      </c>
      <c r="AY638" s="408">
        <v>0</v>
      </c>
      <c r="AZ638" s="408">
        <v>0</v>
      </c>
      <c r="BA638" s="408"/>
      <c r="BB638" s="408">
        <v>0</v>
      </c>
      <c r="BC638" s="408">
        <v>0</v>
      </c>
      <c r="BD638" s="408">
        <v>0</v>
      </c>
      <c r="BE638" s="408">
        <v>0</v>
      </c>
      <c r="BF638" s="408">
        <v>0</v>
      </c>
      <c r="BG638" s="408">
        <v>895.11099099655053</v>
      </c>
      <c r="BH638" s="408">
        <v>0</v>
      </c>
      <c r="BI638" s="408">
        <v>33.369999999999997</v>
      </c>
      <c r="BJ638" s="408">
        <v>154.62</v>
      </c>
      <c r="BK638" s="408">
        <v>5312.94</v>
      </c>
      <c r="BL638" s="408">
        <v>18</v>
      </c>
      <c r="BM638" s="408"/>
      <c r="BN638" s="408"/>
      <c r="BO638" s="408"/>
      <c r="BP638" s="408"/>
      <c r="BQ638" s="408"/>
      <c r="BR638" s="408"/>
      <c r="BS638" s="408"/>
      <c r="BT638" s="408"/>
      <c r="BU638" s="408"/>
      <c r="BV638" s="408">
        <v>6245.5054502719786</v>
      </c>
      <c r="BW638" s="408"/>
      <c r="BX638" s="408"/>
      <c r="BY638" s="408"/>
      <c r="BZ638" s="408"/>
      <c r="CA638" s="408"/>
      <c r="CB638" s="408"/>
      <c r="CC638" s="408"/>
      <c r="CD638" s="408"/>
      <c r="CE638" s="408"/>
      <c r="CF638" s="408"/>
      <c r="CG638" s="408"/>
      <c r="CH638" s="408"/>
      <c r="CI638" s="408">
        <v>15639.372299999999</v>
      </c>
      <c r="CJ638" s="408">
        <v>-4833.1892200000002</v>
      </c>
      <c r="CK638" s="408"/>
      <c r="CL638" s="408"/>
      <c r="CM638" s="408"/>
      <c r="CN638" s="408"/>
      <c r="CO638" s="408">
        <v>-5423.6466800000017</v>
      </c>
      <c r="CP638" s="408">
        <v>591.09152999999958</v>
      </c>
      <c r="CQ638" s="408">
        <v>31</v>
      </c>
      <c r="CR638" s="408">
        <v>764.92035652929371</v>
      </c>
      <c r="CS638" s="408">
        <v>17.815853078466432</v>
      </c>
      <c r="CT638" s="408">
        <v>26.836213543233583</v>
      </c>
      <c r="CU638" s="408">
        <v>0</v>
      </c>
      <c r="CV638" s="408">
        <v>0</v>
      </c>
      <c r="CW638" s="408">
        <v>0</v>
      </c>
      <c r="CX638" s="408">
        <v>0</v>
      </c>
      <c r="CY638" s="408">
        <v>0</v>
      </c>
      <c r="CZ638" s="408">
        <v>62.971224998050275</v>
      </c>
      <c r="DA638" s="408">
        <v>0</v>
      </c>
      <c r="DB638" s="408">
        <v>0</v>
      </c>
      <c r="DC638" s="408">
        <v>590.91247111558641</v>
      </c>
      <c r="DD638" s="408">
        <v>0</v>
      </c>
      <c r="DE638" s="408">
        <v>0</v>
      </c>
      <c r="DF638" s="408">
        <v>0</v>
      </c>
      <c r="DG638" s="408">
        <v>98.858551764443632</v>
      </c>
      <c r="DH638" s="408">
        <v>0</v>
      </c>
      <c r="DI638" s="408">
        <v>-27.774217152153597</v>
      </c>
      <c r="DJ638" s="408"/>
      <c r="DK638" s="408">
        <v>0</v>
      </c>
      <c r="DL638" s="408">
        <v>0</v>
      </c>
      <c r="DM638" s="408">
        <v>0</v>
      </c>
      <c r="DN638" s="408">
        <v>0</v>
      </c>
      <c r="DO638" s="408">
        <v>-3.6084922589922428</v>
      </c>
      <c r="DP638" s="408">
        <v>-1.0912485593417145</v>
      </c>
      <c r="DQ638" s="408">
        <v>0</v>
      </c>
      <c r="DR638" s="408">
        <v>0</v>
      </c>
      <c r="DS638" s="408"/>
      <c r="DT638" s="408"/>
      <c r="DU638" s="408"/>
      <c r="DV638" s="408">
        <v>9978.5289301388366</v>
      </c>
      <c r="DW638" s="408">
        <v>0</v>
      </c>
      <c r="DX638" s="408">
        <v>0</v>
      </c>
      <c r="DY638" s="408">
        <v>-5423.6466800000017</v>
      </c>
      <c r="DZ638" s="408">
        <v>591.09152999999969</v>
      </c>
      <c r="EA638" s="408">
        <v>0</v>
      </c>
      <c r="EB638" s="408">
        <v>0</v>
      </c>
      <c r="EC638" s="408">
        <v>-5597.8519429302814</v>
      </c>
      <c r="ED638" s="408">
        <v>0</v>
      </c>
      <c r="EE638" s="408">
        <v>0</v>
      </c>
      <c r="EF638" s="408">
        <v>0</v>
      </c>
      <c r="EG638" s="408">
        <v>0</v>
      </c>
      <c r="EH638" s="408">
        <v>0</v>
      </c>
      <c r="EI638" s="408">
        <v>0</v>
      </c>
      <c r="EJ638" s="408">
        <v>0</v>
      </c>
      <c r="EK638" s="408">
        <v>0</v>
      </c>
      <c r="EL638" s="408">
        <v>0</v>
      </c>
      <c r="EM638" s="408">
        <v>0</v>
      </c>
      <c r="EN638" s="408">
        <v>0</v>
      </c>
      <c r="EO638" s="408">
        <v>0</v>
      </c>
      <c r="EP638" s="408">
        <v>0</v>
      </c>
      <c r="EQ638" s="408">
        <v>0</v>
      </c>
      <c r="ER638" s="408">
        <v>0</v>
      </c>
      <c r="ES638" s="408">
        <v>0</v>
      </c>
      <c r="ET638" s="408">
        <v>0</v>
      </c>
      <c r="EU638" s="408">
        <v>0</v>
      </c>
      <c r="EV638" s="408">
        <v>238</v>
      </c>
      <c r="EW638" s="408">
        <v>0</v>
      </c>
      <c r="EX638" s="408">
        <v>0</v>
      </c>
      <c r="EY638" s="408">
        <v>0</v>
      </c>
      <c r="EZ638" s="408"/>
      <c r="FA638" s="408">
        <v>0</v>
      </c>
      <c r="FB638" s="408"/>
      <c r="FC638" s="408"/>
      <c r="FD638" s="408"/>
      <c r="FE638" s="408"/>
      <c r="FF638" s="408">
        <v>0</v>
      </c>
      <c r="FG638" s="408">
        <v>0</v>
      </c>
      <c r="FH638" s="408">
        <v>0</v>
      </c>
      <c r="FI638" s="408">
        <v>0</v>
      </c>
    </row>
    <row r="639" spans="1:165">
      <c r="A639" s="408">
        <v>643</v>
      </c>
      <c r="B639" s="408" t="s">
        <v>1036</v>
      </c>
      <c r="C639" s="408" t="s">
        <v>2235</v>
      </c>
      <c r="D639" s="408" t="s">
        <v>2245</v>
      </c>
      <c r="E639" s="408" t="s">
        <v>974</v>
      </c>
      <c r="F639" s="408" t="s">
        <v>2252</v>
      </c>
      <c r="G639" s="408" t="s">
        <v>2253</v>
      </c>
      <c r="H639" s="408" t="s">
        <v>1322</v>
      </c>
      <c r="I639" s="408" t="s">
        <v>1322</v>
      </c>
      <c r="J639" s="408" t="s">
        <v>2236</v>
      </c>
      <c r="K639" s="824">
        <v>44682</v>
      </c>
      <c r="L639" s="408">
        <v>0</v>
      </c>
      <c r="M639" s="408">
        <v>0</v>
      </c>
      <c r="N639" s="408">
        <v>0</v>
      </c>
      <c r="O639" s="408">
        <v>0</v>
      </c>
      <c r="P639" s="408">
        <v>0</v>
      </c>
      <c r="Q639" s="408">
        <v>0</v>
      </c>
      <c r="R639" s="408"/>
      <c r="S639" s="408"/>
      <c r="T639" s="408"/>
      <c r="U639" s="408"/>
      <c r="V639" s="408"/>
      <c r="W639" s="408"/>
      <c r="X639" s="408"/>
      <c r="Y639" s="408"/>
      <c r="Z639" s="408"/>
      <c r="AA639" s="408">
        <v>0</v>
      </c>
      <c r="AB639" s="408"/>
      <c r="AC639" s="408"/>
      <c r="AD639" s="408"/>
      <c r="AE639" s="408"/>
      <c r="AF639" s="408"/>
      <c r="AG639" s="408"/>
      <c r="AH639" s="408"/>
      <c r="AI639" s="408"/>
      <c r="AJ639" s="408"/>
      <c r="AK639" s="408"/>
      <c r="AL639" s="408"/>
      <c r="AM639" s="408"/>
      <c r="AN639" s="408"/>
      <c r="AO639" s="408"/>
      <c r="AP639" s="408"/>
      <c r="AQ639" s="408"/>
      <c r="AR639" s="408"/>
      <c r="AS639" s="408"/>
      <c r="AT639" s="408"/>
      <c r="AU639" s="408"/>
      <c r="AV639" s="408"/>
      <c r="AW639" s="408"/>
      <c r="AX639" s="408"/>
      <c r="AY639" s="408"/>
      <c r="AZ639" s="408">
        <v>0</v>
      </c>
      <c r="BA639" s="408"/>
      <c r="BB639" s="408"/>
      <c r="BC639" s="408"/>
      <c r="BD639" s="408"/>
      <c r="BE639" s="408"/>
      <c r="BF639" s="408"/>
      <c r="BG639" s="408"/>
      <c r="BH639" s="408"/>
      <c r="BI639" s="408">
        <v>66.53</v>
      </c>
      <c r="BJ639" s="408">
        <v>309.60000000000002</v>
      </c>
      <c r="BK639" s="408">
        <v>1047.52</v>
      </c>
      <c r="BL639" s="408">
        <v>139</v>
      </c>
      <c r="BM639" s="408"/>
      <c r="BN639" s="408"/>
      <c r="BO639" s="408"/>
      <c r="BP639" s="408"/>
      <c r="BQ639" s="408"/>
      <c r="BR639" s="408"/>
      <c r="BS639" s="408"/>
      <c r="BT639" s="408"/>
      <c r="BU639" s="408"/>
      <c r="BV639" s="408"/>
      <c r="BW639" s="408"/>
      <c r="BX639" s="408"/>
      <c r="BY639" s="408"/>
      <c r="BZ639" s="408"/>
      <c r="CA639" s="408"/>
      <c r="CB639" s="408"/>
      <c r="CC639" s="408"/>
      <c r="CD639" s="408"/>
      <c r="CE639" s="408"/>
      <c r="CF639" s="408"/>
      <c r="CG639" s="408"/>
      <c r="CH639" s="408"/>
      <c r="CI639" s="408"/>
      <c r="CJ639" s="408">
        <v>-0.03</v>
      </c>
      <c r="CK639" s="408"/>
      <c r="CL639" s="408"/>
      <c r="CM639" s="408"/>
      <c r="CN639" s="408"/>
      <c r="CO639" s="408">
        <v>0</v>
      </c>
      <c r="CP639" s="408">
        <v>0</v>
      </c>
      <c r="CQ639" s="408">
        <v>31</v>
      </c>
      <c r="CR639" s="408"/>
      <c r="CS639" s="408"/>
      <c r="CT639" s="408"/>
      <c r="CU639" s="408"/>
      <c r="CV639" s="408"/>
      <c r="CW639" s="408"/>
      <c r="CX639" s="408"/>
      <c r="CY639" s="408"/>
      <c r="CZ639" s="408"/>
      <c r="DA639" s="408"/>
      <c r="DB639" s="408"/>
      <c r="DC639" s="408"/>
      <c r="DD639" s="408"/>
      <c r="DE639" s="408"/>
      <c r="DF639" s="408"/>
      <c r="DG639" s="408"/>
      <c r="DH639" s="408"/>
      <c r="DI639" s="408"/>
      <c r="DJ639" s="408"/>
      <c r="DK639" s="408">
        <v>0</v>
      </c>
      <c r="DL639" s="408"/>
      <c r="DM639" s="408"/>
      <c r="DN639" s="408"/>
      <c r="DO639" s="408"/>
      <c r="DP639" s="408"/>
      <c r="DQ639" s="408"/>
      <c r="DR639" s="408"/>
      <c r="DS639" s="408"/>
      <c r="DT639" s="408"/>
      <c r="DU639" s="408"/>
      <c r="DV639" s="408"/>
      <c r="DW639" s="408"/>
      <c r="DX639" s="408"/>
      <c r="DY639" s="408"/>
      <c r="DZ639" s="408"/>
      <c r="EA639" s="408"/>
      <c r="EB639" s="408"/>
      <c r="EC639" s="408"/>
      <c r="ED639" s="408"/>
      <c r="EE639" s="408"/>
      <c r="EF639" s="408"/>
      <c r="EG639" s="408"/>
      <c r="EH639" s="408"/>
      <c r="EI639" s="408"/>
      <c r="EJ639" s="408"/>
      <c r="EK639" s="408"/>
      <c r="EL639" s="408"/>
      <c r="EM639" s="408"/>
      <c r="EN639" s="408"/>
      <c r="EO639" s="408"/>
      <c r="EP639" s="408"/>
      <c r="EQ639" s="408"/>
      <c r="ER639" s="408"/>
      <c r="ES639" s="408"/>
      <c r="ET639" s="408"/>
      <c r="EU639" s="408"/>
      <c r="EV639" s="408">
        <v>238</v>
      </c>
      <c r="EW639" s="408"/>
      <c r="EX639" s="408"/>
      <c r="EY639" s="408"/>
      <c r="EZ639" s="408"/>
      <c r="FA639" s="408">
        <v>0</v>
      </c>
      <c r="FB639" s="408"/>
      <c r="FC639" s="408"/>
      <c r="FD639" s="408"/>
      <c r="FE639" s="408"/>
      <c r="FF639" s="408">
        <v>0</v>
      </c>
      <c r="FG639" s="408">
        <v>0</v>
      </c>
      <c r="FH639" s="408">
        <v>0</v>
      </c>
      <c r="FI639" s="408">
        <v>0</v>
      </c>
    </row>
    <row r="640" spans="1:165">
      <c r="A640" s="408">
        <v>644</v>
      </c>
      <c r="B640" s="408" t="s">
        <v>2238</v>
      </c>
      <c r="C640" s="408" t="s">
        <v>2235</v>
      </c>
      <c r="D640" s="408" t="s">
        <v>2245</v>
      </c>
      <c r="E640" s="408" t="s">
        <v>974</v>
      </c>
      <c r="F640" s="408" t="s">
        <v>2252</v>
      </c>
      <c r="G640" s="408" t="s">
        <v>2253</v>
      </c>
      <c r="H640" s="408" t="s">
        <v>1322</v>
      </c>
      <c r="I640" s="408" t="s">
        <v>1322</v>
      </c>
      <c r="J640" s="408" t="s">
        <v>2236</v>
      </c>
      <c r="K640" s="824">
        <v>44682</v>
      </c>
      <c r="L640" s="408">
        <v>0</v>
      </c>
      <c r="M640" s="408">
        <v>0</v>
      </c>
      <c r="N640" s="408">
        <v>0</v>
      </c>
      <c r="O640" s="408">
        <v>0</v>
      </c>
      <c r="P640" s="408">
        <v>0</v>
      </c>
      <c r="Q640" s="408">
        <v>0</v>
      </c>
      <c r="R640" s="408"/>
      <c r="S640" s="408"/>
      <c r="T640" s="408"/>
      <c r="U640" s="408"/>
      <c r="V640" s="408"/>
      <c r="W640" s="408"/>
      <c r="X640" s="408"/>
      <c r="Y640" s="408"/>
      <c r="Z640" s="408"/>
      <c r="AA640" s="408">
        <v>0</v>
      </c>
      <c r="AB640" s="408"/>
      <c r="AC640" s="408"/>
      <c r="AD640" s="408"/>
      <c r="AE640" s="408"/>
      <c r="AF640" s="408"/>
      <c r="AG640" s="408"/>
      <c r="AH640" s="408"/>
      <c r="AI640" s="408"/>
      <c r="AJ640" s="408"/>
      <c r="AK640" s="408"/>
      <c r="AL640" s="408"/>
      <c r="AM640" s="408"/>
      <c r="AN640" s="408"/>
      <c r="AO640" s="408"/>
      <c r="AP640" s="408"/>
      <c r="AQ640" s="408"/>
      <c r="AR640" s="408"/>
      <c r="AS640" s="408"/>
      <c r="AT640" s="408"/>
      <c r="AU640" s="408"/>
      <c r="AV640" s="408"/>
      <c r="AW640" s="408"/>
      <c r="AX640" s="408"/>
      <c r="AY640" s="408"/>
      <c r="AZ640" s="408">
        <v>0</v>
      </c>
      <c r="BA640" s="408"/>
      <c r="BB640" s="408"/>
      <c r="BC640" s="408"/>
      <c r="BD640" s="408"/>
      <c r="BE640" s="408"/>
      <c r="BF640" s="408"/>
      <c r="BG640" s="408"/>
      <c r="BH640" s="408"/>
      <c r="BI640" s="408">
        <v>4.83</v>
      </c>
      <c r="BJ640" s="408">
        <v>22.78</v>
      </c>
      <c r="BK640" s="408">
        <v>177.5</v>
      </c>
      <c r="BL640" s="408">
        <v>23</v>
      </c>
      <c r="BM640" s="408"/>
      <c r="BN640" s="408"/>
      <c r="BO640" s="408"/>
      <c r="BP640" s="408"/>
      <c r="BQ640" s="408"/>
      <c r="BR640" s="408"/>
      <c r="BS640" s="408"/>
      <c r="BT640" s="408"/>
      <c r="BU640" s="408"/>
      <c r="BV640" s="408"/>
      <c r="BW640" s="408"/>
      <c r="BX640" s="408"/>
      <c r="BY640" s="408"/>
      <c r="BZ640" s="408"/>
      <c r="CA640" s="408"/>
      <c r="CB640" s="408"/>
      <c r="CC640" s="408"/>
      <c r="CD640" s="408"/>
      <c r="CE640" s="408"/>
      <c r="CF640" s="408"/>
      <c r="CG640" s="408"/>
      <c r="CH640" s="408"/>
      <c r="CI640" s="408"/>
      <c r="CJ640" s="408">
        <v>-0.03</v>
      </c>
      <c r="CK640" s="408"/>
      <c r="CL640" s="408"/>
      <c r="CM640" s="408"/>
      <c r="CN640" s="408"/>
      <c r="CO640" s="408">
        <v>0</v>
      </c>
      <c r="CP640" s="408">
        <v>0</v>
      </c>
      <c r="CQ640" s="408">
        <v>31</v>
      </c>
      <c r="CR640" s="408"/>
      <c r="CS640" s="408"/>
      <c r="CT640" s="408"/>
      <c r="CU640" s="408"/>
      <c r="CV640" s="408"/>
      <c r="CW640" s="408"/>
      <c r="CX640" s="408"/>
      <c r="CY640" s="408"/>
      <c r="CZ640" s="408"/>
      <c r="DA640" s="408"/>
      <c r="DB640" s="408"/>
      <c r="DC640" s="408"/>
      <c r="DD640" s="408"/>
      <c r="DE640" s="408"/>
      <c r="DF640" s="408"/>
      <c r="DG640" s="408"/>
      <c r="DH640" s="408"/>
      <c r="DI640" s="408"/>
      <c r="DJ640" s="408"/>
      <c r="DK640" s="408">
        <v>0</v>
      </c>
      <c r="DL640" s="408"/>
      <c r="DM640" s="408"/>
      <c r="DN640" s="408"/>
      <c r="DO640" s="408"/>
      <c r="DP640" s="408"/>
      <c r="DQ640" s="408"/>
      <c r="DR640" s="408"/>
      <c r="DS640" s="408"/>
      <c r="DT640" s="408"/>
      <c r="DU640" s="408"/>
      <c r="DV640" s="408"/>
      <c r="DW640" s="408"/>
      <c r="DX640" s="408"/>
      <c r="DY640" s="408"/>
      <c r="DZ640" s="408"/>
      <c r="EA640" s="408"/>
      <c r="EB640" s="408"/>
      <c r="EC640" s="408"/>
      <c r="ED640" s="408"/>
      <c r="EE640" s="408"/>
      <c r="EF640" s="408"/>
      <c r="EG640" s="408"/>
      <c r="EH640" s="408"/>
      <c r="EI640" s="408"/>
      <c r="EJ640" s="408"/>
      <c r="EK640" s="408"/>
      <c r="EL640" s="408"/>
      <c r="EM640" s="408"/>
      <c r="EN640" s="408"/>
      <c r="EO640" s="408"/>
      <c r="EP640" s="408"/>
      <c r="EQ640" s="408"/>
      <c r="ER640" s="408"/>
      <c r="ES640" s="408"/>
      <c r="ET640" s="408"/>
      <c r="EU640" s="408"/>
      <c r="EV640" s="408">
        <v>238</v>
      </c>
      <c r="EW640" s="408"/>
      <c r="EX640" s="408"/>
      <c r="EY640" s="408"/>
      <c r="EZ640" s="408"/>
      <c r="FA640" s="408">
        <v>0</v>
      </c>
      <c r="FB640" s="408"/>
      <c r="FC640" s="408"/>
      <c r="FD640" s="408"/>
      <c r="FE640" s="408"/>
      <c r="FF640" s="408">
        <v>0</v>
      </c>
      <c r="FG640" s="408">
        <v>0</v>
      </c>
      <c r="FH640" s="408">
        <v>0</v>
      </c>
      <c r="FI640" s="408">
        <v>0</v>
      </c>
    </row>
    <row r="641" spans="1:165">
      <c r="A641" s="408">
        <v>645</v>
      </c>
      <c r="B641" s="408" t="s">
        <v>1036</v>
      </c>
      <c r="C641" s="408" t="s">
        <v>2235</v>
      </c>
      <c r="D641" s="408" t="s">
        <v>2245</v>
      </c>
      <c r="E641" s="408" t="s">
        <v>974</v>
      </c>
      <c r="F641" s="408" t="s">
        <v>2252</v>
      </c>
      <c r="G641" s="408" t="s">
        <v>2253</v>
      </c>
      <c r="H641" s="408" t="s">
        <v>1322</v>
      </c>
      <c r="I641" s="408" t="s">
        <v>1322</v>
      </c>
      <c r="J641" s="408" t="s">
        <v>2236</v>
      </c>
      <c r="K641" s="824">
        <v>44682</v>
      </c>
      <c r="L641" s="408">
        <v>0</v>
      </c>
      <c r="M641" s="408">
        <v>0</v>
      </c>
      <c r="N641" s="408">
        <v>48.018999999999998</v>
      </c>
      <c r="O641" s="408">
        <v>48.018999999999998</v>
      </c>
      <c r="P641" s="408">
        <v>48.018999999999998</v>
      </c>
      <c r="Q641" s="408">
        <v>48.018999999999998</v>
      </c>
      <c r="R641" s="408"/>
      <c r="S641" s="408">
        <v>581.32000000000005</v>
      </c>
      <c r="T641" s="408">
        <v>209.4</v>
      </c>
      <c r="U641" s="408"/>
      <c r="V641" s="408">
        <v>37969.583679999996</v>
      </c>
      <c r="W641" s="408">
        <v>37969.583679999996</v>
      </c>
      <c r="X641" s="408">
        <v>29006.837329999998</v>
      </c>
      <c r="Y641" s="408">
        <v>0</v>
      </c>
      <c r="Z641" s="408">
        <v>2954.9887791225624</v>
      </c>
      <c r="AA641" s="408">
        <v>0</v>
      </c>
      <c r="AB641" s="408">
        <v>0</v>
      </c>
      <c r="AC641" s="408">
        <v>0</v>
      </c>
      <c r="AD641" s="408">
        <v>3562.584581950216</v>
      </c>
      <c r="AE641" s="408">
        <v>18506.777671636355</v>
      </c>
      <c r="AF641" s="408">
        <v>9923.1621621392296</v>
      </c>
      <c r="AG641" s="408">
        <v>132.1946246153407</v>
      </c>
      <c r="AH641" s="408">
        <v>0</v>
      </c>
      <c r="AI641" s="408">
        <v>0</v>
      </c>
      <c r="AJ641" s="408">
        <v>0</v>
      </c>
      <c r="AK641" s="408">
        <v>0</v>
      </c>
      <c r="AL641" s="408">
        <v>456.64156139723912</v>
      </c>
      <c r="AM641" s="408"/>
      <c r="AN641" s="408">
        <v>87.536923481786502</v>
      </c>
      <c r="AO641" s="408">
        <v>273.68336733761578</v>
      </c>
      <c r="AP641" s="408">
        <v>412.25223719322622</v>
      </c>
      <c r="AQ641" s="408">
        <v>0</v>
      </c>
      <c r="AR641" s="408">
        <v>0</v>
      </c>
      <c r="AS641" s="408">
        <v>0</v>
      </c>
      <c r="AT641" s="408">
        <v>0</v>
      </c>
      <c r="AU641" s="408">
        <v>0</v>
      </c>
      <c r="AV641" s="408">
        <v>0</v>
      </c>
      <c r="AW641" s="408">
        <v>0</v>
      </c>
      <c r="AX641" s="408">
        <v>0</v>
      </c>
      <c r="AY641" s="408">
        <v>0</v>
      </c>
      <c r="AZ641" s="408">
        <v>0</v>
      </c>
      <c r="BA641" s="408"/>
      <c r="BB641" s="408">
        <v>0</v>
      </c>
      <c r="BC641" s="408">
        <v>0</v>
      </c>
      <c r="BD641" s="408">
        <v>0</v>
      </c>
      <c r="BE641" s="408">
        <v>0</v>
      </c>
      <c r="BF641" s="408">
        <v>0</v>
      </c>
      <c r="BG641" s="408">
        <v>1660.1264793427586</v>
      </c>
      <c r="BH641" s="408">
        <v>0</v>
      </c>
      <c r="BI641" s="408">
        <v>0</v>
      </c>
      <c r="BJ641" s="408">
        <v>0</v>
      </c>
      <c r="BK641" s="408">
        <v>0</v>
      </c>
      <c r="BL641" s="408">
        <v>0</v>
      </c>
      <c r="BM641" s="408"/>
      <c r="BN641" s="408"/>
      <c r="BO641" s="408"/>
      <c r="BP641" s="408"/>
      <c r="BQ641" s="408"/>
      <c r="BR641" s="408">
        <v>3480.8973099999967</v>
      </c>
      <c r="BS641" s="408"/>
      <c r="BT641" s="408"/>
      <c r="BU641" s="408"/>
      <c r="BV641" s="408">
        <v>11583.288641481988</v>
      </c>
      <c r="BW641" s="408"/>
      <c r="BX641" s="408"/>
      <c r="BY641" s="408"/>
      <c r="BZ641" s="408"/>
      <c r="CA641" s="408"/>
      <c r="CB641" s="408"/>
      <c r="CC641" s="408"/>
      <c r="CD641" s="408"/>
      <c r="CE641" s="408"/>
      <c r="CF641" s="408"/>
      <c r="CG641" s="408"/>
      <c r="CH641" s="408"/>
      <c r="CI641" s="408">
        <v>25526.471600000004</v>
      </c>
      <c r="CJ641" s="408">
        <v>-7887.5795499999949</v>
      </c>
      <c r="CK641" s="408"/>
      <c r="CL641" s="408"/>
      <c r="CM641" s="408"/>
      <c r="CN641" s="408"/>
      <c r="CO641" s="408">
        <v>-10059.020120000003</v>
      </c>
      <c r="CP641" s="408">
        <v>1096.2737699999991</v>
      </c>
      <c r="CQ641" s="408">
        <v>31</v>
      </c>
      <c r="CR641" s="408">
        <v>1418.6671275802473</v>
      </c>
      <c r="CS641" s="408">
        <v>33.042348653002136</v>
      </c>
      <c r="CT641" s="408">
        <v>49.772049674888365</v>
      </c>
      <c r="CU641" s="408">
        <v>0</v>
      </c>
      <c r="CV641" s="408">
        <v>0</v>
      </c>
      <c r="CW641" s="408">
        <v>0</v>
      </c>
      <c r="CX641" s="408">
        <v>0</v>
      </c>
      <c r="CY641" s="408">
        <v>0</v>
      </c>
      <c r="CZ641" s="408">
        <v>116.79020714462104</v>
      </c>
      <c r="DA641" s="408">
        <v>0</v>
      </c>
      <c r="DB641" s="408">
        <v>0</v>
      </c>
      <c r="DC641" s="408">
        <v>1095.9416766636805</v>
      </c>
      <c r="DD641" s="408">
        <v>0</v>
      </c>
      <c r="DE641" s="408">
        <v>0</v>
      </c>
      <c r="DF641" s="408">
        <v>0</v>
      </c>
      <c r="DG641" s="408">
        <v>183.34899374982888</v>
      </c>
      <c r="DH641" s="408">
        <v>0</v>
      </c>
      <c r="DI641" s="408">
        <v>-51.511727373576377</v>
      </c>
      <c r="DJ641" s="408"/>
      <c r="DK641" s="408">
        <v>0</v>
      </c>
      <c r="DL641" s="408">
        <v>0</v>
      </c>
      <c r="DM641" s="408">
        <v>0</v>
      </c>
      <c r="DN641" s="408">
        <v>0</v>
      </c>
      <c r="DO641" s="408">
        <v>-6.6925259659552694</v>
      </c>
      <c r="DP641" s="408">
        <v>-2.0238949662442565</v>
      </c>
      <c r="DQ641" s="408">
        <v>0</v>
      </c>
      <c r="DR641" s="408">
        <v>0</v>
      </c>
      <c r="DS641" s="408"/>
      <c r="DT641" s="408"/>
      <c r="DU641" s="408"/>
      <c r="DV641" s="408">
        <v>18506.777671636355</v>
      </c>
      <c r="DW641" s="408">
        <v>0</v>
      </c>
      <c r="DX641" s="408">
        <v>0</v>
      </c>
      <c r="DY641" s="408">
        <v>-10059.020120000001</v>
      </c>
      <c r="DZ641" s="408">
        <v>1096.2737699999998</v>
      </c>
      <c r="EA641" s="408">
        <v>0</v>
      </c>
      <c r="EB641" s="408">
        <v>0</v>
      </c>
      <c r="EC641" s="408">
        <v>-10382.111639085753</v>
      </c>
      <c r="ED641" s="408">
        <v>0</v>
      </c>
      <c r="EE641" s="408">
        <v>0</v>
      </c>
      <c r="EF641" s="408">
        <v>0</v>
      </c>
      <c r="EG641" s="408">
        <v>0</v>
      </c>
      <c r="EH641" s="408">
        <v>0</v>
      </c>
      <c r="EI641" s="408">
        <v>0</v>
      </c>
      <c r="EJ641" s="408">
        <v>0</v>
      </c>
      <c r="EK641" s="408">
        <v>0</v>
      </c>
      <c r="EL641" s="408">
        <v>0</v>
      </c>
      <c r="EM641" s="408">
        <v>0</v>
      </c>
      <c r="EN641" s="408">
        <v>0</v>
      </c>
      <c r="EO641" s="408">
        <v>0</v>
      </c>
      <c r="EP641" s="408">
        <v>0</v>
      </c>
      <c r="EQ641" s="408">
        <v>0</v>
      </c>
      <c r="ER641" s="408">
        <v>0</v>
      </c>
      <c r="ES641" s="408">
        <v>0</v>
      </c>
      <c r="ET641" s="408">
        <v>0</v>
      </c>
      <c r="EU641" s="408">
        <v>0</v>
      </c>
      <c r="EV641" s="408">
        <v>238</v>
      </c>
      <c r="EW641" s="408">
        <v>0</v>
      </c>
      <c r="EX641" s="408">
        <v>0</v>
      </c>
      <c r="EY641" s="408">
        <v>0</v>
      </c>
      <c r="EZ641" s="408"/>
      <c r="FA641" s="408">
        <v>0</v>
      </c>
      <c r="FB641" s="408"/>
      <c r="FC641" s="408"/>
      <c r="FD641" s="408"/>
      <c r="FE641" s="408"/>
      <c r="FF641" s="408">
        <v>0</v>
      </c>
      <c r="FG641" s="408">
        <v>0</v>
      </c>
      <c r="FH641" s="408">
        <v>0</v>
      </c>
      <c r="FI641" s="408">
        <v>0</v>
      </c>
    </row>
    <row r="642" spans="1:165">
      <c r="A642" s="408">
        <v>646</v>
      </c>
      <c r="B642" s="408" t="s">
        <v>2238</v>
      </c>
      <c r="C642" s="408" t="s">
        <v>2235</v>
      </c>
      <c r="D642" s="408" t="s">
        <v>2245</v>
      </c>
      <c r="E642" s="408" t="s">
        <v>974</v>
      </c>
      <c r="F642" s="408" t="s">
        <v>2252</v>
      </c>
      <c r="G642" s="408" t="s">
        <v>2253</v>
      </c>
      <c r="H642" s="408" t="s">
        <v>1322</v>
      </c>
      <c r="I642" s="408" t="s">
        <v>1322</v>
      </c>
      <c r="J642" s="408" t="s">
        <v>2236</v>
      </c>
      <c r="K642" s="824">
        <v>44682</v>
      </c>
      <c r="L642" s="408">
        <v>0</v>
      </c>
      <c r="M642" s="408">
        <v>0</v>
      </c>
      <c r="N642" s="408">
        <v>1.952</v>
      </c>
      <c r="O642" s="408">
        <v>1.952</v>
      </c>
      <c r="P642" s="408">
        <v>1.952</v>
      </c>
      <c r="Q642" s="408">
        <v>1.952</v>
      </c>
      <c r="R642" s="408"/>
      <c r="S642" s="408">
        <v>581.32000000000005</v>
      </c>
      <c r="T642" s="408">
        <v>209.4</v>
      </c>
      <c r="U642" s="408"/>
      <c r="V642" s="408">
        <v>1543.4854400000002</v>
      </c>
      <c r="W642" s="408">
        <v>1543.4854400000002</v>
      </c>
      <c r="X642" s="408">
        <v>1179.14464</v>
      </c>
      <c r="Y642" s="408">
        <v>0</v>
      </c>
      <c r="Z642" s="408">
        <v>120.12199539447388</v>
      </c>
      <c r="AA642" s="408">
        <v>0</v>
      </c>
      <c r="AB642" s="408">
        <v>0</v>
      </c>
      <c r="AC642" s="408">
        <v>0</v>
      </c>
      <c r="AD642" s="408">
        <v>144.82111464142989</v>
      </c>
      <c r="AE642" s="408">
        <v>752.31116880889158</v>
      </c>
      <c r="AF642" s="408">
        <v>403.38225578408077</v>
      </c>
      <c r="AG642" s="408">
        <v>5.3737876100948592</v>
      </c>
      <c r="AH642" s="408">
        <v>0</v>
      </c>
      <c r="AI642" s="408">
        <v>0</v>
      </c>
      <c r="AJ642" s="408">
        <v>0</v>
      </c>
      <c r="AK642" s="408">
        <v>0</v>
      </c>
      <c r="AL642" s="408">
        <v>18.56274241128326</v>
      </c>
      <c r="AM642" s="408"/>
      <c r="AN642" s="408">
        <v>3.558426344497954</v>
      </c>
      <c r="AO642" s="408">
        <v>11.12538647291751</v>
      </c>
      <c r="AP642" s="408">
        <v>16.758290822407332</v>
      </c>
      <c r="AQ642" s="408">
        <v>0</v>
      </c>
      <c r="AR642" s="408">
        <v>0</v>
      </c>
      <c r="AS642" s="408">
        <v>0</v>
      </c>
      <c r="AT642" s="408">
        <v>0</v>
      </c>
      <c r="AU642" s="408">
        <v>0</v>
      </c>
      <c r="AV642" s="408">
        <v>0</v>
      </c>
      <c r="AW642" s="408">
        <v>0</v>
      </c>
      <c r="AX642" s="408">
        <v>0</v>
      </c>
      <c r="AY642" s="408">
        <v>0</v>
      </c>
      <c r="AZ642" s="408">
        <v>0</v>
      </c>
      <c r="BA642" s="408"/>
      <c r="BB642" s="408">
        <v>0</v>
      </c>
      <c r="BC642" s="408">
        <v>0</v>
      </c>
      <c r="BD642" s="408">
        <v>0</v>
      </c>
      <c r="BE642" s="408">
        <v>0</v>
      </c>
      <c r="BF642" s="408">
        <v>0</v>
      </c>
      <c r="BG642" s="408">
        <v>67.485097308920729</v>
      </c>
      <c r="BH642" s="408">
        <v>0</v>
      </c>
      <c r="BI642" s="408">
        <v>0</v>
      </c>
      <c r="BJ642" s="408">
        <v>0</v>
      </c>
      <c r="BK642" s="408">
        <v>0</v>
      </c>
      <c r="BL642" s="408">
        <v>0</v>
      </c>
      <c r="BM642" s="408"/>
      <c r="BN642" s="408"/>
      <c r="BO642" s="408"/>
      <c r="BP642" s="408"/>
      <c r="BQ642" s="408"/>
      <c r="BR642" s="408">
        <v>141.50047999999984</v>
      </c>
      <c r="BS642" s="408"/>
      <c r="BT642" s="408"/>
      <c r="BU642" s="408"/>
      <c r="BV642" s="408">
        <v>470.8673530930015</v>
      </c>
      <c r="BW642" s="408"/>
      <c r="BX642" s="408"/>
      <c r="BY642" s="408"/>
      <c r="BZ642" s="408"/>
      <c r="CA642" s="408"/>
      <c r="CB642" s="408"/>
      <c r="CC642" s="408"/>
      <c r="CD642" s="408"/>
      <c r="CE642" s="408"/>
      <c r="CF642" s="408"/>
      <c r="CG642" s="408"/>
      <c r="CH642" s="408"/>
      <c r="CI642" s="408">
        <v>1036.5810000000001</v>
      </c>
      <c r="CJ642" s="408">
        <v>-321.74819999999977</v>
      </c>
      <c r="CK642" s="408"/>
      <c r="CL642" s="408"/>
      <c r="CM642" s="408"/>
      <c r="CN642" s="408"/>
      <c r="CO642" s="408">
        <v>-408.90496000000013</v>
      </c>
      <c r="CP642" s="408">
        <v>44.564159999999966</v>
      </c>
      <c r="CQ642" s="408">
        <v>31</v>
      </c>
      <c r="CR642" s="408">
        <v>57.669635624162311</v>
      </c>
      <c r="CS642" s="408">
        <v>1.3431904989829064</v>
      </c>
      <c r="CT642" s="408">
        <v>2.023262478714301</v>
      </c>
      <c r="CU642" s="408">
        <v>0</v>
      </c>
      <c r="CV642" s="408">
        <v>0</v>
      </c>
      <c r="CW642" s="408">
        <v>0</v>
      </c>
      <c r="CX642" s="408">
        <v>0</v>
      </c>
      <c r="CY642" s="408">
        <v>0</v>
      </c>
      <c r="CZ642" s="408">
        <v>4.7475891698348676</v>
      </c>
      <c r="DA642" s="408">
        <v>0</v>
      </c>
      <c r="DB642" s="408">
        <v>0</v>
      </c>
      <c r="DC642" s="408">
        <v>44.550660214654727</v>
      </c>
      <c r="DD642" s="408">
        <v>0</v>
      </c>
      <c r="DE642" s="408">
        <v>0</v>
      </c>
      <c r="DF642" s="408">
        <v>0</v>
      </c>
      <c r="DG642" s="408">
        <v>7.4532421708004364</v>
      </c>
      <c r="DH642" s="408">
        <v>0</v>
      </c>
      <c r="DI642" s="408">
        <v>-2.093981378896288</v>
      </c>
      <c r="DJ642" s="408"/>
      <c r="DK642" s="408">
        <v>0</v>
      </c>
      <c r="DL642" s="408">
        <v>0</v>
      </c>
      <c r="DM642" s="408">
        <v>0</v>
      </c>
      <c r="DN642" s="408">
        <v>0</v>
      </c>
      <c r="DO642" s="408">
        <v>-0.27205503416449162</v>
      </c>
      <c r="DP642" s="408">
        <v>-8.2272495764359466E-2</v>
      </c>
      <c r="DQ642" s="408">
        <v>0</v>
      </c>
      <c r="DR642" s="408">
        <v>0</v>
      </c>
      <c r="DS642" s="408"/>
      <c r="DT642" s="408"/>
      <c r="DU642" s="408"/>
      <c r="DV642" s="408">
        <v>752.31116880889158</v>
      </c>
      <c r="DW642" s="408">
        <v>0</v>
      </c>
      <c r="DX642" s="408">
        <v>0</v>
      </c>
      <c r="DY642" s="408">
        <v>-408.90496000000019</v>
      </c>
      <c r="DZ642" s="408">
        <v>44.564159999999958</v>
      </c>
      <c r="EA642" s="408">
        <v>0</v>
      </c>
      <c r="EB642" s="408">
        <v>0</v>
      </c>
      <c r="EC642" s="408">
        <v>-422.03881629137197</v>
      </c>
      <c r="ED642" s="408">
        <v>0</v>
      </c>
      <c r="EE642" s="408">
        <v>0</v>
      </c>
      <c r="EF642" s="408">
        <v>0</v>
      </c>
      <c r="EG642" s="408">
        <v>0</v>
      </c>
      <c r="EH642" s="408">
        <v>0</v>
      </c>
      <c r="EI642" s="408">
        <v>0</v>
      </c>
      <c r="EJ642" s="408">
        <v>0</v>
      </c>
      <c r="EK642" s="408">
        <v>0</v>
      </c>
      <c r="EL642" s="408">
        <v>0</v>
      </c>
      <c r="EM642" s="408">
        <v>0</v>
      </c>
      <c r="EN642" s="408">
        <v>0</v>
      </c>
      <c r="EO642" s="408">
        <v>0</v>
      </c>
      <c r="EP642" s="408">
        <v>0</v>
      </c>
      <c r="EQ642" s="408">
        <v>0</v>
      </c>
      <c r="ER642" s="408">
        <v>0</v>
      </c>
      <c r="ES642" s="408">
        <v>0</v>
      </c>
      <c r="ET642" s="408">
        <v>0</v>
      </c>
      <c r="EU642" s="408">
        <v>0</v>
      </c>
      <c r="EV642" s="408">
        <v>238</v>
      </c>
      <c r="EW642" s="408">
        <v>0</v>
      </c>
      <c r="EX642" s="408">
        <v>0</v>
      </c>
      <c r="EY642" s="408">
        <v>0</v>
      </c>
      <c r="EZ642" s="408"/>
      <c r="FA642" s="408">
        <v>0</v>
      </c>
      <c r="FB642" s="408"/>
      <c r="FC642" s="408"/>
      <c r="FD642" s="408"/>
      <c r="FE642" s="408"/>
      <c r="FF642" s="408">
        <v>0</v>
      </c>
      <c r="FG642" s="408">
        <v>0</v>
      </c>
      <c r="FH642" s="408">
        <v>0</v>
      </c>
      <c r="FI642" s="408">
        <v>0</v>
      </c>
    </row>
    <row r="643" spans="1:165">
      <c r="A643" s="408">
        <v>647</v>
      </c>
      <c r="B643" s="408" t="s">
        <v>1036</v>
      </c>
      <c r="C643" s="408" t="s">
        <v>2235</v>
      </c>
      <c r="D643" s="408" t="s">
        <v>2245</v>
      </c>
      <c r="E643" s="408" t="s">
        <v>974</v>
      </c>
      <c r="F643" s="408" t="s">
        <v>2252</v>
      </c>
      <c r="G643" s="408" t="s">
        <v>2254</v>
      </c>
      <c r="H643" s="408" t="s">
        <v>1322</v>
      </c>
      <c r="I643" s="408" t="s">
        <v>1322</v>
      </c>
      <c r="J643" s="408" t="s">
        <v>2236</v>
      </c>
      <c r="K643" s="824">
        <v>44682</v>
      </c>
      <c r="L643" s="408">
        <v>0</v>
      </c>
      <c r="M643" s="408">
        <v>0</v>
      </c>
      <c r="N643" s="408">
        <v>28.355</v>
      </c>
      <c r="O643" s="408">
        <v>11.342000000000001</v>
      </c>
      <c r="P643" s="408">
        <v>28.355</v>
      </c>
      <c r="Q643" s="408">
        <v>11.342000000000001</v>
      </c>
      <c r="R643" s="408"/>
      <c r="S643" s="408">
        <v>581.32000000000005</v>
      </c>
      <c r="T643" s="408">
        <v>209.4</v>
      </c>
      <c r="U643" s="408"/>
      <c r="V643" s="408">
        <v>22420.865600000001</v>
      </c>
      <c r="W643" s="408">
        <v>22420.865600000001</v>
      </c>
      <c r="X643" s="408">
        <v>17128.404849999999</v>
      </c>
      <c r="Y643" s="408">
        <v>0</v>
      </c>
      <c r="Z643" s="408">
        <v>1744.907366501182</v>
      </c>
      <c r="AA643" s="408">
        <v>0</v>
      </c>
      <c r="AB643" s="408">
        <v>0</v>
      </c>
      <c r="AC643" s="408">
        <v>0</v>
      </c>
      <c r="AD643" s="408">
        <v>2103.6899106853202</v>
      </c>
      <c r="AE643" s="408">
        <v>10928.167618635307</v>
      </c>
      <c r="AF643" s="408">
        <v>5859.581896904514</v>
      </c>
      <c r="AG643" s="408">
        <v>78.060321559549038</v>
      </c>
      <c r="AH643" s="408">
        <v>0</v>
      </c>
      <c r="AI643" s="408">
        <v>0</v>
      </c>
      <c r="AJ643" s="408">
        <v>0</v>
      </c>
      <c r="AK643" s="408">
        <v>0</v>
      </c>
      <c r="AL643" s="408">
        <v>269.64475464750859</v>
      </c>
      <c r="AM643" s="408"/>
      <c r="AN643" s="408">
        <v>51.690153175327609</v>
      </c>
      <c r="AO643" s="408">
        <v>161.60877737683199</v>
      </c>
      <c r="AP643" s="408">
        <v>243.43306161340158</v>
      </c>
      <c r="AQ643" s="408">
        <v>0</v>
      </c>
      <c r="AR643" s="408">
        <v>0</v>
      </c>
      <c r="AS643" s="408">
        <v>0</v>
      </c>
      <c r="AT643" s="408">
        <v>0</v>
      </c>
      <c r="AU643" s="408">
        <v>0</v>
      </c>
      <c r="AV643" s="408">
        <v>0</v>
      </c>
      <c r="AW643" s="408">
        <v>0</v>
      </c>
      <c r="AX643" s="408">
        <v>0</v>
      </c>
      <c r="AY643" s="408">
        <v>0</v>
      </c>
      <c r="AZ643" s="408">
        <v>0</v>
      </c>
      <c r="BA643" s="408"/>
      <c r="BB643" s="408">
        <v>0</v>
      </c>
      <c r="BC643" s="408">
        <v>0</v>
      </c>
      <c r="BD643" s="408">
        <v>0</v>
      </c>
      <c r="BE643" s="408">
        <v>0</v>
      </c>
      <c r="BF643" s="408">
        <v>0</v>
      </c>
      <c r="BG643" s="408">
        <v>980.29709743568003</v>
      </c>
      <c r="BH643" s="408">
        <v>0</v>
      </c>
      <c r="BI643" s="408">
        <v>0</v>
      </c>
      <c r="BJ643" s="408">
        <v>0</v>
      </c>
      <c r="BK643" s="408">
        <v>0</v>
      </c>
      <c r="BL643" s="408">
        <v>0</v>
      </c>
      <c r="BM643" s="408"/>
      <c r="BN643" s="408"/>
      <c r="BO643" s="408"/>
      <c r="BP643" s="408"/>
      <c r="BQ643" s="408"/>
      <c r="BR643" s="408"/>
      <c r="BS643" s="408">
        <v>11099.224489999997</v>
      </c>
      <c r="BT643" s="408"/>
      <c r="BU643" s="408"/>
      <c r="BV643" s="408">
        <v>6839.8789943401944</v>
      </c>
      <c r="BW643" s="408"/>
      <c r="BX643" s="408"/>
      <c r="BY643" s="408"/>
      <c r="BZ643" s="408"/>
      <c r="CA643" s="408"/>
      <c r="CB643" s="408"/>
      <c r="CC643" s="408"/>
      <c r="CD643" s="408"/>
      <c r="CE643" s="408"/>
      <c r="CF643" s="408"/>
      <c r="CG643" s="408"/>
      <c r="CH643" s="408"/>
      <c r="CI643" s="408">
        <v>6028.1172000000006</v>
      </c>
      <c r="CJ643" s="408">
        <v>-1864.2435000000005</v>
      </c>
      <c r="CK643" s="408"/>
      <c r="CL643" s="408"/>
      <c r="CM643" s="408"/>
      <c r="CN643" s="408"/>
      <c r="CO643" s="408">
        <v>-5939.805400000002</v>
      </c>
      <c r="CP643" s="408">
        <v>647.34464999999955</v>
      </c>
      <c r="CQ643" s="408">
        <v>31</v>
      </c>
      <c r="CR643" s="408">
        <v>837.71645395651467</v>
      </c>
      <c r="CS643" s="408">
        <v>19.511355839477602</v>
      </c>
      <c r="CT643" s="408">
        <v>29.390167819643494</v>
      </c>
      <c r="CU643" s="408">
        <v>0</v>
      </c>
      <c r="CV643" s="408">
        <v>0</v>
      </c>
      <c r="CW643" s="408">
        <v>0</v>
      </c>
      <c r="CX643" s="408">
        <v>0</v>
      </c>
      <c r="CY643" s="408">
        <v>0</v>
      </c>
      <c r="CZ643" s="408">
        <v>68.964083458333334</v>
      </c>
      <c r="DA643" s="408">
        <v>0</v>
      </c>
      <c r="DB643" s="408">
        <v>0</v>
      </c>
      <c r="DC643" s="408">
        <v>647.14855040293787</v>
      </c>
      <c r="DD643" s="408">
        <v>0</v>
      </c>
      <c r="DE643" s="408">
        <v>0</v>
      </c>
      <c r="DF643" s="408">
        <v>0</v>
      </c>
      <c r="DG643" s="408">
        <v>108.26674270135561</v>
      </c>
      <c r="DH643" s="408">
        <v>0</v>
      </c>
      <c r="DI643" s="408">
        <v>-30.417439548465381</v>
      </c>
      <c r="DJ643" s="408"/>
      <c r="DK643" s="408">
        <v>0</v>
      </c>
      <c r="DL643" s="408">
        <v>0</v>
      </c>
      <c r="DM643" s="408">
        <v>0</v>
      </c>
      <c r="DN643" s="408">
        <v>0</v>
      </c>
      <c r="DO643" s="408">
        <v>-3.9519059906424445</v>
      </c>
      <c r="DP643" s="408">
        <v>-1.1951007261262419</v>
      </c>
      <c r="DQ643" s="408">
        <v>0</v>
      </c>
      <c r="DR643" s="408">
        <v>0</v>
      </c>
      <c r="DS643" s="408"/>
      <c r="DT643" s="408"/>
      <c r="DU643" s="408"/>
      <c r="DV643" s="408">
        <v>10928.167618635307</v>
      </c>
      <c r="DW643" s="408">
        <v>0</v>
      </c>
      <c r="DX643" s="408">
        <v>0</v>
      </c>
      <c r="DY643" s="408">
        <v>-5939.8054000000011</v>
      </c>
      <c r="DZ643" s="408">
        <v>647.34465</v>
      </c>
      <c r="EA643" s="408">
        <v>0</v>
      </c>
      <c r="EB643" s="408">
        <v>0</v>
      </c>
      <c r="EC643" s="408">
        <v>-6130.589465134145</v>
      </c>
      <c r="ED643" s="408">
        <v>0</v>
      </c>
      <c r="EE643" s="408">
        <v>0</v>
      </c>
      <c r="EF643" s="408">
        <v>0</v>
      </c>
      <c r="EG643" s="408">
        <v>0</v>
      </c>
      <c r="EH643" s="408">
        <v>0</v>
      </c>
      <c r="EI643" s="408">
        <v>0</v>
      </c>
      <c r="EJ643" s="408">
        <v>0</v>
      </c>
      <c r="EK643" s="408">
        <v>0</v>
      </c>
      <c r="EL643" s="408">
        <v>0</v>
      </c>
      <c r="EM643" s="408">
        <v>0</v>
      </c>
      <c r="EN643" s="408">
        <v>0</v>
      </c>
      <c r="EO643" s="408">
        <v>0</v>
      </c>
      <c r="EP643" s="408">
        <v>0</v>
      </c>
      <c r="EQ643" s="408">
        <v>0</v>
      </c>
      <c r="ER643" s="408">
        <v>0</v>
      </c>
      <c r="ES643" s="408">
        <v>0</v>
      </c>
      <c r="ET643" s="408">
        <v>0</v>
      </c>
      <c r="EU643" s="408">
        <v>0</v>
      </c>
      <c r="EV643" s="408">
        <v>238</v>
      </c>
      <c r="EW643" s="408">
        <v>0</v>
      </c>
      <c r="EX643" s="408">
        <v>0</v>
      </c>
      <c r="EY643" s="408">
        <v>0</v>
      </c>
      <c r="EZ643" s="408"/>
      <c r="FA643" s="408">
        <v>0</v>
      </c>
      <c r="FB643" s="408"/>
      <c r="FC643" s="408"/>
      <c r="FD643" s="408"/>
      <c r="FE643" s="408"/>
      <c r="FF643" s="408">
        <v>0</v>
      </c>
      <c r="FG643" s="408">
        <v>0</v>
      </c>
      <c r="FH643" s="408">
        <v>0</v>
      </c>
      <c r="FI643" s="408">
        <v>0</v>
      </c>
    </row>
    <row r="644" spans="1:165">
      <c r="A644" s="408">
        <v>648</v>
      </c>
      <c r="B644" s="408" t="s">
        <v>2238</v>
      </c>
      <c r="C644" s="408" t="s">
        <v>2235</v>
      </c>
      <c r="D644" s="408" t="s">
        <v>2245</v>
      </c>
      <c r="E644" s="408" t="s">
        <v>974</v>
      </c>
      <c r="F644" s="408" t="s">
        <v>2252</v>
      </c>
      <c r="G644" s="408" t="s">
        <v>2254</v>
      </c>
      <c r="H644" s="408" t="s">
        <v>1322</v>
      </c>
      <c r="I644" s="408" t="s">
        <v>1322</v>
      </c>
      <c r="J644" s="408" t="s">
        <v>2236</v>
      </c>
      <c r="K644" s="824">
        <v>44682</v>
      </c>
      <c r="L644" s="408">
        <v>0</v>
      </c>
      <c r="M644" s="408">
        <v>0</v>
      </c>
      <c r="N644" s="408">
        <v>0.29299999999999998</v>
      </c>
      <c r="O644" s="408">
        <v>0.1172</v>
      </c>
      <c r="P644" s="408">
        <v>0.29299999999999998</v>
      </c>
      <c r="Q644" s="408">
        <v>0.1172</v>
      </c>
      <c r="R644" s="408"/>
      <c r="S644" s="408">
        <v>581.32000000000005</v>
      </c>
      <c r="T644" s="408">
        <v>209.4</v>
      </c>
      <c r="U644" s="408"/>
      <c r="V644" s="408">
        <v>231.68096</v>
      </c>
      <c r="W644" s="408">
        <v>231.68096</v>
      </c>
      <c r="X644" s="408">
        <v>176.99250999999998</v>
      </c>
      <c r="Y644" s="408">
        <v>0</v>
      </c>
      <c r="Z644" s="408">
        <v>18.030606890666419</v>
      </c>
      <c r="AA644" s="408">
        <v>0</v>
      </c>
      <c r="AB644" s="408">
        <v>0</v>
      </c>
      <c r="AC644" s="408">
        <v>0</v>
      </c>
      <c r="AD644" s="408">
        <v>21.738005425173647</v>
      </c>
      <c r="AE644" s="408">
        <v>112.92375638371169</v>
      </c>
      <c r="AF644" s="408">
        <v>60.54866851677032</v>
      </c>
      <c r="AG644" s="408">
        <v>0.80661873450706645</v>
      </c>
      <c r="AH644" s="408">
        <v>0</v>
      </c>
      <c r="AI644" s="408">
        <v>0</v>
      </c>
      <c r="AJ644" s="408">
        <v>0</v>
      </c>
      <c r="AK644" s="408">
        <v>0</v>
      </c>
      <c r="AL644" s="408">
        <v>2.7863132820215135</v>
      </c>
      <c r="AM644" s="408"/>
      <c r="AN644" s="408">
        <v>0.53412854453785885</v>
      </c>
      <c r="AO644" s="408">
        <v>1.6699478670926386</v>
      </c>
      <c r="AP644" s="408">
        <v>2.5154606613551986</v>
      </c>
      <c r="AQ644" s="408">
        <v>0</v>
      </c>
      <c r="AR644" s="408">
        <v>0</v>
      </c>
      <c r="AS644" s="408">
        <v>0</v>
      </c>
      <c r="AT644" s="408">
        <v>0</v>
      </c>
      <c r="AU644" s="408">
        <v>0</v>
      </c>
      <c r="AV644" s="408">
        <v>0</v>
      </c>
      <c r="AW644" s="408">
        <v>0</v>
      </c>
      <c r="AX644" s="408">
        <v>0</v>
      </c>
      <c r="AY644" s="408">
        <v>0</v>
      </c>
      <c r="AZ644" s="408">
        <v>0</v>
      </c>
      <c r="BA644" s="408"/>
      <c r="BB644" s="408">
        <v>0</v>
      </c>
      <c r="BC644" s="408">
        <v>0</v>
      </c>
      <c r="BD644" s="408">
        <v>0</v>
      </c>
      <c r="BE644" s="408">
        <v>0</v>
      </c>
      <c r="BF644" s="408">
        <v>0</v>
      </c>
      <c r="BG644" s="408">
        <v>10.129679053029596</v>
      </c>
      <c r="BH644" s="408">
        <v>0</v>
      </c>
      <c r="BI644" s="408">
        <v>0</v>
      </c>
      <c r="BJ644" s="408">
        <v>0</v>
      </c>
      <c r="BK644" s="408">
        <v>0</v>
      </c>
      <c r="BL644" s="408">
        <v>0</v>
      </c>
      <c r="BM644" s="408"/>
      <c r="BN644" s="408"/>
      <c r="BO644" s="408"/>
      <c r="BP644" s="408"/>
      <c r="BQ644" s="408"/>
      <c r="BR644" s="408"/>
      <c r="BS644" s="408">
        <v>114.69133399999998</v>
      </c>
      <c r="BT644" s="408"/>
      <c r="BU644" s="408"/>
      <c r="BV644" s="408">
        <v>70.678347569799911</v>
      </c>
      <c r="BW644" s="408"/>
      <c r="BX644" s="408"/>
      <c r="BY644" s="408"/>
      <c r="BZ644" s="408"/>
      <c r="CA644" s="408"/>
      <c r="CB644" s="408"/>
      <c r="CC644" s="408"/>
      <c r="CD644" s="408"/>
      <c r="CE644" s="408"/>
      <c r="CF644" s="408"/>
      <c r="CG644" s="408"/>
      <c r="CH644" s="408"/>
      <c r="CI644" s="408">
        <v>63.789600000000007</v>
      </c>
      <c r="CJ644" s="408">
        <v>-17.794019999999989</v>
      </c>
      <c r="CK644" s="408"/>
      <c r="CL644" s="408"/>
      <c r="CM644" s="408"/>
      <c r="CN644" s="408"/>
      <c r="CO644" s="408">
        <v>-61.377640000000021</v>
      </c>
      <c r="CP644" s="408">
        <v>6.6891899999999946</v>
      </c>
      <c r="CQ644" s="408">
        <v>31</v>
      </c>
      <c r="CR644" s="408">
        <v>8.6563541177661421</v>
      </c>
      <c r="CS644" s="408">
        <v>0.20161619682479071</v>
      </c>
      <c r="CT644" s="408">
        <v>0.30369667329062011</v>
      </c>
      <c r="CU644" s="408">
        <v>0</v>
      </c>
      <c r="CV644" s="408">
        <v>0</v>
      </c>
      <c r="CW644" s="408">
        <v>0</v>
      </c>
      <c r="CX644" s="408">
        <v>0</v>
      </c>
      <c r="CY644" s="408">
        <v>0</v>
      </c>
      <c r="CZ644" s="408">
        <v>0.71262480879180856</v>
      </c>
      <c r="DA644" s="408">
        <v>0</v>
      </c>
      <c r="DB644" s="408">
        <v>0</v>
      </c>
      <c r="DC644" s="408">
        <v>6.6871636490234749</v>
      </c>
      <c r="DD644" s="408">
        <v>0</v>
      </c>
      <c r="DE644" s="408">
        <v>0</v>
      </c>
      <c r="DF644" s="408">
        <v>0</v>
      </c>
      <c r="DG644" s="408">
        <v>1.1187499774818281</v>
      </c>
      <c r="DH644" s="408">
        <v>0</v>
      </c>
      <c r="DI644" s="408">
        <v>-0.31431175410687473</v>
      </c>
      <c r="DJ644" s="408"/>
      <c r="DK644" s="408">
        <v>0</v>
      </c>
      <c r="DL644" s="408">
        <v>0</v>
      </c>
      <c r="DM644" s="408">
        <v>0</v>
      </c>
      <c r="DN644" s="408">
        <v>0</v>
      </c>
      <c r="DO644" s="408">
        <v>-4.0836129615879013E-2</v>
      </c>
      <c r="DP644" s="408">
        <v>-1.2349303923646193E-2</v>
      </c>
      <c r="DQ644" s="408">
        <v>0</v>
      </c>
      <c r="DR644" s="408">
        <v>0</v>
      </c>
      <c r="DS644" s="408"/>
      <c r="DT644" s="408"/>
      <c r="DU644" s="408"/>
      <c r="DV644" s="408">
        <v>112.92375638371169</v>
      </c>
      <c r="DW644" s="408">
        <v>0</v>
      </c>
      <c r="DX644" s="408">
        <v>0</v>
      </c>
      <c r="DY644" s="408">
        <v>-61.377640000000028</v>
      </c>
      <c r="DZ644" s="408">
        <v>6.6891899999999893</v>
      </c>
      <c r="EA644" s="408">
        <v>0</v>
      </c>
      <c r="EB644" s="408">
        <v>0</v>
      </c>
      <c r="EC644" s="408">
        <v>-63.34906412570286</v>
      </c>
      <c r="ED644" s="408">
        <v>0</v>
      </c>
      <c r="EE644" s="408">
        <v>0</v>
      </c>
      <c r="EF644" s="408">
        <v>0</v>
      </c>
      <c r="EG644" s="408">
        <v>0</v>
      </c>
      <c r="EH644" s="408">
        <v>0</v>
      </c>
      <c r="EI644" s="408">
        <v>0</v>
      </c>
      <c r="EJ644" s="408">
        <v>0</v>
      </c>
      <c r="EK644" s="408">
        <v>0</v>
      </c>
      <c r="EL644" s="408">
        <v>0</v>
      </c>
      <c r="EM644" s="408">
        <v>0</v>
      </c>
      <c r="EN644" s="408">
        <v>0</v>
      </c>
      <c r="EO644" s="408">
        <v>0</v>
      </c>
      <c r="EP644" s="408">
        <v>0</v>
      </c>
      <c r="EQ644" s="408">
        <v>0</v>
      </c>
      <c r="ER644" s="408">
        <v>0</v>
      </c>
      <c r="ES644" s="408">
        <v>0</v>
      </c>
      <c r="ET644" s="408">
        <v>0</v>
      </c>
      <c r="EU644" s="408">
        <v>0</v>
      </c>
      <c r="EV644" s="408">
        <v>238</v>
      </c>
      <c r="EW644" s="408">
        <v>0</v>
      </c>
      <c r="EX644" s="408">
        <v>0</v>
      </c>
      <c r="EY644" s="408">
        <v>0</v>
      </c>
      <c r="EZ644" s="408"/>
      <c r="FA644" s="408">
        <v>0</v>
      </c>
      <c r="FB644" s="408"/>
      <c r="FC644" s="408"/>
      <c r="FD644" s="408"/>
      <c r="FE644" s="408"/>
      <c r="FF644" s="408">
        <v>0</v>
      </c>
      <c r="FG644" s="408">
        <v>0</v>
      </c>
      <c r="FH644" s="408">
        <v>0</v>
      </c>
      <c r="FI644" s="408">
        <v>0</v>
      </c>
    </row>
    <row r="645" spans="1:165">
      <c r="A645" s="408">
        <v>649</v>
      </c>
      <c r="B645" s="408" t="s">
        <v>1036</v>
      </c>
      <c r="C645" s="408" t="s">
        <v>2243</v>
      </c>
      <c r="D645" s="408" t="s">
        <v>597</v>
      </c>
      <c r="E645" s="408" t="s">
        <v>974</v>
      </c>
      <c r="F645" s="408" t="s">
        <v>2252</v>
      </c>
      <c r="G645" s="408" t="s">
        <v>1322</v>
      </c>
      <c r="H645" s="408" t="s">
        <v>1322</v>
      </c>
      <c r="I645" s="408" t="s">
        <v>973</v>
      </c>
      <c r="J645" s="408" t="s">
        <v>2236</v>
      </c>
      <c r="K645" s="824">
        <v>44682</v>
      </c>
      <c r="L645" s="408">
        <v>0</v>
      </c>
      <c r="M645" s="408">
        <v>0</v>
      </c>
      <c r="N645" s="408">
        <v>13.318</v>
      </c>
      <c r="O645" s="408">
        <v>12.78528</v>
      </c>
      <c r="P645" s="408">
        <v>13.318</v>
      </c>
      <c r="Q645" s="408">
        <v>12.78528</v>
      </c>
      <c r="R645" s="408"/>
      <c r="S645" s="408">
        <v>1614.19</v>
      </c>
      <c r="T645" s="408">
        <v>209.4</v>
      </c>
      <c r="U645" s="408"/>
      <c r="V645" s="408">
        <v>24286.571619999999</v>
      </c>
      <c r="W645" s="408">
        <v>24286.571619999999</v>
      </c>
      <c r="X645" s="408">
        <v>16143.413699999999</v>
      </c>
      <c r="Y645" s="408">
        <v>0</v>
      </c>
      <c r="Z645" s="408">
        <v>713.01881104371705</v>
      </c>
      <c r="AA645" s="408">
        <v>0</v>
      </c>
      <c r="AB645" s="408">
        <v>0</v>
      </c>
      <c r="AC645" s="408">
        <v>0</v>
      </c>
      <c r="AD645" s="408">
        <v>4147.4647954013526</v>
      </c>
      <c r="AE645" s="408">
        <v>15486.658053783951</v>
      </c>
      <c r="AF645" s="408">
        <v>2752.1746324448709</v>
      </c>
      <c r="AG645" s="408">
        <v>36.663987393054988</v>
      </c>
      <c r="AH645" s="408">
        <v>0</v>
      </c>
      <c r="AI645" s="408">
        <v>0</v>
      </c>
      <c r="AJ645" s="408">
        <v>0</v>
      </c>
      <c r="AK645" s="408">
        <v>0</v>
      </c>
      <c r="AL645" s="408">
        <v>126.64887470976969</v>
      </c>
      <c r="AM645" s="408"/>
      <c r="AN645" s="408">
        <v>17.684230500711141</v>
      </c>
      <c r="AO645" s="408">
        <v>322.22801611446164</v>
      </c>
      <c r="AP645" s="408">
        <v>479.96345766568413</v>
      </c>
      <c r="AQ645" s="408">
        <v>0</v>
      </c>
      <c r="AR645" s="408">
        <v>0</v>
      </c>
      <c r="AS645" s="408">
        <v>0</v>
      </c>
      <c r="AT645" s="408">
        <v>0</v>
      </c>
      <c r="AU645" s="408">
        <v>0</v>
      </c>
      <c r="AV645" s="408">
        <v>0</v>
      </c>
      <c r="AW645" s="408">
        <v>0</v>
      </c>
      <c r="AX645" s="408">
        <v>0</v>
      </c>
      <c r="AY645" s="408">
        <v>0</v>
      </c>
      <c r="AZ645" s="408">
        <v>0</v>
      </c>
      <c r="BA645" s="408"/>
      <c r="BB645" s="408">
        <v>0</v>
      </c>
      <c r="BC645" s="408">
        <v>0</v>
      </c>
      <c r="BD645" s="408">
        <v>0</v>
      </c>
      <c r="BE645" s="408">
        <v>0</v>
      </c>
      <c r="BF645" s="408">
        <v>0</v>
      </c>
      <c r="BG645" s="408">
        <v>204.09084345873595</v>
      </c>
      <c r="BH645" s="408">
        <v>0</v>
      </c>
      <c r="BI645" s="408">
        <v>0</v>
      </c>
      <c r="BJ645" s="408">
        <v>0</v>
      </c>
      <c r="BK645" s="408">
        <v>0</v>
      </c>
      <c r="BL645" s="408">
        <v>0</v>
      </c>
      <c r="BM645" s="408"/>
      <c r="BN645" s="408"/>
      <c r="BO645" s="408"/>
      <c r="BP645" s="408"/>
      <c r="BQ645" s="408"/>
      <c r="BR645" s="408">
        <v>645.73654799999917</v>
      </c>
      <c r="BS645" s="408"/>
      <c r="BT645" s="408"/>
      <c r="BU645" s="408"/>
      <c r="BV645" s="408">
        <v>2956.2654759036068</v>
      </c>
      <c r="BW645" s="408"/>
      <c r="BX645" s="408"/>
      <c r="BY645" s="408"/>
      <c r="BZ645" s="408"/>
      <c r="CA645" s="408"/>
      <c r="CB645" s="408"/>
      <c r="CC645" s="408"/>
      <c r="CD645" s="408"/>
      <c r="CE645" s="408"/>
      <c r="CF645" s="408"/>
      <c r="CG645" s="408"/>
      <c r="CH645" s="408"/>
      <c r="CI645" s="408">
        <v>15503.398499999999</v>
      </c>
      <c r="CJ645" s="408">
        <v>-7811.7402551999985</v>
      </c>
      <c r="CK645" s="408"/>
      <c r="CL645" s="408"/>
      <c r="CM645" s="408"/>
      <c r="CN645" s="408"/>
      <c r="CO645" s="408">
        <v>-8447.2078600000004</v>
      </c>
      <c r="CP645" s="408">
        <v>304.04993999999976</v>
      </c>
      <c r="CQ645" s="408">
        <v>31</v>
      </c>
      <c r="CR645" s="408">
        <v>544.61794594651474</v>
      </c>
      <c r="CS645" s="408">
        <v>38.90324266978422</v>
      </c>
      <c r="CT645" s="408">
        <v>57.946962810225045</v>
      </c>
      <c r="CU645" s="408">
        <v>0</v>
      </c>
      <c r="CV645" s="408">
        <v>0</v>
      </c>
      <c r="CW645" s="408">
        <v>0</v>
      </c>
      <c r="CX645" s="408">
        <v>0</v>
      </c>
      <c r="CY645" s="408">
        <v>0</v>
      </c>
      <c r="CZ645" s="408">
        <v>135.96400630993594</v>
      </c>
      <c r="DA645" s="408">
        <v>0</v>
      </c>
      <c r="DB645" s="408">
        <v>0</v>
      </c>
      <c r="DC645" s="408">
        <v>303.9578343948624</v>
      </c>
      <c r="DD645" s="408">
        <v>0</v>
      </c>
      <c r="DE645" s="408">
        <v>0</v>
      </c>
      <c r="DF645" s="408">
        <v>0</v>
      </c>
      <c r="DG645" s="408">
        <v>22.540361380494602</v>
      </c>
      <c r="DH645" s="408">
        <v>0</v>
      </c>
      <c r="DI645" s="408">
        <v>-12.429431497747714</v>
      </c>
      <c r="DJ645" s="408"/>
      <c r="DK645" s="408">
        <v>0</v>
      </c>
      <c r="DL645" s="408">
        <v>0</v>
      </c>
      <c r="DM645" s="408">
        <v>0</v>
      </c>
      <c r="DN645" s="408">
        <v>0</v>
      </c>
      <c r="DO645" s="408">
        <v>-1.8561623693661318</v>
      </c>
      <c r="DP645" s="408">
        <v>-0.40886775167222211</v>
      </c>
      <c r="DQ645" s="408">
        <v>0</v>
      </c>
      <c r="DR645" s="408">
        <v>0</v>
      </c>
      <c r="DS645" s="408"/>
      <c r="DT645" s="408"/>
      <c r="DU645" s="408"/>
      <c r="DV645" s="408">
        <v>15486.658053783951</v>
      </c>
      <c r="DW645" s="408">
        <v>0</v>
      </c>
      <c r="DX645" s="408">
        <v>0</v>
      </c>
      <c r="DY645" s="408">
        <v>-8447.2078600000004</v>
      </c>
      <c r="DZ645" s="408">
        <v>304.04993999999942</v>
      </c>
      <c r="EA645" s="408">
        <v>0</v>
      </c>
      <c r="EB645" s="408">
        <v>0</v>
      </c>
      <c r="EC645" s="408">
        <v>-8687.8556431329143</v>
      </c>
      <c r="ED645" s="408">
        <v>0</v>
      </c>
      <c r="EE645" s="408">
        <v>0</v>
      </c>
      <c r="EF645" s="408">
        <v>0</v>
      </c>
      <c r="EG645" s="408">
        <v>0</v>
      </c>
      <c r="EH645" s="408">
        <v>0</v>
      </c>
      <c r="EI645" s="408">
        <v>0</v>
      </c>
      <c r="EJ645" s="408">
        <v>0</v>
      </c>
      <c r="EK645" s="408">
        <v>0</v>
      </c>
      <c r="EL645" s="408">
        <v>0</v>
      </c>
      <c r="EM645" s="408">
        <v>0</v>
      </c>
      <c r="EN645" s="408">
        <v>0</v>
      </c>
      <c r="EO645" s="408">
        <v>0</v>
      </c>
      <c r="EP645" s="408">
        <v>0</v>
      </c>
      <c r="EQ645" s="408">
        <v>0</v>
      </c>
      <c r="ER645" s="408">
        <v>0</v>
      </c>
      <c r="ES645" s="408">
        <v>0</v>
      </c>
      <c r="ET645" s="408">
        <v>0</v>
      </c>
      <c r="EU645" s="408">
        <v>0</v>
      </c>
      <c r="EV645" s="408">
        <v>238</v>
      </c>
      <c r="EW645" s="408">
        <v>0</v>
      </c>
      <c r="EX645" s="408">
        <v>0</v>
      </c>
      <c r="EY645" s="408">
        <v>0</v>
      </c>
      <c r="EZ645" s="408"/>
      <c r="FA645" s="408">
        <v>0</v>
      </c>
      <c r="FB645" s="408"/>
      <c r="FC645" s="408"/>
      <c r="FD645" s="408"/>
      <c r="FE645" s="408"/>
      <c r="FF645" s="408">
        <v>0</v>
      </c>
      <c r="FG645" s="408">
        <v>0</v>
      </c>
      <c r="FH645" s="408">
        <v>0</v>
      </c>
      <c r="FI645" s="408">
        <v>0</v>
      </c>
    </row>
    <row r="646" spans="1:165">
      <c r="A646" s="408">
        <v>650</v>
      </c>
      <c r="B646" s="408" t="s">
        <v>2238</v>
      </c>
      <c r="C646" s="408" t="s">
        <v>2243</v>
      </c>
      <c r="D646" s="408" t="s">
        <v>597</v>
      </c>
      <c r="E646" s="408" t="s">
        <v>974</v>
      </c>
      <c r="F646" s="408" t="s">
        <v>2252</v>
      </c>
      <c r="G646" s="408" t="s">
        <v>1322</v>
      </c>
      <c r="H646" s="408" t="s">
        <v>1322</v>
      </c>
      <c r="I646" s="408" t="s">
        <v>973</v>
      </c>
      <c r="J646" s="408" t="s">
        <v>2236</v>
      </c>
      <c r="K646" s="824">
        <v>44682</v>
      </c>
      <c r="L646" s="408">
        <v>0</v>
      </c>
      <c r="M646" s="408">
        <v>0</v>
      </c>
      <c r="N646" s="408">
        <v>6.0999999999999999E-2</v>
      </c>
      <c r="O646" s="408">
        <v>5.8560000000000001E-2</v>
      </c>
      <c r="P646" s="408">
        <v>6.0999999999999999E-2</v>
      </c>
      <c r="Q646" s="408">
        <v>5.8560000000000001E-2</v>
      </c>
      <c r="R646" s="408"/>
      <c r="S646" s="408">
        <v>1614.19</v>
      </c>
      <c r="T646" s="408">
        <v>209.4</v>
      </c>
      <c r="U646" s="408"/>
      <c r="V646" s="408">
        <v>111.23899</v>
      </c>
      <c r="W646" s="408">
        <v>111.23899</v>
      </c>
      <c r="X646" s="408">
        <v>73.941149999999993</v>
      </c>
      <c r="Y646" s="408">
        <v>0</v>
      </c>
      <c r="Z646" s="408">
        <v>3.2658167497872612</v>
      </c>
      <c r="AA646" s="408">
        <v>0</v>
      </c>
      <c r="AB646" s="408">
        <v>0</v>
      </c>
      <c r="AC646" s="408">
        <v>0</v>
      </c>
      <c r="AD646" s="408">
        <v>18.996497410983817</v>
      </c>
      <c r="AE646" s="408">
        <v>70.933033584683969</v>
      </c>
      <c r="AF646" s="408">
        <v>12.605695493252524</v>
      </c>
      <c r="AG646" s="408">
        <v>0.16793086281546435</v>
      </c>
      <c r="AH646" s="408">
        <v>0</v>
      </c>
      <c r="AI646" s="408">
        <v>0</v>
      </c>
      <c r="AJ646" s="408">
        <v>0</v>
      </c>
      <c r="AK646" s="408">
        <v>0</v>
      </c>
      <c r="AL646" s="408">
        <v>0.58008570035260187</v>
      </c>
      <c r="AM646" s="408"/>
      <c r="AN646" s="408">
        <v>8.0998502818995316E-2</v>
      </c>
      <c r="AO646" s="408">
        <v>1.4758904477385613</v>
      </c>
      <c r="AP646" s="408">
        <v>2.1983609338944836</v>
      </c>
      <c r="AQ646" s="408">
        <v>0</v>
      </c>
      <c r="AR646" s="408">
        <v>0</v>
      </c>
      <c r="AS646" s="408">
        <v>0</v>
      </c>
      <c r="AT646" s="408">
        <v>0</v>
      </c>
      <c r="AU646" s="408">
        <v>0</v>
      </c>
      <c r="AV646" s="408">
        <v>0</v>
      </c>
      <c r="AW646" s="408">
        <v>0</v>
      </c>
      <c r="AX646" s="408">
        <v>0</v>
      </c>
      <c r="AY646" s="408">
        <v>0</v>
      </c>
      <c r="AZ646" s="408">
        <v>0</v>
      </c>
      <c r="BA646" s="408"/>
      <c r="BB646" s="408">
        <v>0</v>
      </c>
      <c r="BC646" s="408">
        <v>0</v>
      </c>
      <c r="BD646" s="408">
        <v>0</v>
      </c>
      <c r="BE646" s="408">
        <v>0</v>
      </c>
      <c r="BF646" s="408">
        <v>0</v>
      </c>
      <c r="BG646" s="408">
        <v>0.93479061803445662</v>
      </c>
      <c r="BH646" s="408">
        <v>0</v>
      </c>
      <c r="BI646" s="408">
        <v>0</v>
      </c>
      <c r="BJ646" s="408">
        <v>0</v>
      </c>
      <c r="BK646" s="408">
        <v>0</v>
      </c>
      <c r="BL646" s="408">
        <v>0</v>
      </c>
      <c r="BM646" s="408"/>
      <c r="BN646" s="408"/>
      <c r="BO646" s="408"/>
      <c r="BP646" s="408"/>
      <c r="BQ646" s="408"/>
      <c r="BR646" s="408">
        <v>2.9576459999999969</v>
      </c>
      <c r="BS646" s="408"/>
      <c r="BT646" s="408"/>
      <c r="BU646" s="408"/>
      <c r="BV646" s="408">
        <v>13.540486111286981</v>
      </c>
      <c r="BW646" s="408"/>
      <c r="BX646" s="408"/>
      <c r="BY646" s="408"/>
      <c r="BZ646" s="408"/>
      <c r="CA646" s="408"/>
      <c r="CB646" s="408"/>
      <c r="CC646" s="408"/>
      <c r="CD646" s="408"/>
      <c r="CE646" s="408"/>
      <c r="CF646" s="408"/>
      <c r="CG646" s="408"/>
      <c r="CH646" s="408"/>
      <c r="CI646" s="408">
        <v>72.728999999999999</v>
      </c>
      <c r="CJ646" s="408">
        <v>-34.090430400000031</v>
      </c>
      <c r="CK646" s="408"/>
      <c r="CL646" s="408"/>
      <c r="CM646" s="408"/>
      <c r="CN646" s="408"/>
      <c r="CO646" s="408">
        <v>-38.690470000000005</v>
      </c>
      <c r="CP646" s="408">
        <v>1.3926299999999989</v>
      </c>
      <c r="CQ646" s="408">
        <v>31</v>
      </c>
      <c r="CR646" s="408">
        <v>2.4944957728440826</v>
      </c>
      <c r="CS646" s="408">
        <v>0.17818725055239804</v>
      </c>
      <c r="CT646" s="408">
        <v>0.26541257932300111</v>
      </c>
      <c r="CU646" s="408">
        <v>0</v>
      </c>
      <c r="CV646" s="408">
        <v>0</v>
      </c>
      <c r="CW646" s="408">
        <v>0</v>
      </c>
      <c r="CX646" s="408">
        <v>0</v>
      </c>
      <c r="CY646" s="408">
        <v>0</v>
      </c>
      <c r="CZ646" s="408">
        <v>0.62275149308500488</v>
      </c>
      <c r="DA646" s="408">
        <v>0</v>
      </c>
      <c r="DB646" s="408">
        <v>0</v>
      </c>
      <c r="DC646" s="408">
        <v>1.3922081317079602</v>
      </c>
      <c r="DD646" s="408">
        <v>0</v>
      </c>
      <c r="DE646" s="408">
        <v>0</v>
      </c>
      <c r="DF646" s="408">
        <v>0</v>
      </c>
      <c r="DG646" s="408">
        <v>0.10324088032814027</v>
      </c>
      <c r="DH646" s="408">
        <v>0</v>
      </c>
      <c r="DI646" s="408">
        <v>-5.6930118738745428E-2</v>
      </c>
      <c r="DJ646" s="408"/>
      <c r="DK646" s="408">
        <v>0</v>
      </c>
      <c r="DL646" s="408">
        <v>0</v>
      </c>
      <c r="DM646" s="408">
        <v>0</v>
      </c>
      <c r="DN646" s="408">
        <v>0</v>
      </c>
      <c r="DO646" s="408">
        <v>-8.501719817640363E-3</v>
      </c>
      <c r="DP646" s="408">
        <v>-1.8727235960358662E-3</v>
      </c>
      <c r="DQ646" s="408">
        <v>0</v>
      </c>
      <c r="DR646" s="408">
        <v>0</v>
      </c>
      <c r="DS646" s="408"/>
      <c r="DT646" s="408"/>
      <c r="DU646" s="408"/>
      <c r="DV646" s="408">
        <v>70.933033584683969</v>
      </c>
      <c r="DW646" s="408">
        <v>0</v>
      </c>
      <c r="DX646" s="408">
        <v>0</v>
      </c>
      <c r="DY646" s="408">
        <v>-38.690470000000012</v>
      </c>
      <c r="DZ646" s="408">
        <v>1.3926299999999987</v>
      </c>
      <c r="EA646" s="408">
        <v>0</v>
      </c>
      <c r="EB646" s="408">
        <v>0</v>
      </c>
      <c r="EC646" s="408">
        <v>-39.792701173682829</v>
      </c>
      <c r="ED646" s="408">
        <v>0</v>
      </c>
      <c r="EE646" s="408">
        <v>0</v>
      </c>
      <c r="EF646" s="408">
        <v>0</v>
      </c>
      <c r="EG646" s="408">
        <v>0</v>
      </c>
      <c r="EH646" s="408">
        <v>0</v>
      </c>
      <c r="EI646" s="408">
        <v>0</v>
      </c>
      <c r="EJ646" s="408">
        <v>0</v>
      </c>
      <c r="EK646" s="408">
        <v>0</v>
      </c>
      <c r="EL646" s="408">
        <v>0</v>
      </c>
      <c r="EM646" s="408">
        <v>0</v>
      </c>
      <c r="EN646" s="408">
        <v>0</v>
      </c>
      <c r="EO646" s="408">
        <v>0</v>
      </c>
      <c r="EP646" s="408">
        <v>0</v>
      </c>
      <c r="EQ646" s="408">
        <v>0</v>
      </c>
      <c r="ER646" s="408">
        <v>0</v>
      </c>
      <c r="ES646" s="408">
        <v>0</v>
      </c>
      <c r="ET646" s="408">
        <v>0</v>
      </c>
      <c r="EU646" s="408">
        <v>0</v>
      </c>
      <c r="EV646" s="408">
        <v>238</v>
      </c>
      <c r="EW646" s="408">
        <v>0</v>
      </c>
      <c r="EX646" s="408">
        <v>0</v>
      </c>
      <c r="EY646" s="408">
        <v>0</v>
      </c>
      <c r="EZ646" s="408"/>
      <c r="FA646" s="408">
        <v>0</v>
      </c>
      <c r="FB646" s="408"/>
      <c r="FC646" s="408"/>
      <c r="FD646" s="408"/>
      <c r="FE646" s="408"/>
      <c r="FF646" s="408">
        <v>0</v>
      </c>
      <c r="FG646" s="408">
        <v>0</v>
      </c>
      <c r="FH646" s="408">
        <v>0</v>
      </c>
      <c r="FI646" s="408">
        <v>0</v>
      </c>
    </row>
    <row r="647" spans="1:165">
      <c r="A647" s="408">
        <v>651</v>
      </c>
      <c r="B647" s="408" t="s">
        <v>1036</v>
      </c>
      <c r="C647" s="408" t="s">
        <v>2243</v>
      </c>
      <c r="D647" s="408" t="s">
        <v>597</v>
      </c>
      <c r="E647" s="408" t="s">
        <v>974</v>
      </c>
      <c r="F647" s="408" t="s">
        <v>2252</v>
      </c>
      <c r="G647" s="408" t="s">
        <v>1322</v>
      </c>
      <c r="H647" s="408" t="s">
        <v>1322</v>
      </c>
      <c r="I647" s="408" t="s">
        <v>2244</v>
      </c>
      <c r="J647" s="408" t="s">
        <v>2236</v>
      </c>
      <c r="K647" s="824">
        <v>44682</v>
      </c>
      <c r="L647" s="408">
        <v>0</v>
      </c>
      <c r="M647" s="408">
        <v>0</v>
      </c>
      <c r="N647" s="408">
        <v>116.556</v>
      </c>
      <c r="O647" s="408">
        <v>111.89376</v>
      </c>
      <c r="P647" s="408">
        <v>116.556</v>
      </c>
      <c r="Q647" s="408">
        <v>111.89376</v>
      </c>
      <c r="R647" s="408"/>
      <c r="S647" s="408">
        <v>79.7</v>
      </c>
      <c r="T647" s="408">
        <v>209.4</v>
      </c>
      <c r="U647" s="408"/>
      <c r="V647" s="408">
        <v>33696.339599999999</v>
      </c>
      <c r="W647" s="408">
        <v>33696.339599999999</v>
      </c>
      <c r="X647" s="408">
        <v>36426.081120000003</v>
      </c>
      <c r="Y647" s="408">
        <v>0</v>
      </c>
      <c r="Z647" s="408">
        <v>6240.1727391508848</v>
      </c>
      <c r="AA647" s="408">
        <v>0</v>
      </c>
      <c r="AB647" s="408">
        <v>0</v>
      </c>
      <c r="AC647" s="408">
        <v>0</v>
      </c>
      <c r="AD647" s="408">
        <v>0</v>
      </c>
      <c r="AE647" s="408">
        <v>0</v>
      </c>
      <c r="AF647" s="408">
        <v>24086.384326418709</v>
      </c>
      <c r="AG647" s="408">
        <v>320.87458436588952</v>
      </c>
      <c r="AH647" s="408">
        <v>0</v>
      </c>
      <c r="AI647" s="408">
        <v>0</v>
      </c>
      <c r="AJ647" s="408">
        <v>0</v>
      </c>
      <c r="AK647" s="408">
        <v>0</v>
      </c>
      <c r="AL647" s="408">
        <v>1108.4011293491453</v>
      </c>
      <c r="AM647" s="408"/>
      <c r="AN647" s="408">
        <v>154.76822122247242</v>
      </c>
      <c r="AO647" s="408">
        <v>0</v>
      </c>
      <c r="AP647" s="408">
        <v>0</v>
      </c>
      <c r="AQ647" s="408">
        <v>0</v>
      </c>
      <c r="AR647" s="408">
        <v>0</v>
      </c>
      <c r="AS647" s="408">
        <v>0</v>
      </c>
      <c r="AT647" s="408">
        <v>0</v>
      </c>
      <c r="AU647" s="408">
        <v>0</v>
      </c>
      <c r="AV647" s="408">
        <v>0</v>
      </c>
      <c r="AW647" s="408">
        <v>0</v>
      </c>
      <c r="AX647" s="408">
        <v>0</v>
      </c>
      <c r="AY647" s="408">
        <v>0</v>
      </c>
      <c r="AZ647" s="408">
        <v>0</v>
      </c>
      <c r="BA647" s="408"/>
      <c r="BB647" s="408">
        <v>0</v>
      </c>
      <c r="BC647" s="408">
        <v>0</v>
      </c>
      <c r="BD647" s="408">
        <v>0</v>
      </c>
      <c r="BE647" s="408">
        <v>0</v>
      </c>
      <c r="BF647" s="408">
        <v>0</v>
      </c>
      <c r="BG647" s="408">
        <v>1786.1550045184283</v>
      </c>
      <c r="BH647" s="408">
        <v>0</v>
      </c>
      <c r="BI647" s="408">
        <v>0</v>
      </c>
      <c r="BJ647" s="408">
        <v>0</v>
      </c>
      <c r="BK647" s="408">
        <v>0</v>
      </c>
      <c r="BL647" s="408">
        <v>0</v>
      </c>
      <c r="BM647" s="408"/>
      <c r="BN647" s="408"/>
      <c r="BO647" s="408"/>
      <c r="BP647" s="408"/>
      <c r="BQ647" s="408"/>
      <c r="BR647" s="408">
        <v>1457.0432447999992</v>
      </c>
      <c r="BS647" s="408"/>
      <c r="BT647" s="408"/>
      <c r="BU647" s="408"/>
      <c r="BV647" s="408">
        <v>25872.539330937136</v>
      </c>
      <c r="BW647" s="408"/>
      <c r="BX647" s="408"/>
      <c r="BY647" s="408"/>
      <c r="BZ647" s="408"/>
      <c r="CA647" s="408"/>
      <c r="CB647" s="408"/>
      <c r="CC647" s="408"/>
      <c r="CD647" s="408"/>
      <c r="CE647" s="408"/>
      <c r="CF647" s="408"/>
      <c r="CG647" s="408"/>
      <c r="CH647" s="408"/>
      <c r="CI647" s="408">
        <v>34967.862800000003</v>
      </c>
      <c r="CJ647" s="408">
        <v>2619.3467840000048</v>
      </c>
      <c r="CK647" s="408"/>
      <c r="CL647" s="408"/>
      <c r="CM647" s="408"/>
      <c r="CN647" s="408"/>
      <c r="CO647" s="408">
        <v>68.768040000000397</v>
      </c>
      <c r="CP647" s="408">
        <v>2660.9734799999983</v>
      </c>
      <c r="CQ647" s="408">
        <v>31</v>
      </c>
      <c r="CR647" s="408">
        <v>2728.832860666269</v>
      </c>
      <c r="CS647" s="408">
        <v>0</v>
      </c>
      <c r="CT647" s="408">
        <v>0</v>
      </c>
      <c r="CU647" s="408">
        <v>0</v>
      </c>
      <c r="CV647" s="408">
        <v>0</v>
      </c>
      <c r="CW647" s="408">
        <v>0</v>
      </c>
      <c r="CX647" s="408">
        <v>0</v>
      </c>
      <c r="CY647" s="408">
        <v>0</v>
      </c>
      <c r="CZ647" s="408">
        <v>0</v>
      </c>
      <c r="DA647" s="408">
        <v>0</v>
      </c>
      <c r="DB647" s="408">
        <v>0</v>
      </c>
      <c r="DC647" s="408">
        <v>2660.167393432017</v>
      </c>
      <c r="DD647" s="408">
        <v>0</v>
      </c>
      <c r="DE647" s="408">
        <v>0</v>
      </c>
      <c r="DF647" s="408">
        <v>0</v>
      </c>
      <c r="DG647" s="408">
        <v>197.2679352053558</v>
      </c>
      <c r="DH647" s="408">
        <v>0</v>
      </c>
      <c r="DI647" s="408">
        <v>-108.77945770021597</v>
      </c>
      <c r="DJ647" s="408"/>
      <c r="DK647" s="408">
        <v>0</v>
      </c>
      <c r="DL647" s="408">
        <v>0</v>
      </c>
      <c r="DM647" s="408">
        <v>0</v>
      </c>
      <c r="DN647" s="408">
        <v>0</v>
      </c>
      <c r="DO647" s="408">
        <v>-16.244695984670443</v>
      </c>
      <c r="DP647" s="408">
        <v>-3.5783142862222235</v>
      </c>
      <c r="DQ647" s="408">
        <v>0</v>
      </c>
      <c r="DR647" s="408">
        <v>0</v>
      </c>
      <c r="DS647" s="408"/>
      <c r="DT647" s="408"/>
      <c r="DU647" s="408"/>
      <c r="DV647" s="408">
        <v>0</v>
      </c>
      <c r="DW647" s="408">
        <v>0</v>
      </c>
      <c r="DX647" s="408">
        <v>0</v>
      </c>
      <c r="DY647" s="408">
        <v>68.768040000000838</v>
      </c>
      <c r="DZ647" s="408">
        <v>2660.9734799999969</v>
      </c>
      <c r="EA647" s="408">
        <v>0</v>
      </c>
      <c r="EB647" s="408">
        <v>0</v>
      </c>
      <c r="EC647" s="408">
        <v>0</v>
      </c>
      <c r="ED647" s="408">
        <v>0</v>
      </c>
      <c r="EE647" s="408">
        <v>0</v>
      </c>
      <c r="EF647" s="408">
        <v>0</v>
      </c>
      <c r="EG647" s="408">
        <v>0</v>
      </c>
      <c r="EH647" s="408">
        <v>0</v>
      </c>
      <c r="EI647" s="408">
        <v>0</v>
      </c>
      <c r="EJ647" s="408">
        <v>0</v>
      </c>
      <c r="EK647" s="408">
        <v>0</v>
      </c>
      <c r="EL647" s="408">
        <v>0</v>
      </c>
      <c r="EM647" s="408">
        <v>0</v>
      </c>
      <c r="EN647" s="408">
        <v>0</v>
      </c>
      <c r="EO647" s="408">
        <v>0</v>
      </c>
      <c r="EP647" s="408">
        <v>0</v>
      </c>
      <c r="EQ647" s="408">
        <v>0</v>
      </c>
      <c r="ER647" s="408">
        <v>0</v>
      </c>
      <c r="ES647" s="408">
        <v>0</v>
      </c>
      <c r="ET647" s="408">
        <v>0</v>
      </c>
      <c r="EU647" s="408">
        <v>0</v>
      </c>
      <c r="EV647" s="408">
        <v>238</v>
      </c>
      <c r="EW647" s="408">
        <v>0</v>
      </c>
      <c r="EX647" s="408">
        <v>0</v>
      </c>
      <c r="EY647" s="408">
        <v>0</v>
      </c>
      <c r="EZ647" s="408"/>
      <c r="FA647" s="408">
        <v>0</v>
      </c>
      <c r="FB647" s="408"/>
      <c r="FC647" s="408"/>
      <c r="FD647" s="408"/>
      <c r="FE647" s="408"/>
      <c r="FF647" s="408">
        <v>0</v>
      </c>
      <c r="FG647" s="408">
        <v>0</v>
      </c>
      <c r="FH647" s="408">
        <v>0</v>
      </c>
      <c r="FI647" s="408">
        <v>0</v>
      </c>
    </row>
    <row r="648" spans="1:165">
      <c r="A648" s="408">
        <v>652</v>
      </c>
      <c r="B648" s="408" t="s">
        <v>2238</v>
      </c>
      <c r="C648" s="408" t="s">
        <v>2243</v>
      </c>
      <c r="D648" s="408" t="s">
        <v>597</v>
      </c>
      <c r="E648" s="408" t="s">
        <v>974</v>
      </c>
      <c r="F648" s="408" t="s">
        <v>2252</v>
      </c>
      <c r="G648" s="408" t="s">
        <v>1322</v>
      </c>
      <c r="H648" s="408" t="s">
        <v>1322</v>
      </c>
      <c r="I648" s="408" t="s">
        <v>2244</v>
      </c>
      <c r="J648" s="408" t="s">
        <v>2236</v>
      </c>
      <c r="K648" s="824">
        <v>44682</v>
      </c>
      <c r="L648" s="408">
        <v>0</v>
      </c>
      <c r="M648" s="408">
        <v>0</v>
      </c>
      <c r="N648" s="408">
        <v>0.64100000000000001</v>
      </c>
      <c r="O648" s="408">
        <v>0.61536000000000002</v>
      </c>
      <c r="P648" s="408">
        <v>0.64100000000000001</v>
      </c>
      <c r="Q648" s="408">
        <v>0.61536000000000002</v>
      </c>
      <c r="R648" s="408"/>
      <c r="S648" s="408">
        <v>79.7</v>
      </c>
      <c r="T648" s="408">
        <v>209.4</v>
      </c>
      <c r="U648" s="408"/>
      <c r="V648" s="408">
        <v>185.31310000000002</v>
      </c>
      <c r="W648" s="408">
        <v>185.31310000000002</v>
      </c>
      <c r="X648" s="408">
        <v>200.32532</v>
      </c>
      <c r="Y648" s="408">
        <v>0</v>
      </c>
      <c r="Z648" s="408">
        <v>34.317844862518598</v>
      </c>
      <c r="AA648" s="408">
        <v>0</v>
      </c>
      <c r="AB648" s="408">
        <v>0</v>
      </c>
      <c r="AC648" s="408">
        <v>0</v>
      </c>
      <c r="AD648" s="408">
        <v>0</v>
      </c>
      <c r="AE648" s="408">
        <v>0</v>
      </c>
      <c r="AF648" s="408">
        <v>132.46312805204704</v>
      </c>
      <c r="AG648" s="408">
        <v>1.7646505420444696</v>
      </c>
      <c r="AH648" s="408">
        <v>0</v>
      </c>
      <c r="AI648" s="408">
        <v>0</v>
      </c>
      <c r="AJ648" s="408">
        <v>0</v>
      </c>
      <c r="AK648" s="408">
        <v>0</v>
      </c>
      <c r="AL648" s="408">
        <v>6.095654654524882</v>
      </c>
      <c r="AM648" s="408"/>
      <c r="AN648" s="408">
        <v>0.85114820175370487</v>
      </c>
      <c r="AO648" s="408">
        <v>0</v>
      </c>
      <c r="AP648" s="408">
        <v>0</v>
      </c>
      <c r="AQ648" s="408">
        <v>0</v>
      </c>
      <c r="AR648" s="408">
        <v>0</v>
      </c>
      <c r="AS648" s="408">
        <v>0</v>
      </c>
      <c r="AT648" s="408">
        <v>0</v>
      </c>
      <c r="AU648" s="408">
        <v>0</v>
      </c>
      <c r="AV648" s="408">
        <v>0</v>
      </c>
      <c r="AW648" s="408">
        <v>0</v>
      </c>
      <c r="AX648" s="408">
        <v>0</v>
      </c>
      <c r="AY648" s="408">
        <v>0</v>
      </c>
      <c r="AZ648" s="408">
        <v>0</v>
      </c>
      <c r="BA648" s="408"/>
      <c r="BB648" s="408">
        <v>0</v>
      </c>
      <c r="BC648" s="408">
        <v>0</v>
      </c>
      <c r="BD648" s="408">
        <v>0</v>
      </c>
      <c r="BE648" s="408">
        <v>0</v>
      </c>
      <c r="BF648" s="408">
        <v>0</v>
      </c>
      <c r="BG648" s="408">
        <v>9.8229637075424048</v>
      </c>
      <c r="BH648" s="408">
        <v>0</v>
      </c>
      <c r="BI648" s="408">
        <v>0</v>
      </c>
      <c r="BJ648" s="408">
        <v>0</v>
      </c>
      <c r="BK648" s="408">
        <v>0</v>
      </c>
      <c r="BL648" s="408">
        <v>0</v>
      </c>
      <c r="BM648" s="408"/>
      <c r="BN648" s="408"/>
      <c r="BO648" s="408"/>
      <c r="BP648" s="408"/>
      <c r="BQ648" s="408"/>
      <c r="BR648" s="408">
        <v>8.0130127999999985</v>
      </c>
      <c r="BS648" s="408"/>
      <c r="BT648" s="408"/>
      <c r="BU648" s="408"/>
      <c r="BV648" s="408">
        <v>142.28609175958945</v>
      </c>
      <c r="BW648" s="408"/>
      <c r="BX648" s="408"/>
      <c r="BY648" s="408"/>
      <c r="BZ648" s="408"/>
      <c r="CA648" s="408"/>
      <c r="CB648" s="408"/>
      <c r="CC648" s="408"/>
      <c r="CD648" s="408"/>
      <c r="CE648" s="408"/>
      <c r="CF648" s="408"/>
      <c r="CG648" s="408"/>
      <c r="CH648" s="408"/>
      <c r="CI648" s="408">
        <v>193.76239999999999</v>
      </c>
      <c r="CJ648" s="408">
        <v>15.831823999999983</v>
      </c>
      <c r="CK648" s="408"/>
      <c r="CL648" s="408"/>
      <c r="CM648" s="408"/>
      <c r="CN648" s="408"/>
      <c r="CO648" s="408">
        <v>0.37819000000000219</v>
      </c>
      <c r="CP648" s="408">
        <v>14.63402999999999</v>
      </c>
      <c r="CQ648" s="408">
        <v>31</v>
      </c>
      <c r="CR648" s="408">
        <v>15.007222825826801</v>
      </c>
      <c r="CS648" s="408">
        <v>0</v>
      </c>
      <c r="CT648" s="408">
        <v>0</v>
      </c>
      <c r="CU648" s="408">
        <v>0</v>
      </c>
      <c r="CV648" s="408">
        <v>0</v>
      </c>
      <c r="CW648" s="408">
        <v>0</v>
      </c>
      <c r="CX648" s="408">
        <v>0</v>
      </c>
      <c r="CY648" s="408">
        <v>0</v>
      </c>
      <c r="CZ648" s="408">
        <v>0</v>
      </c>
      <c r="DA648" s="408">
        <v>0</v>
      </c>
      <c r="DB648" s="408">
        <v>0</v>
      </c>
      <c r="DC648" s="408">
        <v>14.629596924996747</v>
      </c>
      <c r="DD648" s="408">
        <v>0</v>
      </c>
      <c r="DE648" s="408">
        <v>0</v>
      </c>
      <c r="DF648" s="408">
        <v>0</v>
      </c>
      <c r="DG648" s="408">
        <v>1.0848754801694742</v>
      </c>
      <c r="DH648" s="408">
        <v>0</v>
      </c>
      <c r="DI648" s="408">
        <v>-0.59823288707436006</v>
      </c>
      <c r="DJ648" s="408"/>
      <c r="DK648" s="408">
        <v>0</v>
      </c>
      <c r="DL648" s="408">
        <v>0</v>
      </c>
      <c r="DM648" s="408">
        <v>0</v>
      </c>
      <c r="DN648" s="408">
        <v>0</v>
      </c>
      <c r="DO648" s="408">
        <v>-8.9337744313237266E-2</v>
      </c>
      <c r="DP648" s="408">
        <v>-1.9678947951786596E-2</v>
      </c>
      <c r="DQ648" s="408">
        <v>0</v>
      </c>
      <c r="DR648" s="408">
        <v>0</v>
      </c>
      <c r="DS648" s="408"/>
      <c r="DT648" s="408"/>
      <c r="DU648" s="408"/>
      <c r="DV648" s="408">
        <v>0</v>
      </c>
      <c r="DW648" s="408">
        <v>0</v>
      </c>
      <c r="DX648" s="408">
        <v>0</v>
      </c>
      <c r="DY648" s="408">
        <v>0.37818999999999647</v>
      </c>
      <c r="DZ648" s="408">
        <v>14.634029999999996</v>
      </c>
      <c r="EA648" s="408">
        <v>0</v>
      </c>
      <c r="EB648" s="408">
        <v>0</v>
      </c>
      <c r="EC648" s="408">
        <v>0</v>
      </c>
      <c r="ED648" s="408">
        <v>0</v>
      </c>
      <c r="EE648" s="408">
        <v>0</v>
      </c>
      <c r="EF648" s="408">
        <v>0</v>
      </c>
      <c r="EG648" s="408">
        <v>0</v>
      </c>
      <c r="EH648" s="408">
        <v>0</v>
      </c>
      <c r="EI648" s="408">
        <v>0</v>
      </c>
      <c r="EJ648" s="408">
        <v>0</v>
      </c>
      <c r="EK648" s="408">
        <v>0</v>
      </c>
      <c r="EL648" s="408">
        <v>0</v>
      </c>
      <c r="EM648" s="408">
        <v>0</v>
      </c>
      <c r="EN648" s="408">
        <v>0</v>
      </c>
      <c r="EO648" s="408">
        <v>0</v>
      </c>
      <c r="EP648" s="408">
        <v>0</v>
      </c>
      <c r="EQ648" s="408">
        <v>0</v>
      </c>
      <c r="ER648" s="408">
        <v>0</v>
      </c>
      <c r="ES648" s="408">
        <v>0</v>
      </c>
      <c r="ET648" s="408">
        <v>0</v>
      </c>
      <c r="EU648" s="408">
        <v>0</v>
      </c>
      <c r="EV648" s="408">
        <v>238</v>
      </c>
      <c r="EW648" s="408">
        <v>0</v>
      </c>
      <c r="EX648" s="408">
        <v>0</v>
      </c>
      <c r="EY648" s="408">
        <v>0</v>
      </c>
      <c r="EZ648" s="408"/>
      <c r="FA648" s="408">
        <v>0</v>
      </c>
      <c r="FB648" s="408"/>
      <c r="FC648" s="408"/>
      <c r="FD648" s="408"/>
      <c r="FE648" s="408"/>
      <c r="FF648" s="408">
        <v>0</v>
      </c>
      <c r="FG648" s="408">
        <v>0</v>
      </c>
      <c r="FH648" s="408">
        <v>0</v>
      </c>
      <c r="FI648" s="408">
        <v>0</v>
      </c>
    </row>
    <row r="649" spans="1:165">
      <c r="A649" s="408">
        <v>653</v>
      </c>
      <c r="B649" s="408" t="s">
        <v>1036</v>
      </c>
      <c r="C649" s="408" t="s">
        <v>2243</v>
      </c>
      <c r="D649" s="408" t="s">
        <v>597</v>
      </c>
      <c r="E649" s="408" t="s">
        <v>974</v>
      </c>
      <c r="F649" s="408" t="s">
        <v>2252</v>
      </c>
      <c r="G649" s="408" t="s">
        <v>1322</v>
      </c>
      <c r="H649" s="408" t="s">
        <v>1322</v>
      </c>
      <c r="I649" s="408" t="s">
        <v>1322</v>
      </c>
      <c r="J649" s="408" t="s">
        <v>2236</v>
      </c>
      <c r="K649" s="824">
        <v>44682</v>
      </c>
      <c r="L649" s="408">
        <v>5096</v>
      </c>
      <c r="M649" s="408">
        <v>4892.16</v>
      </c>
      <c r="N649" s="408">
        <v>0</v>
      </c>
      <c r="O649" s="408">
        <v>0</v>
      </c>
      <c r="P649" s="408">
        <v>0</v>
      </c>
      <c r="Q649" s="408">
        <v>0</v>
      </c>
      <c r="R649" s="408">
        <v>44.35</v>
      </c>
      <c r="S649" s="408"/>
      <c r="T649" s="408"/>
      <c r="U649" s="408">
        <v>226007.6</v>
      </c>
      <c r="V649" s="408"/>
      <c r="W649" s="408">
        <v>226007.6</v>
      </c>
      <c r="X649" s="408">
        <v>147631.12</v>
      </c>
      <c r="Y649" s="408">
        <v>0</v>
      </c>
      <c r="Z649" s="408">
        <v>0</v>
      </c>
      <c r="AA649" s="408">
        <v>0</v>
      </c>
      <c r="AB649" s="408">
        <v>0</v>
      </c>
      <c r="AC649" s="408">
        <v>0</v>
      </c>
      <c r="AD649" s="408">
        <v>66870.036554482693</v>
      </c>
      <c r="AE649" s="408">
        <v>146346.14467216161</v>
      </c>
      <c r="AF649" s="408"/>
      <c r="AG649" s="408"/>
      <c r="AH649" s="408"/>
      <c r="AI649" s="408">
        <v>0</v>
      </c>
      <c r="AJ649" s="408">
        <v>0</v>
      </c>
      <c r="AK649" s="408">
        <v>0</v>
      </c>
      <c r="AL649" s="408">
        <v>0</v>
      </c>
      <c r="AM649" s="408"/>
      <c r="AN649" s="408">
        <v>0</v>
      </c>
      <c r="AO649" s="408">
        <v>5053.8086447042879</v>
      </c>
      <c r="AP649" s="408">
        <v>7732.1169408079322</v>
      </c>
      <c r="AQ649" s="408">
        <v>0</v>
      </c>
      <c r="AR649" s="408">
        <v>0</v>
      </c>
      <c r="AS649" s="408"/>
      <c r="AT649" s="408"/>
      <c r="AU649" s="408">
        <v>0</v>
      </c>
      <c r="AV649" s="408">
        <v>0</v>
      </c>
      <c r="AW649" s="408">
        <v>0</v>
      </c>
      <c r="AX649" s="408"/>
      <c r="AY649" s="408"/>
      <c r="AZ649" s="408">
        <v>0</v>
      </c>
      <c r="BA649" s="408"/>
      <c r="BB649" s="408">
        <v>0</v>
      </c>
      <c r="BC649" s="408">
        <v>0</v>
      </c>
      <c r="BD649" s="408">
        <v>0</v>
      </c>
      <c r="BE649" s="408">
        <v>0</v>
      </c>
      <c r="BF649" s="408"/>
      <c r="BG649" s="408">
        <v>0</v>
      </c>
      <c r="BH649" s="408">
        <v>0</v>
      </c>
      <c r="BI649" s="408">
        <v>423.87</v>
      </c>
      <c r="BJ649" s="408">
        <v>1960.18</v>
      </c>
      <c r="BK649" s="408">
        <v>598.22</v>
      </c>
      <c r="BL649" s="408">
        <v>129</v>
      </c>
      <c r="BM649" s="408"/>
      <c r="BN649" s="408"/>
      <c r="BO649" s="408"/>
      <c r="BP649" s="408"/>
      <c r="BQ649" s="408"/>
      <c r="BR649" s="408">
        <v>5905.244800000004</v>
      </c>
      <c r="BS649" s="408"/>
      <c r="BT649" s="408"/>
      <c r="BU649" s="408"/>
      <c r="BV649" s="408">
        <v>0</v>
      </c>
      <c r="BW649" s="408"/>
      <c r="BX649" s="408"/>
      <c r="BY649" s="408"/>
      <c r="BZ649" s="408"/>
      <c r="CA649" s="408"/>
      <c r="CB649" s="408"/>
      <c r="CC649" s="408"/>
      <c r="CD649" s="408"/>
      <c r="CE649" s="408"/>
      <c r="CF649" s="408"/>
      <c r="CG649" s="408"/>
      <c r="CH649" s="408"/>
      <c r="CI649" s="408">
        <v>141725.87519999998</v>
      </c>
      <c r="CJ649" s="408">
        <v>-75241.45080000005</v>
      </c>
      <c r="CK649" s="408"/>
      <c r="CL649" s="408"/>
      <c r="CM649" s="408"/>
      <c r="CN649" s="408"/>
      <c r="CO649" s="408">
        <v>-78376.48000000001</v>
      </c>
      <c r="CP649" s="408">
        <v>0</v>
      </c>
      <c r="CQ649" s="408">
        <v>31</v>
      </c>
      <c r="CR649" s="408">
        <v>3735.8335657899588</v>
      </c>
      <c r="CS649" s="408">
        <v>610.15657943829046</v>
      </c>
      <c r="CT649" s="408">
        <v>933.51417833437426</v>
      </c>
      <c r="CU649" s="408">
        <v>0</v>
      </c>
      <c r="CV649" s="408">
        <v>0</v>
      </c>
      <c r="CW649" s="408"/>
      <c r="CX649" s="408"/>
      <c r="CY649" s="408"/>
      <c r="CZ649" s="408">
        <v>2192.1628080172959</v>
      </c>
      <c r="DA649" s="408">
        <v>0</v>
      </c>
      <c r="DB649" s="408">
        <v>0</v>
      </c>
      <c r="DC649" s="408"/>
      <c r="DD649" s="408"/>
      <c r="DE649" s="408">
        <v>0</v>
      </c>
      <c r="DF649" s="408">
        <v>0</v>
      </c>
      <c r="DG649" s="408">
        <v>0</v>
      </c>
      <c r="DH649" s="408">
        <v>0</v>
      </c>
      <c r="DI649" s="408">
        <v>0</v>
      </c>
      <c r="DJ649" s="408"/>
      <c r="DK649" s="408">
        <v>0</v>
      </c>
      <c r="DL649" s="408">
        <v>0</v>
      </c>
      <c r="DM649" s="408"/>
      <c r="DN649" s="408">
        <v>0</v>
      </c>
      <c r="DO649" s="408">
        <v>0</v>
      </c>
      <c r="DP649" s="408">
        <v>0</v>
      </c>
      <c r="DQ649" s="408">
        <v>0</v>
      </c>
      <c r="DR649" s="408">
        <v>0</v>
      </c>
      <c r="DS649" s="408"/>
      <c r="DT649" s="408"/>
      <c r="DU649" s="408">
        <v>146346.14467216161</v>
      </c>
      <c r="DV649" s="408"/>
      <c r="DW649" s="408">
        <v>0</v>
      </c>
      <c r="DX649" s="408">
        <v>0</v>
      </c>
      <c r="DY649" s="408">
        <v>-78376.48000000001</v>
      </c>
      <c r="DZ649" s="408"/>
      <c r="EA649" s="408">
        <v>0</v>
      </c>
      <c r="EB649" s="408"/>
      <c r="EC649" s="408">
        <v>-82098.679678029264</v>
      </c>
      <c r="ED649" s="408"/>
      <c r="EE649" s="408">
        <v>0</v>
      </c>
      <c r="EF649" s="408">
        <v>0</v>
      </c>
      <c r="EG649" s="408"/>
      <c r="EH649" s="408">
        <v>0</v>
      </c>
      <c r="EI649" s="408">
        <v>0</v>
      </c>
      <c r="EJ649" s="408">
        <v>0</v>
      </c>
      <c r="EK649" s="408">
        <v>0</v>
      </c>
      <c r="EL649" s="408">
        <v>0</v>
      </c>
      <c r="EM649" s="408"/>
      <c r="EN649" s="408"/>
      <c r="EO649" s="408">
        <v>0</v>
      </c>
      <c r="EP649" s="408">
        <v>0</v>
      </c>
      <c r="EQ649" s="408"/>
      <c r="ER649" s="408">
        <v>0</v>
      </c>
      <c r="ES649" s="408"/>
      <c r="ET649" s="408">
        <v>0</v>
      </c>
      <c r="EU649" s="408"/>
      <c r="EV649" s="408">
        <v>238</v>
      </c>
      <c r="EW649" s="408"/>
      <c r="EX649" s="408"/>
      <c r="EY649" s="408"/>
      <c r="EZ649" s="408"/>
      <c r="FA649" s="408">
        <v>0</v>
      </c>
      <c r="FB649" s="408"/>
      <c r="FC649" s="408"/>
      <c r="FD649" s="408"/>
      <c r="FE649" s="408"/>
      <c r="FF649" s="408">
        <v>0</v>
      </c>
      <c r="FG649" s="408">
        <v>0</v>
      </c>
      <c r="FH649" s="408">
        <v>0</v>
      </c>
      <c r="FI649" s="408">
        <v>0</v>
      </c>
    </row>
    <row r="650" spans="1:165">
      <c r="A650" s="408">
        <v>654</v>
      </c>
      <c r="B650" s="408" t="s">
        <v>2238</v>
      </c>
      <c r="C650" s="408" t="s">
        <v>2243</v>
      </c>
      <c r="D650" s="408" t="s">
        <v>597</v>
      </c>
      <c r="E650" s="408" t="s">
        <v>974</v>
      </c>
      <c r="F650" s="408" t="s">
        <v>2252</v>
      </c>
      <c r="G650" s="408" t="s">
        <v>1322</v>
      </c>
      <c r="H650" s="408" t="s">
        <v>1322</v>
      </c>
      <c r="I650" s="408" t="s">
        <v>1322</v>
      </c>
      <c r="J650" s="408" t="s">
        <v>2236</v>
      </c>
      <c r="K650" s="824">
        <v>44682</v>
      </c>
      <c r="L650" s="408">
        <v>846</v>
      </c>
      <c r="M650" s="408">
        <v>812.16</v>
      </c>
      <c r="N650" s="408">
        <v>0</v>
      </c>
      <c r="O650" s="408">
        <v>0</v>
      </c>
      <c r="P650" s="408">
        <v>0</v>
      </c>
      <c r="Q650" s="408">
        <v>0</v>
      </c>
      <c r="R650" s="408">
        <v>44.35</v>
      </c>
      <c r="S650" s="408"/>
      <c r="T650" s="408"/>
      <c r="U650" s="408">
        <v>37520.1</v>
      </c>
      <c r="V650" s="408"/>
      <c r="W650" s="408">
        <v>37520.1</v>
      </c>
      <c r="X650" s="408">
        <v>24508.62</v>
      </c>
      <c r="Y650" s="408">
        <v>0</v>
      </c>
      <c r="Z650" s="408">
        <v>0</v>
      </c>
      <c r="AA650" s="408">
        <v>0</v>
      </c>
      <c r="AB650" s="408">
        <v>0</v>
      </c>
      <c r="AC650" s="408">
        <v>0</v>
      </c>
      <c r="AD650" s="408">
        <v>11101.265880120163</v>
      </c>
      <c r="AE650" s="408">
        <v>24295.297957741117</v>
      </c>
      <c r="AF650" s="408"/>
      <c r="AG650" s="408"/>
      <c r="AH650" s="408"/>
      <c r="AI650" s="408">
        <v>0</v>
      </c>
      <c r="AJ650" s="408">
        <v>0</v>
      </c>
      <c r="AK650" s="408">
        <v>0</v>
      </c>
      <c r="AL650" s="408">
        <v>0</v>
      </c>
      <c r="AM650" s="408"/>
      <c r="AN650" s="408">
        <v>0</v>
      </c>
      <c r="AO650" s="408">
        <v>838.99570514517802</v>
      </c>
      <c r="AP650" s="408">
        <v>1283.6285188232948</v>
      </c>
      <c r="AQ650" s="408">
        <v>0</v>
      </c>
      <c r="AR650" s="408">
        <v>0</v>
      </c>
      <c r="AS650" s="408"/>
      <c r="AT650" s="408"/>
      <c r="AU650" s="408">
        <v>0</v>
      </c>
      <c r="AV650" s="408">
        <v>0</v>
      </c>
      <c r="AW650" s="408">
        <v>0</v>
      </c>
      <c r="AX650" s="408"/>
      <c r="AY650" s="408"/>
      <c r="AZ650" s="408">
        <v>0</v>
      </c>
      <c r="BA650" s="408"/>
      <c r="BB650" s="408">
        <v>0</v>
      </c>
      <c r="BC650" s="408">
        <v>0</v>
      </c>
      <c r="BD650" s="408">
        <v>0</v>
      </c>
      <c r="BE650" s="408">
        <v>0</v>
      </c>
      <c r="BF650" s="408"/>
      <c r="BG650" s="408">
        <v>0</v>
      </c>
      <c r="BH650" s="408">
        <v>0</v>
      </c>
      <c r="BI650" s="408">
        <v>63.63</v>
      </c>
      <c r="BJ650" s="408">
        <v>294.38</v>
      </c>
      <c r="BK650" s="408">
        <v>41.8</v>
      </c>
      <c r="BL650" s="408">
        <v>19</v>
      </c>
      <c r="BM650" s="408"/>
      <c r="BN650" s="408"/>
      <c r="BO650" s="408"/>
      <c r="BP650" s="408"/>
      <c r="BQ650" s="408"/>
      <c r="BR650" s="408">
        <v>980.34480000000087</v>
      </c>
      <c r="BS650" s="408"/>
      <c r="BT650" s="408"/>
      <c r="BU650" s="408"/>
      <c r="BV650" s="408">
        <v>0</v>
      </c>
      <c r="BW650" s="408"/>
      <c r="BX650" s="408"/>
      <c r="BY650" s="408"/>
      <c r="BZ650" s="408"/>
      <c r="CA650" s="408"/>
      <c r="CB650" s="408"/>
      <c r="CC650" s="408"/>
      <c r="CD650" s="408"/>
      <c r="CE650" s="408"/>
      <c r="CF650" s="408"/>
      <c r="CG650" s="408"/>
      <c r="CH650" s="408"/>
      <c r="CI650" s="408">
        <v>23528.275199999996</v>
      </c>
      <c r="CJ650" s="408">
        <v>-12491.050800000012</v>
      </c>
      <c r="CK650" s="408"/>
      <c r="CL650" s="408"/>
      <c r="CM650" s="408"/>
      <c r="CN650" s="408"/>
      <c r="CO650" s="408">
        <v>-13011.480000000001</v>
      </c>
      <c r="CP650" s="408">
        <v>0</v>
      </c>
      <c r="CQ650" s="408">
        <v>31</v>
      </c>
      <c r="CR650" s="408">
        <v>620.19528976811489</v>
      </c>
      <c r="CS650" s="408">
        <v>101.29365506373506</v>
      </c>
      <c r="CT650" s="408">
        <v>154.97507748643648</v>
      </c>
      <c r="CU650" s="408">
        <v>0</v>
      </c>
      <c r="CV650" s="408">
        <v>0</v>
      </c>
      <c r="CW650" s="408"/>
      <c r="CX650" s="408"/>
      <c r="CY650" s="408"/>
      <c r="CZ650" s="408">
        <v>363.9265572179429</v>
      </c>
      <c r="DA650" s="408">
        <v>0</v>
      </c>
      <c r="DB650" s="408">
        <v>0</v>
      </c>
      <c r="DC650" s="408"/>
      <c r="DD650" s="408"/>
      <c r="DE650" s="408">
        <v>0</v>
      </c>
      <c r="DF650" s="408">
        <v>0</v>
      </c>
      <c r="DG650" s="408">
        <v>0</v>
      </c>
      <c r="DH650" s="408">
        <v>0</v>
      </c>
      <c r="DI650" s="408">
        <v>0</v>
      </c>
      <c r="DJ650" s="408"/>
      <c r="DK650" s="408">
        <v>0</v>
      </c>
      <c r="DL650" s="408">
        <v>0</v>
      </c>
      <c r="DM650" s="408"/>
      <c r="DN650" s="408">
        <v>0</v>
      </c>
      <c r="DO650" s="408">
        <v>0</v>
      </c>
      <c r="DP650" s="408">
        <v>0</v>
      </c>
      <c r="DQ650" s="408">
        <v>0</v>
      </c>
      <c r="DR650" s="408">
        <v>0</v>
      </c>
      <c r="DS650" s="408"/>
      <c r="DT650" s="408"/>
      <c r="DU650" s="408">
        <v>24295.297957741117</v>
      </c>
      <c r="DV650" s="408"/>
      <c r="DW650" s="408">
        <v>0</v>
      </c>
      <c r="DX650" s="408">
        <v>0</v>
      </c>
      <c r="DY650" s="408">
        <v>-13011.48</v>
      </c>
      <c r="DZ650" s="408"/>
      <c r="EA650" s="408">
        <v>0</v>
      </c>
      <c r="EB650" s="408"/>
      <c r="EC650" s="408">
        <v>-13629.411893173619</v>
      </c>
      <c r="ED650" s="408"/>
      <c r="EE650" s="408">
        <v>0</v>
      </c>
      <c r="EF650" s="408">
        <v>0</v>
      </c>
      <c r="EG650" s="408"/>
      <c r="EH650" s="408">
        <v>0</v>
      </c>
      <c r="EI650" s="408">
        <v>0</v>
      </c>
      <c r="EJ650" s="408">
        <v>0</v>
      </c>
      <c r="EK650" s="408">
        <v>0</v>
      </c>
      <c r="EL650" s="408">
        <v>0</v>
      </c>
      <c r="EM650" s="408"/>
      <c r="EN650" s="408"/>
      <c r="EO650" s="408">
        <v>0</v>
      </c>
      <c r="EP650" s="408">
        <v>0</v>
      </c>
      <c r="EQ650" s="408"/>
      <c r="ER650" s="408">
        <v>0</v>
      </c>
      <c r="ES650" s="408"/>
      <c r="ET650" s="408">
        <v>0</v>
      </c>
      <c r="EU650" s="408"/>
      <c r="EV650" s="408">
        <v>238</v>
      </c>
      <c r="EW650" s="408"/>
      <c r="EX650" s="408"/>
      <c r="EY650" s="408"/>
      <c r="EZ650" s="408"/>
      <c r="FA650" s="408">
        <v>0</v>
      </c>
      <c r="FB650" s="408"/>
      <c r="FC650" s="408"/>
      <c r="FD650" s="408"/>
      <c r="FE650" s="408"/>
      <c r="FF650" s="408">
        <v>0</v>
      </c>
      <c r="FG650" s="408">
        <v>0</v>
      </c>
      <c r="FH650" s="408">
        <v>0</v>
      </c>
      <c r="FI650" s="408">
        <v>0</v>
      </c>
    </row>
    <row r="651" spans="1:165">
      <c r="A651" s="408">
        <v>655</v>
      </c>
      <c r="B651" s="408" t="s">
        <v>1036</v>
      </c>
      <c r="C651" s="408" t="s">
        <v>2243</v>
      </c>
      <c r="D651" s="408" t="s">
        <v>597</v>
      </c>
      <c r="E651" s="408" t="s">
        <v>974</v>
      </c>
      <c r="F651" s="408" t="s">
        <v>2252</v>
      </c>
      <c r="G651" s="408" t="s">
        <v>2254</v>
      </c>
      <c r="H651" s="408" t="s">
        <v>1322</v>
      </c>
      <c r="I651" s="408" t="s">
        <v>2244</v>
      </c>
      <c r="J651" s="408" t="s">
        <v>2236</v>
      </c>
      <c r="K651" s="824">
        <v>44682</v>
      </c>
      <c r="L651" s="408">
        <v>0</v>
      </c>
      <c r="M651" s="408">
        <v>0</v>
      </c>
      <c r="N651" s="408">
        <v>80.194000000000003</v>
      </c>
      <c r="O651" s="408">
        <v>24.058199999999999</v>
      </c>
      <c r="P651" s="408">
        <v>80.194000000000003</v>
      </c>
      <c r="Q651" s="408">
        <v>24.058199999999999</v>
      </c>
      <c r="R651" s="408"/>
      <c r="S651" s="408">
        <v>79.7</v>
      </c>
      <c r="T651" s="408">
        <v>209.4</v>
      </c>
      <c r="U651" s="408"/>
      <c r="V651" s="408">
        <v>23184.085400000004</v>
      </c>
      <c r="W651" s="408">
        <v>23184.085400000004</v>
      </c>
      <c r="X651" s="408">
        <v>25062.228880000002</v>
      </c>
      <c r="Y651" s="408">
        <v>0</v>
      </c>
      <c r="Z651" s="408">
        <v>4293.4247284006497</v>
      </c>
      <c r="AA651" s="408">
        <v>0</v>
      </c>
      <c r="AB651" s="408">
        <v>0</v>
      </c>
      <c r="AC651" s="408">
        <v>0</v>
      </c>
      <c r="AD651" s="408">
        <v>0</v>
      </c>
      <c r="AE651" s="408">
        <v>0</v>
      </c>
      <c r="AF651" s="408">
        <v>16572.14990796546</v>
      </c>
      <c r="AG651" s="408">
        <v>220.77127233808767</v>
      </c>
      <c r="AH651" s="408">
        <v>0</v>
      </c>
      <c r="AI651" s="408">
        <v>0</v>
      </c>
      <c r="AJ651" s="408">
        <v>0</v>
      </c>
      <c r="AK651" s="408">
        <v>0</v>
      </c>
      <c r="AL651" s="408">
        <v>762.61299432912381</v>
      </c>
      <c r="AM651" s="408"/>
      <c r="AN651" s="408">
        <v>106.48514647650018</v>
      </c>
      <c r="AO651" s="408">
        <v>0</v>
      </c>
      <c r="AP651" s="408">
        <v>0</v>
      </c>
      <c r="AQ651" s="408">
        <v>0</v>
      </c>
      <c r="AR651" s="408">
        <v>0</v>
      </c>
      <c r="AS651" s="408">
        <v>0</v>
      </c>
      <c r="AT651" s="408">
        <v>0</v>
      </c>
      <c r="AU651" s="408">
        <v>0</v>
      </c>
      <c r="AV651" s="408">
        <v>0</v>
      </c>
      <c r="AW651" s="408">
        <v>0</v>
      </c>
      <c r="AX651" s="408">
        <v>0</v>
      </c>
      <c r="AY651" s="408">
        <v>0</v>
      </c>
      <c r="AZ651" s="408">
        <v>0</v>
      </c>
      <c r="BA651" s="408"/>
      <c r="BB651" s="408">
        <v>0</v>
      </c>
      <c r="BC651" s="408">
        <v>0</v>
      </c>
      <c r="BD651" s="408">
        <v>0</v>
      </c>
      <c r="BE651" s="408">
        <v>0</v>
      </c>
      <c r="BF651" s="408">
        <v>0</v>
      </c>
      <c r="BG651" s="408">
        <v>1228.9278495517249</v>
      </c>
      <c r="BH651" s="408">
        <v>0</v>
      </c>
      <c r="BI651" s="408">
        <v>0</v>
      </c>
      <c r="BJ651" s="408">
        <v>0</v>
      </c>
      <c r="BK651" s="408">
        <v>0</v>
      </c>
      <c r="BL651" s="408">
        <v>0</v>
      </c>
      <c r="BM651" s="408"/>
      <c r="BN651" s="408"/>
      <c r="BO651" s="408"/>
      <c r="BP651" s="408"/>
      <c r="BQ651" s="408"/>
      <c r="BR651" s="408"/>
      <c r="BS651" s="408">
        <v>17543.560215999998</v>
      </c>
      <c r="BT651" s="408"/>
      <c r="BU651" s="408"/>
      <c r="BV651" s="408">
        <v>17801.077757517185</v>
      </c>
      <c r="BW651" s="408"/>
      <c r="BX651" s="408"/>
      <c r="BY651" s="408"/>
      <c r="BZ651" s="408"/>
      <c r="CA651" s="408"/>
      <c r="CB651" s="408"/>
      <c r="CC651" s="408"/>
      <c r="CD651" s="408"/>
      <c r="CE651" s="408"/>
      <c r="CF651" s="408"/>
      <c r="CG651" s="408"/>
      <c r="CH651" s="408"/>
      <c r="CI651" s="408">
        <v>7519.2311999999993</v>
      </c>
      <c r="CJ651" s="408">
        <v>563.97557999999935</v>
      </c>
      <c r="CK651" s="408"/>
      <c r="CL651" s="408"/>
      <c r="CM651" s="408"/>
      <c r="CN651" s="408"/>
      <c r="CO651" s="408">
        <v>47.314460000000274</v>
      </c>
      <c r="CP651" s="408">
        <v>1830.8290199999988</v>
      </c>
      <c r="CQ651" s="408">
        <v>31</v>
      </c>
      <c r="CR651" s="408">
        <v>1877.5182953110125</v>
      </c>
      <c r="CS651" s="408">
        <v>0</v>
      </c>
      <c r="CT651" s="408">
        <v>0</v>
      </c>
      <c r="CU651" s="408">
        <v>0</v>
      </c>
      <c r="CV651" s="408">
        <v>0</v>
      </c>
      <c r="CW651" s="408">
        <v>0</v>
      </c>
      <c r="CX651" s="408">
        <v>0</v>
      </c>
      <c r="CY651" s="408">
        <v>0</v>
      </c>
      <c r="CZ651" s="408">
        <v>0</v>
      </c>
      <c r="DA651" s="408">
        <v>0</v>
      </c>
      <c r="DB651" s="408">
        <v>0</v>
      </c>
      <c r="DC651" s="408">
        <v>1830.2744084293117</v>
      </c>
      <c r="DD651" s="408">
        <v>0</v>
      </c>
      <c r="DE651" s="408">
        <v>0</v>
      </c>
      <c r="DF651" s="408">
        <v>0</v>
      </c>
      <c r="DG651" s="408">
        <v>135.72621568909631</v>
      </c>
      <c r="DH651" s="408">
        <v>0</v>
      </c>
      <c r="DI651" s="408">
        <v>-74.843507248114292</v>
      </c>
      <c r="DJ651" s="408"/>
      <c r="DK651" s="408">
        <v>0</v>
      </c>
      <c r="DL651" s="408">
        <v>0</v>
      </c>
      <c r="DM651" s="408">
        <v>0</v>
      </c>
      <c r="DN651" s="408">
        <v>0</v>
      </c>
      <c r="DO651" s="408">
        <v>-11.176834738620414</v>
      </c>
      <c r="DP651" s="408">
        <v>-2.4619868206639239</v>
      </c>
      <c r="DQ651" s="408">
        <v>0</v>
      </c>
      <c r="DR651" s="408">
        <v>0</v>
      </c>
      <c r="DS651" s="408"/>
      <c r="DT651" s="408"/>
      <c r="DU651" s="408"/>
      <c r="DV651" s="408">
        <v>0</v>
      </c>
      <c r="DW651" s="408">
        <v>0</v>
      </c>
      <c r="DX651" s="408">
        <v>0</v>
      </c>
      <c r="DY651" s="408">
        <v>47.314460000000508</v>
      </c>
      <c r="DZ651" s="408">
        <v>1830.8290199999974</v>
      </c>
      <c r="EA651" s="408">
        <v>0</v>
      </c>
      <c r="EB651" s="408">
        <v>0</v>
      </c>
      <c r="EC651" s="408">
        <v>0</v>
      </c>
      <c r="ED651" s="408">
        <v>0</v>
      </c>
      <c r="EE651" s="408">
        <v>0</v>
      </c>
      <c r="EF651" s="408">
        <v>0</v>
      </c>
      <c r="EG651" s="408">
        <v>0</v>
      </c>
      <c r="EH651" s="408">
        <v>0</v>
      </c>
      <c r="EI651" s="408">
        <v>0</v>
      </c>
      <c r="EJ651" s="408">
        <v>0</v>
      </c>
      <c r="EK651" s="408">
        <v>0</v>
      </c>
      <c r="EL651" s="408">
        <v>0</v>
      </c>
      <c r="EM651" s="408">
        <v>0</v>
      </c>
      <c r="EN651" s="408">
        <v>0</v>
      </c>
      <c r="EO651" s="408">
        <v>0</v>
      </c>
      <c r="EP651" s="408">
        <v>0</v>
      </c>
      <c r="EQ651" s="408">
        <v>0</v>
      </c>
      <c r="ER651" s="408">
        <v>0</v>
      </c>
      <c r="ES651" s="408">
        <v>0</v>
      </c>
      <c r="ET651" s="408">
        <v>0</v>
      </c>
      <c r="EU651" s="408">
        <v>0</v>
      </c>
      <c r="EV651" s="408">
        <v>238</v>
      </c>
      <c r="EW651" s="408">
        <v>0</v>
      </c>
      <c r="EX651" s="408">
        <v>0</v>
      </c>
      <c r="EY651" s="408">
        <v>0</v>
      </c>
      <c r="EZ651" s="408"/>
      <c r="FA651" s="408">
        <v>0</v>
      </c>
      <c r="FB651" s="408"/>
      <c r="FC651" s="408"/>
      <c r="FD651" s="408"/>
      <c r="FE651" s="408"/>
      <c r="FF651" s="408">
        <v>0</v>
      </c>
      <c r="FG651" s="408">
        <v>0</v>
      </c>
      <c r="FH651" s="408">
        <v>0</v>
      </c>
      <c r="FI651" s="408">
        <v>0</v>
      </c>
    </row>
    <row r="652" spans="1:165">
      <c r="A652" s="265">
        <v>657</v>
      </c>
      <c r="B652" s="265" t="s">
        <v>2255</v>
      </c>
      <c r="C652" s="265" t="s">
        <v>2235</v>
      </c>
      <c r="D652" s="265" t="s">
        <v>1955</v>
      </c>
      <c r="E652" s="265" t="s">
        <v>969</v>
      </c>
      <c r="F652" s="265" t="s">
        <v>969</v>
      </c>
      <c r="G652" s="265" t="s">
        <v>1322</v>
      </c>
      <c r="H652" s="265" t="s">
        <v>1322</v>
      </c>
      <c r="I652" s="265" t="s">
        <v>1322</v>
      </c>
      <c r="J652" s="265" t="s">
        <v>2236</v>
      </c>
      <c r="K652" s="1639">
        <v>44713</v>
      </c>
      <c r="L652" s="265">
        <v>0</v>
      </c>
      <c r="M652" s="265">
        <v>0</v>
      </c>
      <c r="N652" s="265">
        <v>1196.758</v>
      </c>
      <c r="O652" s="265">
        <v>1196.758</v>
      </c>
      <c r="P652" s="265">
        <v>1196.758</v>
      </c>
      <c r="Q652" s="265">
        <v>1196.758</v>
      </c>
      <c r="R652" s="265"/>
      <c r="S652" s="265">
        <v>581.32000000000005</v>
      </c>
      <c r="T652" s="265">
        <v>209.4</v>
      </c>
      <c r="U652" s="265"/>
      <c r="V652" s="265">
        <v>946300.48576000007</v>
      </c>
      <c r="W652" s="265">
        <v>946300.48576000007</v>
      </c>
      <c r="X652" s="265">
        <v>722925.60505999997</v>
      </c>
      <c r="Y652" s="265">
        <v>0</v>
      </c>
      <c r="Z652" s="265">
        <v>73645.983075973258</v>
      </c>
      <c r="AA652" s="265">
        <v>0</v>
      </c>
      <c r="AB652" s="265">
        <v>0</v>
      </c>
      <c r="AC652" s="265">
        <v>0</v>
      </c>
      <c r="AD652" s="265">
        <v>88788.846063549368</v>
      </c>
      <c r="AE652" s="265">
        <v>461236.89024661446</v>
      </c>
      <c r="AF652" s="265">
        <v>247310.9332313755</v>
      </c>
      <c r="AG652" s="265">
        <v>3294.6328446116308</v>
      </c>
      <c r="AH652" s="265">
        <v>0</v>
      </c>
      <c r="AI652" s="265">
        <v>0</v>
      </c>
      <c r="AJ652" s="265">
        <v>0</v>
      </c>
      <c r="AK652" s="265">
        <v>0</v>
      </c>
      <c r="AL652" s="265">
        <v>11380.691845616051</v>
      </c>
      <c r="AM652" s="265"/>
      <c r="AN652" s="265">
        <v>2181.6471286827268</v>
      </c>
      <c r="AO652" s="265">
        <v>6820.8992133994952</v>
      </c>
      <c r="AP652" s="265">
        <v>10274.394778710324</v>
      </c>
      <c r="AQ652" s="265">
        <v>0</v>
      </c>
      <c r="AR652" s="265">
        <v>0</v>
      </c>
      <c r="AS652" s="265">
        <v>0</v>
      </c>
      <c r="AT652" s="265">
        <v>0</v>
      </c>
      <c r="AU652" s="265">
        <v>0</v>
      </c>
      <c r="AV652" s="265">
        <v>0</v>
      </c>
      <c r="AW652" s="265">
        <v>0</v>
      </c>
      <c r="AX652" s="265">
        <v>0</v>
      </c>
      <c r="AY652" s="265">
        <v>0</v>
      </c>
      <c r="AZ652" s="265">
        <v>0</v>
      </c>
      <c r="BA652" s="265"/>
      <c r="BB652" s="265">
        <v>0</v>
      </c>
      <c r="BC652" s="265">
        <v>0</v>
      </c>
      <c r="BD652" s="265">
        <v>0</v>
      </c>
      <c r="BE652" s="265">
        <v>0</v>
      </c>
      <c r="BF652" s="265">
        <v>0</v>
      </c>
      <c r="BG652" s="265">
        <v>41374.656805957668</v>
      </c>
      <c r="BH652" s="265">
        <v>0</v>
      </c>
      <c r="BI652" s="265">
        <v>1516.61</v>
      </c>
      <c r="BJ652" s="265">
        <v>7220.03</v>
      </c>
      <c r="BK652" s="265">
        <v>239615.69</v>
      </c>
      <c r="BL652" s="265">
        <v>8577</v>
      </c>
      <c r="BM652" s="265"/>
      <c r="BN652" s="265"/>
      <c r="BO652" s="265"/>
      <c r="BP652" s="265"/>
      <c r="BQ652" s="265"/>
      <c r="BR652" s="265"/>
      <c r="BS652" s="265"/>
      <c r="BT652" s="265"/>
      <c r="BU652" s="265"/>
      <c r="BV652" s="265">
        <v>288685.5900373332</v>
      </c>
      <c r="BW652" s="265"/>
      <c r="BX652" s="265"/>
      <c r="BY652" s="265"/>
      <c r="BZ652" s="265"/>
      <c r="CA652" s="265"/>
      <c r="CB652" s="265"/>
      <c r="CC652" s="265"/>
      <c r="CD652" s="265"/>
      <c r="CE652" s="265"/>
      <c r="CF652" s="265"/>
      <c r="CG652" s="265"/>
      <c r="CH652" s="265"/>
      <c r="CI652" s="265">
        <v>722926.81319999998</v>
      </c>
      <c r="CJ652" s="265">
        <v>-223373.70256000012</v>
      </c>
      <c r="CK652" s="265"/>
      <c r="CL652" s="265"/>
      <c r="CM652" s="265"/>
      <c r="CN652" s="265"/>
      <c r="CO652" s="265">
        <v>-250696.8658400001</v>
      </c>
      <c r="CP652" s="265">
        <v>27321.985139999982</v>
      </c>
      <c r="CQ652" s="265">
        <v>30</v>
      </c>
      <c r="CR652" s="265">
        <v>35356.86362208036</v>
      </c>
      <c r="CS652" s="265">
        <v>823.50101187591463</v>
      </c>
      <c r="CT652" s="265">
        <v>1240.4485438018291</v>
      </c>
      <c r="CU652" s="265">
        <v>0</v>
      </c>
      <c r="CV652" s="265">
        <v>0</v>
      </c>
      <c r="CW652" s="265">
        <v>0</v>
      </c>
      <c r="CX652" s="265">
        <v>0</v>
      </c>
      <c r="CY652" s="265">
        <v>0</v>
      </c>
      <c r="CZ652" s="265">
        <v>2910.7148154268507</v>
      </c>
      <c r="DA652" s="265">
        <v>0</v>
      </c>
      <c r="DB652" s="265">
        <v>0</v>
      </c>
      <c r="DC652" s="265">
        <v>27313.708512894314</v>
      </c>
      <c r="DD652" s="265">
        <v>0</v>
      </c>
      <c r="DE652" s="265">
        <v>0</v>
      </c>
      <c r="DF652" s="265">
        <v>0</v>
      </c>
      <c r="DG652" s="265">
        <v>4569.5323738948646</v>
      </c>
      <c r="DH652" s="265">
        <v>0</v>
      </c>
      <c r="DI652" s="265">
        <v>-1283.8058232813491</v>
      </c>
      <c r="DJ652" s="265"/>
      <c r="DK652" s="265">
        <v>0</v>
      </c>
      <c r="DL652" s="265">
        <v>0</v>
      </c>
      <c r="DM652" s="265">
        <v>0</v>
      </c>
      <c r="DN652" s="265">
        <v>0</v>
      </c>
      <c r="DO652" s="265">
        <v>-166.79510172982918</v>
      </c>
      <c r="DP652" s="265">
        <v>-50.440710802235571</v>
      </c>
      <c r="DQ652" s="265">
        <v>0</v>
      </c>
      <c r="DR652" s="265">
        <v>0</v>
      </c>
      <c r="DS652" s="265"/>
      <c r="DT652" s="265"/>
      <c r="DU652" s="265"/>
      <c r="DV652" s="265">
        <v>461236.89024661446</v>
      </c>
      <c r="DW652" s="265">
        <v>0</v>
      </c>
      <c r="DX652" s="265">
        <v>0</v>
      </c>
      <c r="DY652" s="265">
        <v>-250696.8658400001</v>
      </c>
      <c r="DZ652" s="265">
        <v>27321.985140000004</v>
      </c>
      <c r="EA652" s="265">
        <v>0</v>
      </c>
      <c r="EB652" s="265">
        <v>0</v>
      </c>
      <c r="EC652" s="265">
        <v>-258749.14431722832</v>
      </c>
      <c r="ED652" s="265">
        <v>0</v>
      </c>
      <c r="EE652" s="265">
        <v>0</v>
      </c>
      <c r="EF652" s="265">
        <v>0</v>
      </c>
      <c r="EG652" s="265">
        <v>0</v>
      </c>
      <c r="EH652" s="265">
        <v>0</v>
      </c>
      <c r="EI652" s="265">
        <v>0</v>
      </c>
      <c r="EJ652" s="265">
        <v>0</v>
      </c>
      <c r="EK652" s="265">
        <v>0</v>
      </c>
      <c r="EL652" s="265">
        <v>0</v>
      </c>
      <c r="EM652" s="265">
        <v>0</v>
      </c>
      <c r="EN652" s="265">
        <v>0</v>
      </c>
      <c r="EO652" s="265">
        <v>0</v>
      </c>
      <c r="EP652" s="265">
        <v>0</v>
      </c>
      <c r="EQ652" s="265">
        <v>0</v>
      </c>
      <c r="ER652" s="265">
        <v>0</v>
      </c>
      <c r="ES652" s="265">
        <v>0</v>
      </c>
      <c r="ET652" s="265">
        <v>0</v>
      </c>
      <c r="EU652" s="265">
        <v>0</v>
      </c>
      <c r="EV652" s="265">
        <v>238</v>
      </c>
      <c r="EW652" s="265">
        <v>0</v>
      </c>
      <c r="EX652" s="265">
        <v>0</v>
      </c>
      <c r="EY652" s="265">
        <v>0</v>
      </c>
      <c r="EZ652" s="265"/>
      <c r="FA652" s="265">
        <v>0</v>
      </c>
      <c r="FB652" s="265"/>
      <c r="FC652" s="265"/>
      <c r="FD652" s="265"/>
      <c r="FE652" s="265"/>
      <c r="FF652" s="265">
        <v>0</v>
      </c>
      <c r="FG652" s="265">
        <v>0</v>
      </c>
      <c r="FH652" s="265">
        <v>0</v>
      </c>
      <c r="FI652" s="265">
        <v>0</v>
      </c>
    </row>
    <row r="653" spans="1:165">
      <c r="A653" s="265">
        <v>658</v>
      </c>
      <c r="B653" s="265" t="s">
        <v>2255</v>
      </c>
      <c r="C653" s="265" t="s">
        <v>2235</v>
      </c>
      <c r="D653" s="265" t="s">
        <v>1955</v>
      </c>
      <c r="E653" s="265" t="s">
        <v>969</v>
      </c>
      <c r="F653" s="265" t="s">
        <v>969</v>
      </c>
      <c r="G653" s="265" t="s">
        <v>1322</v>
      </c>
      <c r="H653" s="265" t="s">
        <v>1322</v>
      </c>
      <c r="I653" s="265" t="s">
        <v>1322</v>
      </c>
      <c r="J653" s="265" t="s">
        <v>2236</v>
      </c>
      <c r="K653" s="1639">
        <v>44713</v>
      </c>
      <c r="L653" s="265">
        <v>0</v>
      </c>
      <c r="M653" s="265">
        <v>0</v>
      </c>
      <c r="N653" s="265">
        <v>-0.61199999999999999</v>
      </c>
      <c r="O653" s="265">
        <v>-0.61199999999999999</v>
      </c>
      <c r="P653" s="265">
        <v>-0.61199999999999999</v>
      </c>
      <c r="Q653" s="265">
        <v>-0.61199999999999999</v>
      </c>
      <c r="R653" s="265"/>
      <c r="S653" s="265">
        <v>581.32000000000005</v>
      </c>
      <c r="T653" s="265">
        <v>209.4</v>
      </c>
      <c r="U653" s="265"/>
      <c r="V653" s="265">
        <v>-483.92064000000005</v>
      </c>
      <c r="W653" s="265">
        <v>-483.92064000000005</v>
      </c>
      <c r="X653" s="265">
        <v>-369.69083999999998</v>
      </c>
      <c r="Y653" s="265">
        <v>0</v>
      </c>
      <c r="Z653" s="265">
        <v>-37.661199375726447</v>
      </c>
      <c r="AA653" s="265">
        <v>0</v>
      </c>
      <c r="AB653" s="265">
        <v>0</v>
      </c>
      <c r="AC653" s="265">
        <v>0</v>
      </c>
      <c r="AD653" s="265">
        <v>-45.404980615038468</v>
      </c>
      <c r="AE653" s="265">
        <v>-235.86805087655821</v>
      </c>
      <c r="AF653" s="265">
        <v>-126.4702564241073</v>
      </c>
      <c r="AG653" s="265">
        <v>-1.6848145580830194</v>
      </c>
      <c r="AH653" s="265">
        <v>0</v>
      </c>
      <c r="AI653" s="265">
        <v>0</v>
      </c>
      <c r="AJ653" s="265">
        <v>0</v>
      </c>
      <c r="AK653" s="265">
        <v>0</v>
      </c>
      <c r="AL653" s="265">
        <v>-5.8198762068162679</v>
      </c>
      <c r="AM653" s="265"/>
      <c r="AN653" s="265">
        <v>-1.1156541612872684</v>
      </c>
      <c r="AO653" s="265">
        <v>-3.4880822343368427</v>
      </c>
      <c r="AP653" s="265">
        <v>-5.2541362619432821</v>
      </c>
      <c r="AQ653" s="265">
        <v>0</v>
      </c>
      <c r="AR653" s="265">
        <v>0</v>
      </c>
      <c r="AS653" s="265">
        <v>0</v>
      </c>
      <c r="AT653" s="265">
        <v>0</v>
      </c>
      <c r="AU653" s="265">
        <v>0</v>
      </c>
      <c r="AV653" s="265">
        <v>0</v>
      </c>
      <c r="AW653" s="265">
        <v>0</v>
      </c>
      <c r="AX653" s="265">
        <v>0</v>
      </c>
      <c r="AY653" s="265">
        <v>0</v>
      </c>
      <c r="AZ653" s="265">
        <v>0</v>
      </c>
      <c r="BA653" s="265"/>
      <c r="BB653" s="265">
        <v>0</v>
      </c>
      <c r="BC653" s="265">
        <v>0</v>
      </c>
      <c r="BD653" s="265">
        <v>0</v>
      </c>
      <c r="BE653" s="265">
        <v>0</v>
      </c>
      <c r="BF653" s="265">
        <v>0</v>
      </c>
      <c r="BG653" s="265">
        <v>-21.158237475952607</v>
      </c>
      <c r="BH653" s="265">
        <v>0</v>
      </c>
      <c r="BI653" s="265">
        <v>-1.25</v>
      </c>
      <c r="BJ653" s="265">
        <v>-7.26</v>
      </c>
      <c r="BK653" s="265">
        <v>-172.48</v>
      </c>
      <c r="BL653" s="265">
        <v>0</v>
      </c>
      <c r="BM653" s="265"/>
      <c r="BN653" s="265"/>
      <c r="BO653" s="265"/>
      <c r="BP653" s="265"/>
      <c r="BQ653" s="265"/>
      <c r="BR653" s="265"/>
      <c r="BS653" s="265"/>
      <c r="BT653" s="265"/>
      <c r="BU653" s="265"/>
      <c r="BV653" s="265">
        <v>-147.62849390005991</v>
      </c>
      <c r="BW653" s="265"/>
      <c r="BX653" s="265"/>
      <c r="BY653" s="265"/>
      <c r="BZ653" s="265"/>
      <c r="CA653" s="265"/>
      <c r="CB653" s="265"/>
      <c r="CC653" s="265"/>
      <c r="CD653" s="265"/>
      <c r="CE653" s="265"/>
      <c r="CF653" s="265"/>
      <c r="CG653" s="265"/>
      <c r="CH653" s="265"/>
      <c r="CI653" s="265">
        <v>-368.48269999999997</v>
      </c>
      <c r="CJ653" s="265">
        <v>115.40794000000011</v>
      </c>
      <c r="CK653" s="265"/>
      <c r="CL653" s="265"/>
      <c r="CM653" s="265"/>
      <c r="CN653" s="265"/>
      <c r="CO653" s="265">
        <v>128.20176000000004</v>
      </c>
      <c r="CP653" s="265">
        <v>-13.97195999999999</v>
      </c>
      <c r="CQ653" s="265">
        <v>30</v>
      </c>
      <c r="CR653" s="265">
        <v>-18.080848873968876</v>
      </c>
      <c r="CS653" s="265">
        <v>-0.42112325070570611</v>
      </c>
      <c r="CT653" s="265">
        <v>-0.63434253943296781</v>
      </c>
      <c r="CU653" s="265">
        <v>0</v>
      </c>
      <c r="CV653" s="265">
        <v>0</v>
      </c>
      <c r="CW653" s="265">
        <v>0</v>
      </c>
      <c r="CX653" s="265">
        <v>0</v>
      </c>
      <c r="CY653" s="265">
        <v>0</v>
      </c>
      <c r="CZ653" s="265">
        <v>-1.4884859487392106</v>
      </c>
      <c r="DA653" s="265">
        <v>0</v>
      </c>
      <c r="DB653" s="265">
        <v>0</v>
      </c>
      <c r="DC653" s="265">
        <v>-13.967727485332318</v>
      </c>
      <c r="DD653" s="265">
        <v>0</v>
      </c>
      <c r="DE653" s="265">
        <v>0</v>
      </c>
      <c r="DF653" s="265">
        <v>0</v>
      </c>
      <c r="DG653" s="265">
        <v>-2.3367746969927587</v>
      </c>
      <c r="DH653" s="265">
        <v>0</v>
      </c>
      <c r="DI653" s="265">
        <v>0.65651465362937245</v>
      </c>
      <c r="DJ653" s="265"/>
      <c r="DK653" s="265">
        <v>0</v>
      </c>
      <c r="DL653" s="265">
        <v>0</v>
      </c>
      <c r="DM653" s="265">
        <v>0</v>
      </c>
      <c r="DN653" s="265">
        <v>0</v>
      </c>
      <c r="DO653" s="265">
        <v>8.5295943088457449E-2</v>
      </c>
      <c r="DP653" s="265">
        <v>2.5794450516284817E-2</v>
      </c>
      <c r="DQ653" s="265">
        <v>0</v>
      </c>
      <c r="DR653" s="265">
        <v>0</v>
      </c>
      <c r="DS653" s="265"/>
      <c r="DT653" s="265"/>
      <c r="DU653" s="265"/>
      <c r="DV653" s="265">
        <v>-235.86805087655821</v>
      </c>
      <c r="DW653" s="265">
        <v>0</v>
      </c>
      <c r="DX653" s="265">
        <v>0</v>
      </c>
      <c r="DY653" s="265">
        <v>128.20176000000006</v>
      </c>
      <c r="DZ653" s="265">
        <v>-13.971959999999967</v>
      </c>
      <c r="EA653" s="265">
        <v>0</v>
      </c>
      <c r="EB653" s="265">
        <v>0</v>
      </c>
      <c r="EC653" s="265">
        <v>132.31954691102442</v>
      </c>
      <c r="ED653" s="265">
        <v>0</v>
      </c>
      <c r="EE653" s="265">
        <v>0</v>
      </c>
      <c r="EF653" s="265">
        <v>0</v>
      </c>
      <c r="EG653" s="265">
        <v>0</v>
      </c>
      <c r="EH653" s="265">
        <v>0</v>
      </c>
      <c r="EI653" s="265">
        <v>0</v>
      </c>
      <c r="EJ653" s="265">
        <v>0</v>
      </c>
      <c r="EK653" s="265">
        <v>0</v>
      </c>
      <c r="EL653" s="265">
        <v>0</v>
      </c>
      <c r="EM653" s="265">
        <v>0</v>
      </c>
      <c r="EN653" s="265">
        <v>0</v>
      </c>
      <c r="EO653" s="265">
        <v>0</v>
      </c>
      <c r="EP653" s="265">
        <v>0</v>
      </c>
      <c r="EQ653" s="265">
        <v>0</v>
      </c>
      <c r="ER653" s="265">
        <v>0</v>
      </c>
      <c r="ES653" s="265">
        <v>0</v>
      </c>
      <c r="ET653" s="265">
        <v>0</v>
      </c>
      <c r="EU653" s="265">
        <v>0</v>
      </c>
      <c r="EV653" s="265">
        <v>238</v>
      </c>
      <c r="EW653" s="265">
        <v>0</v>
      </c>
      <c r="EX653" s="265">
        <v>0</v>
      </c>
      <c r="EY653" s="265">
        <v>0</v>
      </c>
      <c r="EZ653" s="265"/>
      <c r="FA653" s="265">
        <v>0</v>
      </c>
      <c r="FB653" s="265"/>
      <c r="FC653" s="265"/>
      <c r="FD653" s="265"/>
      <c r="FE653" s="265"/>
      <c r="FF653" s="265">
        <v>0</v>
      </c>
      <c r="FG653" s="265">
        <v>0</v>
      </c>
      <c r="FH653" s="265">
        <v>0</v>
      </c>
      <c r="FI653" s="265">
        <v>0</v>
      </c>
    </row>
    <row r="654" spans="1:165">
      <c r="A654" s="265">
        <v>659</v>
      </c>
      <c r="B654" s="265" t="s">
        <v>2255</v>
      </c>
      <c r="C654" s="265" t="s">
        <v>2235</v>
      </c>
      <c r="D654" s="265" t="s">
        <v>1955</v>
      </c>
      <c r="E654" s="265" t="s">
        <v>969</v>
      </c>
      <c r="F654" s="265" t="s">
        <v>969</v>
      </c>
      <c r="G654" s="265" t="s">
        <v>1322</v>
      </c>
      <c r="H654" s="265" t="s">
        <v>1322</v>
      </c>
      <c r="I654" s="265" t="s">
        <v>1322</v>
      </c>
      <c r="J654" s="265" t="s">
        <v>2236</v>
      </c>
      <c r="K654" s="1639">
        <v>44713</v>
      </c>
      <c r="L654" s="265">
        <v>0</v>
      </c>
      <c r="M654" s="265">
        <v>0</v>
      </c>
      <c r="N654" s="265">
        <v>74.823999999999998</v>
      </c>
      <c r="O654" s="265">
        <v>74.823999999999998</v>
      </c>
      <c r="P654" s="265">
        <v>74.823999999999998</v>
      </c>
      <c r="Q654" s="265">
        <v>74.823999999999998</v>
      </c>
      <c r="R654" s="265"/>
      <c r="S654" s="265">
        <v>581.32000000000005</v>
      </c>
      <c r="T654" s="265">
        <v>209.4</v>
      </c>
      <c r="U654" s="265"/>
      <c r="V654" s="265">
        <v>59164.833280000006</v>
      </c>
      <c r="W654" s="265">
        <v>59164.833280000006</v>
      </c>
      <c r="X654" s="265">
        <v>45198.933679999995</v>
      </c>
      <c r="Y654" s="265">
        <v>0</v>
      </c>
      <c r="Z654" s="265">
        <v>4604.5123890348941</v>
      </c>
      <c r="AA654" s="265">
        <v>0</v>
      </c>
      <c r="AB654" s="265">
        <v>0</v>
      </c>
      <c r="AC654" s="265">
        <v>0</v>
      </c>
      <c r="AD654" s="265">
        <v>5551.2782182020237</v>
      </c>
      <c r="AE654" s="265">
        <v>28837.567056842468</v>
      </c>
      <c r="AF654" s="265">
        <v>15462.435403067655</v>
      </c>
      <c r="AG654" s="265">
        <v>205.98785048039844</v>
      </c>
      <c r="AH654" s="265">
        <v>0</v>
      </c>
      <c r="AI654" s="265">
        <v>0</v>
      </c>
      <c r="AJ654" s="265">
        <v>0</v>
      </c>
      <c r="AK654" s="265">
        <v>0</v>
      </c>
      <c r="AL654" s="265">
        <v>711.54643349480455</v>
      </c>
      <c r="AM654" s="265"/>
      <c r="AN654" s="265">
        <v>136.40148196757937</v>
      </c>
      <c r="AO654" s="265">
        <v>426.45794951310444</v>
      </c>
      <c r="AP654" s="265">
        <v>642.3782543523597</v>
      </c>
      <c r="AQ654" s="265">
        <v>0</v>
      </c>
      <c r="AR654" s="265">
        <v>0</v>
      </c>
      <c r="AS654" s="265">
        <v>0</v>
      </c>
      <c r="AT654" s="265">
        <v>0</v>
      </c>
      <c r="AU654" s="265">
        <v>0</v>
      </c>
      <c r="AV654" s="265">
        <v>0</v>
      </c>
      <c r="AW654" s="265">
        <v>0</v>
      </c>
      <c r="AX654" s="265">
        <v>0</v>
      </c>
      <c r="AY654" s="265">
        <v>0</v>
      </c>
      <c r="AZ654" s="265">
        <v>0</v>
      </c>
      <c r="BA654" s="265"/>
      <c r="BB654" s="265">
        <v>0</v>
      </c>
      <c r="BC654" s="265">
        <v>0</v>
      </c>
      <c r="BD654" s="265">
        <v>0</v>
      </c>
      <c r="BE654" s="265">
        <v>0</v>
      </c>
      <c r="BF654" s="265">
        <v>0</v>
      </c>
      <c r="BG654" s="265">
        <v>2586.8365374194082</v>
      </c>
      <c r="BH654" s="265">
        <v>0</v>
      </c>
      <c r="BI654" s="265">
        <v>90.22</v>
      </c>
      <c r="BJ654" s="265">
        <v>451.97</v>
      </c>
      <c r="BK654" s="265">
        <v>41823.1</v>
      </c>
      <c r="BL654" s="265">
        <v>987</v>
      </c>
      <c r="BM654" s="265"/>
      <c r="BN654" s="265"/>
      <c r="BO654" s="265"/>
      <c r="BP654" s="265"/>
      <c r="BQ654" s="265"/>
      <c r="BR654" s="265"/>
      <c r="BS654" s="265"/>
      <c r="BT654" s="265"/>
      <c r="BU654" s="265"/>
      <c r="BV654" s="265">
        <v>18049.271940487062</v>
      </c>
      <c r="BW654" s="265"/>
      <c r="BX654" s="265"/>
      <c r="BY654" s="265"/>
      <c r="BZ654" s="265"/>
      <c r="CA654" s="265"/>
      <c r="CB654" s="265"/>
      <c r="CC654" s="265"/>
      <c r="CD654" s="265"/>
      <c r="CE654" s="265"/>
      <c r="CF654" s="265"/>
      <c r="CG654" s="265"/>
      <c r="CH654" s="265"/>
      <c r="CI654" s="265">
        <v>45196.517399999997</v>
      </c>
      <c r="CJ654" s="265">
        <v>-13968.345880000015</v>
      </c>
      <c r="CK654" s="265"/>
      <c r="CL654" s="265"/>
      <c r="CM654" s="265"/>
      <c r="CN654" s="265"/>
      <c r="CO654" s="265">
        <v>-15674.131520000004</v>
      </c>
      <c r="CP654" s="265">
        <v>1708.2319199999988</v>
      </c>
      <c r="CQ654" s="265">
        <v>30</v>
      </c>
      <c r="CR654" s="265">
        <v>2210.5905819376494</v>
      </c>
      <c r="CS654" s="265">
        <v>51.487134167980003</v>
      </c>
      <c r="CT654" s="265">
        <v>77.555630997601952</v>
      </c>
      <c r="CU654" s="265">
        <v>0</v>
      </c>
      <c r="CV654" s="265">
        <v>0</v>
      </c>
      <c r="CW654" s="265">
        <v>0</v>
      </c>
      <c r="CX654" s="265">
        <v>0</v>
      </c>
      <c r="CY654" s="265">
        <v>0</v>
      </c>
      <c r="CZ654" s="265">
        <v>181.98443239944845</v>
      </c>
      <c r="DA654" s="265">
        <v>0</v>
      </c>
      <c r="DB654" s="265">
        <v>0</v>
      </c>
      <c r="DC654" s="265">
        <v>1707.7144466707578</v>
      </c>
      <c r="DD654" s="265">
        <v>0</v>
      </c>
      <c r="DE654" s="265">
        <v>0</v>
      </c>
      <c r="DF654" s="265">
        <v>0</v>
      </c>
      <c r="DG654" s="265">
        <v>285.69743452252624</v>
      </c>
      <c r="DH654" s="265">
        <v>0</v>
      </c>
      <c r="DI654" s="265">
        <v>-80.266425560725111</v>
      </c>
      <c r="DJ654" s="265"/>
      <c r="DK654" s="265">
        <v>0</v>
      </c>
      <c r="DL654" s="265">
        <v>0</v>
      </c>
      <c r="DM654" s="265">
        <v>0</v>
      </c>
      <c r="DN654" s="265">
        <v>0</v>
      </c>
      <c r="DO654" s="265">
        <v>-10.428404649756089</v>
      </c>
      <c r="DP654" s="265">
        <v>-3.1536666101805793</v>
      </c>
      <c r="DQ654" s="265">
        <v>0</v>
      </c>
      <c r="DR654" s="265">
        <v>0</v>
      </c>
      <c r="DS654" s="265"/>
      <c r="DT654" s="265"/>
      <c r="DU654" s="265"/>
      <c r="DV654" s="265">
        <v>28837.567056842468</v>
      </c>
      <c r="DW654" s="265">
        <v>0</v>
      </c>
      <c r="DX654" s="265">
        <v>0</v>
      </c>
      <c r="DY654" s="265">
        <v>-15674.131520000006</v>
      </c>
      <c r="DZ654" s="265">
        <v>1708.2319199999984</v>
      </c>
      <c r="EA654" s="265">
        <v>0</v>
      </c>
      <c r="EB654" s="265">
        <v>0</v>
      </c>
      <c r="EC654" s="265">
        <v>-16177.578068742629</v>
      </c>
      <c r="ED654" s="265">
        <v>0</v>
      </c>
      <c r="EE654" s="265">
        <v>0</v>
      </c>
      <c r="EF654" s="265">
        <v>0</v>
      </c>
      <c r="EG654" s="265">
        <v>0</v>
      </c>
      <c r="EH654" s="265">
        <v>0</v>
      </c>
      <c r="EI654" s="265">
        <v>0</v>
      </c>
      <c r="EJ654" s="265">
        <v>0</v>
      </c>
      <c r="EK654" s="265">
        <v>0</v>
      </c>
      <c r="EL654" s="265">
        <v>0</v>
      </c>
      <c r="EM654" s="265">
        <v>0</v>
      </c>
      <c r="EN654" s="265">
        <v>0</v>
      </c>
      <c r="EO654" s="265">
        <v>0</v>
      </c>
      <c r="EP654" s="265">
        <v>0</v>
      </c>
      <c r="EQ654" s="265">
        <v>0</v>
      </c>
      <c r="ER654" s="265">
        <v>0</v>
      </c>
      <c r="ES654" s="265">
        <v>0</v>
      </c>
      <c r="ET654" s="265">
        <v>0</v>
      </c>
      <c r="EU654" s="265">
        <v>0</v>
      </c>
      <c r="EV654" s="265">
        <v>238</v>
      </c>
      <c r="EW654" s="265">
        <v>0</v>
      </c>
      <c r="EX654" s="265">
        <v>0</v>
      </c>
      <c r="EY654" s="265">
        <v>0</v>
      </c>
      <c r="EZ654" s="265"/>
      <c r="FA654" s="265">
        <v>0</v>
      </c>
      <c r="FB654" s="265"/>
      <c r="FC654" s="265"/>
      <c r="FD654" s="265"/>
      <c r="FE654" s="265"/>
      <c r="FF654" s="265">
        <v>0</v>
      </c>
      <c r="FG654" s="265">
        <v>0</v>
      </c>
      <c r="FH654" s="265">
        <v>0</v>
      </c>
      <c r="FI654" s="265">
        <v>0</v>
      </c>
    </row>
    <row r="655" spans="1:165">
      <c r="A655" s="265">
        <v>660</v>
      </c>
      <c r="B655" s="265" t="s">
        <v>2255</v>
      </c>
      <c r="C655" s="265" t="s">
        <v>2235</v>
      </c>
      <c r="D655" s="265" t="s">
        <v>1955</v>
      </c>
      <c r="E655" s="265" t="s">
        <v>969</v>
      </c>
      <c r="F655" s="265" t="s">
        <v>2239</v>
      </c>
      <c r="G655" s="265" t="s">
        <v>1322</v>
      </c>
      <c r="H655" s="265" t="s">
        <v>1322</v>
      </c>
      <c r="I655" s="265" t="s">
        <v>1322</v>
      </c>
      <c r="J655" s="265" t="s">
        <v>2236</v>
      </c>
      <c r="K655" s="1639">
        <v>44713</v>
      </c>
      <c r="L655" s="265">
        <v>0</v>
      </c>
      <c r="M655" s="265">
        <v>0</v>
      </c>
      <c r="N655" s="265">
        <v>58.23</v>
      </c>
      <c r="O655" s="265">
        <v>58.23</v>
      </c>
      <c r="P655" s="265">
        <v>58.23</v>
      </c>
      <c r="Q655" s="265">
        <v>58.23</v>
      </c>
      <c r="R655" s="265"/>
      <c r="S655" s="265">
        <v>510.28</v>
      </c>
      <c r="T655" s="265">
        <v>209.4</v>
      </c>
      <c r="U655" s="265"/>
      <c r="V655" s="265">
        <v>41906.966399999998</v>
      </c>
      <c r="W655" s="265">
        <v>41906.966399999998</v>
      </c>
      <c r="X655" s="265">
        <v>31108.212899999999</v>
      </c>
      <c r="Y655" s="265">
        <v>0</v>
      </c>
      <c r="Z655" s="265">
        <v>0</v>
      </c>
      <c r="AA655" s="265">
        <v>0</v>
      </c>
      <c r="AB655" s="265">
        <v>0</v>
      </c>
      <c r="AC655" s="265">
        <v>0</v>
      </c>
      <c r="AD655" s="265">
        <v>4320.150361460278</v>
      </c>
      <c r="AE655" s="265">
        <v>22442.15131134311</v>
      </c>
      <c r="AF655" s="265">
        <v>12033.272927411384</v>
      </c>
      <c r="AG655" s="265">
        <v>160.30514986466375</v>
      </c>
      <c r="AH655" s="265">
        <v>0</v>
      </c>
      <c r="AI655" s="265">
        <v>0</v>
      </c>
      <c r="AJ655" s="265">
        <v>0</v>
      </c>
      <c r="AK655" s="265">
        <v>0</v>
      </c>
      <c r="AL655" s="265">
        <v>0</v>
      </c>
      <c r="AM655" s="265"/>
      <c r="AN655" s="265">
        <v>106.15121211071509</v>
      </c>
      <c r="AO655" s="265">
        <v>331.88076553175546</v>
      </c>
      <c r="AP655" s="265">
        <v>499.91561198195637</v>
      </c>
      <c r="AQ655" s="265">
        <v>0</v>
      </c>
      <c r="AR655" s="265">
        <v>0</v>
      </c>
      <c r="AS655" s="265">
        <v>0</v>
      </c>
      <c r="AT655" s="265">
        <v>0</v>
      </c>
      <c r="AU655" s="265">
        <v>0</v>
      </c>
      <c r="AV655" s="265">
        <v>0</v>
      </c>
      <c r="AW655" s="265">
        <v>0</v>
      </c>
      <c r="AX655" s="265">
        <v>0</v>
      </c>
      <c r="AY655" s="265">
        <v>0</v>
      </c>
      <c r="AZ655" s="265">
        <v>0</v>
      </c>
      <c r="BA655" s="265"/>
      <c r="BB655" s="265">
        <v>0</v>
      </c>
      <c r="BC655" s="265">
        <v>0</v>
      </c>
      <c r="BD655" s="265">
        <v>0</v>
      </c>
      <c r="BE655" s="265">
        <v>0</v>
      </c>
      <c r="BF655" s="265">
        <v>0</v>
      </c>
      <c r="BG655" s="265">
        <v>2013.1440657266671</v>
      </c>
      <c r="BH655" s="265">
        <v>0</v>
      </c>
      <c r="BI655" s="265">
        <v>19.43</v>
      </c>
      <c r="BJ655" s="265">
        <v>97.29</v>
      </c>
      <c r="BK655" s="265">
        <v>3367.87</v>
      </c>
      <c r="BL655" s="265">
        <v>155</v>
      </c>
      <c r="BM655" s="265"/>
      <c r="BN655" s="265"/>
      <c r="BO655" s="265"/>
      <c r="BP655" s="265"/>
      <c r="BQ655" s="265"/>
      <c r="BR655" s="265"/>
      <c r="BS655" s="265"/>
      <c r="BT655" s="265">
        <v>20220.3675</v>
      </c>
      <c r="BU655" s="265"/>
      <c r="BV655" s="265">
        <v>14046.416993138051</v>
      </c>
      <c r="BW655" s="265"/>
      <c r="BX655" s="265"/>
      <c r="BY655" s="265"/>
      <c r="BZ655" s="265"/>
      <c r="CA655" s="265"/>
      <c r="CB655" s="265"/>
      <c r="CC655" s="265"/>
      <c r="CD655" s="265"/>
      <c r="CE655" s="265"/>
      <c r="CF655" s="265"/>
      <c r="CG655" s="265"/>
      <c r="CH655" s="265"/>
      <c r="CI655" s="265">
        <v>10887.8454</v>
      </c>
      <c r="CJ655" s="265">
        <v>-3779.7392999999993</v>
      </c>
      <c r="CK655" s="265"/>
      <c r="CL655" s="265"/>
      <c r="CM655" s="265"/>
      <c r="CN655" s="265"/>
      <c r="CO655" s="265">
        <v>-12128.144399999997</v>
      </c>
      <c r="CP655" s="265">
        <v>1329.390899999999</v>
      </c>
      <c r="CQ655" s="265">
        <v>30</v>
      </c>
      <c r="CR655" s="265">
        <v>1790.9206878726873</v>
      </c>
      <c r="CS655" s="265">
        <v>40.068638706851743</v>
      </c>
      <c r="CT655" s="265">
        <v>60.35582691369558</v>
      </c>
      <c r="CU655" s="265">
        <v>0</v>
      </c>
      <c r="CV655" s="265">
        <v>0</v>
      </c>
      <c r="CW655" s="265">
        <v>0</v>
      </c>
      <c r="CX655" s="265">
        <v>0</v>
      </c>
      <c r="CY655" s="265">
        <v>0</v>
      </c>
      <c r="CZ655" s="265">
        <v>141.62506012268568</v>
      </c>
      <c r="DA655" s="265">
        <v>0</v>
      </c>
      <c r="DB655" s="265">
        <v>0</v>
      </c>
      <c r="DC655" s="265">
        <v>1328.9881886779422</v>
      </c>
      <c r="DD655" s="265">
        <v>0</v>
      </c>
      <c r="DE655" s="265">
        <v>0</v>
      </c>
      <c r="DF655" s="265">
        <v>0</v>
      </c>
      <c r="DG655" s="265">
        <v>222.33723955210507</v>
      </c>
      <c r="DH655" s="265">
        <v>0</v>
      </c>
      <c r="DI655" s="265">
        <v>0</v>
      </c>
      <c r="DJ655" s="265"/>
      <c r="DK655" s="265">
        <v>0</v>
      </c>
      <c r="DL655" s="265">
        <v>0</v>
      </c>
      <c r="DM655" s="265">
        <v>0</v>
      </c>
      <c r="DN655" s="265">
        <v>0</v>
      </c>
      <c r="DO655" s="265">
        <v>0</v>
      </c>
      <c r="DP655" s="265">
        <v>-2.4542661005935855</v>
      </c>
      <c r="DQ655" s="265">
        <v>0</v>
      </c>
      <c r="DR655" s="265">
        <v>0</v>
      </c>
      <c r="DS655" s="265"/>
      <c r="DT655" s="265"/>
      <c r="DU655" s="265"/>
      <c r="DV655" s="265">
        <v>22442.15131134311</v>
      </c>
      <c r="DW655" s="265">
        <v>0</v>
      </c>
      <c r="DX655" s="265">
        <v>0</v>
      </c>
      <c r="DY655" s="265">
        <v>-12128.144399999997</v>
      </c>
      <c r="DZ655" s="265">
        <v>1329.3909000000003</v>
      </c>
      <c r="EA655" s="265">
        <v>0</v>
      </c>
      <c r="EB655" s="265">
        <v>0</v>
      </c>
      <c r="EC655" s="265">
        <v>-12589.815713445996</v>
      </c>
      <c r="ED655" s="265">
        <v>0</v>
      </c>
      <c r="EE655" s="265">
        <v>0</v>
      </c>
      <c r="EF655" s="265">
        <v>0</v>
      </c>
      <c r="EG655" s="265">
        <v>0</v>
      </c>
      <c r="EH655" s="265">
        <v>0</v>
      </c>
      <c r="EI655" s="265">
        <v>0</v>
      </c>
      <c r="EJ655" s="265">
        <v>0</v>
      </c>
      <c r="EK655" s="265">
        <v>0</v>
      </c>
      <c r="EL655" s="265">
        <v>0</v>
      </c>
      <c r="EM655" s="265">
        <v>0</v>
      </c>
      <c r="EN655" s="265">
        <v>0</v>
      </c>
      <c r="EO655" s="265">
        <v>0</v>
      </c>
      <c r="EP655" s="265">
        <v>0</v>
      </c>
      <c r="EQ655" s="265">
        <v>0</v>
      </c>
      <c r="ER655" s="265">
        <v>0</v>
      </c>
      <c r="ES655" s="265">
        <v>0</v>
      </c>
      <c r="ET655" s="265">
        <v>0</v>
      </c>
      <c r="EU655" s="265">
        <v>0</v>
      </c>
      <c r="EV655" s="265">
        <v>238</v>
      </c>
      <c r="EW655" s="265">
        <v>0</v>
      </c>
      <c r="EX655" s="265">
        <v>0</v>
      </c>
      <c r="EY655" s="265">
        <v>0</v>
      </c>
      <c r="EZ655" s="265"/>
      <c r="FA655" s="265">
        <v>0</v>
      </c>
      <c r="FB655" s="265"/>
      <c r="FC655" s="265"/>
      <c r="FD655" s="265"/>
      <c r="FE655" s="265"/>
      <c r="FF655" s="265">
        <v>0</v>
      </c>
      <c r="FG655" s="265">
        <v>0</v>
      </c>
      <c r="FH655" s="265">
        <v>0</v>
      </c>
      <c r="FI655" s="265">
        <v>0</v>
      </c>
    </row>
    <row r="656" spans="1:165">
      <c r="A656" s="265">
        <v>661</v>
      </c>
      <c r="B656" s="265" t="s">
        <v>2255</v>
      </c>
      <c r="C656" s="265" t="s">
        <v>2235</v>
      </c>
      <c r="D656" s="265" t="s">
        <v>1955</v>
      </c>
      <c r="E656" s="265" t="s">
        <v>969</v>
      </c>
      <c r="F656" s="265" t="s">
        <v>2239</v>
      </c>
      <c r="G656" s="265" t="s">
        <v>1322</v>
      </c>
      <c r="H656" s="265" t="s">
        <v>1322</v>
      </c>
      <c r="I656" s="265" t="s">
        <v>1322</v>
      </c>
      <c r="J656" s="265" t="s">
        <v>2236</v>
      </c>
      <c r="K656" s="1639">
        <v>44713</v>
      </c>
      <c r="L656" s="265">
        <v>0</v>
      </c>
      <c r="M656" s="265">
        <v>0</v>
      </c>
      <c r="N656" s="265">
        <v>0.06</v>
      </c>
      <c r="O656" s="265">
        <v>0.06</v>
      </c>
      <c r="P656" s="265">
        <v>0.06</v>
      </c>
      <c r="Q656" s="265">
        <v>0.06</v>
      </c>
      <c r="R656" s="265"/>
      <c r="S656" s="265">
        <v>510.28</v>
      </c>
      <c r="T656" s="265">
        <v>209.4</v>
      </c>
      <c r="U656" s="265"/>
      <c r="V656" s="265">
        <v>43.180799999999998</v>
      </c>
      <c r="W656" s="265">
        <v>43.180799999999998</v>
      </c>
      <c r="X656" s="265">
        <v>32.053800000000003</v>
      </c>
      <c r="Y656" s="265">
        <v>0</v>
      </c>
      <c r="Z656" s="265">
        <v>0</v>
      </c>
      <c r="AA656" s="265">
        <v>0</v>
      </c>
      <c r="AB656" s="265">
        <v>0</v>
      </c>
      <c r="AC656" s="265">
        <v>0</v>
      </c>
      <c r="AD656" s="265">
        <v>4.4514686877488696</v>
      </c>
      <c r="AE656" s="265">
        <v>23.12431871338806</v>
      </c>
      <c r="AF656" s="265">
        <v>12.399044747461499</v>
      </c>
      <c r="AG656" s="265">
        <v>0.1651778978512764</v>
      </c>
      <c r="AH656" s="265">
        <v>0</v>
      </c>
      <c r="AI656" s="265">
        <v>0</v>
      </c>
      <c r="AJ656" s="265">
        <v>0</v>
      </c>
      <c r="AK656" s="265">
        <v>0</v>
      </c>
      <c r="AL656" s="265">
        <v>0</v>
      </c>
      <c r="AM656" s="265"/>
      <c r="AN656" s="265">
        <v>0.10937785894973219</v>
      </c>
      <c r="AO656" s="265">
        <v>0.34196884650361203</v>
      </c>
      <c r="AP656" s="265">
        <v>0.51511139822973351</v>
      </c>
      <c r="AQ656" s="265">
        <v>0</v>
      </c>
      <c r="AR656" s="265">
        <v>0</v>
      </c>
      <c r="AS656" s="265">
        <v>0</v>
      </c>
      <c r="AT656" s="265">
        <v>0</v>
      </c>
      <c r="AU656" s="265">
        <v>0</v>
      </c>
      <c r="AV656" s="265">
        <v>0</v>
      </c>
      <c r="AW656" s="265">
        <v>0</v>
      </c>
      <c r="AX656" s="265">
        <v>0</v>
      </c>
      <c r="AY656" s="265">
        <v>0</v>
      </c>
      <c r="AZ656" s="265">
        <v>0</v>
      </c>
      <c r="BA656" s="265"/>
      <c r="BB656" s="265">
        <v>0</v>
      </c>
      <c r="BC656" s="265">
        <v>0</v>
      </c>
      <c r="BD656" s="265">
        <v>0</v>
      </c>
      <c r="BE656" s="265">
        <v>0</v>
      </c>
      <c r="BF656" s="265">
        <v>0</v>
      </c>
      <c r="BG656" s="265">
        <v>2.0743370074463341</v>
      </c>
      <c r="BH656" s="265">
        <v>0</v>
      </c>
      <c r="BI656" s="265">
        <v>0.02</v>
      </c>
      <c r="BJ656" s="265">
        <v>0.12</v>
      </c>
      <c r="BK656" s="265">
        <v>2.66</v>
      </c>
      <c r="BL656" s="265">
        <v>0</v>
      </c>
      <c r="BM656" s="265"/>
      <c r="BN656" s="265"/>
      <c r="BO656" s="265"/>
      <c r="BP656" s="265"/>
      <c r="BQ656" s="265"/>
      <c r="BR656" s="265"/>
      <c r="BS656" s="265"/>
      <c r="BT656" s="265">
        <v>20.835000000000001</v>
      </c>
      <c r="BU656" s="265"/>
      <c r="BV656" s="265">
        <v>14.473381754907834</v>
      </c>
      <c r="BW656" s="265"/>
      <c r="BX656" s="265"/>
      <c r="BY656" s="265"/>
      <c r="BZ656" s="265"/>
      <c r="CA656" s="265"/>
      <c r="CB656" s="265"/>
      <c r="CC656" s="265"/>
      <c r="CD656" s="265"/>
      <c r="CE656" s="265"/>
      <c r="CF656" s="265"/>
      <c r="CG656" s="265"/>
      <c r="CH656" s="265"/>
      <c r="CI656" s="265">
        <v>11.2188</v>
      </c>
      <c r="CJ656" s="265">
        <v>-3.9245999999999981</v>
      </c>
      <c r="CK656" s="265"/>
      <c r="CL656" s="265"/>
      <c r="CM656" s="265"/>
      <c r="CN656" s="265"/>
      <c r="CO656" s="265">
        <v>-12.496799999999999</v>
      </c>
      <c r="CP656" s="265">
        <v>1.369799999999999</v>
      </c>
      <c r="CQ656" s="265">
        <v>30</v>
      </c>
      <c r="CR656" s="265">
        <v>1.8453587716359472</v>
      </c>
      <c r="CS656" s="265">
        <v>4.1286593206441791E-2</v>
      </c>
      <c r="CT656" s="265">
        <v>6.2190445042447862E-2</v>
      </c>
      <c r="CU656" s="265">
        <v>0</v>
      </c>
      <c r="CV656" s="265">
        <v>0</v>
      </c>
      <c r="CW656" s="265">
        <v>0</v>
      </c>
      <c r="CX656" s="265">
        <v>0</v>
      </c>
      <c r="CY656" s="265">
        <v>0</v>
      </c>
      <c r="CZ656" s="265">
        <v>0.14592999497443149</v>
      </c>
      <c r="DA656" s="265">
        <v>0</v>
      </c>
      <c r="DB656" s="265">
        <v>0</v>
      </c>
      <c r="DC656" s="265">
        <v>1.3693850475816003</v>
      </c>
      <c r="DD656" s="265">
        <v>0</v>
      </c>
      <c r="DE656" s="265">
        <v>0</v>
      </c>
      <c r="DF656" s="265">
        <v>0</v>
      </c>
      <c r="DG656" s="265">
        <v>0.22909555852870156</v>
      </c>
      <c r="DH656" s="265">
        <v>0</v>
      </c>
      <c r="DI656" s="265">
        <v>0</v>
      </c>
      <c r="DJ656" s="265"/>
      <c r="DK656" s="265">
        <v>0</v>
      </c>
      <c r="DL656" s="265">
        <v>0</v>
      </c>
      <c r="DM656" s="265">
        <v>0</v>
      </c>
      <c r="DN656" s="265">
        <v>0</v>
      </c>
      <c r="DO656" s="265">
        <v>0</v>
      </c>
      <c r="DP656" s="265">
        <v>-2.5288676976749913E-3</v>
      </c>
      <c r="DQ656" s="265">
        <v>0</v>
      </c>
      <c r="DR656" s="265">
        <v>0</v>
      </c>
      <c r="DS656" s="265"/>
      <c r="DT656" s="265"/>
      <c r="DU656" s="265"/>
      <c r="DV656" s="265">
        <v>23.12431871338806</v>
      </c>
      <c r="DW656" s="265">
        <v>0</v>
      </c>
      <c r="DX656" s="265">
        <v>0</v>
      </c>
      <c r="DY656" s="265">
        <v>-12.496799999999997</v>
      </c>
      <c r="DZ656" s="265">
        <v>1.3697999999999997</v>
      </c>
      <c r="EA656" s="265">
        <v>0</v>
      </c>
      <c r="EB656" s="265">
        <v>0</v>
      </c>
      <c r="EC656" s="265">
        <v>-12.97250459912004</v>
      </c>
      <c r="ED656" s="265">
        <v>0</v>
      </c>
      <c r="EE656" s="265">
        <v>0</v>
      </c>
      <c r="EF656" s="265">
        <v>0</v>
      </c>
      <c r="EG656" s="265">
        <v>0</v>
      </c>
      <c r="EH656" s="265">
        <v>0</v>
      </c>
      <c r="EI656" s="265">
        <v>0</v>
      </c>
      <c r="EJ656" s="265">
        <v>0</v>
      </c>
      <c r="EK656" s="265">
        <v>0</v>
      </c>
      <c r="EL656" s="265">
        <v>0</v>
      </c>
      <c r="EM656" s="265">
        <v>0</v>
      </c>
      <c r="EN656" s="265">
        <v>0</v>
      </c>
      <c r="EO656" s="265">
        <v>0</v>
      </c>
      <c r="EP656" s="265">
        <v>0</v>
      </c>
      <c r="EQ656" s="265">
        <v>0</v>
      </c>
      <c r="ER656" s="265">
        <v>0</v>
      </c>
      <c r="ES656" s="265">
        <v>0</v>
      </c>
      <c r="ET656" s="265">
        <v>0</v>
      </c>
      <c r="EU656" s="265">
        <v>0</v>
      </c>
      <c r="EV656" s="265">
        <v>238</v>
      </c>
      <c r="EW656" s="265">
        <v>0</v>
      </c>
      <c r="EX656" s="265">
        <v>0</v>
      </c>
      <c r="EY656" s="265">
        <v>0</v>
      </c>
      <c r="EZ656" s="265"/>
      <c r="FA656" s="265">
        <v>0</v>
      </c>
      <c r="FB656" s="265"/>
      <c r="FC656" s="265"/>
      <c r="FD656" s="265"/>
      <c r="FE656" s="265"/>
      <c r="FF656" s="265">
        <v>0</v>
      </c>
      <c r="FG656" s="265">
        <v>0</v>
      </c>
      <c r="FH656" s="265">
        <v>0</v>
      </c>
      <c r="FI656" s="265">
        <v>0</v>
      </c>
    </row>
    <row r="657" spans="1:165">
      <c r="A657" s="265">
        <v>662</v>
      </c>
      <c r="B657" s="265" t="s">
        <v>2255</v>
      </c>
      <c r="C657" s="265" t="s">
        <v>2235</v>
      </c>
      <c r="D657" s="265" t="s">
        <v>1955</v>
      </c>
      <c r="E657" s="265" t="s">
        <v>969</v>
      </c>
      <c r="F657" s="265" t="s">
        <v>2239</v>
      </c>
      <c r="G657" s="265" t="s">
        <v>1322</v>
      </c>
      <c r="H657" s="265" t="s">
        <v>1322</v>
      </c>
      <c r="I657" s="265" t="s">
        <v>1322</v>
      </c>
      <c r="J657" s="265" t="s">
        <v>2236</v>
      </c>
      <c r="K657" s="1639">
        <v>44713</v>
      </c>
      <c r="L657" s="265">
        <v>0</v>
      </c>
      <c r="M657" s="265">
        <v>0</v>
      </c>
      <c r="N657" s="265">
        <v>0.151</v>
      </c>
      <c r="O657" s="265">
        <v>-1.1249499999999999</v>
      </c>
      <c r="P657" s="265">
        <v>0.151</v>
      </c>
      <c r="Q657" s="265">
        <v>-1.1249499999999999</v>
      </c>
      <c r="R657" s="265"/>
      <c r="S657" s="265">
        <v>510.28</v>
      </c>
      <c r="T657" s="265">
        <v>209.4</v>
      </c>
      <c r="U657" s="265"/>
      <c r="V657" s="265">
        <v>108.67167999999999</v>
      </c>
      <c r="W657" s="265">
        <v>108.67167999999999</v>
      </c>
      <c r="X657" s="265">
        <v>80.668729999999996</v>
      </c>
      <c r="Y657" s="265">
        <v>0</v>
      </c>
      <c r="Z657" s="265">
        <v>0</v>
      </c>
      <c r="AA657" s="265">
        <v>0</v>
      </c>
      <c r="AB657" s="265">
        <v>0</v>
      </c>
      <c r="AC657" s="265">
        <v>0</v>
      </c>
      <c r="AD657" s="265">
        <v>11.202862864167988</v>
      </c>
      <c r="AE657" s="265">
        <v>58.196202095359951</v>
      </c>
      <c r="AF657" s="265">
        <v>31.204262614444776</v>
      </c>
      <c r="AG657" s="265">
        <v>0.41569770959237895</v>
      </c>
      <c r="AH657" s="265">
        <v>0</v>
      </c>
      <c r="AI657" s="265">
        <v>0</v>
      </c>
      <c r="AJ657" s="265">
        <v>0</v>
      </c>
      <c r="AK657" s="265">
        <v>0</v>
      </c>
      <c r="AL657" s="265">
        <v>0</v>
      </c>
      <c r="AM657" s="265"/>
      <c r="AN657" s="265">
        <v>0.27526761169015934</v>
      </c>
      <c r="AO657" s="265">
        <v>0.86062159703409025</v>
      </c>
      <c r="AP657" s="265">
        <v>1.2963636855448295</v>
      </c>
      <c r="AQ657" s="265">
        <v>0</v>
      </c>
      <c r="AR657" s="265">
        <v>0</v>
      </c>
      <c r="AS657" s="265">
        <v>0</v>
      </c>
      <c r="AT657" s="265">
        <v>0</v>
      </c>
      <c r="AU657" s="265">
        <v>0</v>
      </c>
      <c r="AV657" s="265">
        <v>0</v>
      </c>
      <c r="AW657" s="265">
        <v>0</v>
      </c>
      <c r="AX657" s="265">
        <v>0</v>
      </c>
      <c r="AY657" s="265">
        <v>0</v>
      </c>
      <c r="AZ657" s="265">
        <v>0</v>
      </c>
      <c r="BA657" s="265"/>
      <c r="BB657" s="265">
        <v>0</v>
      </c>
      <c r="BC657" s="265">
        <v>0</v>
      </c>
      <c r="BD657" s="265">
        <v>0</v>
      </c>
      <c r="BE657" s="265">
        <v>0</v>
      </c>
      <c r="BF657" s="265">
        <v>0</v>
      </c>
      <c r="BG657" s="265">
        <v>5.2204148020732735</v>
      </c>
      <c r="BH657" s="265">
        <v>0</v>
      </c>
      <c r="BI657" s="265">
        <v>0.05</v>
      </c>
      <c r="BJ657" s="265">
        <v>0.25</v>
      </c>
      <c r="BK657" s="265">
        <v>17.829999999999998</v>
      </c>
      <c r="BL657" s="265">
        <v>0</v>
      </c>
      <c r="BM657" s="265"/>
      <c r="BN657" s="265"/>
      <c r="BO657" s="265"/>
      <c r="BP657" s="265"/>
      <c r="BQ657" s="265"/>
      <c r="BR657" s="265"/>
      <c r="BS657" s="265"/>
      <c r="BT657" s="265">
        <v>291.01188100000002</v>
      </c>
      <c r="BU657" s="265"/>
      <c r="BV657" s="265">
        <v>36.424677416518051</v>
      </c>
      <c r="BW657" s="265"/>
      <c r="BX657" s="265"/>
      <c r="BY657" s="265"/>
      <c r="BZ657" s="265"/>
      <c r="CA657" s="265"/>
      <c r="CB657" s="265"/>
      <c r="CC657" s="265"/>
      <c r="CD657" s="265"/>
      <c r="CE657" s="265"/>
      <c r="CF657" s="265"/>
      <c r="CG657" s="265"/>
      <c r="CH657" s="265"/>
      <c r="CI657" s="265">
        <v>-209.41760000000002</v>
      </c>
      <c r="CJ657" s="265">
        <v>73.916055499999942</v>
      </c>
      <c r="CK657" s="265"/>
      <c r="CL657" s="265"/>
      <c r="CM657" s="265"/>
      <c r="CN657" s="265"/>
      <c r="CO657" s="265">
        <v>-31.450279999999996</v>
      </c>
      <c r="CP657" s="265">
        <v>3.4473299999999973</v>
      </c>
      <c r="CQ657" s="265">
        <v>30</v>
      </c>
      <c r="CR657" s="265">
        <v>4.64415290861713</v>
      </c>
      <c r="CS657" s="265">
        <v>0.10390459290287857</v>
      </c>
      <c r="CT657" s="265">
        <v>0.15651262002349364</v>
      </c>
      <c r="CU657" s="265">
        <v>0</v>
      </c>
      <c r="CV657" s="265">
        <v>0</v>
      </c>
      <c r="CW657" s="265">
        <v>0</v>
      </c>
      <c r="CX657" s="265">
        <v>0</v>
      </c>
      <c r="CY657" s="265">
        <v>0</v>
      </c>
      <c r="CZ657" s="265">
        <v>0.3672571540189864</v>
      </c>
      <c r="DA657" s="265">
        <v>0</v>
      </c>
      <c r="DB657" s="265">
        <v>0</v>
      </c>
      <c r="DC657" s="265">
        <v>3.4462857030803598</v>
      </c>
      <c r="DD657" s="265">
        <v>0</v>
      </c>
      <c r="DE657" s="265">
        <v>0</v>
      </c>
      <c r="DF657" s="265">
        <v>0</v>
      </c>
      <c r="DG657" s="265">
        <v>0.57655715563056642</v>
      </c>
      <c r="DH657" s="265">
        <v>0</v>
      </c>
      <c r="DI657" s="265">
        <v>0</v>
      </c>
      <c r="DJ657" s="265"/>
      <c r="DK657" s="265">
        <v>0</v>
      </c>
      <c r="DL657" s="265">
        <v>0</v>
      </c>
      <c r="DM657" s="265">
        <v>0</v>
      </c>
      <c r="DN657" s="265">
        <v>0</v>
      </c>
      <c r="DO657" s="265">
        <v>0</v>
      </c>
      <c r="DP657" s="265">
        <v>-6.3643170391486925E-3</v>
      </c>
      <c r="DQ657" s="265">
        <v>0</v>
      </c>
      <c r="DR657" s="265">
        <v>0</v>
      </c>
      <c r="DS657" s="265"/>
      <c r="DT657" s="265"/>
      <c r="DU657" s="265"/>
      <c r="DV657" s="265">
        <v>58.196202095359951</v>
      </c>
      <c r="DW657" s="265">
        <v>0</v>
      </c>
      <c r="DX657" s="265">
        <v>0</v>
      </c>
      <c r="DY657" s="265">
        <v>-31.450279999999999</v>
      </c>
      <c r="DZ657" s="265">
        <v>3.4473300000000009</v>
      </c>
      <c r="EA657" s="265">
        <v>0</v>
      </c>
      <c r="EB657" s="265">
        <v>0</v>
      </c>
      <c r="EC657" s="265">
        <v>-32.647469907785435</v>
      </c>
      <c r="ED657" s="265">
        <v>0</v>
      </c>
      <c r="EE657" s="265">
        <v>0</v>
      </c>
      <c r="EF657" s="265">
        <v>0</v>
      </c>
      <c r="EG657" s="265">
        <v>0</v>
      </c>
      <c r="EH657" s="265">
        <v>0</v>
      </c>
      <c r="EI657" s="265">
        <v>0</v>
      </c>
      <c r="EJ657" s="265">
        <v>0</v>
      </c>
      <c r="EK657" s="265">
        <v>0</v>
      </c>
      <c r="EL657" s="265">
        <v>0</v>
      </c>
      <c r="EM657" s="265">
        <v>0</v>
      </c>
      <c r="EN657" s="265">
        <v>0</v>
      </c>
      <c r="EO657" s="265">
        <v>0</v>
      </c>
      <c r="EP657" s="265">
        <v>0</v>
      </c>
      <c r="EQ657" s="265">
        <v>0</v>
      </c>
      <c r="ER657" s="265">
        <v>0</v>
      </c>
      <c r="ES657" s="265">
        <v>0</v>
      </c>
      <c r="ET657" s="265">
        <v>0</v>
      </c>
      <c r="EU657" s="265">
        <v>0</v>
      </c>
      <c r="EV657" s="265">
        <v>238</v>
      </c>
      <c r="EW657" s="265">
        <v>0</v>
      </c>
      <c r="EX657" s="265">
        <v>0</v>
      </c>
      <c r="EY657" s="265">
        <v>0</v>
      </c>
      <c r="EZ657" s="265"/>
      <c r="FA657" s="265">
        <v>0</v>
      </c>
      <c r="FB657" s="265"/>
      <c r="FC657" s="265"/>
      <c r="FD657" s="265"/>
      <c r="FE657" s="265"/>
      <c r="FF657" s="265">
        <v>0</v>
      </c>
      <c r="FG657" s="265">
        <v>0</v>
      </c>
      <c r="FH657" s="265">
        <v>0</v>
      </c>
      <c r="FI657" s="265">
        <v>0</v>
      </c>
    </row>
    <row r="658" spans="1:165">
      <c r="A658" s="265">
        <v>663</v>
      </c>
      <c r="B658" s="265" t="s">
        <v>2255</v>
      </c>
      <c r="C658" s="265" t="s">
        <v>2235</v>
      </c>
      <c r="D658" s="265" t="s">
        <v>1955</v>
      </c>
      <c r="E658" s="265" t="s">
        <v>969</v>
      </c>
      <c r="F658" s="265" t="s">
        <v>2240</v>
      </c>
      <c r="G658" s="265" t="s">
        <v>1322</v>
      </c>
      <c r="H658" s="265" t="s">
        <v>1322</v>
      </c>
      <c r="I658" s="265" t="s">
        <v>1322</v>
      </c>
      <c r="J658" s="265" t="s">
        <v>2236</v>
      </c>
      <c r="K658" s="1639">
        <v>44713</v>
      </c>
      <c r="L658" s="265">
        <v>0</v>
      </c>
      <c r="M658" s="265">
        <v>0</v>
      </c>
      <c r="N658" s="265">
        <v>110.193</v>
      </c>
      <c r="O658" s="265">
        <v>110.193</v>
      </c>
      <c r="P658" s="265">
        <v>110.193</v>
      </c>
      <c r="Q658" s="265">
        <v>110.193</v>
      </c>
      <c r="R658" s="265"/>
      <c r="S658" s="265">
        <v>510.28</v>
      </c>
      <c r="T658" s="265">
        <v>209.4</v>
      </c>
      <c r="U658" s="265"/>
      <c r="V658" s="265">
        <v>79303.698239999998</v>
      </c>
      <c r="W658" s="265">
        <v>79303.698239999998</v>
      </c>
      <c r="X658" s="265">
        <v>58868.406390000004</v>
      </c>
      <c r="Y658" s="265">
        <v>0</v>
      </c>
      <c r="Z658" s="265">
        <v>0</v>
      </c>
      <c r="AA658" s="265">
        <v>0</v>
      </c>
      <c r="AB658" s="265">
        <v>0</v>
      </c>
      <c r="AC658" s="265">
        <v>0</v>
      </c>
      <c r="AD658" s="265">
        <v>8175.3448184851868</v>
      </c>
      <c r="AE658" s="265">
        <v>42468.967533072842</v>
      </c>
      <c r="AF658" s="265">
        <v>22771.465630950417</v>
      </c>
      <c r="AG658" s="265">
        <v>303.35746829876166</v>
      </c>
      <c r="AH658" s="265">
        <v>0</v>
      </c>
      <c r="AI658" s="265">
        <v>0</v>
      </c>
      <c r="AJ658" s="265">
        <v>0</v>
      </c>
      <c r="AK658" s="265">
        <v>0</v>
      </c>
      <c r="AL658" s="265">
        <v>0</v>
      </c>
      <c r="AM658" s="265"/>
      <c r="AN658" s="265">
        <v>200.87790685413066</v>
      </c>
      <c r="AO658" s="265">
        <v>628.04288504620865</v>
      </c>
      <c r="AP658" s="265">
        <v>946.02783841881717</v>
      </c>
      <c r="AQ658" s="265">
        <v>0</v>
      </c>
      <c r="AR658" s="265">
        <v>0</v>
      </c>
      <c r="AS658" s="265">
        <v>0</v>
      </c>
      <c r="AT658" s="265">
        <v>0</v>
      </c>
      <c r="AU658" s="265">
        <v>0</v>
      </c>
      <c r="AV658" s="265">
        <v>0</v>
      </c>
      <c r="AW658" s="265">
        <v>0</v>
      </c>
      <c r="AX658" s="265">
        <v>0</v>
      </c>
      <c r="AY658" s="265">
        <v>0</v>
      </c>
      <c r="AZ658" s="265">
        <v>0</v>
      </c>
      <c r="BA658" s="265"/>
      <c r="BB658" s="265">
        <v>0</v>
      </c>
      <c r="BC658" s="265">
        <v>0</v>
      </c>
      <c r="BD658" s="265">
        <v>0</v>
      </c>
      <c r="BE658" s="265">
        <v>0</v>
      </c>
      <c r="BF658" s="265">
        <v>0</v>
      </c>
      <c r="BG658" s="265">
        <v>3809.6236310255645</v>
      </c>
      <c r="BH658" s="265">
        <v>0</v>
      </c>
      <c r="BI658" s="265">
        <v>74.91</v>
      </c>
      <c r="BJ658" s="265">
        <v>350.7</v>
      </c>
      <c r="BK658" s="265">
        <v>11843.06</v>
      </c>
      <c r="BL658" s="265">
        <v>512</v>
      </c>
      <c r="BM658" s="265"/>
      <c r="BN658" s="265"/>
      <c r="BO658" s="265"/>
      <c r="BP658" s="265"/>
      <c r="BQ658" s="265"/>
      <c r="BR658" s="265"/>
      <c r="BS658" s="265"/>
      <c r="BT658" s="265">
        <v>23547.142169999999</v>
      </c>
      <c r="BU658" s="265"/>
      <c r="BV658" s="265">
        <v>26581.089261975983</v>
      </c>
      <c r="BW658" s="265"/>
      <c r="BX658" s="265"/>
      <c r="BY658" s="265"/>
      <c r="BZ658" s="265"/>
      <c r="CA658" s="265"/>
      <c r="CB658" s="265"/>
      <c r="CC658" s="265"/>
      <c r="CD658" s="265"/>
      <c r="CE658" s="265"/>
      <c r="CF658" s="265"/>
      <c r="CG658" s="265"/>
      <c r="CH658" s="265"/>
      <c r="CI658" s="265">
        <v>35320.302599999995</v>
      </c>
      <c r="CJ658" s="265">
        <v>-12262.166730000012</v>
      </c>
      <c r="CK658" s="265"/>
      <c r="CL658" s="265"/>
      <c r="CM658" s="265"/>
      <c r="CN658" s="265"/>
      <c r="CO658" s="265">
        <v>-22950.998039999995</v>
      </c>
      <c r="CP658" s="265">
        <v>2515.7061899999981</v>
      </c>
      <c r="CQ658" s="265">
        <v>30</v>
      </c>
      <c r="CR658" s="265">
        <v>3389.0936520479881</v>
      </c>
      <c r="CS658" s="265">
        <v>75.824892753290669</v>
      </c>
      <c r="CT658" s="265">
        <v>114.21586184270757</v>
      </c>
      <c r="CU658" s="265">
        <v>0</v>
      </c>
      <c r="CV658" s="265">
        <v>0</v>
      </c>
      <c r="CW658" s="265">
        <v>0</v>
      </c>
      <c r="CX658" s="265">
        <v>0</v>
      </c>
      <c r="CY658" s="265">
        <v>0</v>
      </c>
      <c r="CZ658" s="265">
        <v>268.00773227029367</v>
      </c>
      <c r="DA658" s="265">
        <v>0</v>
      </c>
      <c r="DB658" s="265">
        <v>0</v>
      </c>
      <c r="DC658" s="265">
        <v>2514.9441091359877</v>
      </c>
      <c r="DD658" s="265">
        <v>0</v>
      </c>
      <c r="DE658" s="265">
        <v>0</v>
      </c>
      <c r="DF658" s="265">
        <v>0</v>
      </c>
      <c r="DG658" s="265">
        <v>420.74544801588763</v>
      </c>
      <c r="DH658" s="265">
        <v>0</v>
      </c>
      <c r="DI658" s="265">
        <v>0</v>
      </c>
      <c r="DJ658" s="265"/>
      <c r="DK658" s="265">
        <v>0</v>
      </c>
      <c r="DL658" s="265">
        <v>0</v>
      </c>
      <c r="DM658" s="265">
        <v>0</v>
      </c>
      <c r="DN658" s="265">
        <v>0</v>
      </c>
      <c r="DO658" s="265">
        <v>0</v>
      </c>
      <c r="DP658" s="265">
        <v>-4.6443919701650032</v>
      </c>
      <c r="DQ658" s="265">
        <v>0</v>
      </c>
      <c r="DR658" s="265">
        <v>0</v>
      </c>
      <c r="DS658" s="265"/>
      <c r="DT658" s="265"/>
      <c r="DU658" s="265"/>
      <c r="DV658" s="265">
        <v>42468.967533072842</v>
      </c>
      <c r="DW658" s="265">
        <v>0</v>
      </c>
      <c r="DX658" s="265">
        <v>0</v>
      </c>
      <c r="DY658" s="265">
        <v>-22950.998039999999</v>
      </c>
      <c r="DZ658" s="265">
        <v>2515.7061900000008</v>
      </c>
      <c r="EA658" s="265">
        <v>0</v>
      </c>
      <c r="EB658" s="265">
        <v>0</v>
      </c>
      <c r="EC658" s="265">
        <v>-23824.65332151391</v>
      </c>
      <c r="ED658" s="265">
        <v>0</v>
      </c>
      <c r="EE658" s="265">
        <v>0</v>
      </c>
      <c r="EF658" s="265">
        <v>0</v>
      </c>
      <c r="EG658" s="265">
        <v>0</v>
      </c>
      <c r="EH658" s="265">
        <v>0</v>
      </c>
      <c r="EI658" s="265">
        <v>0</v>
      </c>
      <c r="EJ658" s="265">
        <v>0</v>
      </c>
      <c r="EK658" s="265">
        <v>0</v>
      </c>
      <c r="EL658" s="265">
        <v>0</v>
      </c>
      <c r="EM658" s="265">
        <v>0</v>
      </c>
      <c r="EN658" s="265">
        <v>0</v>
      </c>
      <c r="EO658" s="265">
        <v>0</v>
      </c>
      <c r="EP658" s="265">
        <v>0</v>
      </c>
      <c r="EQ658" s="265">
        <v>0</v>
      </c>
      <c r="ER658" s="265">
        <v>0</v>
      </c>
      <c r="ES658" s="265">
        <v>0</v>
      </c>
      <c r="ET658" s="265">
        <v>0</v>
      </c>
      <c r="EU658" s="265">
        <v>0</v>
      </c>
      <c r="EV658" s="265">
        <v>238</v>
      </c>
      <c r="EW658" s="265">
        <v>0</v>
      </c>
      <c r="EX658" s="265">
        <v>0</v>
      </c>
      <c r="EY658" s="265">
        <v>0</v>
      </c>
      <c r="EZ658" s="265"/>
      <c r="FA658" s="265">
        <v>0</v>
      </c>
      <c r="FB658" s="265"/>
      <c r="FC658" s="265"/>
      <c r="FD658" s="265"/>
      <c r="FE658" s="265"/>
      <c r="FF658" s="265">
        <v>0</v>
      </c>
      <c r="FG658" s="265">
        <v>0</v>
      </c>
      <c r="FH658" s="265">
        <v>0</v>
      </c>
      <c r="FI658" s="265">
        <v>0</v>
      </c>
    </row>
    <row r="659" spans="1:165">
      <c r="A659" s="265">
        <v>664</v>
      </c>
      <c r="B659" s="265" t="s">
        <v>2255</v>
      </c>
      <c r="C659" s="265" t="s">
        <v>2235</v>
      </c>
      <c r="D659" s="265" t="s">
        <v>1955</v>
      </c>
      <c r="E659" s="265" t="s">
        <v>969</v>
      </c>
      <c r="F659" s="265" t="s">
        <v>2240</v>
      </c>
      <c r="G659" s="265" t="s">
        <v>1322</v>
      </c>
      <c r="H659" s="265" t="s">
        <v>1322</v>
      </c>
      <c r="I659" s="265" t="s">
        <v>1322</v>
      </c>
      <c r="J659" s="265" t="s">
        <v>2236</v>
      </c>
      <c r="K659" s="1639">
        <v>44713</v>
      </c>
      <c r="L659" s="265">
        <v>0</v>
      </c>
      <c r="M659" s="265">
        <v>0</v>
      </c>
      <c r="N659" s="265">
        <v>7.0000000000000007E-2</v>
      </c>
      <c r="O659" s="265">
        <v>7.0000000000000007E-2</v>
      </c>
      <c r="P659" s="265">
        <v>7.0000000000000007E-2</v>
      </c>
      <c r="Q659" s="265">
        <v>7.0000000000000007E-2</v>
      </c>
      <c r="R659" s="265"/>
      <c r="S659" s="265">
        <v>510.28</v>
      </c>
      <c r="T659" s="265">
        <v>209.4</v>
      </c>
      <c r="U659" s="265"/>
      <c r="V659" s="265">
        <v>50.377600000000001</v>
      </c>
      <c r="W659" s="265">
        <v>50.377600000000001</v>
      </c>
      <c r="X659" s="265">
        <v>37.396100000000004</v>
      </c>
      <c r="Y659" s="265">
        <v>0</v>
      </c>
      <c r="Z659" s="265">
        <v>0</v>
      </c>
      <c r="AA659" s="265">
        <v>0</v>
      </c>
      <c r="AB659" s="265">
        <v>0</v>
      </c>
      <c r="AC659" s="265">
        <v>0</v>
      </c>
      <c r="AD659" s="265">
        <v>5.1933801357070148</v>
      </c>
      <c r="AE659" s="265">
        <v>26.978371832286072</v>
      </c>
      <c r="AF659" s="265">
        <v>14.465552205371752</v>
      </c>
      <c r="AG659" s="265">
        <v>0.19270754749315583</v>
      </c>
      <c r="AH659" s="265">
        <v>0</v>
      </c>
      <c r="AI659" s="265">
        <v>0</v>
      </c>
      <c r="AJ659" s="265">
        <v>0</v>
      </c>
      <c r="AK659" s="265">
        <v>0</v>
      </c>
      <c r="AL659" s="265">
        <v>0</v>
      </c>
      <c r="AM659" s="265"/>
      <c r="AN659" s="265">
        <v>0.12760750210802091</v>
      </c>
      <c r="AO659" s="265">
        <v>0.39896365425421404</v>
      </c>
      <c r="AP659" s="265">
        <v>0.60096329793468917</v>
      </c>
      <c r="AQ659" s="265">
        <v>0</v>
      </c>
      <c r="AR659" s="265">
        <v>0</v>
      </c>
      <c r="AS659" s="265">
        <v>0</v>
      </c>
      <c r="AT659" s="265">
        <v>0</v>
      </c>
      <c r="AU659" s="265">
        <v>0</v>
      </c>
      <c r="AV659" s="265">
        <v>0</v>
      </c>
      <c r="AW659" s="265">
        <v>0</v>
      </c>
      <c r="AX659" s="265">
        <v>0</v>
      </c>
      <c r="AY659" s="265">
        <v>0</v>
      </c>
      <c r="AZ659" s="265">
        <v>0</v>
      </c>
      <c r="BA659" s="265"/>
      <c r="BB659" s="265">
        <v>0</v>
      </c>
      <c r="BC659" s="265">
        <v>0</v>
      </c>
      <c r="BD659" s="265">
        <v>0</v>
      </c>
      <c r="BE659" s="265">
        <v>0</v>
      </c>
      <c r="BF659" s="265">
        <v>0</v>
      </c>
      <c r="BG659" s="265">
        <v>2.4200598420207231</v>
      </c>
      <c r="BH659" s="265">
        <v>0</v>
      </c>
      <c r="BI659" s="265">
        <v>0.05</v>
      </c>
      <c r="BJ659" s="265">
        <v>0.31</v>
      </c>
      <c r="BK659" s="265">
        <v>7.59</v>
      </c>
      <c r="BL659" s="265">
        <v>0</v>
      </c>
      <c r="BM659" s="265"/>
      <c r="BN659" s="265"/>
      <c r="BO659" s="265"/>
      <c r="BP659" s="265"/>
      <c r="BQ659" s="265"/>
      <c r="BR659" s="265"/>
      <c r="BS659" s="265"/>
      <c r="BT659" s="265">
        <v>14.958300000000001</v>
      </c>
      <c r="BU659" s="265"/>
      <c r="BV659" s="265">
        <v>16.885612047392474</v>
      </c>
      <c r="BW659" s="265"/>
      <c r="BX659" s="265"/>
      <c r="BY659" s="265"/>
      <c r="BZ659" s="265"/>
      <c r="CA659" s="265"/>
      <c r="CB659" s="265"/>
      <c r="CC659" s="265"/>
      <c r="CD659" s="265"/>
      <c r="CE659" s="265"/>
      <c r="CF659" s="265"/>
      <c r="CG659" s="265"/>
      <c r="CH659" s="265"/>
      <c r="CI659" s="265">
        <v>22.437800000000003</v>
      </c>
      <c r="CJ659" s="265">
        <v>-7.8189000000000028</v>
      </c>
      <c r="CK659" s="265"/>
      <c r="CL659" s="265"/>
      <c r="CM659" s="265"/>
      <c r="CN659" s="265"/>
      <c r="CO659" s="265">
        <v>-14.579599999999999</v>
      </c>
      <c r="CP659" s="265">
        <v>1.598099999999999</v>
      </c>
      <c r="CQ659" s="265">
        <v>30</v>
      </c>
      <c r="CR659" s="265">
        <v>2.1529185669086139</v>
      </c>
      <c r="CS659" s="265">
        <v>4.8167692074182145E-2</v>
      </c>
      <c r="CT659" s="265">
        <v>7.255551921618919E-2</v>
      </c>
      <c r="CU659" s="265">
        <v>0</v>
      </c>
      <c r="CV659" s="265">
        <v>0</v>
      </c>
      <c r="CW659" s="265">
        <v>0</v>
      </c>
      <c r="CX659" s="265">
        <v>0</v>
      </c>
      <c r="CY659" s="265">
        <v>0</v>
      </c>
      <c r="CZ659" s="265">
        <v>0.17025166080350473</v>
      </c>
      <c r="DA659" s="265">
        <v>0</v>
      </c>
      <c r="DB659" s="265">
        <v>0</v>
      </c>
      <c r="DC659" s="265">
        <v>1.5976158888451994</v>
      </c>
      <c r="DD659" s="265">
        <v>0</v>
      </c>
      <c r="DE659" s="265">
        <v>0</v>
      </c>
      <c r="DF659" s="265">
        <v>0</v>
      </c>
      <c r="DG659" s="265">
        <v>0.26727815161681878</v>
      </c>
      <c r="DH659" s="265">
        <v>0</v>
      </c>
      <c r="DI659" s="265">
        <v>0</v>
      </c>
      <c r="DJ659" s="265"/>
      <c r="DK659" s="265">
        <v>0</v>
      </c>
      <c r="DL659" s="265">
        <v>0</v>
      </c>
      <c r="DM659" s="265">
        <v>0</v>
      </c>
      <c r="DN659" s="265">
        <v>0</v>
      </c>
      <c r="DO659" s="265">
        <v>0</v>
      </c>
      <c r="DP659" s="265">
        <v>-2.9503456472874945E-3</v>
      </c>
      <c r="DQ659" s="265">
        <v>0</v>
      </c>
      <c r="DR659" s="265">
        <v>0</v>
      </c>
      <c r="DS659" s="265"/>
      <c r="DT659" s="265"/>
      <c r="DU659" s="265"/>
      <c r="DV659" s="265">
        <v>26.978371832286072</v>
      </c>
      <c r="DW659" s="265">
        <v>0</v>
      </c>
      <c r="DX659" s="265">
        <v>0</v>
      </c>
      <c r="DY659" s="265">
        <v>-14.579599999999999</v>
      </c>
      <c r="DZ659" s="265">
        <v>1.5980999999999987</v>
      </c>
      <c r="EA659" s="265">
        <v>0</v>
      </c>
      <c r="EB659" s="265">
        <v>0</v>
      </c>
      <c r="EC659" s="265">
        <v>-15.13458869897338</v>
      </c>
      <c r="ED659" s="265">
        <v>0</v>
      </c>
      <c r="EE659" s="265">
        <v>0</v>
      </c>
      <c r="EF659" s="265">
        <v>0</v>
      </c>
      <c r="EG659" s="265">
        <v>0</v>
      </c>
      <c r="EH659" s="265">
        <v>0</v>
      </c>
      <c r="EI659" s="265">
        <v>0</v>
      </c>
      <c r="EJ659" s="265">
        <v>0</v>
      </c>
      <c r="EK659" s="265">
        <v>0</v>
      </c>
      <c r="EL659" s="265">
        <v>0</v>
      </c>
      <c r="EM659" s="265">
        <v>0</v>
      </c>
      <c r="EN659" s="265">
        <v>0</v>
      </c>
      <c r="EO659" s="265">
        <v>0</v>
      </c>
      <c r="EP659" s="265">
        <v>0</v>
      </c>
      <c r="EQ659" s="265">
        <v>0</v>
      </c>
      <c r="ER659" s="265">
        <v>0</v>
      </c>
      <c r="ES659" s="265">
        <v>0</v>
      </c>
      <c r="ET659" s="265">
        <v>0</v>
      </c>
      <c r="EU659" s="265">
        <v>0</v>
      </c>
      <c r="EV659" s="265">
        <v>238</v>
      </c>
      <c r="EW659" s="265">
        <v>0</v>
      </c>
      <c r="EX659" s="265">
        <v>0</v>
      </c>
      <c r="EY659" s="265">
        <v>0</v>
      </c>
      <c r="EZ659" s="265"/>
      <c r="FA659" s="265">
        <v>0</v>
      </c>
      <c r="FB659" s="265"/>
      <c r="FC659" s="265"/>
      <c r="FD659" s="265"/>
      <c r="FE659" s="265"/>
      <c r="FF659" s="265">
        <v>0</v>
      </c>
      <c r="FG659" s="265">
        <v>0</v>
      </c>
      <c r="FH659" s="265">
        <v>0</v>
      </c>
      <c r="FI659" s="265">
        <v>0</v>
      </c>
    </row>
    <row r="660" spans="1:165">
      <c r="A660" s="265">
        <v>665</v>
      </c>
      <c r="B660" s="265" t="s">
        <v>2255</v>
      </c>
      <c r="C660" s="265" t="s">
        <v>2235</v>
      </c>
      <c r="D660" s="265" t="s">
        <v>1955</v>
      </c>
      <c r="E660" s="265" t="s">
        <v>969</v>
      </c>
      <c r="F660" s="265" t="s">
        <v>2240</v>
      </c>
      <c r="G660" s="265" t="s">
        <v>1322</v>
      </c>
      <c r="H660" s="265" t="s">
        <v>1322</v>
      </c>
      <c r="I660" s="265" t="s">
        <v>1322</v>
      </c>
      <c r="J660" s="265" t="s">
        <v>2236</v>
      </c>
      <c r="K660" s="1639">
        <v>44713</v>
      </c>
      <c r="L660" s="265">
        <v>0</v>
      </c>
      <c r="M660" s="265">
        <v>0</v>
      </c>
      <c r="N660" s="265">
        <v>0.127</v>
      </c>
      <c r="O660" s="265">
        <v>-0.53339999999999999</v>
      </c>
      <c r="P660" s="265">
        <v>0.127</v>
      </c>
      <c r="Q660" s="265">
        <v>-0.53339999999999999</v>
      </c>
      <c r="R660" s="265"/>
      <c r="S660" s="265">
        <v>510.28</v>
      </c>
      <c r="T660" s="265">
        <v>209.4</v>
      </c>
      <c r="U660" s="265"/>
      <c r="V660" s="265">
        <v>91.399360000000001</v>
      </c>
      <c r="W660" s="265">
        <v>91.399360000000001</v>
      </c>
      <c r="X660" s="265">
        <v>67.84720999999999</v>
      </c>
      <c r="Y660" s="265">
        <v>0</v>
      </c>
      <c r="Z660" s="265">
        <v>0</v>
      </c>
      <c r="AA660" s="265">
        <v>0</v>
      </c>
      <c r="AB660" s="265">
        <v>0</v>
      </c>
      <c r="AC660" s="265">
        <v>0</v>
      </c>
      <c r="AD660" s="265">
        <v>9.4222753890684405</v>
      </c>
      <c r="AE660" s="265">
        <v>48.946474610004728</v>
      </c>
      <c r="AF660" s="265">
        <v>26.244644715460176</v>
      </c>
      <c r="AG660" s="265">
        <v>0.34962655045186841</v>
      </c>
      <c r="AH660" s="265">
        <v>0</v>
      </c>
      <c r="AI660" s="265">
        <v>0</v>
      </c>
      <c r="AJ660" s="265">
        <v>0</v>
      </c>
      <c r="AK660" s="265">
        <v>0</v>
      </c>
      <c r="AL660" s="265">
        <v>0</v>
      </c>
      <c r="AM660" s="265"/>
      <c r="AN660" s="265">
        <v>0.23151646811026649</v>
      </c>
      <c r="AO660" s="265">
        <v>0.72383405843264548</v>
      </c>
      <c r="AP660" s="265">
        <v>1.0903191262529361</v>
      </c>
      <c r="AQ660" s="265">
        <v>0</v>
      </c>
      <c r="AR660" s="265">
        <v>0</v>
      </c>
      <c r="AS660" s="265">
        <v>0</v>
      </c>
      <c r="AT660" s="265">
        <v>0</v>
      </c>
      <c r="AU660" s="265">
        <v>0</v>
      </c>
      <c r="AV660" s="265">
        <v>0</v>
      </c>
      <c r="AW660" s="265">
        <v>0</v>
      </c>
      <c r="AX660" s="265">
        <v>0</v>
      </c>
      <c r="AY660" s="265">
        <v>0</v>
      </c>
      <c r="AZ660" s="265">
        <v>0</v>
      </c>
      <c r="BA660" s="265"/>
      <c r="BB660" s="265">
        <v>0</v>
      </c>
      <c r="BC660" s="265">
        <v>0</v>
      </c>
      <c r="BD660" s="265">
        <v>0</v>
      </c>
      <c r="BE660" s="265">
        <v>0</v>
      </c>
      <c r="BF660" s="265">
        <v>0</v>
      </c>
      <c r="BG660" s="265">
        <v>4.3906799990947407</v>
      </c>
      <c r="BH660" s="265">
        <v>0</v>
      </c>
      <c r="BI660" s="265">
        <v>0.09</v>
      </c>
      <c r="BJ660" s="265">
        <v>0.4</v>
      </c>
      <c r="BK660" s="265">
        <v>58.76</v>
      </c>
      <c r="BL660" s="265">
        <v>0</v>
      </c>
      <c r="BM660" s="265"/>
      <c r="BN660" s="265"/>
      <c r="BO660" s="265"/>
      <c r="BP660" s="265"/>
      <c r="BQ660" s="265"/>
      <c r="BR660" s="265"/>
      <c r="BS660" s="265"/>
      <c r="BT660" s="265">
        <v>238.82324599999998</v>
      </c>
      <c r="BU660" s="265"/>
      <c r="BV660" s="265">
        <v>30.635324714554915</v>
      </c>
      <c r="BW660" s="265"/>
      <c r="BX660" s="265"/>
      <c r="BY660" s="265"/>
      <c r="BZ660" s="265"/>
      <c r="CA660" s="265"/>
      <c r="CB660" s="265"/>
      <c r="CC660" s="265"/>
      <c r="CD660" s="265"/>
      <c r="CE660" s="265"/>
      <c r="CF660" s="265"/>
      <c r="CG660" s="265"/>
      <c r="CH660" s="265"/>
      <c r="CI660" s="265">
        <v>-169.8862</v>
      </c>
      <c r="CJ660" s="265">
        <v>60.411254000000014</v>
      </c>
      <c r="CK660" s="265"/>
      <c r="CL660" s="265"/>
      <c r="CM660" s="265"/>
      <c r="CN660" s="265"/>
      <c r="CO660" s="265">
        <v>-26.451559999999997</v>
      </c>
      <c r="CP660" s="265">
        <v>2.8994099999999978</v>
      </c>
      <c r="CQ660" s="265">
        <v>30</v>
      </c>
      <c r="CR660" s="265">
        <v>3.9060093999627625</v>
      </c>
      <c r="CS660" s="265">
        <v>8.7389955620301829E-2</v>
      </c>
      <c r="CT660" s="265">
        <v>0.13163644200651436</v>
      </c>
      <c r="CU660" s="265">
        <v>0</v>
      </c>
      <c r="CV660" s="265">
        <v>0</v>
      </c>
      <c r="CW660" s="265">
        <v>0</v>
      </c>
      <c r="CX660" s="265">
        <v>0</v>
      </c>
      <c r="CY660" s="265">
        <v>0</v>
      </c>
      <c r="CZ660" s="265">
        <v>0.30888515602921451</v>
      </c>
      <c r="DA660" s="265">
        <v>0</v>
      </c>
      <c r="DB660" s="265">
        <v>0</v>
      </c>
      <c r="DC660" s="265">
        <v>2.8985316840477182</v>
      </c>
      <c r="DD660" s="265">
        <v>0</v>
      </c>
      <c r="DE660" s="265">
        <v>0</v>
      </c>
      <c r="DF660" s="265">
        <v>0</v>
      </c>
      <c r="DG660" s="265">
        <v>0.48491893221908544</v>
      </c>
      <c r="DH660" s="265">
        <v>0</v>
      </c>
      <c r="DI660" s="265">
        <v>0</v>
      </c>
      <c r="DJ660" s="265"/>
      <c r="DK660" s="265">
        <v>0</v>
      </c>
      <c r="DL660" s="265">
        <v>0</v>
      </c>
      <c r="DM660" s="265">
        <v>0</v>
      </c>
      <c r="DN660" s="265">
        <v>0</v>
      </c>
      <c r="DO660" s="265">
        <v>0</v>
      </c>
      <c r="DP660" s="265">
        <v>-5.3527699600787459E-3</v>
      </c>
      <c r="DQ660" s="265">
        <v>0</v>
      </c>
      <c r="DR660" s="265">
        <v>0</v>
      </c>
      <c r="DS660" s="265"/>
      <c r="DT660" s="265"/>
      <c r="DU660" s="265"/>
      <c r="DV660" s="265">
        <v>48.946474610004728</v>
      </c>
      <c r="DW660" s="265">
        <v>0</v>
      </c>
      <c r="DX660" s="265">
        <v>0</v>
      </c>
      <c r="DY660" s="265">
        <v>-26.451560000000001</v>
      </c>
      <c r="DZ660" s="265">
        <v>2.899409999999996</v>
      </c>
      <c r="EA660" s="265">
        <v>0</v>
      </c>
      <c r="EB660" s="265">
        <v>0</v>
      </c>
      <c r="EC660" s="265">
        <v>-27.458468068137417</v>
      </c>
      <c r="ED660" s="265">
        <v>0</v>
      </c>
      <c r="EE660" s="265">
        <v>0</v>
      </c>
      <c r="EF660" s="265">
        <v>0</v>
      </c>
      <c r="EG660" s="265">
        <v>0</v>
      </c>
      <c r="EH660" s="265">
        <v>0</v>
      </c>
      <c r="EI660" s="265">
        <v>0</v>
      </c>
      <c r="EJ660" s="265">
        <v>0</v>
      </c>
      <c r="EK660" s="265">
        <v>0</v>
      </c>
      <c r="EL660" s="265">
        <v>0</v>
      </c>
      <c r="EM660" s="265">
        <v>0</v>
      </c>
      <c r="EN660" s="265">
        <v>0</v>
      </c>
      <c r="EO660" s="265">
        <v>0</v>
      </c>
      <c r="EP660" s="265">
        <v>0</v>
      </c>
      <c r="EQ660" s="265">
        <v>0</v>
      </c>
      <c r="ER660" s="265">
        <v>0</v>
      </c>
      <c r="ES660" s="265">
        <v>0</v>
      </c>
      <c r="ET660" s="265">
        <v>0</v>
      </c>
      <c r="EU660" s="265">
        <v>0</v>
      </c>
      <c r="EV660" s="265">
        <v>238</v>
      </c>
      <c r="EW660" s="265">
        <v>0</v>
      </c>
      <c r="EX660" s="265">
        <v>0</v>
      </c>
      <c r="EY660" s="265">
        <v>0</v>
      </c>
      <c r="EZ660" s="265"/>
      <c r="FA660" s="265">
        <v>0</v>
      </c>
      <c r="FB660" s="265"/>
      <c r="FC660" s="265"/>
      <c r="FD660" s="265"/>
      <c r="FE660" s="265"/>
      <c r="FF660" s="265">
        <v>0</v>
      </c>
      <c r="FG660" s="265">
        <v>0</v>
      </c>
      <c r="FH660" s="265">
        <v>0</v>
      </c>
      <c r="FI660" s="265">
        <v>0</v>
      </c>
    </row>
    <row r="661" spans="1:165">
      <c r="A661" s="265">
        <v>666</v>
      </c>
      <c r="B661" s="265" t="s">
        <v>2255</v>
      </c>
      <c r="C661" s="265" t="s">
        <v>2235</v>
      </c>
      <c r="D661" s="265" t="s">
        <v>1955</v>
      </c>
      <c r="E661" s="265" t="s">
        <v>969</v>
      </c>
      <c r="F661" s="265" t="s">
        <v>2241</v>
      </c>
      <c r="G661" s="265" t="s">
        <v>1322</v>
      </c>
      <c r="H661" s="265" t="s">
        <v>1322</v>
      </c>
      <c r="I661" s="265" t="s">
        <v>1322</v>
      </c>
      <c r="J661" s="265" t="s">
        <v>2236</v>
      </c>
      <c r="K661" s="1639">
        <v>44713</v>
      </c>
      <c r="L661" s="265">
        <v>0</v>
      </c>
      <c r="M661" s="265">
        <v>0</v>
      </c>
      <c r="N661" s="265">
        <v>84.488</v>
      </c>
      <c r="O661" s="265">
        <v>84.488</v>
      </c>
      <c r="P661" s="265">
        <v>84.488</v>
      </c>
      <c r="Q661" s="265">
        <v>84.488</v>
      </c>
      <c r="R661" s="265"/>
      <c r="S661" s="265">
        <v>510.28</v>
      </c>
      <c r="T661" s="265">
        <v>209.4</v>
      </c>
      <c r="U661" s="265"/>
      <c r="V661" s="265">
        <v>60804.323839999997</v>
      </c>
      <c r="W661" s="265">
        <v>60804.323839999997</v>
      </c>
      <c r="X661" s="265">
        <v>45136.024239999999</v>
      </c>
      <c r="Y661" s="265">
        <v>0</v>
      </c>
      <c r="Z661" s="265">
        <v>0</v>
      </c>
      <c r="AA661" s="265">
        <v>0</v>
      </c>
      <c r="AB661" s="265">
        <v>0</v>
      </c>
      <c r="AC661" s="265">
        <v>0</v>
      </c>
      <c r="AD661" s="265">
        <v>6268.2614415087746</v>
      </c>
      <c r="AE661" s="265">
        <v>32562.123990945507</v>
      </c>
      <c r="AF661" s="265">
        <v>17459.50821039212</v>
      </c>
      <c r="AG661" s="265">
        <v>232.59250389431068</v>
      </c>
      <c r="AH661" s="265">
        <v>0</v>
      </c>
      <c r="AI661" s="265">
        <v>0</v>
      </c>
      <c r="AJ661" s="265">
        <v>0</v>
      </c>
      <c r="AK661" s="265">
        <v>0</v>
      </c>
      <c r="AL661" s="265">
        <v>0</v>
      </c>
      <c r="AM661" s="265"/>
      <c r="AN661" s="265">
        <v>154.01860911574957</v>
      </c>
      <c r="AO661" s="265">
        <v>481.53773172328619</v>
      </c>
      <c r="AP661" s="265">
        <v>725.34553022722878</v>
      </c>
      <c r="AQ661" s="265">
        <v>0</v>
      </c>
      <c r="AR661" s="265">
        <v>0</v>
      </c>
      <c r="AS661" s="265">
        <v>0</v>
      </c>
      <c r="AT661" s="265">
        <v>0</v>
      </c>
      <c r="AU661" s="265">
        <v>0</v>
      </c>
      <c r="AV661" s="265">
        <v>0</v>
      </c>
      <c r="AW661" s="265">
        <v>0</v>
      </c>
      <c r="AX661" s="265">
        <v>0</v>
      </c>
      <c r="AY661" s="265">
        <v>0</v>
      </c>
      <c r="AZ661" s="265">
        <v>0</v>
      </c>
      <c r="BA661" s="265"/>
      <c r="BB661" s="265">
        <v>0</v>
      </c>
      <c r="BC661" s="265">
        <v>0</v>
      </c>
      <c r="BD661" s="265">
        <v>0</v>
      </c>
      <c r="BE661" s="265">
        <v>0</v>
      </c>
      <c r="BF661" s="265">
        <v>0</v>
      </c>
      <c r="BG661" s="265">
        <v>2920.9430847520975</v>
      </c>
      <c r="BH661" s="265">
        <v>0</v>
      </c>
      <c r="BI661" s="265">
        <v>81.72</v>
      </c>
      <c r="BJ661" s="265">
        <v>403.54</v>
      </c>
      <c r="BK661" s="265">
        <v>13696.83</v>
      </c>
      <c r="BL661" s="265">
        <v>1019</v>
      </c>
      <c r="BM661" s="265"/>
      <c r="BN661" s="265"/>
      <c r="BO661" s="265"/>
      <c r="BP661" s="265"/>
      <c r="BQ661" s="265"/>
      <c r="BR661" s="265"/>
      <c r="BS661" s="265"/>
      <c r="BT661" s="265">
        <v>4514.1938399999981</v>
      </c>
      <c r="BU661" s="265"/>
      <c r="BV661" s="265">
        <v>20380.451295144216</v>
      </c>
      <c r="BW661" s="265"/>
      <c r="BX661" s="265"/>
      <c r="BY661" s="265"/>
      <c r="BZ661" s="265"/>
      <c r="CA661" s="265"/>
      <c r="CB661" s="265"/>
      <c r="CC661" s="265"/>
      <c r="CD661" s="265"/>
      <c r="CE661" s="265"/>
      <c r="CF661" s="265"/>
      <c r="CG661" s="265"/>
      <c r="CH661" s="265"/>
      <c r="CI661" s="265">
        <v>40622.792000000001</v>
      </c>
      <c r="CJ661" s="265">
        <v>-14100.960480000009</v>
      </c>
      <c r="CK661" s="265"/>
      <c r="CL661" s="265"/>
      <c r="CM661" s="265"/>
      <c r="CN661" s="265"/>
      <c r="CO661" s="265">
        <v>-17597.160639999998</v>
      </c>
      <c r="CP661" s="265">
        <v>1928.8610399999986</v>
      </c>
      <c r="CQ661" s="265">
        <v>30</v>
      </c>
      <c r="CR661" s="265">
        <v>2598.5111982996314</v>
      </c>
      <c r="CS661" s="265">
        <v>58.137028113764302</v>
      </c>
      <c r="CT661" s="265">
        <v>87.572438679105517</v>
      </c>
      <c r="CU661" s="265">
        <v>0</v>
      </c>
      <c r="CV661" s="265">
        <v>0</v>
      </c>
      <c r="CW661" s="265">
        <v>0</v>
      </c>
      <c r="CX661" s="265">
        <v>0</v>
      </c>
      <c r="CY661" s="265">
        <v>0</v>
      </c>
      <c r="CZ661" s="265">
        <v>205.48889025666358</v>
      </c>
      <c r="DA661" s="265">
        <v>0</v>
      </c>
      <c r="DB661" s="265">
        <v>0</v>
      </c>
      <c r="DC661" s="265">
        <v>1928.2767316679019</v>
      </c>
      <c r="DD661" s="265">
        <v>0</v>
      </c>
      <c r="DE661" s="265">
        <v>0</v>
      </c>
      <c r="DF661" s="265">
        <v>0</v>
      </c>
      <c r="DG661" s="265">
        <v>322.597092482883</v>
      </c>
      <c r="DH661" s="265">
        <v>0</v>
      </c>
      <c r="DI661" s="265">
        <v>0</v>
      </c>
      <c r="DJ661" s="265"/>
      <c r="DK661" s="265">
        <v>0</v>
      </c>
      <c r="DL661" s="265">
        <v>0</v>
      </c>
      <c r="DM661" s="265">
        <v>0</v>
      </c>
      <c r="DN661" s="265">
        <v>0</v>
      </c>
      <c r="DO661" s="265">
        <v>0</v>
      </c>
      <c r="DP661" s="265">
        <v>-3.5609829006860707</v>
      </c>
      <c r="DQ661" s="265">
        <v>0</v>
      </c>
      <c r="DR661" s="265">
        <v>0</v>
      </c>
      <c r="DS661" s="265"/>
      <c r="DT661" s="265"/>
      <c r="DU661" s="265"/>
      <c r="DV661" s="265">
        <v>32562.123990945507</v>
      </c>
      <c r="DW661" s="265">
        <v>0</v>
      </c>
      <c r="DX661" s="265">
        <v>0</v>
      </c>
      <c r="DY661" s="265">
        <v>-17597.160639999998</v>
      </c>
      <c r="DZ661" s="265">
        <v>1928.8610399999998</v>
      </c>
      <c r="EA661" s="265">
        <v>0</v>
      </c>
      <c r="EB661" s="265">
        <v>0</v>
      </c>
      <c r="EC661" s="265">
        <v>-18267.016142840897</v>
      </c>
      <c r="ED661" s="265">
        <v>0</v>
      </c>
      <c r="EE661" s="265">
        <v>0</v>
      </c>
      <c r="EF661" s="265">
        <v>0</v>
      </c>
      <c r="EG661" s="265">
        <v>0</v>
      </c>
      <c r="EH661" s="265">
        <v>0</v>
      </c>
      <c r="EI661" s="265">
        <v>0</v>
      </c>
      <c r="EJ661" s="265">
        <v>0</v>
      </c>
      <c r="EK661" s="265">
        <v>0</v>
      </c>
      <c r="EL661" s="265">
        <v>0</v>
      </c>
      <c r="EM661" s="265">
        <v>0</v>
      </c>
      <c r="EN661" s="265">
        <v>0</v>
      </c>
      <c r="EO661" s="265">
        <v>0</v>
      </c>
      <c r="EP661" s="265">
        <v>0</v>
      </c>
      <c r="EQ661" s="265">
        <v>0</v>
      </c>
      <c r="ER661" s="265">
        <v>0</v>
      </c>
      <c r="ES661" s="265">
        <v>0</v>
      </c>
      <c r="ET661" s="265">
        <v>0</v>
      </c>
      <c r="EU661" s="265">
        <v>0</v>
      </c>
      <c r="EV661" s="265">
        <v>238</v>
      </c>
      <c r="EW661" s="265">
        <v>0</v>
      </c>
      <c r="EX661" s="265">
        <v>0</v>
      </c>
      <c r="EY661" s="265">
        <v>0</v>
      </c>
      <c r="EZ661" s="265"/>
      <c r="FA661" s="265">
        <v>0</v>
      </c>
      <c r="FB661" s="265"/>
      <c r="FC661" s="265"/>
      <c r="FD661" s="265"/>
      <c r="FE661" s="265"/>
      <c r="FF661" s="265">
        <v>0</v>
      </c>
      <c r="FG661" s="265">
        <v>0</v>
      </c>
      <c r="FH661" s="265">
        <v>0</v>
      </c>
      <c r="FI661" s="265">
        <v>0</v>
      </c>
    </row>
    <row r="662" spans="1:165">
      <c r="A662" s="265">
        <v>667</v>
      </c>
      <c r="B662" s="265" t="s">
        <v>2255</v>
      </c>
      <c r="C662" s="265" t="s">
        <v>2235</v>
      </c>
      <c r="D662" s="265" t="s">
        <v>1955</v>
      </c>
      <c r="E662" s="265" t="s">
        <v>969</v>
      </c>
      <c r="F662" s="265" t="s">
        <v>2241</v>
      </c>
      <c r="G662" s="265" t="s">
        <v>1322</v>
      </c>
      <c r="H662" s="265" t="s">
        <v>1322</v>
      </c>
      <c r="I662" s="265" t="s">
        <v>1322</v>
      </c>
      <c r="J662" s="265" t="s">
        <v>2236</v>
      </c>
      <c r="K662" s="1639">
        <v>44713</v>
      </c>
      <c r="L662" s="265">
        <v>0</v>
      </c>
      <c r="M662" s="265">
        <v>0</v>
      </c>
      <c r="N662" s="265">
        <v>-2.4E-2</v>
      </c>
      <c r="O662" s="265">
        <v>-2.4E-2</v>
      </c>
      <c r="P662" s="265">
        <v>-2.4E-2</v>
      </c>
      <c r="Q662" s="265">
        <v>-2.4E-2</v>
      </c>
      <c r="R662" s="265"/>
      <c r="S662" s="265">
        <v>510.28</v>
      </c>
      <c r="T662" s="265">
        <v>209.4</v>
      </c>
      <c r="U662" s="265"/>
      <c r="V662" s="265">
        <v>-17.272320000000001</v>
      </c>
      <c r="W662" s="265">
        <v>-17.272320000000001</v>
      </c>
      <c r="X662" s="265">
        <v>-12.82152</v>
      </c>
      <c r="Y662" s="265">
        <v>0</v>
      </c>
      <c r="Z662" s="265">
        <v>0</v>
      </c>
      <c r="AA662" s="265">
        <v>0</v>
      </c>
      <c r="AB662" s="265">
        <v>0</v>
      </c>
      <c r="AC662" s="265">
        <v>0</v>
      </c>
      <c r="AD662" s="265">
        <v>-1.7805874750995478</v>
      </c>
      <c r="AE662" s="265">
        <v>-9.2497274853552245</v>
      </c>
      <c r="AF662" s="265">
        <v>-4.9596178989846003</v>
      </c>
      <c r="AG662" s="265">
        <v>-6.6071159140510566E-2</v>
      </c>
      <c r="AH662" s="265">
        <v>0</v>
      </c>
      <c r="AI662" s="265">
        <v>0</v>
      </c>
      <c r="AJ662" s="265">
        <v>0</v>
      </c>
      <c r="AK662" s="265">
        <v>0</v>
      </c>
      <c r="AL662" s="265">
        <v>0</v>
      </c>
      <c r="AM662" s="265"/>
      <c r="AN662" s="265">
        <v>-4.3751143579892883E-2</v>
      </c>
      <c r="AO662" s="265">
        <v>-0.13678753860144482</v>
      </c>
      <c r="AP662" s="265">
        <v>-0.20604455929189341</v>
      </c>
      <c r="AQ662" s="265">
        <v>0</v>
      </c>
      <c r="AR662" s="265">
        <v>0</v>
      </c>
      <c r="AS662" s="265">
        <v>0</v>
      </c>
      <c r="AT662" s="265">
        <v>0</v>
      </c>
      <c r="AU662" s="265">
        <v>0</v>
      </c>
      <c r="AV662" s="265">
        <v>0</v>
      </c>
      <c r="AW662" s="265">
        <v>0</v>
      </c>
      <c r="AX662" s="265">
        <v>0</v>
      </c>
      <c r="AY662" s="265">
        <v>0</v>
      </c>
      <c r="AZ662" s="265">
        <v>0</v>
      </c>
      <c r="BA662" s="265"/>
      <c r="BB662" s="265">
        <v>0</v>
      </c>
      <c r="BC662" s="265">
        <v>0</v>
      </c>
      <c r="BD662" s="265">
        <v>0</v>
      </c>
      <c r="BE662" s="265">
        <v>0</v>
      </c>
      <c r="BF662" s="265">
        <v>0</v>
      </c>
      <c r="BG662" s="265">
        <v>-0.82973480297853364</v>
      </c>
      <c r="BH662" s="265">
        <v>0</v>
      </c>
      <c r="BI662" s="265">
        <v>0</v>
      </c>
      <c r="BJ662" s="265">
        <v>0.16</v>
      </c>
      <c r="BK662" s="265">
        <v>-3.8</v>
      </c>
      <c r="BL662" s="265">
        <v>0</v>
      </c>
      <c r="BM662" s="265"/>
      <c r="BN662" s="265"/>
      <c r="BO662" s="265"/>
      <c r="BP662" s="265"/>
      <c r="BQ662" s="265"/>
      <c r="BR662" s="265"/>
      <c r="BS662" s="265"/>
      <c r="BT662" s="265">
        <v>-1.2823199999999995</v>
      </c>
      <c r="BU662" s="265"/>
      <c r="BV662" s="265">
        <v>-5.7893527019631339</v>
      </c>
      <c r="BW662" s="265"/>
      <c r="BX662" s="265"/>
      <c r="BY662" s="265"/>
      <c r="BZ662" s="265"/>
      <c r="CA662" s="265"/>
      <c r="CB662" s="265"/>
      <c r="CC662" s="265"/>
      <c r="CD662" s="265"/>
      <c r="CE662" s="265"/>
      <c r="CF662" s="265"/>
      <c r="CG662" s="265"/>
      <c r="CH662" s="265"/>
      <c r="CI662" s="265">
        <v>-9.6159999999999997</v>
      </c>
      <c r="CJ662" s="265">
        <v>5.8990400000000012</v>
      </c>
      <c r="CK662" s="265"/>
      <c r="CL662" s="265"/>
      <c r="CM662" s="265"/>
      <c r="CN662" s="265"/>
      <c r="CO662" s="265">
        <v>4.9987199999999996</v>
      </c>
      <c r="CP662" s="265">
        <v>-0.54791999999999963</v>
      </c>
      <c r="CQ662" s="265">
        <v>30</v>
      </c>
      <c r="CR662" s="265">
        <v>-0.73814350865437994</v>
      </c>
      <c r="CS662" s="265">
        <v>-1.6514637282576711E-2</v>
      </c>
      <c r="CT662" s="265">
        <v>-2.4876178016979139E-2</v>
      </c>
      <c r="CU662" s="265">
        <v>0</v>
      </c>
      <c r="CV662" s="265">
        <v>0</v>
      </c>
      <c r="CW662" s="265">
        <v>0</v>
      </c>
      <c r="CX662" s="265">
        <v>0</v>
      </c>
      <c r="CY662" s="265">
        <v>0</v>
      </c>
      <c r="CZ662" s="265">
        <v>-5.8371997989772773E-2</v>
      </c>
      <c r="DA662" s="265">
        <v>0</v>
      </c>
      <c r="DB662" s="265">
        <v>0</v>
      </c>
      <c r="DC662" s="265">
        <v>-0.54775401903263976</v>
      </c>
      <c r="DD662" s="265">
        <v>0</v>
      </c>
      <c r="DE662" s="265">
        <v>0</v>
      </c>
      <c r="DF662" s="265">
        <v>0</v>
      </c>
      <c r="DG662" s="265">
        <v>-9.1638223411480757E-2</v>
      </c>
      <c r="DH662" s="265">
        <v>0</v>
      </c>
      <c r="DI662" s="265">
        <v>0</v>
      </c>
      <c r="DJ662" s="265"/>
      <c r="DK662" s="265">
        <v>0</v>
      </c>
      <c r="DL662" s="265">
        <v>0</v>
      </c>
      <c r="DM662" s="265">
        <v>0</v>
      </c>
      <c r="DN662" s="265">
        <v>0</v>
      </c>
      <c r="DO662" s="265">
        <v>0</v>
      </c>
      <c r="DP662" s="265">
        <v>1.0115470790700021E-3</v>
      </c>
      <c r="DQ662" s="265">
        <v>0</v>
      </c>
      <c r="DR662" s="265">
        <v>0</v>
      </c>
      <c r="DS662" s="265"/>
      <c r="DT662" s="265"/>
      <c r="DU662" s="265"/>
      <c r="DV662" s="265">
        <v>-9.2497274853552245</v>
      </c>
      <c r="DW662" s="265">
        <v>0</v>
      </c>
      <c r="DX662" s="265">
        <v>0</v>
      </c>
      <c r="DY662" s="265">
        <v>4.9987199999999996</v>
      </c>
      <c r="DZ662" s="265">
        <v>-0.54792000000000041</v>
      </c>
      <c r="EA662" s="265">
        <v>0</v>
      </c>
      <c r="EB662" s="265">
        <v>0</v>
      </c>
      <c r="EC662" s="265">
        <v>5.1890018396480162</v>
      </c>
      <c r="ED662" s="265">
        <v>0</v>
      </c>
      <c r="EE662" s="265">
        <v>0</v>
      </c>
      <c r="EF662" s="265">
        <v>0</v>
      </c>
      <c r="EG662" s="265">
        <v>0</v>
      </c>
      <c r="EH662" s="265">
        <v>0</v>
      </c>
      <c r="EI662" s="265">
        <v>0</v>
      </c>
      <c r="EJ662" s="265">
        <v>0</v>
      </c>
      <c r="EK662" s="265">
        <v>0</v>
      </c>
      <c r="EL662" s="265">
        <v>0</v>
      </c>
      <c r="EM662" s="265">
        <v>0</v>
      </c>
      <c r="EN662" s="265">
        <v>0</v>
      </c>
      <c r="EO662" s="265">
        <v>0</v>
      </c>
      <c r="EP662" s="265">
        <v>0</v>
      </c>
      <c r="EQ662" s="265">
        <v>0</v>
      </c>
      <c r="ER662" s="265">
        <v>0</v>
      </c>
      <c r="ES662" s="265">
        <v>0</v>
      </c>
      <c r="ET662" s="265">
        <v>0</v>
      </c>
      <c r="EU662" s="265">
        <v>0</v>
      </c>
      <c r="EV662" s="265">
        <v>238</v>
      </c>
      <c r="EW662" s="265">
        <v>0</v>
      </c>
      <c r="EX662" s="265">
        <v>0</v>
      </c>
      <c r="EY662" s="265">
        <v>0</v>
      </c>
      <c r="EZ662" s="265"/>
      <c r="FA662" s="265">
        <v>0</v>
      </c>
      <c r="FB662" s="265"/>
      <c r="FC662" s="265"/>
      <c r="FD662" s="265"/>
      <c r="FE662" s="265"/>
      <c r="FF662" s="265">
        <v>0</v>
      </c>
      <c r="FG662" s="265">
        <v>0</v>
      </c>
      <c r="FH662" s="265">
        <v>0</v>
      </c>
      <c r="FI662" s="265">
        <v>0</v>
      </c>
    </row>
    <row r="663" spans="1:165">
      <c r="A663" s="265">
        <v>668</v>
      </c>
      <c r="B663" s="265" t="s">
        <v>2255</v>
      </c>
      <c r="C663" s="265" t="s">
        <v>2235</v>
      </c>
      <c r="D663" s="265" t="s">
        <v>1955</v>
      </c>
      <c r="E663" s="265" t="s">
        <v>969</v>
      </c>
      <c r="F663" s="265" t="s">
        <v>2241</v>
      </c>
      <c r="G663" s="265" t="s">
        <v>1322</v>
      </c>
      <c r="H663" s="265" t="s">
        <v>1322</v>
      </c>
      <c r="I663" s="265" t="s">
        <v>1322</v>
      </c>
      <c r="J663" s="265" t="s">
        <v>2236</v>
      </c>
      <c r="K663" s="1639">
        <v>44713</v>
      </c>
      <c r="L663" s="265">
        <v>0</v>
      </c>
      <c r="M663" s="265">
        <v>0</v>
      </c>
      <c r="N663" s="265">
        <v>0.12</v>
      </c>
      <c r="O663" s="265">
        <v>-3.5999999999999997E-2</v>
      </c>
      <c r="P663" s="265">
        <v>0.12</v>
      </c>
      <c r="Q663" s="265">
        <v>-3.5999999999999997E-2</v>
      </c>
      <c r="R663" s="265"/>
      <c r="S663" s="265">
        <v>510.28</v>
      </c>
      <c r="T663" s="265">
        <v>209.4</v>
      </c>
      <c r="U663" s="265"/>
      <c r="V663" s="265">
        <v>86.361599999999996</v>
      </c>
      <c r="W663" s="265">
        <v>86.361599999999996</v>
      </c>
      <c r="X663" s="265">
        <v>64.107600000000005</v>
      </c>
      <c r="Y663" s="265">
        <v>0</v>
      </c>
      <c r="Z663" s="265">
        <v>0</v>
      </c>
      <c r="AA663" s="265">
        <v>0</v>
      </c>
      <c r="AB663" s="265">
        <v>0</v>
      </c>
      <c r="AC663" s="265">
        <v>0</v>
      </c>
      <c r="AD663" s="265">
        <v>8.9029373754977392</v>
      </c>
      <c r="AE663" s="265">
        <v>46.248637426776121</v>
      </c>
      <c r="AF663" s="265">
        <v>24.798089494922998</v>
      </c>
      <c r="AG663" s="265">
        <v>0.3303557957025528</v>
      </c>
      <c r="AH663" s="265">
        <v>0</v>
      </c>
      <c r="AI663" s="265">
        <v>0</v>
      </c>
      <c r="AJ663" s="265">
        <v>0</v>
      </c>
      <c r="AK663" s="265">
        <v>0</v>
      </c>
      <c r="AL663" s="265">
        <v>0</v>
      </c>
      <c r="AM663" s="265"/>
      <c r="AN663" s="265">
        <v>0.21875571789946438</v>
      </c>
      <c r="AO663" s="265">
        <v>0.68393769300722407</v>
      </c>
      <c r="AP663" s="265">
        <v>1.030222796459467</v>
      </c>
      <c r="AQ663" s="265">
        <v>0</v>
      </c>
      <c r="AR663" s="265">
        <v>0</v>
      </c>
      <c r="AS663" s="265">
        <v>0</v>
      </c>
      <c r="AT663" s="265">
        <v>0</v>
      </c>
      <c r="AU663" s="265">
        <v>0</v>
      </c>
      <c r="AV663" s="265">
        <v>0</v>
      </c>
      <c r="AW663" s="265">
        <v>0</v>
      </c>
      <c r="AX663" s="265">
        <v>0</v>
      </c>
      <c r="AY663" s="265">
        <v>0</v>
      </c>
      <c r="AZ663" s="265">
        <v>0</v>
      </c>
      <c r="BA663" s="265"/>
      <c r="BB663" s="265">
        <v>0</v>
      </c>
      <c r="BC663" s="265">
        <v>0</v>
      </c>
      <c r="BD663" s="265">
        <v>0</v>
      </c>
      <c r="BE663" s="265">
        <v>0</v>
      </c>
      <c r="BF663" s="265">
        <v>0</v>
      </c>
      <c r="BG663" s="265">
        <v>4.1486740148926682</v>
      </c>
      <c r="BH663" s="265">
        <v>0</v>
      </c>
      <c r="BI663" s="265">
        <v>0.12</v>
      </c>
      <c r="BJ663" s="265">
        <v>0.56999999999999995</v>
      </c>
      <c r="BK663" s="265">
        <v>103.67</v>
      </c>
      <c r="BL663" s="265">
        <v>9</v>
      </c>
      <c r="BM663" s="265"/>
      <c r="BN663" s="265"/>
      <c r="BO663" s="265"/>
      <c r="BP663" s="265"/>
      <c r="BQ663" s="265"/>
      <c r="BR663" s="265"/>
      <c r="BS663" s="265"/>
      <c r="BT663" s="265">
        <v>81.416399999999996</v>
      </c>
      <c r="BU663" s="265"/>
      <c r="BV663" s="265">
        <v>28.946763509815668</v>
      </c>
      <c r="BW663" s="265"/>
      <c r="BX663" s="265"/>
      <c r="BY663" s="265"/>
      <c r="BZ663" s="265"/>
      <c r="CA663" s="265"/>
      <c r="CB663" s="265"/>
      <c r="CC663" s="265"/>
      <c r="CD663" s="265"/>
      <c r="CE663" s="265"/>
      <c r="CF663" s="265"/>
      <c r="CG663" s="265"/>
      <c r="CH663" s="265"/>
      <c r="CI663" s="265">
        <v>-19.231999999999999</v>
      </c>
      <c r="CJ663" s="265">
        <v>4.0555599999999927</v>
      </c>
      <c r="CK663" s="265"/>
      <c r="CL663" s="265"/>
      <c r="CM663" s="265"/>
      <c r="CN663" s="265"/>
      <c r="CO663" s="265">
        <v>-24.993599999999997</v>
      </c>
      <c r="CP663" s="265">
        <v>2.739599999999998</v>
      </c>
      <c r="CQ663" s="265">
        <v>30</v>
      </c>
      <c r="CR663" s="265">
        <v>3.6907175432718944</v>
      </c>
      <c r="CS663" s="265">
        <v>8.2573186412883581E-2</v>
      </c>
      <c r="CT663" s="265">
        <v>0.12438089008489572</v>
      </c>
      <c r="CU663" s="265">
        <v>0</v>
      </c>
      <c r="CV663" s="265">
        <v>0</v>
      </c>
      <c r="CW663" s="265">
        <v>0</v>
      </c>
      <c r="CX663" s="265">
        <v>0</v>
      </c>
      <c r="CY663" s="265">
        <v>0</v>
      </c>
      <c r="CZ663" s="265">
        <v>0.29185998994886297</v>
      </c>
      <c r="DA663" s="265">
        <v>0</v>
      </c>
      <c r="DB663" s="265">
        <v>0</v>
      </c>
      <c r="DC663" s="265">
        <v>2.7387700951632006</v>
      </c>
      <c r="DD663" s="265">
        <v>0</v>
      </c>
      <c r="DE663" s="265">
        <v>0</v>
      </c>
      <c r="DF663" s="265">
        <v>0</v>
      </c>
      <c r="DG663" s="265">
        <v>0.45819111705740312</v>
      </c>
      <c r="DH663" s="265">
        <v>0</v>
      </c>
      <c r="DI663" s="265">
        <v>0</v>
      </c>
      <c r="DJ663" s="265"/>
      <c r="DK663" s="265">
        <v>0</v>
      </c>
      <c r="DL663" s="265">
        <v>0</v>
      </c>
      <c r="DM663" s="265">
        <v>0</v>
      </c>
      <c r="DN663" s="265">
        <v>0</v>
      </c>
      <c r="DO663" s="265">
        <v>0</v>
      </c>
      <c r="DP663" s="265">
        <v>-5.0577353953499826E-3</v>
      </c>
      <c r="DQ663" s="265">
        <v>0</v>
      </c>
      <c r="DR663" s="265">
        <v>0</v>
      </c>
      <c r="DS663" s="265"/>
      <c r="DT663" s="265"/>
      <c r="DU663" s="265"/>
      <c r="DV663" s="265">
        <v>46.248637426776121</v>
      </c>
      <c r="DW663" s="265">
        <v>0</v>
      </c>
      <c r="DX663" s="265">
        <v>0</v>
      </c>
      <c r="DY663" s="265">
        <v>-24.993599999999994</v>
      </c>
      <c r="DZ663" s="265">
        <v>2.7395999999999994</v>
      </c>
      <c r="EA663" s="265">
        <v>0</v>
      </c>
      <c r="EB663" s="265">
        <v>0</v>
      </c>
      <c r="EC663" s="265">
        <v>-25.945009198240079</v>
      </c>
      <c r="ED663" s="265">
        <v>0</v>
      </c>
      <c r="EE663" s="265">
        <v>0</v>
      </c>
      <c r="EF663" s="265">
        <v>0</v>
      </c>
      <c r="EG663" s="265">
        <v>0</v>
      </c>
      <c r="EH663" s="265">
        <v>0</v>
      </c>
      <c r="EI663" s="265">
        <v>0</v>
      </c>
      <c r="EJ663" s="265">
        <v>0</v>
      </c>
      <c r="EK663" s="265">
        <v>0</v>
      </c>
      <c r="EL663" s="265">
        <v>0</v>
      </c>
      <c r="EM663" s="265">
        <v>0</v>
      </c>
      <c r="EN663" s="265">
        <v>0</v>
      </c>
      <c r="EO663" s="265">
        <v>0</v>
      </c>
      <c r="EP663" s="265">
        <v>0</v>
      </c>
      <c r="EQ663" s="265">
        <v>0</v>
      </c>
      <c r="ER663" s="265">
        <v>0</v>
      </c>
      <c r="ES663" s="265">
        <v>0</v>
      </c>
      <c r="ET663" s="265">
        <v>0</v>
      </c>
      <c r="EU663" s="265">
        <v>0</v>
      </c>
      <c r="EV663" s="265">
        <v>238</v>
      </c>
      <c r="EW663" s="265">
        <v>0</v>
      </c>
      <c r="EX663" s="265">
        <v>0</v>
      </c>
      <c r="EY663" s="265">
        <v>0</v>
      </c>
      <c r="EZ663" s="265"/>
      <c r="FA663" s="265">
        <v>0</v>
      </c>
      <c r="FB663" s="265"/>
      <c r="FC663" s="265"/>
      <c r="FD663" s="265"/>
      <c r="FE663" s="265"/>
      <c r="FF663" s="265">
        <v>0</v>
      </c>
      <c r="FG663" s="265">
        <v>0</v>
      </c>
      <c r="FH663" s="265">
        <v>0</v>
      </c>
      <c r="FI663" s="265">
        <v>0</v>
      </c>
    </row>
    <row r="664" spans="1:165">
      <c r="A664" s="265">
        <v>669</v>
      </c>
      <c r="B664" s="265" t="s">
        <v>2255</v>
      </c>
      <c r="C664" s="265" t="s">
        <v>2235</v>
      </c>
      <c r="D664" s="265" t="s">
        <v>1955</v>
      </c>
      <c r="E664" s="265" t="s">
        <v>969</v>
      </c>
      <c r="F664" s="265" t="s">
        <v>2242</v>
      </c>
      <c r="G664" s="265" t="s">
        <v>1322</v>
      </c>
      <c r="H664" s="265" t="s">
        <v>1322</v>
      </c>
      <c r="I664" s="265" t="s">
        <v>1322</v>
      </c>
      <c r="J664" s="265" t="s">
        <v>2236</v>
      </c>
      <c r="K664" s="1639">
        <v>44713</v>
      </c>
      <c r="L664" s="265">
        <v>0</v>
      </c>
      <c r="M664" s="265">
        <v>0</v>
      </c>
      <c r="N664" s="265">
        <v>18.498000000000001</v>
      </c>
      <c r="O664" s="265">
        <v>18.498000000000001</v>
      </c>
      <c r="P664" s="265">
        <v>18.498000000000001</v>
      </c>
      <c r="Q664" s="265">
        <v>18.498000000000001</v>
      </c>
      <c r="R664" s="265"/>
      <c r="S664" s="265">
        <v>510.28</v>
      </c>
      <c r="T664" s="265">
        <v>209.4</v>
      </c>
      <c r="U664" s="265"/>
      <c r="V664" s="265">
        <v>13312.64064</v>
      </c>
      <c r="W664" s="265">
        <v>13312.64064</v>
      </c>
      <c r="X664" s="265">
        <v>9882.1865400000006</v>
      </c>
      <c r="Y664" s="265">
        <v>0</v>
      </c>
      <c r="Z664" s="265">
        <v>0</v>
      </c>
      <c r="AA664" s="265">
        <v>0</v>
      </c>
      <c r="AB664" s="265">
        <v>0</v>
      </c>
      <c r="AC664" s="265">
        <v>0</v>
      </c>
      <c r="AD664" s="265">
        <v>1372.3877964329765</v>
      </c>
      <c r="AE664" s="265">
        <v>7129.2274593375396</v>
      </c>
      <c r="AF664" s="265">
        <v>3822.6254956423809</v>
      </c>
      <c r="AG664" s="265">
        <v>50.924345907548521</v>
      </c>
      <c r="AH664" s="265">
        <v>0</v>
      </c>
      <c r="AI664" s="265">
        <v>0</v>
      </c>
      <c r="AJ664" s="265">
        <v>0</v>
      </c>
      <c r="AK664" s="265">
        <v>0</v>
      </c>
      <c r="AL664" s="265">
        <v>0</v>
      </c>
      <c r="AM664" s="265"/>
      <c r="AN664" s="265">
        <v>33.721193914202438</v>
      </c>
      <c r="AO664" s="265">
        <v>105.42899537706359</v>
      </c>
      <c r="AP664" s="265">
        <v>158.80884407422687</v>
      </c>
      <c r="AQ664" s="265">
        <v>0</v>
      </c>
      <c r="AR664" s="265">
        <v>0</v>
      </c>
      <c r="AS664" s="265">
        <v>0</v>
      </c>
      <c r="AT664" s="265">
        <v>0</v>
      </c>
      <c r="AU664" s="265">
        <v>0</v>
      </c>
      <c r="AV664" s="265">
        <v>0</v>
      </c>
      <c r="AW664" s="265">
        <v>0</v>
      </c>
      <c r="AX664" s="265">
        <v>0</v>
      </c>
      <c r="AY664" s="265">
        <v>0</v>
      </c>
      <c r="AZ664" s="265">
        <v>0</v>
      </c>
      <c r="BA664" s="265"/>
      <c r="BB664" s="265">
        <v>0</v>
      </c>
      <c r="BC664" s="265">
        <v>0</v>
      </c>
      <c r="BD664" s="265">
        <v>0</v>
      </c>
      <c r="BE664" s="265">
        <v>0</v>
      </c>
      <c r="BF664" s="265">
        <v>0</v>
      </c>
      <c r="BG664" s="265">
        <v>639.51809939570478</v>
      </c>
      <c r="BH664" s="265">
        <v>0</v>
      </c>
      <c r="BI664" s="265">
        <v>20.29</v>
      </c>
      <c r="BJ664" s="265">
        <v>97.29</v>
      </c>
      <c r="BK664" s="265">
        <v>3332.05</v>
      </c>
      <c r="BL664" s="265">
        <v>254</v>
      </c>
      <c r="BM664" s="265"/>
      <c r="BN664" s="265"/>
      <c r="BO664" s="265"/>
      <c r="BP664" s="265"/>
      <c r="BQ664" s="265"/>
      <c r="BR664" s="265"/>
      <c r="BS664" s="265"/>
      <c r="BT664" s="265"/>
      <c r="BU664" s="265"/>
      <c r="BV664" s="265">
        <v>4462.1435950380856</v>
      </c>
      <c r="BW664" s="265"/>
      <c r="BX664" s="265"/>
      <c r="BY664" s="265"/>
      <c r="BZ664" s="265"/>
      <c r="CA664" s="265"/>
      <c r="CB664" s="265"/>
      <c r="CC664" s="265"/>
      <c r="CD664" s="265"/>
      <c r="CE664" s="265"/>
      <c r="CF664" s="265"/>
      <c r="CG664" s="265"/>
      <c r="CH664" s="265"/>
      <c r="CI664" s="265">
        <v>9883.255000000001</v>
      </c>
      <c r="CJ664" s="265">
        <v>-3429.4156399999993</v>
      </c>
      <c r="CK664" s="265"/>
      <c r="CL664" s="265"/>
      <c r="CM664" s="265"/>
      <c r="CN664" s="265"/>
      <c r="CO664" s="265">
        <v>-3852.7634399999997</v>
      </c>
      <c r="CP664" s="265">
        <v>422.30933999999974</v>
      </c>
      <c r="CQ664" s="265">
        <v>30</v>
      </c>
      <c r="CR664" s="265">
        <v>568.92410929536163</v>
      </c>
      <c r="CS664" s="265">
        <v>12.728656685546014</v>
      </c>
      <c r="CT664" s="265">
        <v>19.173314206586667</v>
      </c>
      <c r="CU664" s="265">
        <v>0</v>
      </c>
      <c r="CV664" s="265">
        <v>0</v>
      </c>
      <c r="CW664" s="265">
        <v>0</v>
      </c>
      <c r="CX664" s="265">
        <v>0</v>
      </c>
      <c r="CY664" s="265">
        <v>0</v>
      </c>
      <c r="CZ664" s="265">
        <v>44.990217450617365</v>
      </c>
      <c r="DA664" s="265">
        <v>0</v>
      </c>
      <c r="DB664" s="265">
        <v>0</v>
      </c>
      <c r="DC664" s="265">
        <v>422.18141016940717</v>
      </c>
      <c r="DD664" s="265">
        <v>0</v>
      </c>
      <c r="DE664" s="265">
        <v>0</v>
      </c>
      <c r="DF664" s="265">
        <v>0</v>
      </c>
      <c r="DG664" s="265">
        <v>70.630160694398796</v>
      </c>
      <c r="DH664" s="265">
        <v>0</v>
      </c>
      <c r="DI664" s="265">
        <v>0</v>
      </c>
      <c r="DJ664" s="265"/>
      <c r="DK664" s="265">
        <v>0</v>
      </c>
      <c r="DL664" s="265">
        <v>0</v>
      </c>
      <c r="DM664" s="265">
        <v>0</v>
      </c>
      <c r="DN664" s="265">
        <v>0</v>
      </c>
      <c r="DO664" s="265">
        <v>0</v>
      </c>
      <c r="DP664" s="265">
        <v>-0.77964991119319649</v>
      </c>
      <c r="DQ664" s="265">
        <v>0</v>
      </c>
      <c r="DR664" s="265">
        <v>0</v>
      </c>
      <c r="DS664" s="265"/>
      <c r="DT664" s="265"/>
      <c r="DU664" s="265"/>
      <c r="DV664" s="265">
        <v>7129.2274593375396</v>
      </c>
      <c r="DW664" s="265">
        <v>0</v>
      </c>
      <c r="DX664" s="265">
        <v>0</v>
      </c>
      <c r="DY664" s="265">
        <v>-3852.7634399999988</v>
      </c>
      <c r="DZ664" s="265">
        <v>422.30933999999979</v>
      </c>
      <c r="EA664" s="265">
        <v>0</v>
      </c>
      <c r="EB664" s="265">
        <v>0</v>
      </c>
      <c r="EC664" s="265">
        <v>-3999.4231679087088</v>
      </c>
      <c r="ED664" s="265">
        <v>0</v>
      </c>
      <c r="EE664" s="265">
        <v>0</v>
      </c>
      <c r="EF664" s="265">
        <v>0</v>
      </c>
      <c r="EG664" s="265">
        <v>0</v>
      </c>
      <c r="EH664" s="265">
        <v>0</v>
      </c>
      <c r="EI664" s="265">
        <v>0</v>
      </c>
      <c r="EJ664" s="265">
        <v>0</v>
      </c>
      <c r="EK664" s="265">
        <v>0</v>
      </c>
      <c r="EL664" s="265">
        <v>0</v>
      </c>
      <c r="EM664" s="265">
        <v>0</v>
      </c>
      <c r="EN664" s="265">
        <v>0</v>
      </c>
      <c r="EO664" s="265">
        <v>0</v>
      </c>
      <c r="EP664" s="265">
        <v>0</v>
      </c>
      <c r="EQ664" s="265">
        <v>0</v>
      </c>
      <c r="ER664" s="265">
        <v>0</v>
      </c>
      <c r="ES664" s="265">
        <v>0</v>
      </c>
      <c r="ET664" s="265">
        <v>0</v>
      </c>
      <c r="EU664" s="265">
        <v>0</v>
      </c>
      <c r="EV664" s="265">
        <v>238</v>
      </c>
      <c r="EW664" s="265">
        <v>0</v>
      </c>
      <c r="EX664" s="265">
        <v>0</v>
      </c>
      <c r="EY664" s="265">
        <v>0</v>
      </c>
      <c r="EZ664" s="265"/>
      <c r="FA664" s="265">
        <v>0</v>
      </c>
      <c r="FB664" s="265"/>
      <c r="FC664" s="265"/>
      <c r="FD664" s="265"/>
      <c r="FE664" s="265"/>
      <c r="FF664" s="265">
        <v>0</v>
      </c>
      <c r="FG664" s="265">
        <v>0</v>
      </c>
      <c r="FH664" s="265">
        <v>0</v>
      </c>
      <c r="FI664" s="265">
        <v>0</v>
      </c>
    </row>
    <row r="665" spans="1:165">
      <c r="A665" s="265">
        <v>670</v>
      </c>
      <c r="B665" s="265" t="s">
        <v>2255</v>
      </c>
      <c r="C665" s="265" t="s">
        <v>2235</v>
      </c>
      <c r="D665" s="265" t="s">
        <v>1955</v>
      </c>
      <c r="E665" s="265" t="s">
        <v>969</v>
      </c>
      <c r="F665" s="265" t="s">
        <v>2242</v>
      </c>
      <c r="G665" s="265" t="s">
        <v>1322</v>
      </c>
      <c r="H665" s="265" t="s">
        <v>1322</v>
      </c>
      <c r="I665" s="265" t="s">
        <v>1322</v>
      </c>
      <c r="J665" s="265" t="s">
        <v>2236</v>
      </c>
      <c r="K665" s="1639">
        <v>44713</v>
      </c>
      <c r="L665" s="265">
        <v>0</v>
      </c>
      <c r="M665" s="265">
        <v>0</v>
      </c>
      <c r="N665" s="265">
        <v>-2.7E-2</v>
      </c>
      <c r="O665" s="265">
        <v>-2.7E-2</v>
      </c>
      <c r="P665" s="265">
        <v>-2.7E-2</v>
      </c>
      <c r="Q665" s="265">
        <v>-2.7E-2</v>
      </c>
      <c r="R665" s="265"/>
      <c r="S665" s="265">
        <v>510.28</v>
      </c>
      <c r="T665" s="265">
        <v>209.4</v>
      </c>
      <c r="U665" s="265"/>
      <c r="V665" s="265">
        <v>-19.431359999999998</v>
      </c>
      <c r="W665" s="265">
        <v>-19.431359999999998</v>
      </c>
      <c r="X665" s="265">
        <v>-14.424209999999999</v>
      </c>
      <c r="Y665" s="265">
        <v>0</v>
      </c>
      <c r="Z665" s="265">
        <v>0</v>
      </c>
      <c r="AA665" s="265">
        <v>0</v>
      </c>
      <c r="AB665" s="265">
        <v>0</v>
      </c>
      <c r="AC665" s="265">
        <v>0</v>
      </c>
      <c r="AD665" s="265">
        <v>-2.0031609094869913</v>
      </c>
      <c r="AE665" s="265">
        <v>-10.405943421024627</v>
      </c>
      <c r="AF665" s="265">
        <v>-5.5795701363576748</v>
      </c>
      <c r="AG665" s="265">
        <v>-7.4330054033074383E-2</v>
      </c>
      <c r="AH665" s="265">
        <v>0</v>
      </c>
      <c r="AI665" s="265">
        <v>0</v>
      </c>
      <c r="AJ665" s="265">
        <v>0</v>
      </c>
      <c r="AK665" s="265">
        <v>0</v>
      </c>
      <c r="AL665" s="265">
        <v>0</v>
      </c>
      <c r="AM665" s="265"/>
      <c r="AN665" s="265">
        <v>-4.9220036527379489E-2</v>
      </c>
      <c r="AO665" s="265">
        <v>-0.15388598092662542</v>
      </c>
      <c r="AP665" s="265">
        <v>-0.23180012920338008</v>
      </c>
      <c r="AQ665" s="265">
        <v>0</v>
      </c>
      <c r="AR665" s="265">
        <v>0</v>
      </c>
      <c r="AS665" s="265">
        <v>0</v>
      </c>
      <c r="AT665" s="265">
        <v>0</v>
      </c>
      <c r="AU665" s="265">
        <v>0</v>
      </c>
      <c r="AV665" s="265">
        <v>0</v>
      </c>
      <c r="AW665" s="265">
        <v>0</v>
      </c>
      <c r="AX665" s="265">
        <v>0</v>
      </c>
      <c r="AY665" s="265">
        <v>0</v>
      </c>
      <c r="AZ665" s="265">
        <v>0</v>
      </c>
      <c r="BA665" s="265"/>
      <c r="BB665" s="265">
        <v>0</v>
      </c>
      <c r="BC665" s="265">
        <v>0</v>
      </c>
      <c r="BD665" s="265">
        <v>0</v>
      </c>
      <c r="BE665" s="265">
        <v>0</v>
      </c>
      <c r="BF665" s="265">
        <v>0</v>
      </c>
      <c r="BG665" s="265">
        <v>-0.93345165335085023</v>
      </c>
      <c r="BH665" s="265">
        <v>0</v>
      </c>
      <c r="BI665" s="265">
        <v>0.02</v>
      </c>
      <c r="BJ665" s="265">
        <v>0.68</v>
      </c>
      <c r="BK665" s="265">
        <v>-4.5599999999999996</v>
      </c>
      <c r="BL665" s="265">
        <v>0</v>
      </c>
      <c r="BM665" s="265"/>
      <c r="BN665" s="265"/>
      <c r="BO665" s="265"/>
      <c r="BP665" s="265"/>
      <c r="BQ665" s="265"/>
      <c r="BR665" s="265"/>
      <c r="BS665" s="265"/>
      <c r="BT665" s="265"/>
      <c r="BU665" s="265"/>
      <c r="BV665" s="265">
        <v>-6.5130217897085254</v>
      </c>
      <c r="BW665" s="265"/>
      <c r="BX665" s="265"/>
      <c r="BY665" s="265"/>
      <c r="BZ665" s="265"/>
      <c r="CA665" s="265"/>
      <c r="CB665" s="265"/>
      <c r="CC665" s="265"/>
      <c r="CD665" s="265"/>
      <c r="CE665" s="265"/>
      <c r="CF665" s="265"/>
      <c r="CG665" s="265"/>
      <c r="CH665" s="265"/>
      <c r="CI665" s="265">
        <v>-16.026900000000001</v>
      </c>
      <c r="CJ665" s="265">
        <v>3.3744599999999991</v>
      </c>
      <c r="CK665" s="265"/>
      <c r="CL665" s="265"/>
      <c r="CM665" s="265"/>
      <c r="CN665" s="265"/>
      <c r="CO665" s="265">
        <v>5.6235599999999994</v>
      </c>
      <c r="CP665" s="265">
        <v>-0.61640999999999957</v>
      </c>
      <c r="CQ665" s="265">
        <v>30</v>
      </c>
      <c r="CR665" s="265">
        <v>-0.83041144723617499</v>
      </c>
      <c r="CS665" s="265">
        <v>-1.8578966942898789E-2</v>
      </c>
      <c r="CT665" s="265">
        <v>-2.7985700269101549E-2</v>
      </c>
      <c r="CU665" s="265">
        <v>0</v>
      </c>
      <c r="CV665" s="265">
        <v>0</v>
      </c>
      <c r="CW665" s="265">
        <v>0</v>
      </c>
      <c r="CX665" s="265">
        <v>0</v>
      </c>
      <c r="CY665" s="265">
        <v>0</v>
      </c>
      <c r="CZ665" s="265">
        <v>-6.566849773849448E-2</v>
      </c>
      <c r="DA665" s="265">
        <v>0</v>
      </c>
      <c r="DB665" s="265">
        <v>0</v>
      </c>
      <c r="DC665" s="265">
        <v>-0.61622327141171951</v>
      </c>
      <c r="DD665" s="265">
        <v>0</v>
      </c>
      <c r="DE665" s="265">
        <v>0</v>
      </c>
      <c r="DF665" s="265">
        <v>0</v>
      </c>
      <c r="DG665" s="265">
        <v>-0.10309300133791599</v>
      </c>
      <c r="DH665" s="265">
        <v>0</v>
      </c>
      <c r="DI665" s="265">
        <v>0</v>
      </c>
      <c r="DJ665" s="265"/>
      <c r="DK665" s="265">
        <v>0</v>
      </c>
      <c r="DL665" s="265">
        <v>0</v>
      </c>
      <c r="DM665" s="265">
        <v>0</v>
      </c>
      <c r="DN665" s="265">
        <v>0</v>
      </c>
      <c r="DO665" s="265">
        <v>0</v>
      </c>
      <c r="DP665" s="265">
        <v>1.1379904639537489E-3</v>
      </c>
      <c r="DQ665" s="265">
        <v>0</v>
      </c>
      <c r="DR665" s="265">
        <v>0</v>
      </c>
      <c r="DS665" s="265"/>
      <c r="DT665" s="265"/>
      <c r="DU665" s="265"/>
      <c r="DV665" s="265">
        <v>-10.405943421024627</v>
      </c>
      <c r="DW665" s="265">
        <v>0</v>
      </c>
      <c r="DX665" s="265">
        <v>0</v>
      </c>
      <c r="DY665" s="265">
        <v>5.6235599999999994</v>
      </c>
      <c r="DZ665" s="265">
        <v>-0.61640999999999924</v>
      </c>
      <c r="EA665" s="265">
        <v>0</v>
      </c>
      <c r="EB665" s="265">
        <v>0</v>
      </c>
      <c r="EC665" s="265">
        <v>5.837627069604018</v>
      </c>
      <c r="ED665" s="265">
        <v>0</v>
      </c>
      <c r="EE665" s="265">
        <v>0</v>
      </c>
      <c r="EF665" s="265">
        <v>0</v>
      </c>
      <c r="EG665" s="265">
        <v>0</v>
      </c>
      <c r="EH665" s="265">
        <v>0</v>
      </c>
      <c r="EI665" s="265">
        <v>0</v>
      </c>
      <c r="EJ665" s="265">
        <v>0</v>
      </c>
      <c r="EK665" s="265">
        <v>0</v>
      </c>
      <c r="EL665" s="265">
        <v>0</v>
      </c>
      <c r="EM665" s="265">
        <v>0</v>
      </c>
      <c r="EN665" s="265">
        <v>0</v>
      </c>
      <c r="EO665" s="265">
        <v>0</v>
      </c>
      <c r="EP665" s="265">
        <v>0</v>
      </c>
      <c r="EQ665" s="265">
        <v>0</v>
      </c>
      <c r="ER665" s="265">
        <v>0</v>
      </c>
      <c r="ES665" s="265">
        <v>0</v>
      </c>
      <c r="ET665" s="265">
        <v>0</v>
      </c>
      <c r="EU665" s="265">
        <v>0</v>
      </c>
      <c r="EV665" s="265">
        <v>238</v>
      </c>
      <c r="EW665" s="265">
        <v>0</v>
      </c>
      <c r="EX665" s="265">
        <v>0</v>
      </c>
      <c r="EY665" s="265">
        <v>0</v>
      </c>
      <c r="EZ665" s="265"/>
      <c r="FA665" s="265">
        <v>0</v>
      </c>
      <c r="FB665" s="265"/>
      <c r="FC665" s="265"/>
      <c r="FD665" s="265"/>
      <c r="FE665" s="265"/>
      <c r="FF665" s="265">
        <v>0</v>
      </c>
      <c r="FG665" s="265">
        <v>0</v>
      </c>
      <c r="FH665" s="265">
        <v>0</v>
      </c>
      <c r="FI665" s="265">
        <v>0</v>
      </c>
    </row>
    <row r="666" spans="1:165">
      <c r="A666" s="265">
        <v>671</v>
      </c>
      <c r="B666" s="265" t="s">
        <v>2255</v>
      </c>
      <c r="C666" s="265" t="s">
        <v>2235</v>
      </c>
      <c r="D666" s="265" t="s">
        <v>1955</v>
      </c>
      <c r="E666" s="265" t="s">
        <v>969</v>
      </c>
      <c r="F666" s="265" t="s">
        <v>2242</v>
      </c>
      <c r="G666" s="265" t="s">
        <v>1322</v>
      </c>
      <c r="H666" s="265" t="s">
        <v>1322</v>
      </c>
      <c r="I666" s="265" t="s">
        <v>1322</v>
      </c>
      <c r="J666" s="265" t="s">
        <v>2236</v>
      </c>
      <c r="K666" s="1639">
        <v>44713</v>
      </c>
      <c r="L666" s="265">
        <v>0</v>
      </c>
      <c r="M666" s="265">
        <v>0</v>
      </c>
      <c r="N666" s="265">
        <v>0.72899999999999998</v>
      </c>
      <c r="O666" s="265">
        <v>0.72899999999999998</v>
      </c>
      <c r="P666" s="265">
        <v>0.72899999999999998</v>
      </c>
      <c r="Q666" s="265">
        <v>0.72899999999999998</v>
      </c>
      <c r="R666" s="265"/>
      <c r="S666" s="265">
        <v>510.28</v>
      </c>
      <c r="T666" s="265">
        <v>209.4</v>
      </c>
      <c r="U666" s="265"/>
      <c r="V666" s="265">
        <v>524.64671999999996</v>
      </c>
      <c r="W666" s="265">
        <v>524.64671999999996</v>
      </c>
      <c r="X666" s="265">
        <v>389.45366999999999</v>
      </c>
      <c r="Y666" s="265">
        <v>0</v>
      </c>
      <c r="Z666" s="265">
        <v>0</v>
      </c>
      <c r="AA666" s="265">
        <v>0</v>
      </c>
      <c r="AB666" s="265">
        <v>0</v>
      </c>
      <c r="AC666" s="265">
        <v>0</v>
      </c>
      <c r="AD666" s="265">
        <v>54.085344556148762</v>
      </c>
      <c r="AE666" s="265">
        <v>280.96047236766492</v>
      </c>
      <c r="AF666" s="265">
        <v>150.64839368165721</v>
      </c>
      <c r="AG666" s="265">
        <v>2.0069114588930081</v>
      </c>
      <c r="AH666" s="265">
        <v>0</v>
      </c>
      <c r="AI666" s="265">
        <v>0</v>
      </c>
      <c r="AJ666" s="265">
        <v>0</v>
      </c>
      <c r="AK666" s="265">
        <v>0</v>
      </c>
      <c r="AL666" s="265">
        <v>0</v>
      </c>
      <c r="AM666" s="265"/>
      <c r="AN666" s="265">
        <v>1.3289409862392463</v>
      </c>
      <c r="AO666" s="265">
        <v>4.1549214850188863</v>
      </c>
      <c r="AP666" s="265">
        <v>6.2586034884912625</v>
      </c>
      <c r="AQ666" s="265">
        <v>0</v>
      </c>
      <c r="AR666" s="265">
        <v>0</v>
      </c>
      <c r="AS666" s="265">
        <v>0</v>
      </c>
      <c r="AT666" s="265">
        <v>0</v>
      </c>
      <c r="AU666" s="265">
        <v>0</v>
      </c>
      <c r="AV666" s="265">
        <v>0</v>
      </c>
      <c r="AW666" s="265">
        <v>0</v>
      </c>
      <c r="AX666" s="265">
        <v>0</v>
      </c>
      <c r="AY666" s="265">
        <v>0</v>
      </c>
      <c r="AZ666" s="265">
        <v>0</v>
      </c>
      <c r="BA666" s="265"/>
      <c r="BB666" s="265">
        <v>0</v>
      </c>
      <c r="BC666" s="265">
        <v>0</v>
      </c>
      <c r="BD666" s="265">
        <v>0</v>
      </c>
      <c r="BE666" s="265">
        <v>0</v>
      </c>
      <c r="BF666" s="265">
        <v>0</v>
      </c>
      <c r="BG666" s="265">
        <v>25.203194640472958</v>
      </c>
      <c r="BH666" s="265">
        <v>0</v>
      </c>
      <c r="BI666" s="265">
        <v>0.82</v>
      </c>
      <c r="BJ666" s="265">
        <v>3.83</v>
      </c>
      <c r="BK666" s="265">
        <v>168.31</v>
      </c>
      <c r="BL666" s="265">
        <v>4</v>
      </c>
      <c r="BM666" s="265"/>
      <c r="BN666" s="265"/>
      <c r="BO666" s="265"/>
      <c r="BP666" s="265"/>
      <c r="BQ666" s="265"/>
      <c r="BR666" s="265"/>
      <c r="BS666" s="265"/>
      <c r="BT666" s="265"/>
      <c r="BU666" s="265"/>
      <c r="BV666" s="265">
        <v>175.85158832213017</v>
      </c>
      <c r="BW666" s="265"/>
      <c r="BX666" s="265"/>
      <c r="BY666" s="265"/>
      <c r="BZ666" s="265"/>
      <c r="CA666" s="265"/>
      <c r="CB666" s="265"/>
      <c r="CC666" s="265"/>
      <c r="CD666" s="265"/>
      <c r="CE666" s="265"/>
      <c r="CF666" s="265"/>
      <c r="CG666" s="265"/>
      <c r="CH666" s="265"/>
      <c r="CI666" s="265">
        <v>389.98789999999997</v>
      </c>
      <c r="CJ666" s="265">
        <v>-134.68881999999996</v>
      </c>
      <c r="CK666" s="265"/>
      <c r="CL666" s="265"/>
      <c r="CM666" s="265"/>
      <c r="CN666" s="265"/>
      <c r="CO666" s="265">
        <v>-151.83611999999997</v>
      </c>
      <c r="CP666" s="265">
        <v>16.643069999999987</v>
      </c>
      <c r="CQ666" s="265">
        <v>30</v>
      </c>
      <c r="CR666" s="265">
        <v>22.421109075376734</v>
      </c>
      <c r="CS666" s="265">
        <v>0.50163210745826792</v>
      </c>
      <c r="CT666" s="265">
        <v>0.75561390726574107</v>
      </c>
      <c r="CU666" s="265">
        <v>0</v>
      </c>
      <c r="CV666" s="265">
        <v>0</v>
      </c>
      <c r="CW666" s="265">
        <v>0</v>
      </c>
      <c r="CX666" s="265">
        <v>0</v>
      </c>
      <c r="CY666" s="265">
        <v>0</v>
      </c>
      <c r="CZ666" s="265">
        <v>1.7730494389393527</v>
      </c>
      <c r="DA666" s="265">
        <v>0</v>
      </c>
      <c r="DB666" s="265">
        <v>0</v>
      </c>
      <c r="DC666" s="265">
        <v>16.638028328116434</v>
      </c>
      <c r="DD666" s="265">
        <v>0</v>
      </c>
      <c r="DE666" s="265">
        <v>0</v>
      </c>
      <c r="DF666" s="265">
        <v>0</v>
      </c>
      <c r="DG666" s="265">
        <v>2.783511036123727</v>
      </c>
      <c r="DH666" s="265">
        <v>0</v>
      </c>
      <c r="DI666" s="265">
        <v>0</v>
      </c>
      <c r="DJ666" s="265"/>
      <c r="DK666" s="265">
        <v>0</v>
      </c>
      <c r="DL666" s="265">
        <v>0</v>
      </c>
      <c r="DM666" s="265">
        <v>0</v>
      </c>
      <c r="DN666" s="265">
        <v>0</v>
      </c>
      <c r="DO666" s="265">
        <v>0</v>
      </c>
      <c r="DP666" s="265">
        <v>-3.072574252675131E-2</v>
      </c>
      <c r="DQ666" s="265">
        <v>0</v>
      </c>
      <c r="DR666" s="265">
        <v>0</v>
      </c>
      <c r="DS666" s="265"/>
      <c r="DT666" s="265"/>
      <c r="DU666" s="265"/>
      <c r="DV666" s="265">
        <v>280.96047236766492</v>
      </c>
      <c r="DW666" s="265">
        <v>0</v>
      </c>
      <c r="DX666" s="265">
        <v>0</v>
      </c>
      <c r="DY666" s="265">
        <v>-151.83611999999997</v>
      </c>
      <c r="DZ666" s="265">
        <v>16.643069999999994</v>
      </c>
      <c r="EA666" s="265">
        <v>0</v>
      </c>
      <c r="EB666" s="265">
        <v>0</v>
      </c>
      <c r="EC666" s="265">
        <v>-157.61593087930845</v>
      </c>
      <c r="ED666" s="265">
        <v>0</v>
      </c>
      <c r="EE666" s="265">
        <v>0</v>
      </c>
      <c r="EF666" s="265">
        <v>0</v>
      </c>
      <c r="EG666" s="265">
        <v>0</v>
      </c>
      <c r="EH666" s="265">
        <v>0</v>
      </c>
      <c r="EI666" s="265">
        <v>0</v>
      </c>
      <c r="EJ666" s="265">
        <v>0</v>
      </c>
      <c r="EK666" s="265">
        <v>0</v>
      </c>
      <c r="EL666" s="265">
        <v>0</v>
      </c>
      <c r="EM666" s="265">
        <v>0</v>
      </c>
      <c r="EN666" s="265">
        <v>0</v>
      </c>
      <c r="EO666" s="265">
        <v>0</v>
      </c>
      <c r="EP666" s="265">
        <v>0</v>
      </c>
      <c r="EQ666" s="265">
        <v>0</v>
      </c>
      <c r="ER666" s="265">
        <v>0</v>
      </c>
      <c r="ES666" s="265">
        <v>0</v>
      </c>
      <c r="ET666" s="265">
        <v>0</v>
      </c>
      <c r="EU666" s="265">
        <v>0</v>
      </c>
      <c r="EV666" s="265">
        <v>238</v>
      </c>
      <c r="EW666" s="265">
        <v>0</v>
      </c>
      <c r="EX666" s="265">
        <v>0</v>
      </c>
      <c r="EY666" s="265">
        <v>0</v>
      </c>
      <c r="EZ666" s="265"/>
      <c r="FA666" s="265">
        <v>0</v>
      </c>
      <c r="FB666" s="265"/>
      <c r="FC666" s="265"/>
      <c r="FD666" s="265"/>
      <c r="FE666" s="265"/>
      <c r="FF666" s="265">
        <v>0</v>
      </c>
      <c r="FG666" s="265">
        <v>0</v>
      </c>
      <c r="FH666" s="265">
        <v>0</v>
      </c>
      <c r="FI666" s="265">
        <v>0</v>
      </c>
    </row>
    <row r="667" spans="1:165">
      <c r="A667" s="265">
        <v>672</v>
      </c>
      <c r="B667" s="265" t="s">
        <v>2255</v>
      </c>
      <c r="C667" s="265" t="s">
        <v>2321</v>
      </c>
      <c r="D667" s="265" t="s">
        <v>1955</v>
      </c>
      <c r="E667" s="265" t="s">
        <v>969</v>
      </c>
      <c r="F667" s="265" t="s">
        <v>969</v>
      </c>
      <c r="G667" s="265" t="s">
        <v>1322</v>
      </c>
      <c r="H667" s="265" t="s">
        <v>1322</v>
      </c>
      <c r="I667" s="265" t="s">
        <v>973</v>
      </c>
      <c r="J667" s="265" t="s">
        <v>2236</v>
      </c>
      <c r="K667" s="1639">
        <v>44713</v>
      </c>
      <c r="L667" s="265">
        <v>0</v>
      </c>
      <c r="M667" s="265">
        <v>0</v>
      </c>
      <c r="N667" s="265">
        <v>3.6999999999999998E-2</v>
      </c>
      <c r="O667" s="265">
        <v>3.6999999999999998E-2</v>
      </c>
      <c r="P667" s="265">
        <v>3.6999999999999998E-2</v>
      </c>
      <c r="Q667" s="265">
        <v>3.6999999999999998E-2</v>
      </c>
      <c r="R667" s="265"/>
      <c r="S667" s="265">
        <v>1292.1099999999999</v>
      </c>
      <c r="T667" s="265">
        <v>209.4</v>
      </c>
      <c r="U667" s="265"/>
      <c r="V667" s="265">
        <v>55.555869999999992</v>
      </c>
      <c r="W667" s="265">
        <v>55.555869999999992</v>
      </c>
      <c r="X667" s="265">
        <v>36.880859999999998</v>
      </c>
      <c r="Y667" s="265">
        <v>0</v>
      </c>
      <c r="Z667" s="265">
        <v>2.2769025766370561</v>
      </c>
      <c r="AA667" s="265">
        <v>0</v>
      </c>
      <c r="AB667" s="265">
        <v>0</v>
      </c>
      <c r="AC667" s="265">
        <v>0</v>
      </c>
      <c r="AD667" s="265">
        <v>6.861459776016102</v>
      </c>
      <c r="AE667" s="265">
        <v>35.650003954916144</v>
      </c>
      <c r="AF667" s="265">
        <v>7.6460775942679247</v>
      </c>
      <c r="AG667" s="265">
        <v>0.10185970367495378</v>
      </c>
      <c r="AH667" s="265">
        <v>0</v>
      </c>
      <c r="AI667" s="265">
        <v>0</v>
      </c>
      <c r="AJ667" s="265">
        <v>0</v>
      </c>
      <c r="AK667" s="265">
        <v>0</v>
      </c>
      <c r="AL667" s="265">
        <v>0.35185526086961094</v>
      </c>
      <c r="AM667" s="265"/>
      <c r="AN667" s="265">
        <v>6.7449679685668187E-2</v>
      </c>
      <c r="AO667" s="265">
        <v>0.52720672008397629</v>
      </c>
      <c r="AP667" s="265">
        <v>0.7941300722708392</v>
      </c>
      <c r="AQ667" s="265">
        <v>0</v>
      </c>
      <c r="AR667" s="265">
        <v>0</v>
      </c>
      <c r="AS667" s="265">
        <v>0</v>
      </c>
      <c r="AT667" s="265">
        <v>0</v>
      </c>
      <c r="AU667" s="265">
        <v>0</v>
      </c>
      <c r="AV667" s="265">
        <v>0</v>
      </c>
      <c r="AW667" s="265">
        <v>0</v>
      </c>
      <c r="AX667" s="265">
        <v>0</v>
      </c>
      <c r="AY667" s="265">
        <v>0</v>
      </c>
      <c r="AZ667" s="265">
        <v>0</v>
      </c>
      <c r="BA667" s="265"/>
      <c r="BB667" s="265">
        <v>0</v>
      </c>
      <c r="BC667" s="265">
        <v>0</v>
      </c>
      <c r="BD667" s="265">
        <v>0</v>
      </c>
      <c r="BE667" s="265">
        <v>0</v>
      </c>
      <c r="BF667" s="265">
        <v>0</v>
      </c>
      <c r="BG667" s="265">
        <v>1.2791744879252391</v>
      </c>
      <c r="BH667" s="265">
        <v>0</v>
      </c>
      <c r="BI667" s="265">
        <v>0</v>
      </c>
      <c r="BJ667" s="265">
        <v>0</v>
      </c>
      <c r="BK667" s="265">
        <v>0</v>
      </c>
      <c r="BL667" s="265">
        <v>0</v>
      </c>
      <c r="BM667" s="265"/>
      <c r="BN667" s="265"/>
      <c r="BO667" s="265"/>
      <c r="BP667" s="265"/>
      <c r="BQ667" s="265"/>
      <c r="BR667" s="265"/>
      <c r="BS667" s="265"/>
      <c r="BT667" s="265"/>
      <c r="BU667" s="265"/>
      <c r="BV667" s="265">
        <v>8.9252520821931647</v>
      </c>
      <c r="BW667" s="265"/>
      <c r="BX667" s="265"/>
      <c r="BY667" s="265"/>
      <c r="BZ667" s="265"/>
      <c r="CA667" s="265"/>
      <c r="CB667" s="265"/>
      <c r="CC667" s="265"/>
      <c r="CD667" s="265"/>
      <c r="CE667" s="265"/>
      <c r="CF667" s="265"/>
      <c r="CG667" s="265"/>
      <c r="CH667" s="265"/>
      <c r="CI667" s="265">
        <v>39.871199999999995</v>
      </c>
      <c r="CJ667" s="265">
        <v>-15.714669999999991</v>
      </c>
      <c r="CK667" s="265"/>
      <c r="CL667" s="265"/>
      <c r="CM667" s="265"/>
      <c r="CN667" s="265"/>
      <c r="CO667" s="265">
        <v>-19.519719999999996</v>
      </c>
      <c r="CP667" s="265">
        <v>0.84470999999999941</v>
      </c>
      <c r="CQ667" s="265">
        <v>30</v>
      </c>
      <c r="CR667" s="265">
        <v>1.3237852640395893</v>
      </c>
      <c r="CS667" s="265">
        <v>6.3650737809475277E-2</v>
      </c>
      <c r="CT667" s="265">
        <v>9.5876936107106236E-2</v>
      </c>
      <c r="CU667" s="265">
        <v>0</v>
      </c>
      <c r="CV667" s="265">
        <v>0</v>
      </c>
      <c r="CW667" s="265">
        <v>0</v>
      </c>
      <c r="CX667" s="265">
        <v>0</v>
      </c>
      <c r="CY667" s="265">
        <v>0</v>
      </c>
      <c r="CZ667" s="265">
        <v>0.22493537770738392</v>
      </c>
      <c r="DA667" s="265">
        <v>0</v>
      </c>
      <c r="DB667" s="265">
        <v>0</v>
      </c>
      <c r="DC667" s="265">
        <v>0.84445411267531956</v>
      </c>
      <c r="DD667" s="265">
        <v>0</v>
      </c>
      <c r="DE667" s="265">
        <v>0</v>
      </c>
      <c r="DF667" s="265">
        <v>0</v>
      </c>
      <c r="DG667" s="265">
        <v>0.14127559442603288</v>
      </c>
      <c r="DH667" s="265">
        <v>0</v>
      </c>
      <c r="DI667" s="265">
        <v>-3.9691245399161357E-2</v>
      </c>
      <c r="DJ667" s="265"/>
      <c r="DK667" s="265">
        <v>0</v>
      </c>
      <c r="DL667" s="265">
        <v>0</v>
      </c>
      <c r="DM667" s="265">
        <v>0</v>
      </c>
      <c r="DN667" s="265">
        <v>0</v>
      </c>
      <c r="DO667" s="265">
        <v>-5.1567808729949816E-3</v>
      </c>
      <c r="DP667" s="265">
        <v>-1.5594684135662451E-3</v>
      </c>
      <c r="DQ667" s="265">
        <v>0</v>
      </c>
      <c r="DR667" s="265">
        <v>0</v>
      </c>
      <c r="DS667" s="265"/>
      <c r="DT667" s="265"/>
      <c r="DU667" s="265"/>
      <c r="DV667" s="265">
        <v>35.650003954916144</v>
      </c>
      <c r="DW667" s="265">
        <v>0</v>
      </c>
      <c r="DX667" s="265">
        <v>0</v>
      </c>
      <c r="DY667" s="265">
        <v>-19.519719999999996</v>
      </c>
      <c r="DZ667" s="265">
        <v>0.84470999999999918</v>
      </c>
      <c r="EA667" s="265">
        <v>0</v>
      </c>
      <c r="EB667" s="265">
        <v>0</v>
      </c>
      <c r="EC667" s="265">
        <v>-19.999284994980016</v>
      </c>
      <c r="ED667" s="265">
        <v>0</v>
      </c>
      <c r="EE667" s="265">
        <v>0</v>
      </c>
      <c r="EF667" s="265">
        <v>0</v>
      </c>
      <c r="EG667" s="265">
        <v>0</v>
      </c>
      <c r="EH667" s="265">
        <v>0</v>
      </c>
      <c r="EI667" s="265">
        <v>0</v>
      </c>
      <c r="EJ667" s="265">
        <v>0</v>
      </c>
      <c r="EK667" s="265">
        <v>0</v>
      </c>
      <c r="EL667" s="265">
        <v>0</v>
      </c>
      <c r="EM667" s="265">
        <v>0</v>
      </c>
      <c r="EN667" s="265">
        <v>0</v>
      </c>
      <c r="EO667" s="265">
        <v>0</v>
      </c>
      <c r="EP667" s="265">
        <v>0</v>
      </c>
      <c r="EQ667" s="265">
        <v>0</v>
      </c>
      <c r="ER667" s="265">
        <v>0</v>
      </c>
      <c r="ES667" s="265">
        <v>0</v>
      </c>
      <c r="ET667" s="265">
        <v>0</v>
      </c>
      <c r="EU667" s="265">
        <v>0</v>
      </c>
      <c r="EV667" s="265">
        <v>238</v>
      </c>
      <c r="EW667" s="265">
        <v>0</v>
      </c>
      <c r="EX667" s="265">
        <v>0</v>
      </c>
      <c r="EY667" s="265">
        <v>0</v>
      </c>
      <c r="EZ667" s="265"/>
      <c r="FA667" s="265">
        <v>0</v>
      </c>
      <c r="FB667" s="265"/>
      <c r="FC667" s="265"/>
      <c r="FD667" s="265"/>
      <c r="FE667" s="265"/>
      <c r="FF667" s="265">
        <v>0</v>
      </c>
      <c r="FG667" s="265">
        <v>0</v>
      </c>
      <c r="FH667" s="265">
        <v>0</v>
      </c>
      <c r="FI667" s="265">
        <v>0</v>
      </c>
    </row>
    <row r="668" spans="1:165">
      <c r="A668" s="265">
        <v>673</v>
      </c>
      <c r="B668" s="265" t="s">
        <v>2255</v>
      </c>
      <c r="C668" s="265" t="s">
        <v>2321</v>
      </c>
      <c r="D668" s="265" t="s">
        <v>1955</v>
      </c>
      <c r="E668" s="265" t="s">
        <v>969</v>
      </c>
      <c r="F668" s="265" t="s">
        <v>969</v>
      </c>
      <c r="G668" s="265" t="s">
        <v>1322</v>
      </c>
      <c r="H668" s="265" t="s">
        <v>1322</v>
      </c>
      <c r="I668" s="265" t="s">
        <v>2244</v>
      </c>
      <c r="J668" s="265" t="s">
        <v>2236</v>
      </c>
      <c r="K668" s="1639">
        <v>44713</v>
      </c>
      <c r="L668" s="265">
        <v>0</v>
      </c>
      <c r="M668" s="265">
        <v>0</v>
      </c>
      <c r="N668" s="265">
        <v>0.40400000000000003</v>
      </c>
      <c r="O668" s="265">
        <v>0.40400000000000003</v>
      </c>
      <c r="P668" s="265">
        <v>0.40400000000000003</v>
      </c>
      <c r="Q668" s="265">
        <v>0.40400000000000003</v>
      </c>
      <c r="R668" s="265"/>
      <c r="S668" s="265">
        <v>344.38</v>
      </c>
      <c r="T668" s="265">
        <v>209.4</v>
      </c>
      <c r="U668" s="265"/>
      <c r="V668" s="265">
        <v>223.72712000000001</v>
      </c>
      <c r="W668" s="265">
        <v>223.72712000000001</v>
      </c>
      <c r="X668" s="265">
        <v>191.15260000000001</v>
      </c>
      <c r="Y668" s="265">
        <v>0</v>
      </c>
      <c r="Z668" s="265">
        <v>24.861314620577591</v>
      </c>
      <c r="AA668" s="265">
        <v>0</v>
      </c>
      <c r="AB668" s="265">
        <v>0</v>
      </c>
      <c r="AC668" s="265">
        <v>0</v>
      </c>
      <c r="AD668" s="265">
        <v>14.986611248754549</v>
      </c>
      <c r="AE668" s="265">
        <v>77.851873001740017</v>
      </c>
      <c r="AF668" s="265">
        <v>83.4869012995741</v>
      </c>
      <c r="AG668" s="265">
        <v>1.1121978455319279</v>
      </c>
      <c r="AH668" s="265">
        <v>0</v>
      </c>
      <c r="AI668" s="265">
        <v>0</v>
      </c>
      <c r="AJ668" s="265">
        <v>0</v>
      </c>
      <c r="AK668" s="265">
        <v>0</v>
      </c>
      <c r="AL668" s="265">
        <v>3.8418790646303469</v>
      </c>
      <c r="AM668" s="265"/>
      <c r="AN668" s="265">
        <v>0.73647758359486348</v>
      </c>
      <c r="AO668" s="265">
        <v>1.1512951165621605</v>
      </c>
      <c r="AP668" s="265">
        <v>1.7342083740401031</v>
      </c>
      <c r="AQ668" s="265">
        <v>0</v>
      </c>
      <c r="AR668" s="265">
        <v>0</v>
      </c>
      <c r="AS668" s="265">
        <v>0</v>
      </c>
      <c r="AT668" s="265">
        <v>0</v>
      </c>
      <c r="AU668" s="265">
        <v>0</v>
      </c>
      <c r="AV668" s="265">
        <v>0</v>
      </c>
      <c r="AW668" s="265">
        <v>0</v>
      </c>
      <c r="AX668" s="265">
        <v>0</v>
      </c>
      <c r="AY668" s="265">
        <v>0</v>
      </c>
      <c r="AZ668" s="265">
        <v>0</v>
      </c>
      <c r="BA668" s="265"/>
      <c r="BB668" s="265">
        <v>0</v>
      </c>
      <c r="BC668" s="265">
        <v>0</v>
      </c>
      <c r="BD668" s="265">
        <v>0</v>
      </c>
      <c r="BE668" s="265">
        <v>0</v>
      </c>
      <c r="BF668" s="265">
        <v>0</v>
      </c>
      <c r="BG668" s="265">
        <v>13.967202516805317</v>
      </c>
      <c r="BH668" s="265">
        <v>0</v>
      </c>
      <c r="BI668" s="265">
        <v>0</v>
      </c>
      <c r="BJ668" s="265">
        <v>0</v>
      </c>
      <c r="BK668" s="265">
        <v>0</v>
      </c>
      <c r="BL668" s="265">
        <v>0</v>
      </c>
      <c r="BM668" s="265"/>
      <c r="BN668" s="265"/>
      <c r="BO668" s="265"/>
      <c r="BP668" s="265"/>
      <c r="BQ668" s="265"/>
      <c r="BR668" s="265"/>
      <c r="BS668" s="265"/>
      <c r="BT668" s="265"/>
      <c r="BU668" s="265"/>
      <c r="BV668" s="265">
        <v>97.454103816379416</v>
      </c>
      <c r="BW668" s="265"/>
      <c r="BX668" s="265"/>
      <c r="BY668" s="265"/>
      <c r="BZ668" s="265"/>
      <c r="CA668" s="265"/>
      <c r="CB668" s="265"/>
      <c r="CC668" s="265"/>
      <c r="CD668" s="265"/>
      <c r="CE668" s="265"/>
      <c r="CF668" s="265"/>
      <c r="CG668" s="265"/>
      <c r="CH668" s="265"/>
      <c r="CI668" s="265">
        <v>189.26</v>
      </c>
      <c r="CJ668" s="265">
        <v>-34.497119999999995</v>
      </c>
      <c r="CK668" s="265"/>
      <c r="CL668" s="265"/>
      <c r="CM668" s="265"/>
      <c r="CN668" s="265"/>
      <c r="CO668" s="265">
        <v>-41.797840000000008</v>
      </c>
      <c r="CP668" s="265">
        <v>9.223319999999994</v>
      </c>
      <c r="CQ668" s="265">
        <v>30</v>
      </c>
      <c r="CR668" s="265">
        <v>11.096053421290975</v>
      </c>
      <c r="CS668" s="265">
        <v>0.13899819712835182</v>
      </c>
      <c r="CT668" s="265">
        <v>0.20937449830957644</v>
      </c>
      <c r="CU668" s="265">
        <v>0</v>
      </c>
      <c r="CV668" s="265">
        <v>0</v>
      </c>
      <c r="CW668" s="265">
        <v>0</v>
      </c>
      <c r="CX668" s="265">
        <v>0</v>
      </c>
      <c r="CY668" s="265">
        <v>0</v>
      </c>
      <c r="CZ668" s="265">
        <v>0.49129764974725454</v>
      </c>
      <c r="DA668" s="265">
        <v>0</v>
      </c>
      <c r="DB668" s="265">
        <v>0</v>
      </c>
      <c r="DC668" s="265">
        <v>9.2205259870494416</v>
      </c>
      <c r="DD668" s="265">
        <v>0</v>
      </c>
      <c r="DE668" s="265">
        <v>0</v>
      </c>
      <c r="DF668" s="265">
        <v>0</v>
      </c>
      <c r="DG668" s="265">
        <v>1.5425767607599248</v>
      </c>
      <c r="DH668" s="265">
        <v>0</v>
      </c>
      <c r="DI668" s="265">
        <v>-0.43338549030435658</v>
      </c>
      <c r="DJ668" s="265"/>
      <c r="DK668" s="265">
        <v>0</v>
      </c>
      <c r="DL668" s="265">
        <v>0</v>
      </c>
      <c r="DM668" s="265">
        <v>0</v>
      </c>
      <c r="DN668" s="265">
        <v>0</v>
      </c>
      <c r="DO668" s="265">
        <v>-5.6306472234863847E-2</v>
      </c>
      <c r="DP668" s="265">
        <v>-1.7027709164344929E-2</v>
      </c>
      <c r="DQ668" s="265">
        <v>0</v>
      </c>
      <c r="DR668" s="265">
        <v>0</v>
      </c>
      <c r="DS668" s="265"/>
      <c r="DT668" s="265"/>
      <c r="DU668" s="265"/>
      <c r="DV668" s="265">
        <v>77.851873001740017</v>
      </c>
      <c r="DW668" s="265">
        <v>0</v>
      </c>
      <c r="DX668" s="265">
        <v>0</v>
      </c>
      <c r="DY668" s="265">
        <v>-41.797840000000008</v>
      </c>
      <c r="DZ668" s="265">
        <v>9.2233199999999869</v>
      </c>
      <c r="EA668" s="265">
        <v>0</v>
      </c>
      <c r="EB668" s="265">
        <v>0</v>
      </c>
      <c r="EC668" s="265">
        <v>-43.674098817037681</v>
      </c>
      <c r="ED668" s="265">
        <v>0</v>
      </c>
      <c r="EE668" s="265">
        <v>0</v>
      </c>
      <c r="EF668" s="265">
        <v>0</v>
      </c>
      <c r="EG668" s="265">
        <v>0</v>
      </c>
      <c r="EH668" s="265">
        <v>0</v>
      </c>
      <c r="EI668" s="265">
        <v>0</v>
      </c>
      <c r="EJ668" s="265">
        <v>0</v>
      </c>
      <c r="EK668" s="265">
        <v>0</v>
      </c>
      <c r="EL668" s="265">
        <v>0</v>
      </c>
      <c r="EM668" s="265">
        <v>0</v>
      </c>
      <c r="EN668" s="265">
        <v>0</v>
      </c>
      <c r="EO668" s="265">
        <v>0</v>
      </c>
      <c r="EP668" s="265">
        <v>0</v>
      </c>
      <c r="EQ668" s="265">
        <v>0</v>
      </c>
      <c r="ER668" s="265">
        <v>0</v>
      </c>
      <c r="ES668" s="265">
        <v>0</v>
      </c>
      <c r="ET668" s="265">
        <v>0</v>
      </c>
      <c r="EU668" s="265">
        <v>0</v>
      </c>
      <c r="EV668" s="265">
        <v>238</v>
      </c>
      <c r="EW668" s="265">
        <v>0</v>
      </c>
      <c r="EX668" s="265">
        <v>0</v>
      </c>
      <c r="EY668" s="265">
        <v>0</v>
      </c>
      <c r="EZ668" s="265"/>
      <c r="FA668" s="265">
        <v>0</v>
      </c>
      <c r="FB668" s="265"/>
      <c r="FC668" s="265"/>
      <c r="FD668" s="265"/>
      <c r="FE668" s="265"/>
      <c r="FF668" s="265">
        <v>0</v>
      </c>
      <c r="FG668" s="265">
        <v>0</v>
      </c>
      <c r="FH668" s="265">
        <v>0</v>
      </c>
      <c r="FI668" s="265">
        <v>0</v>
      </c>
    </row>
    <row r="669" spans="1:165">
      <c r="A669" s="265">
        <v>674</v>
      </c>
      <c r="B669" s="265" t="s">
        <v>2255</v>
      </c>
      <c r="C669" s="265" t="s">
        <v>2321</v>
      </c>
      <c r="D669" s="265" t="s">
        <v>1955</v>
      </c>
      <c r="E669" s="265" t="s">
        <v>969</v>
      </c>
      <c r="F669" s="265" t="s">
        <v>969</v>
      </c>
      <c r="G669" s="265" t="s">
        <v>1322</v>
      </c>
      <c r="H669" s="265" t="s">
        <v>1322</v>
      </c>
      <c r="I669" s="265" t="s">
        <v>1322</v>
      </c>
      <c r="J669" s="265" t="s">
        <v>2236</v>
      </c>
      <c r="K669" s="1639">
        <v>44713</v>
      </c>
      <c r="L669" s="265">
        <v>0</v>
      </c>
      <c r="M669" s="265">
        <v>0</v>
      </c>
      <c r="N669" s="265">
        <v>0</v>
      </c>
      <c r="O669" s="265">
        <v>0</v>
      </c>
      <c r="P669" s="265">
        <v>0</v>
      </c>
      <c r="Q669" s="265">
        <v>0</v>
      </c>
      <c r="R669" s="265"/>
      <c r="S669" s="265"/>
      <c r="T669" s="265"/>
      <c r="U669" s="265"/>
      <c r="V669" s="265"/>
      <c r="W669" s="265"/>
      <c r="X669" s="265"/>
      <c r="Y669" s="265"/>
      <c r="Z669" s="265"/>
      <c r="AA669" s="265">
        <v>0</v>
      </c>
      <c r="AB669" s="265"/>
      <c r="AC669" s="265"/>
      <c r="AD669" s="265"/>
      <c r="AE669" s="265"/>
      <c r="AF669" s="265"/>
      <c r="AG669" s="265"/>
      <c r="AH669" s="265"/>
      <c r="AI669" s="265"/>
      <c r="AJ669" s="265"/>
      <c r="AK669" s="265"/>
      <c r="AL669" s="265"/>
      <c r="AM669" s="265"/>
      <c r="AN669" s="265"/>
      <c r="AO669" s="265"/>
      <c r="AP669" s="265"/>
      <c r="AQ669" s="265"/>
      <c r="AR669" s="265"/>
      <c r="AS669" s="265"/>
      <c r="AT669" s="265"/>
      <c r="AU669" s="265"/>
      <c r="AV669" s="265"/>
      <c r="AW669" s="265"/>
      <c r="AX669" s="265"/>
      <c r="AY669" s="265"/>
      <c r="AZ669" s="265">
        <v>0</v>
      </c>
      <c r="BA669" s="265"/>
      <c r="BB669" s="265"/>
      <c r="BC669" s="265"/>
      <c r="BD669" s="265"/>
      <c r="BE669" s="265"/>
      <c r="BF669" s="265"/>
      <c r="BG669" s="265"/>
      <c r="BH669" s="265"/>
      <c r="BI669" s="265">
        <v>0.53</v>
      </c>
      <c r="BJ669" s="265">
        <v>2.4700000000000002</v>
      </c>
      <c r="BK669" s="265">
        <v>85.07</v>
      </c>
      <c r="BL669" s="265">
        <v>2</v>
      </c>
      <c r="BM669" s="265"/>
      <c r="BN669" s="265"/>
      <c r="BO669" s="265"/>
      <c r="BP669" s="265"/>
      <c r="BQ669" s="265"/>
      <c r="BR669" s="265"/>
      <c r="BS669" s="265"/>
      <c r="BT669" s="265"/>
      <c r="BU669" s="265"/>
      <c r="BV669" s="265"/>
      <c r="BW669" s="265"/>
      <c r="BX669" s="265"/>
      <c r="BY669" s="265"/>
      <c r="BZ669" s="265"/>
      <c r="CA669" s="265"/>
      <c r="CB669" s="265"/>
      <c r="CC669" s="265"/>
      <c r="CD669" s="265"/>
      <c r="CE669" s="265"/>
      <c r="CF669" s="265"/>
      <c r="CG669" s="265"/>
      <c r="CH669" s="265"/>
      <c r="CI669" s="265"/>
      <c r="CJ669" s="265">
        <v>-0.03</v>
      </c>
      <c r="CK669" s="265"/>
      <c r="CL669" s="265"/>
      <c r="CM669" s="265"/>
      <c r="CN669" s="265"/>
      <c r="CO669" s="265">
        <v>0</v>
      </c>
      <c r="CP669" s="265">
        <v>0</v>
      </c>
      <c r="CQ669" s="265">
        <v>30</v>
      </c>
      <c r="CR669" s="265"/>
      <c r="CS669" s="265"/>
      <c r="CT669" s="265"/>
      <c r="CU669" s="265"/>
      <c r="CV669" s="265"/>
      <c r="CW669" s="265"/>
      <c r="CX669" s="265"/>
      <c r="CY669" s="265"/>
      <c r="CZ669" s="265"/>
      <c r="DA669" s="265"/>
      <c r="DB669" s="265"/>
      <c r="DC669" s="265"/>
      <c r="DD669" s="265"/>
      <c r="DE669" s="265"/>
      <c r="DF669" s="265"/>
      <c r="DG669" s="265"/>
      <c r="DH669" s="265"/>
      <c r="DI669" s="265"/>
      <c r="DJ669" s="265"/>
      <c r="DK669" s="265">
        <v>0</v>
      </c>
      <c r="DL669" s="265"/>
      <c r="DM669" s="265"/>
      <c r="DN669" s="265"/>
      <c r="DO669" s="265"/>
      <c r="DP669" s="265"/>
      <c r="DQ669" s="265"/>
      <c r="DR669" s="265"/>
      <c r="DS669" s="265"/>
      <c r="DT669" s="265"/>
      <c r="DU669" s="265"/>
      <c r="DV669" s="265"/>
      <c r="DW669" s="265"/>
      <c r="DX669" s="265"/>
      <c r="DY669" s="265"/>
      <c r="DZ669" s="265"/>
      <c r="EA669" s="265"/>
      <c r="EB669" s="265"/>
      <c r="EC669" s="265"/>
      <c r="ED669" s="265"/>
      <c r="EE669" s="265"/>
      <c r="EF669" s="265"/>
      <c r="EG669" s="265"/>
      <c r="EH669" s="265"/>
      <c r="EI669" s="265"/>
      <c r="EJ669" s="265"/>
      <c r="EK669" s="265"/>
      <c r="EL669" s="265"/>
      <c r="EM669" s="265"/>
      <c r="EN669" s="265"/>
      <c r="EO669" s="265"/>
      <c r="EP669" s="265"/>
      <c r="EQ669" s="265"/>
      <c r="ER669" s="265"/>
      <c r="ES669" s="265"/>
      <c r="ET669" s="265"/>
      <c r="EU669" s="265"/>
      <c r="EV669" s="265">
        <v>238</v>
      </c>
      <c r="EW669" s="265"/>
      <c r="EX669" s="265"/>
      <c r="EY669" s="265"/>
      <c r="EZ669" s="265"/>
      <c r="FA669" s="265">
        <v>0</v>
      </c>
      <c r="FB669" s="265"/>
      <c r="FC669" s="265"/>
      <c r="FD669" s="265"/>
      <c r="FE669" s="265"/>
      <c r="FF669" s="265">
        <v>0</v>
      </c>
      <c r="FG669" s="265">
        <v>0</v>
      </c>
      <c r="FH669" s="265">
        <v>0</v>
      </c>
      <c r="FI669" s="265">
        <v>0</v>
      </c>
    </row>
    <row r="670" spans="1:165">
      <c r="A670" s="265">
        <v>675</v>
      </c>
      <c r="B670" s="265" t="s">
        <v>2255</v>
      </c>
      <c r="C670" s="265" t="s">
        <v>2321</v>
      </c>
      <c r="D670" s="265" t="s">
        <v>1955</v>
      </c>
      <c r="E670" s="265" t="s">
        <v>969</v>
      </c>
      <c r="F670" s="265" t="s">
        <v>969</v>
      </c>
      <c r="G670" s="265" t="s">
        <v>1322</v>
      </c>
      <c r="H670" s="265" t="s">
        <v>1322</v>
      </c>
      <c r="I670" s="265" t="s">
        <v>2322</v>
      </c>
      <c r="J670" s="265" t="s">
        <v>2236</v>
      </c>
      <c r="K670" s="1639">
        <v>44713</v>
      </c>
      <c r="L670" s="265">
        <v>0</v>
      </c>
      <c r="M670" s="265">
        <v>0</v>
      </c>
      <c r="N670" s="265">
        <v>3.3000000000000002E-2</v>
      </c>
      <c r="O670" s="265">
        <v>3.3000000000000002E-2</v>
      </c>
      <c r="P670" s="265">
        <v>3.3000000000000002E-2</v>
      </c>
      <c r="Q670" s="265">
        <v>3.3000000000000002E-2</v>
      </c>
      <c r="R670" s="265"/>
      <c r="S670" s="265">
        <v>818.26</v>
      </c>
      <c r="T670" s="265">
        <v>209.4</v>
      </c>
      <c r="U670" s="265"/>
      <c r="V670" s="265">
        <v>33.912780000000005</v>
      </c>
      <c r="W670" s="265">
        <v>33.912780000000005</v>
      </c>
      <c r="X670" s="265">
        <v>24.254339999999999</v>
      </c>
      <c r="Y670" s="265">
        <v>0</v>
      </c>
      <c r="Z670" s="265">
        <v>2.0307509467303477</v>
      </c>
      <c r="AA670" s="265">
        <v>0</v>
      </c>
      <c r="AB670" s="265">
        <v>0</v>
      </c>
      <c r="AC670" s="265">
        <v>0</v>
      </c>
      <c r="AD670" s="265">
        <v>3.6724616673928261</v>
      </c>
      <c r="AE670" s="265">
        <v>19.077574180940154</v>
      </c>
      <c r="AF670" s="265">
        <v>6.8194746111038258</v>
      </c>
      <c r="AG670" s="265">
        <v>9.0847843818202031E-2</v>
      </c>
      <c r="AH670" s="265">
        <v>0</v>
      </c>
      <c r="AI670" s="265">
        <v>0</v>
      </c>
      <c r="AJ670" s="265">
        <v>0</v>
      </c>
      <c r="AK670" s="265">
        <v>0</v>
      </c>
      <c r="AL670" s="265">
        <v>0.31381685428911249</v>
      </c>
      <c r="AM670" s="265"/>
      <c r="AN670" s="265">
        <v>6.0157822422352715E-2</v>
      </c>
      <c r="AO670" s="265">
        <v>0.28212853341683175</v>
      </c>
      <c r="AP670" s="265">
        <v>0.42496690353952893</v>
      </c>
      <c r="AQ670" s="265">
        <v>0</v>
      </c>
      <c r="AR670" s="265">
        <v>0</v>
      </c>
      <c r="AS670" s="265">
        <v>0</v>
      </c>
      <c r="AT670" s="265">
        <v>0</v>
      </c>
      <c r="AU670" s="265">
        <v>0</v>
      </c>
      <c r="AV670" s="265">
        <v>0</v>
      </c>
      <c r="AW670" s="265">
        <v>0</v>
      </c>
      <c r="AX670" s="265">
        <v>0</v>
      </c>
      <c r="AY670" s="265">
        <v>0</v>
      </c>
      <c r="AZ670" s="265">
        <v>0</v>
      </c>
      <c r="BA670" s="265"/>
      <c r="BB670" s="265">
        <v>0</v>
      </c>
      <c r="BC670" s="265">
        <v>0</v>
      </c>
      <c r="BD670" s="265">
        <v>0</v>
      </c>
      <c r="BE670" s="265">
        <v>0</v>
      </c>
      <c r="BF670" s="265">
        <v>0</v>
      </c>
      <c r="BG670" s="265">
        <v>1.1408853540954838</v>
      </c>
      <c r="BH670" s="265">
        <v>0</v>
      </c>
      <c r="BI670" s="265">
        <v>0</v>
      </c>
      <c r="BJ670" s="265">
        <v>0</v>
      </c>
      <c r="BK670" s="265">
        <v>0</v>
      </c>
      <c r="BL670" s="265">
        <v>0</v>
      </c>
      <c r="BM670" s="265"/>
      <c r="BN670" s="265"/>
      <c r="BO670" s="265"/>
      <c r="BP670" s="265"/>
      <c r="BQ670" s="265"/>
      <c r="BR670" s="265"/>
      <c r="BS670" s="265"/>
      <c r="BT670" s="265"/>
      <c r="BU670" s="265"/>
      <c r="BV670" s="265">
        <v>7.9603599651993093</v>
      </c>
      <c r="BW670" s="265"/>
      <c r="BX670" s="265"/>
      <c r="BY670" s="265"/>
      <c r="BZ670" s="265"/>
      <c r="CA670" s="265"/>
      <c r="CB670" s="265"/>
      <c r="CC670" s="265"/>
      <c r="CD670" s="265"/>
      <c r="CE670" s="265"/>
      <c r="CF670" s="265"/>
      <c r="CG670" s="265"/>
      <c r="CH670" s="265"/>
      <c r="CI670" s="265">
        <v>22.049399999999999</v>
      </c>
      <c r="CJ670" s="265">
        <v>-11.893380000000008</v>
      </c>
      <c r="CK670" s="265"/>
      <c r="CL670" s="265"/>
      <c r="CM670" s="265"/>
      <c r="CN670" s="265"/>
      <c r="CO670" s="265">
        <v>-10.41183</v>
      </c>
      <c r="CP670" s="265">
        <v>0.75338999999999956</v>
      </c>
      <c r="CQ670" s="265">
        <v>30</v>
      </c>
      <c r="CR670" s="265">
        <v>1.0435351788430474</v>
      </c>
      <c r="CS670" s="265">
        <v>3.4061950701663068E-2</v>
      </c>
      <c r="CT670" s="265">
        <v>5.1307117160019566E-2</v>
      </c>
      <c r="CU670" s="265">
        <v>0</v>
      </c>
      <c r="CV670" s="265">
        <v>0</v>
      </c>
      <c r="CW670" s="265">
        <v>0</v>
      </c>
      <c r="CX670" s="265">
        <v>0</v>
      </c>
      <c r="CY670" s="265">
        <v>0</v>
      </c>
      <c r="CZ670" s="265">
        <v>0.12039224585391306</v>
      </c>
      <c r="DA670" s="265">
        <v>0</v>
      </c>
      <c r="DB670" s="265">
        <v>0</v>
      </c>
      <c r="DC670" s="265">
        <v>0.753161776169879</v>
      </c>
      <c r="DD670" s="265">
        <v>0</v>
      </c>
      <c r="DE670" s="265">
        <v>0</v>
      </c>
      <c r="DF670" s="265">
        <v>0</v>
      </c>
      <c r="DG670" s="265">
        <v>0.12600255719078612</v>
      </c>
      <c r="DH670" s="265">
        <v>0</v>
      </c>
      <c r="DI670" s="265">
        <v>-3.5400299950603342E-2</v>
      </c>
      <c r="DJ670" s="265"/>
      <c r="DK670" s="265">
        <v>0</v>
      </c>
      <c r="DL670" s="265">
        <v>0</v>
      </c>
      <c r="DM670" s="265">
        <v>0</v>
      </c>
      <c r="DN670" s="265">
        <v>0</v>
      </c>
      <c r="DO670" s="265">
        <v>-4.5992910488873995E-3</v>
      </c>
      <c r="DP670" s="265">
        <v>-1.3908772337212494E-3</v>
      </c>
      <c r="DQ670" s="265">
        <v>0</v>
      </c>
      <c r="DR670" s="265">
        <v>0</v>
      </c>
      <c r="DS670" s="265"/>
      <c r="DT670" s="265"/>
      <c r="DU670" s="265"/>
      <c r="DV670" s="265">
        <v>19.077574180940154</v>
      </c>
      <c r="DW670" s="265">
        <v>0</v>
      </c>
      <c r="DX670" s="265">
        <v>0</v>
      </c>
      <c r="DY670" s="265">
        <v>-10.411830000000002</v>
      </c>
      <c r="DZ670" s="265">
        <v>0.75338999999999956</v>
      </c>
      <c r="EA670" s="265">
        <v>0</v>
      </c>
      <c r="EB670" s="265">
        <v>0</v>
      </c>
      <c r="EC670" s="265">
        <v>-10.70232260114183</v>
      </c>
      <c r="ED670" s="265">
        <v>0</v>
      </c>
      <c r="EE670" s="265">
        <v>0</v>
      </c>
      <c r="EF670" s="265">
        <v>0</v>
      </c>
      <c r="EG670" s="265">
        <v>0</v>
      </c>
      <c r="EH670" s="265">
        <v>0</v>
      </c>
      <c r="EI670" s="265">
        <v>0</v>
      </c>
      <c r="EJ670" s="265">
        <v>0</v>
      </c>
      <c r="EK670" s="265">
        <v>0</v>
      </c>
      <c r="EL670" s="265">
        <v>0</v>
      </c>
      <c r="EM670" s="265">
        <v>0</v>
      </c>
      <c r="EN670" s="265">
        <v>0</v>
      </c>
      <c r="EO670" s="265">
        <v>0</v>
      </c>
      <c r="EP670" s="265">
        <v>0</v>
      </c>
      <c r="EQ670" s="265">
        <v>0</v>
      </c>
      <c r="ER670" s="265">
        <v>0</v>
      </c>
      <c r="ES670" s="265">
        <v>0</v>
      </c>
      <c r="ET670" s="265">
        <v>0</v>
      </c>
      <c r="EU670" s="265">
        <v>0</v>
      </c>
      <c r="EV670" s="265">
        <v>238</v>
      </c>
      <c r="EW670" s="265">
        <v>0</v>
      </c>
      <c r="EX670" s="265">
        <v>0</v>
      </c>
      <c r="EY670" s="265">
        <v>0</v>
      </c>
      <c r="EZ670" s="265"/>
      <c r="FA670" s="265">
        <v>0</v>
      </c>
      <c r="FB670" s="265"/>
      <c r="FC670" s="265"/>
      <c r="FD670" s="265"/>
      <c r="FE670" s="265"/>
      <c r="FF670" s="265">
        <v>0</v>
      </c>
      <c r="FG670" s="265">
        <v>0</v>
      </c>
      <c r="FH670" s="265">
        <v>0</v>
      </c>
      <c r="FI670" s="265">
        <v>0</v>
      </c>
    </row>
    <row r="671" spans="1:165">
      <c r="A671" s="265">
        <v>676</v>
      </c>
      <c r="B671" s="265" t="s">
        <v>2255</v>
      </c>
      <c r="C671" s="265" t="s">
        <v>2235</v>
      </c>
      <c r="D671" s="265" t="s">
        <v>1958</v>
      </c>
      <c r="E671" s="265" t="s">
        <v>970</v>
      </c>
      <c r="F671" s="265" t="s">
        <v>1322</v>
      </c>
      <c r="G671" s="265" t="s">
        <v>1322</v>
      </c>
      <c r="H671" s="265" t="s">
        <v>1322</v>
      </c>
      <c r="I671" s="265" t="s">
        <v>1322</v>
      </c>
      <c r="J671" s="265" t="s">
        <v>2236</v>
      </c>
      <c r="K671" s="1639">
        <v>44713</v>
      </c>
      <c r="L671" s="265">
        <v>0</v>
      </c>
      <c r="M671" s="265">
        <v>0</v>
      </c>
      <c r="N671" s="265">
        <v>8.6120000000000001</v>
      </c>
      <c r="O671" s="265">
        <v>8.6120000000000001</v>
      </c>
      <c r="P671" s="265">
        <v>8.6120000000000001</v>
      </c>
      <c r="Q671" s="265">
        <v>8.6120000000000001</v>
      </c>
      <c r="R671" s="265"/>
      <c r="S671" s="265">
        <v>581.32000000000005</v>
      </c>
      <c r="T671" s="265">
        <v>209.4</v>
      </c>
      <c r="U671" s="265"/>
      <c r="V671" s="265">
        <v>6809.6806400000005</v>
      </c>
      <c r="W671" s="265">
        <v>6809.6806400000005</v>
      </c>
      <c r="X671" s="265">
        <v>5202.2508399999997</v>
      </c>
      <c r="Y671" s="265">
        <v>0</v>
      </c>
      <c r="Z671" s="265">
        <v>529.96445918914401</v>
      </c>
      <c r="AA671" s="265">
        <v>0</v>
      </c>
      <c r="AB671" s="265">
        <v>0</v>
      </c>
      <c r="AC671" s="265">
        <v>0</v>
      </c>
      <c r="AD671" s="265">
        <v>638.93413898155438</v>
      </c>
      <c r="AE671" s="265">
        <v>3319.1105459949663</v>
      </c>
      <c r="AF671" s="265">
        <v>1779.6762227523072</v>
      </c>
      <c r="AG671" s="265">
        <v>23.70853427158654</v>
      </c>
      <c r="AH671" s="265">
        <v>0</v>
      </c>
      <c r="AI671" s="265">
        <v>0</v>
      </c>
      <c r="AJ671" s="265">
        <v>0</v>
      </c>
      <c r="AK671" s="265">
        <v>0</v>
      </c>
      <c r="AL671" s="265">
        <v>81.896689367813238</v>
      </c>
      <c r="AM671" s="265"/>
      <c r="AN671" s="265">
        <v>15.699368687918229</v>
      </c>
      <c r="AO671" s="265">
        <v>49.083928434818446</v>
      </c>
      <c r="AP671" s="265">
        <v>73.935656025907761</v>
      </c>
      <c r="AQ671" s="265">
        <v>0</v>
      </c>
      <c r="AR671" s="265">
        <v>0</v>
      </c>
      <c r="AS671" s="265">
        <v>0</v>
      </c>
      <c r="AT671" s="265">
        <v>0</v>
      </c>
      <c r="AU671" s="265">
        <v>0</v>
      </c>
      <c r="AV671" s="265">
        <v>0</v>
      </c>
      <c r="AW671" s="265">
        <v>0</v>
      </c>
      <c r="AX671" s="265">
        <v>0</v>
      </c>
      <c r="AY671" s="265">
        <v>0</v>
      </c>
      <c r="AZ671" s="265">
        <v>0</v>
      </c>
      <c r="BA671" s="265"/>
      <c r="BB671" s="265">
        <v>0</v>
      </c>
      <c r="BC671" s="265">
        <v>0</v>
      </c>
      <c r="BD671" s="265">
        <v>0</v>
      </c>
      <c r="BE671" s="265">
        <v>0</v>
      </c>
      <c r="BF671" s="265">
        <v>0</v>
      </c>
      <c r="BG671" s="265">
        <v>297.7365051354638</v>
      </c>
      <c r="BH671" s="265">
        <v>0</v>
      </c>
      <c r="BI671" s="265">
        <v>11.15</v>
      </c>
      <c r="BJ671" s="265">
        <v>51.71</v>
      </c>
      <c r="BK671" s="265">
        <v>1091.31</v>
      </c>
      <c r="BL671" s="265">
        <v>7</v>
      </c>
      <c r="BM671" s="265"/>
      <c r="BN671" s="265"/>
      <c r="BO671" s="265"/>
      <c r="BP671" s="265"/>
      <c r="BQ671" s="265"/>
      <c r="BR671" s="265"/>
      <c r="BS671" s="265"/>
      <c r="BT671" s="265"/>
      <c r="BU671" s="265"/>
      <c r="BV671" s="265">
        <v>2077.4127278877709</v>
      </c>
      <c r="BW671" s="265"/>
      <c r="BX671" s="265"/>
      <c r="BY671" s="265"/>
      <c r="BZ671" s="265"/>
      <c r="CA671" s="265"/>
      <c r="CB671" s="265"/>
      <c r="CC671" s="265"/>
      <c r="CD671" s="265"/>
      <c r="CE671" s="265"/>
      <c r="CF671" s="265"/>
      <c r="CG671" s="265"/>
      <c r="CH671" s="265"/>
      <c r="CI671" s="265">
        <v>5201.0426999999991</v>
      </c>
      <c r="CJ671" s="265">
        <v>-1608.6679400000021</v>
      </c>
      <c r="CK671" s="265"/>
      <c r="CL671" s="265"/>
      <c r="CM671" s="265"/>
      <c r="CN671" s="265"/>
      <c r="CO671" s="265">
        <v>-1804.0417600000007</v>
      </c>
      <c r="CP671" s="265">
        <v>196.61195999999987</v>
      </c>
      <c r="CQ671" s="265">
        <v>30</v>
      </c>
      <c r="CR671" s="265">
        <v>254.43181454676369</v>
      </c>
      <c r="CS671" s="265">
        <v>5.9260023448979453</v>
      </c>
      <c r="CT671" s="265">
        <v>8.926401878426006</v>
      </c>
      <c r="CU671" s="265">
        <v>0</v>
      </c>
      <c r="CV671" s="265">
        <v>0</v>
      </c>
      <c r="CW671" s="265">
        <v>0</v>
      </c>
      <c r="CX671" s="265">
        <v>0</v>
      </c>
      <c r="CY671" s="265">
        <v>0</v>
      </c>
      <c r="CZ671" s="265">
        <v>20.945818611996856</v>
      </c>
      <c r="DA671" s="265">
        <v>0</v>
      </c>
      <c r="DB671" s="265">
        <v>0</v>
      </c>
      <c r="DC671" s="265">
        <v>196.55240049621239</v>
      </c>
      <c r="DD671" s="265">
        <v>0</v>
      </c>
      <c r="DE671" s="265">
        <v>0</v>
      </c>
      <c r="DF671" s="265">
        <v>0</v>
      </c>
      <c r="DG671" s="265">
        <v>32.88284916748637</v>
      </c>
      <c r="DH671" s="265">
        <v>0</v>
      </c>
      <c r="DI671" s="265">
        <v>-9.2384055507452558</v>
      </c>
      <c r="DJ671" s="265"/>
      <c r="DK671" s="265">
        <v>0</v>
      </c>
      <c r="DL671" s="265">
        <v>0</v>
      </c>
      <c r="DM671" s="265">
        <v>0</v>
      </c>
      <c r="DN671" s="265">
        <v>0</v>
      </c>
      <c r="DO671" s="265">
        <v>-1.2002755913035941</v>
      </c>
      <c r="DP671" s="265">
        <v>-0.36297681020628403</v>
      </c>
      <c r="DQ671" s="265">
        <v>0</v>
      </c>
      <c r="DR671" s="265">
        <v>0</v>
      </c>
      <c r="DS671" s="265"/>
      <c r="DT671" s="265"/>
      <c r="DU671" s="265"/>
      <c r="DV671" s="265">
        <v>3319.1105459949663</v>
      </c>
      <c r="DW671" s="265">
        <v>0</v>
      </c>
      <c r="DX671" s="265">
        <v>0</v>
      </c>
      <c r="DY671" s="265">
        <v>-1804.041760000001</v>
      </c>
      <c r="DZ671" s="265">
        <v>196.61195999999973</v>
      </c>
      <c r="EA671" s="265">
        <v>0</v>
      </c>
      <c r="EB671" s="265">
        <v>0</v>
      </c>
      <c r="EC671" s="265">
        <v>-1861.9868267936963</v>
      </c>
      <c r="ED671" s="265">
        <v>0</v>
      </c>
      <c r="EE671" s="265">
        <v>0</v>
      </c>
      <c r="EF671" s="265">
        <v>0</v>
      </c>
      <c r="EG671" s="265">
        <v>0</v>
      </c>
      <c r="EH671" s="265">
        <v>0</v>
      </c>
      <c r="EI671" s="265">
        <v>0</v>
      </c>
      <c r="EJ671" s="265">
        <v>0</v>
      </c>
      <c r="EK671" s="265">
        <v>0</v>
      </c>
      <c r="EL671" s="265">
        <v>0</v>
      </c>
      <c r="EM671" s="265">
        <v>0</v>
      </c>
      <c r="EN671" s="265">
        <v>0</v>
      </c>
      <c r="EO671" s="265">
        <v>0</v>
      </c>
      <c r="EP671" s="265">
        <v>0</v>
      </c>
      <c r="EQ671" s="265">
        <v>0</v>
      </c>
      <c r="ER671" s="265">
        <v>0</v>
      </c>
      <c r="ES671" s="265">
        <v>0</v>
      </c>
      <c r="ET671" s="265">
        <v>0</v>
      </c>
      <c r="EU671" s="265">
        <v>0</v>
      </c>
      <c r="EV671" s="265">
        <v>238</v>
      </c>
      <c r="EW671" s="265">
        <v>0</v>
      </c>
      <c r="EX671" s="265">
        <v>0</v>
      </c>
      <c r="EY671" s="265">
        <v>0</v>
      </c>
      <c r="EZ671" s="265"/>
      <c r="FA671" s="265">
        <v>0</v>
      </c>
      <c r="FB671" s="265"/>
      <c r="FC671" s="265"/>
      <c r="FD671" s="265"/>
      <c r="FE671" s="265"/>
      <c r="FF671" s="265">
        <v>0</v>
      </c>
      <c r="FG671" s="265">
        <v>0</v>
      </c>
      <c r="FH671" s="265">
        <v>0</v>
      </c>
      <c r="FI671" s="265">
        <v>0</v>
      </c>
    </row>
    <row r="672" spans="1:165">
      <c r="A672" s="265">
        <v>677</v>
      </c>
      <c r="B672" s="265" t="s">
        <v>2255</v>
      </c>
      <c r="C672" s="265" t="s">
        <v>2235</v>
      </c>
      <c r="D672" s="265" t="s">
        <v>1958</v>
      </c>
      <c r="E672" s="265" t="s">
        <v>970</v>
      </c>
      <c r="F672" s="265" t="s">
        <v>1322</v>
      </c>
      <c r="G672" s="265" t="s">
        <v>1322</v>
      </c>
      <c r="H672" s="265" t="s">
        <v>1322</v>
      </c>
      <c r="I672" s="265" t="s">
        <v>1322</v>
      </c>
      <c r="J672" s="265" t="s">
        <v>2236</v>
      </c>
      <c r="K672" s="1639">
        <v>44713</v>
      </c>
      <c r="L672" s="265">
        <v>0</v>
      </c>
      <c r="M672" s="265">
        <v>0</v>
      </c>
      <c r="N672" s="265">
        <v>2.4910000000000001</v>
      </c>
      <c r="O672" s="265">
        <v>2.4910000000000001</v>
      </c>
      <c r="P672" s="265">
        <v>2.4910000000000001</v>
      </c>
      <c r="Q672" s="265">
        <v>2.4910000000000001</v>
      </c>
      <c r="R672" s="265"/>
      <c r="S672" s="265">
        <v>581.32000000000005</v>
      </c>
      <c r="T672" s="265">
        <v>209.4</v>
      </c>
      <c r="U672" s="265"/>
      <c r="V672" s="265">
        <v>1969.68352</v>
      </c>
      <c r="W672" s="265">
        <v>1969.68352</v>
      </c>
      <c r="X672" s="265">
        <v>1504.73837</v>
      </c>
      <c r="Y672" s="265">
        <v>0</v>
      </c>
      <c r="Z672" s="265">
        <v>153.29092752440292</v>
      </c>
      <c r="AA672" s="265">
        <v>0</v>
      </c>
      <c r="AB672" s="265">
        <v>0</v>
      </c>
      <c r="AC672" s="265">
        <v>0</v>
      </c>
      <c r="AD672" s="265">
        <v>184.81014168637392</v>
      </c>
      <c r="AE672" s="265">
        <v>960.04463191749437</v>
      </c>
      <c r="AF672" s="265">
        <v>514.76700776544328</v>
      </c>
      <c r="AG672" s="265">
        <v>6.857635725792159</v>
      </c>
      <c r="AH672" s="265">
        <v>0</v>
      </c>
      <c r="AI672" s="265">
        <v>0</v>
      </c>
      <c r="AJ672" s="265">
        <v>0</v>
      </c>
      <c r="AK672" s="265">
        <v>0</v>
      </c>
      <c r="AL672" s="265">
        <v>23.688417698005431</v>
      </c>
      <c r="AM672" s="265"/>
      <c r="AN672" s="265">
        <v>4.5410041107297152</v>
      </c>
      <c r="AO672" s="265">
        <v>14.19740661067496</v>
      </c>
      <c r="AP672" s="265">
        <v>21.38570821650444</v>
      </c>
      <c r="AQ672" s="265">
        <v>0</v>
      </c>
      <c r="AR672" s="265">
        <v>0</v>
      </c>
      <c r="AS672" s="265">
        <v>0</v>
      </c>
      <c r="AT672" s="265">
        <v>0</v>
      </c>
      <c r="AU672" s="265">
        <v>0</v>
      </c>
      <c r="AV672" s="265">
        <v>0</v>
      </c>
      <c r="AW672" s="265">
        <v>0</v>
      </c>
      <c r="AX672" s="265">
        <v>0</v>
      </c>
      <c r="AY672" s="265">
        <v>0</v>
      </c>
      <c r="AZ672" s="265">
        <v>0</v>
      </c>
      <c r="BA672" s="265"/>
      <c r="BB672" s="265">
        <v>0</v>
      </c>
      <c r="BC672" s="265">
        <v>0</v>
      </c>
      <c r="BD672" s="265">
        <v>0</v>
      </c>
      <c r="BE672" s="265">
        <v>0</v>
      </c>
      <c r="BF672" s="265">
        <v>0</v>
      </c>
      <c r="BG672" s="265">
        <v>86.119558092480304</v>
      </c>
      <c r="BH672" s="265">
        <v>0</v>
      </c>
      <c r="BI672" s="265">
        <v>3.18</v>
      </c>
      <c r="BJ672" s="265">
        <v>14.78</v>
      </c>
      <c r="BK672" s="265">
        <v>382.3</v>
      </c>
      <c r="BL672" s="265">
        <v>3</v>
      </c>
      <c r="BM672" s="265"/>
      <c r="BN672" s="265"/>
      <c r="BO672" s="265"/>
      <c r="BP672" s="265"/>
      <c r="BQ672" s="265"/>
      <c r="BR672" s="265"/>
      <c r="BS672" s="265"/>
      <c r="BT672" s="265"/>
      <c r="BU672" s="265"/>
      <c r="BV672" s="265">
        <v>600.88656585792364</v>
      </c>
      <c r="BW672" s="265"/>
      <c r="BX672" s="265"/>
      <c r="BY672" s="265"/>
      <c r="BZ672" s="265"/>
      <c r="CA672" s="265"/>
      <c r="CB672" s="265"/>
      <c r="CC672" s="265"/>
      <c r="CD672" s="265"/>
      <c r="CE672" s="265"/>
      <c r="CF672" s="265"/>
      <c r="CG672" s="265"/>
      <c r="CH672" s="265"/>
      <c r="CI672" s="265">
        <v>1504.1343000000002</v>
      </c>
      <c r="CJ672" s="265">
        <v>-465.57921999999985</v>
      </c>
      <c r="CK672" s="265"/>
      <c r="CL672" s="265"/>
      <c r="CM672" s="265"/>
      <c r="CN672" s="265"/>
      <c r="CO672" s="265">
        <v>-521.81468000000018</v>
      </c>
      <c r="CP672" s="265">
        <v>56.869529999999962</v>
      </c>
      <c r="CQ672" s="265">
        <v>30</v>
      </c>
      <c r="CR672" s="265">
        <v>73.593781936366781</v>
      </c>
      <c r="CS672" s="265">
        <v>1.7140817279541078</v>
      </c>
      <c r="CT672" s="265">
        <v>2.5819399766789566</v>
      </c>
      <c r="CU672" s="265">
        <v>0</v>
      </c>
      <c r="CV672" s="265">
        <v>0</v>
      </c>
      <c r="CW672" s="265">
        <v>0</v>
      </c>
      <c r="CX672" s="265">
        <v>0</v>
      </c>
      <c r="CY672" s="265">
        <v>0</v>
      </c>
      <c r="CZ672" s="265">
        <v>6.0585269580218153</v>
      </c>
      <c r="DA672" s="265">
        <v>0</v>
      </c>
      <c r="DB672" s="265">
        <v>0</v>
      </c>
      <c r="DC672" s="265">
        <v>56.852302558762744</v>
      </c>
      <c r="DD672" s="265">
        <v>0</v>
      </c>
      <c r="DE672" s="265">
        <v>0</v>
      </c>
      <c r="DF672" s="265">
        <v>0</v>
      </c>
      <c r="DG672" s="265">
        <v>9.5112839382499317</v>
      </c>
      <c r="DH672" s="265">
        <v>0</v>
      </c>
      <c r="DI672" s="265">
        <v>-2.672186278089498</v>
      </c>
      <c r="DJ672" s="265"/>
      <c r="DK672" s="265">
        <v>0</v>
      </c>
      <c r="DL672" s="265">
        <v>0</v>
      </c>
      <c r="DM672" s="265">
        <v>0</v>
      </c>
      <c r="DN672" s="265">
        <v>0</v>
      </c>
      <c r="DO672" s="265">
        <v>-0.34717678796298657</v>
      </c>
      <c r="DP672" s="265">
        <v>-0.10499015724847371</v>
      </c>
      <c r="DQ672" s="265">
        <v>0</v>
      </c>
      <c r="DR672" s="265">
        <v>0</v>
      </c>
      <c r="DS672" s="265"/>
      <c r="DT672" s="265"/>
      <c r="DU672" s="265"/>
      <c r="DV672" s="265">
        <v>960.04463191749437</v>
      </c>
      <c r="DW672" s="265">
        <v>0</v>
      </c>
      <c r="DX672" s="265">
        <v>0</v>
      </c>
      <c r="DY672" s="265">
        <v>-521.81468000000018</v>
      </c>
      <c r="DZ672" s="265">
        <v>56.869529999999941</v>
      </c>
      <c r="EA672" s="265">
        <v>0</v>
      </c>
      <c r="EB672" s="265">
        <v>0</v>
      </c>
      <c r="EC672" s="265">
        <v>-538.5751492734671</v>
      </c>
      <c r="ED672" s="265">
        <v>0</v>
      </c>
      <c r="EE672" s="265">
        <v>0</v>
      </c>
      <c r="EF672" s="265">
        <v>0</v>
      </c>
      <c r="EG672" s="265">
        <v>0</v>
      </c>
      <c r="EH672" s="265">
        <v>0</v>
      </c>
      <c r="EI672" s="265">
        <v>0</v>
      </c>
      <c r="EJ672" s="265">
        <v>0</v>
      </c>
      <c r="EK672" s="265">
        <v>0</v>
      </c>
      <c r="EL672" s="265">
        <v>0</v>
      </c>
      <c r="EM672" s="265">
        <v>0</v>
      </c>
      <c r="EN672" s="265">
        <v>0</v>
      </c>
      <c r="EO672" s="265">
        <v>0</v>
      </c>
      <c r="EP672" s="265">
        <v>0</v>
      </c>
      <c r="EQ672" s="265">
        <v>0</v>
      </c>
      <c r="ER672" s="265">
        <v>0</v>
      </c>
      <c r="ES672" s="265">
        <v>0</v>
      </c>
      <c r="ET672" s="265">
        <v>0</v>
      </c>
      <c r="EU672" s="265">
        <v>0</v>
      </c>
      <c r="EV672" s="265">
        <v>238</v>
      </c>
      <c r="EW672" s="265">
        <v>0</v>
      </c>
      <c r="EX672" s="265">
        <v>0</v>
      </c>
      <c r="EY672" s="265">
        <v>0</v>
      </c>
      <c r="EZ672" s="265"/>
      <c r="FA672" s="265">
        <v>0</v>
      </c>
      <c r="FB672" s="265"/>
      <c r="FC672" s="265"/>
      <c r="FD672" s="265"/>
      <c r="FE672" s="265"/>
      <c r="FF672" s="265">
        <v>0</v>
      </c>
      <c r="FG672" s="265">
        <v>0</v>
      </c>
      <c r="FH672" s="265">
        <v>0</v>
      </c>
      <c r="FI672" s="265">
        <v>0</v>
      </c>
    </row>
    <row r="673" spans="1:165">
      <c r="A673" s="265">
        <v>678</v>
      </c>
      <c r="B673" s="265" t="s">
        <v>2255</v>
      </c>
      <c r="C673" s="265" t="s">
        <v>2243</v>
      </c>
      <c r="D673" s="265" t="s">
        <v>597</v>
      </c>
      <c r="E673" s="265" t="s">
        <v>970</v>
      </c>
      <c r="F673" s="265" t="s">
        <v>1322</v>
      </c>
      <c r="G673" s="265" t="s">
        <v>1322</v>
      </c>
      <c r="H673" s="265" t="s">
        <v>1322</v>
      </c>
      <c r="I673" s="265" t="s">
        <v>973</v>
      </c>
      <c r="J673" s="265" t="s">
        <v>2236</v>
      </c>
      <c r="K673" s="1639">
        <v>44713</v>
      </c>
      <c r="L673" s="265">
        <v>0</v>
      </c>
      <c r="M673" s="265">
        <v>0</v>
      </c>
      <c r="N673" s="265">
        <v>12.183999999999999</v>
      </c>
      <c r="O673" s="265">
        <v>12.183999999999999</v>
      </c>
      <c r="P673" s="265">
        <v>12.183999999999999</v>
      </c>
      <c r="Q673" s="265">
        <v>12.183999999999999</v>
      </c>
      <c r="R673" s="265"/>
      <c r="S673" s="265">
        <v>1614.19</v>
      </c>
      <c r="T673" s="265">
        <v>209.4</v>
      </c>
      <c r="U673" s="265"/>
      <c r="V673" s="265">
        <v>22218.620559999999</v>
      </c>
      <c r="W673" s="265">
        <v>22218.620559999999</v>
      </c>
      <c r="X673" s="265">
        <v>14768.835599999999</v>
      </c>
      <c r="Y673" s="265">
        <v>0</v>
      </c>
      <c r="Z673" s="265">
        <v>652.3067422853768</v>
      </c>
      <c r="AA673" s="265">
        <v>0</v>
      </c>
      <c r="AB673" s="265">
        <v>0</v>
      </c>
      <c r="AC673" s="265">
        <v>0</v>
      </c>
      <c r="AD673" s="265">
        <v>3794.3167943512594</v>
      </c>
      <c r="AE673" s="265">
        <v>14168.001331078514</v>
      </c>
      <c r="AF673" s="265">
        <v>2517.8326867178484</v>
      </c>
      <c r="AG673" s="265">
        <v>33.542125123665862</v>
      </c>
      <c r="AH673" s="265">
        <v>0</v>
      </c>
      <c r="AI673" s="265">
        <v>0</v>
      </c>
      <c r="AJ673" s="265">
        <v>0</v>
      </c>
      <c r="AK673" s="265">
        <v>0</v>
      </c>
      <c r="AL673" s="265">
        <v>115.86498644419837</v>
      </c>
      <c r="AM673" s="265"/>
      <c r="AN673" s="265">
        <v>16.178455054862933</v>
      </c>
      <c r="AO673" s="265">
        <v>294.79097074174803</v>
      </c>
      <c r="AP673" s="265">
        <v>439.09556751754735</v>
      </c>
      <c r="AQ673" s="265">
        <v>0</v>
      </c>
      <c r="AR673" s="265">
        <v>0</v>
      </c>
      <c r="AS673" s="265">
        <v>0</v>
      </c>
      <c r="AT673" s="265">
        <v>0</v>
      </c>
      <c r="AU673" s="265">
        <v>0</v>
      </c>
      <c r="AV673" s="265">
        <v>0</v>
      </c>
      <c r="AW673" s="265">
        <v>0</v>
      </c>
      <c r="AX673" s="265">
        <v>0</v>
      </c>
      <c r="AY673" s="265">
        <v>0</v>
      </c>
      <c r="AZ673" s="265">
        <v>0</v>
      </c>
      <c r="BA673" s="265"/>
      <c r="BB673" s="265">
        <v>0</v>
      </c>
      <c r="BC673" s="265">
        <v>0</v>
      </c>
      <c r="BD673" s="265">
        <v>0</v>
      </c>
      <c r="BE673" s="265">
        <v>0</v>
      </c>
      <c r="BF673" s="265">
        <v>0</v>
      </c>
      <c r="BG673" s="265">
        <v>186.71293262511179</v>
      </c>
      <c r="BH673" s="265">
        <v>0</v>
      </c>
      <c r="BI673" s="265">
        <v>0</v>
      </c>
      <c r="BJ673" s="265">
        <v>0</v>
      </c>
      <c r="BK673" s="265">
        <v>0</v>
      </c>
      <c r="BL673" s="265">
        <v>0</v>
      </c>
      <c r="BM673" s="265"/>
      <c r="BN673" s="265"/>
      <c r="BO673" s="265"/>
      <c r="BP673" s="265"/>
      <c r="BQ673" s="265"/>
      <c r="BR673" s="265"/>
      <c r="BS673" s="265"/>
      <c r="BT673" s="265"/>
      <c r="BU673" s="265"/>
      <c r="BV673" s="265">
        <v>2704.5456193429604</v>
      </c>
      <c r="BW673" s="265"/>
      <c r="BX673" s="265"/>
      <c r="BY673" s="265"/>
      <c r="BZ673" s="265"/>
      <c r="CA673" s="265"/>
      <c r="CB673" s="265"/>
      <c r="CC673" s="265"/>
      <c r="CD673" s="265"/>
      <c r="CE673" s="265"/>
      <c r="CF673" s="265"/>
      <c r="CG673" s="265"/>
      <c r="CH673" s="265"/>
      <c r="CI673" s="265">
        <v>14763.986999999997</v>
      </c>
      <c r="CJ673" s="265">
        <v>-7454.6635599999972</v>
      </c>
      <c r="CK673" s="265"/>
      <c r="CL673" s="265"/>
      <c r="CM673" s="265"/>
      <c r="CN673" s="265"/>
      <c r="CO673" s="265">
        <v>-7727.9456800000007</v>
      </c>
      <c r="CP673" s="265">
        <v>278.1607199999998</v>
      </c>
      <c r="CQ673" s="265">
        <v>30</v>
      </c>
      <c r="CR673" s="265">
        <v>498.24486059561059</v>
      </c>
      <c r="CS673" s="265">
        <v>35.590712470990468</v>
      </c>
      <c r="CT673" s="265">
        <v>53.01289945035154</v>
      </c>
      <c r="CU673" s="265">
        <v>0</v>
      </c>
      <c r="CV673" s="265">
        <v>0</v>
      </c>
      <c r="CW673" s="265">
        <v>0</v>
      </c>
      <c r="CX673" s="265">
        <v>0</v>
      </c>
      <c r="CY673" s="265">
        <v>0</v>
      </c>
      <c r="CZ673" s="265">
        <v>124.3869539630773</v>
      </c>
      <c r="DA673" s="265">
        <v>0</v>
      </c>
      <c r="DB673" s="265">
        <v>0</v>
      </c>
      <c r="DC673" s="265">
        <v>278.07645699556997</v>
      </c>
      <c r="DD673" s="265">
        <v>0</v>
      </c>
      <c r="DE673" s="265">
        <v>0</v>
      </c>
      <c r="DF673" s="265">
        <v>0</v>
      </c>
      <c r="DG673" s="265">
        <v>20.62109649045999</v>
      </c>
      <c r="DH673" s="265">
        <v>0</v>
      </c>
      <c r="DI673" s="265">
        <v>-11.371091257588091</v>
      </c>
      <c r="DJ673" s="265"/>
      <c r="DK673" s="265">
        <v>0</v>
      </c>
      <c r="DL673" s="265">
        <v>0</v>
      </c>
      <c r="DM673" s="265">
        <v>0</v>
      </c>
      <c r="DN673" s="265">
        <v>0</v>
      </c>
      <c r="DO673" s="265">
        <v>-1.6981140042316412</v>
      </c>
      <c r="DP673" s="265">
        <v>-0.37405351301804757</v>
      </c>
      <c r="DQ673" s="265">
        <v>0</v>
      </c>
      <c r="DR673" s="265">
        <v>0</v>
      </c>
      <c r="DS673" s="265"/>
      <c r="DT673" s="265"/>
      <c r="DU673" s="265"/>
      <c r="DV673" s="265">
        <v>14168.001331078514</v>
      </c>
      <c r="DW673" s="265">
        <v>0</v>
      </c>
      <c r="DX673" s="265">
        <v>0</v>
      </c>
      <c r="DY673" s="265">
        <v>-7727.9456799999989</v>
      </c>
      <c r="DZ673" s="265">
        <v>278.16071999999986</v>
      </c>
      <c r="EA673" s="265">
        <v>0</v>
      </c>
      <c r="EB673" s="265">
        <v>0</v>
      </c>
      <c r="EC673" s="265">
        <v>-7948.1028049205161</v>
      </c>
      <c r="ED673" s="265">
        <v>0</v>
      </c>
      <c r="EE673" s="265">
        <v>0</v>
      </c>
      <c r="EF673" s="265">
        <v>0</v>
      </c>
      <c r="EG673" s="265">
        <v>0</v>
      </c>
      <c r="EH673" s="265">
        <v>0</v>
      </c>
      <c r="EI673" s="265">
        <v>0</v>
      </c>
      <c r="EJ673" s="265">
        <v>0</v>
      </c>
      <c r="EK673" s="265">
        <v>0</v>
      </c>
      <c r="EL673" s="265">
        <v>0</v>
      </c>
      <c r="EM673" s="265">
        <v>0</v>
      </c>
      <c r="EN673" s="265">
        <v>0</v>
      </c>
      <c r="EO673" s="265">
        <v>0</v>
      </c>
      <c r="EP673" s="265">
        <v>0</v>
      </c>
      <c r="EQ673" s="265">
        <v>0</v>
      </c>
      <c r="ER673" s="265">
        <v>0</v>
      </c>
      <c r="ES673" s="265">
        <v>0</v>
      </c>
      <c r="ET673" s="265">
        <v>0</v>
      </c>
      <c r="EU673" s="265">
        <v>0</v>
      </c>
      <c r="EV673" s="265">
        <v>238</v>
      </c>
      <c r="EW673" s="265">
        <v>0</v>
      </c>
      <c r="EX673" s="265">
        <v>0</v>
      </c>
      <c r="EY673" s="265">
        <v>0</v>
      </c>
      <c r="EZ673" s="265"/>
      <c r="FA673" s="265">
        <v>0</v>
      </c>
      <c r="FB673" s="265"/>
      <c r="FC673" s="265"/>
      <c r="FD673" s="265"/>
      <c r="FE673" s="265"/>
      <c r="FF673" s="265">
        <v>0</v>
      </c>
      <c r="FG673" s="265">
        <v>0</v>
      </c>
      <c r="FH673" s="265">
        <v>0</v>
      </c>
      <c r="FI673" s="265">
        <v>0</v>
      </c>
    </row>
    <row r="674" spans="1:165">
      <c r="A674" s="265">
        <v>679</v>
      </c>
      <c r="B674" s="265" t="s">
        <v>2255</v>
      </c>
      <c r="C674" s="265" t="s">
        <v>2243</v>
      </c>
      <c r="D674" s="265" t="s">
        <v>597</v>
      </c>
      <c r="E674" s="265" t="s">
        <v>970</v>
      </c>
      <c r="F674" s="265" t="s">
        <v>1322</v>
      </c>
      <c r="G674" s="265" t="s">
        <v>1322</v>
      </c>
      <c r="H674" s="265" t="s">
        <v>1322</v>
      </c>
      <c r="I674" s="265" t="s">
        <v>2244</v>
      </c>
      <c r="J674" s="265" t="s">
        <v>2236</v>
      </c>
      <c r="K674" s="1639">
        <v>44713</v>
      </c>
      <c r="L674" s="265">
        <v>0</v>
      </c>
      <c r="M674" s="265">
        <v>0</v>
      </c>
      <c r="N674" s="265">
        <v>275.39800000000002</v>
      </c>
      <c r="O674" s="265">
        <v>275.39800000000002</v>
      </c>
      <c r="P674" s="265">
        <v>275.39800000000002</v>
      </c>
      <c r="Q674" s="265">
        <v>275.39800000000002</v>
      </c>
      <c r="R674" s="265"/>
      <c r="S674" s="265">
        <v>79.7</v>
      </c>
      <c r="T674" s="265">
        <v>209.4</v>
      </c>
      <c r="U674" s="265"/>
      <c r="V674" s="265">
        <v>79617.56180000001</v>
      </c>
      <c r="W674" s="265">
        <v>79617.56180000001</v>
      </c>
      <c r="X674" s="265">
        <v>86067.382960000003</v>
      </c>
      <c r="Y674" s="265">
        <v>0</v>
      </c>
      <c r="Z674" s="265">
        <v>14744.252479637906</v>
      </c>
      <c r="AA674" s="265">
        <v>0</v>
      </c>
      <c r="AB674" s="265">
        <v>0</v>
      </c>
      <c r="AC674" s="265">
        <v>0</v>
      </c>
      <c r="AD674" s="265">
        <v>0</v>
      </c>
      <c r="AE674" s="265">
        <v>0</v>
      </c>
      <c r="AF674" s="265">
        <v>56911.20208935671</v>
      </c>
      <c r="AG674" s="265">
        <v>758.16104520743045</v>
      </c>
      <c r="AH674" s="265">
        <v>0</v>
      </c>
      <c r="AI674" s="265">
        <v>0</v>
      </c>
      <c r="AJ674" s="265">
        <v>0</v>
      </c>
      <c r="AK674" s="265">
        <v>0</v>
      </c>
      <c r="AL674" s="265">
        <v>2618.9252738640303</v>
      </c>
      <c r="AM674" s="265"/>
      <c r="AN674" s="265">
        <v>365.68566687451926</v>
      </c>
      <c r="AO674" s="265">
        <v>0</v>
      </c>
      <c r="AP674" s="265">
        <v>0</v>
      </c>
      <c r="AQ674" s="265">
        <v>0</v>
      </c>
      <c r="AR674" s="265">
        <v>0</v>
      </c>
      <c r="AS674" s="265">
        <v>0</v>
      </c>
      <c r="AT674" s="265">
        <v>0</v>
      </c>
      <c r="AU674" s="265">
        <v>0</v>
      </c>
      <c r="AV674" s="265">
        <v>0</v>
      </c>
      <c r="AW674" s="265">
        <v>0</v>
      </c>
      <c r="AX674" s="265">
        <v>0</v>
      </c>
      <c r="AY674" s="265">
        <v>0</v>
      </c>
      <c r="AZ674" s="265">
        <v>0</v>
      </c>
      <c r="BA674" s="265"/>
      <c r="BB674" s="265">
        <v>0</v>
      </c>
      <c r="BC674" s="265">
        <v>0</v>
      </c>
      <c r="BD674" s="265">
        <v>0</v>
      </c>
      <c r="BE674" s="265">
        <v>0</v>
      </c>
      <c r="BF674" s="265">
        <v>0</v>
      </c>
      <c r="BG674" s="265">
        <v>4220.3191250074315</v>
      </c>
      <c r="BH674" s="265">
        <v>0</v>
      </c>
      <c r="BI674" s="265">
        <v>0</v>
      </c>
      <c r="BJ674" s="265">
        <v>0</v>
      </c>
      <c r="BK674" s="265">
        <v>0</v>
      </c>
      <c r="BL674" s="265">
        <v>0</v>
      </c>
      <c r="BM674" s="265"/>
      <c r="BN674" s="265"/>
      <c r="BO674" s="265"/>
      <c r="BP674" s="265"/>
      <c r="BQ674" s="265"/>
      <c r="BR674" s="265"/>
      <c r="BS674" s="265"/>
      <c r="BT674" s="265"/>
      <c r="BU674" s="265"/>
      <c r="BV674" s="265">
        <v>61131.52121436414</v>
      </c>
      <c r="BW674" s="265"/>
      <c r="BX674" s="265"/>
      <c r="BY674" s="265"/>
      <c r="BZ674" s="265"/>
      <c r="CA674" s="265"/>
      <c r="CB674" s="265"/>
      <c r="CC674" s="265"/>
      <c r="CD674" s="265"/>
      <c r="CE674" s="265"/>
      <c r="CF674" s="265"/>
      <c r="CG674" s="265"/>
      <c r="CH674" s="265"/>
      <c r="CI674" s="265">
        <v>86068.007999999987</v>
      </c>
      <c r="CJ674" s="265">
        <v>6450.4161999999778</v>
      </c>
      <c r="CK674" s="265"/>
      <c r="CL674" s="265"/>
      <c r="CM674" s="265"/>
      <c r="CN674" s="265"/>
      <c r="CO674" s="265">
        <v>162.48482000000095</v>
      </c>
      <c r="CP674" s="265">
        <v>6287.3363399999962</v>
      </c>
      <c r="CQ674" s="265">
        <v>30</v>
      </c>
      <c r="CR674" s="265">
        <v>6447.6741837551672</v>
      </c>
      <c r="CS674" s="265">
        <v>0</v>
      </c>
      <c r="CT674" s="265">
        <v>0</v>
      </c>
      <c r="CU674" s="265">
        <v>0</v>
      </c>
      <c r="CV674" s="265">
        <v>0</v>
      </c>
      <c r="CW674" s="265">
        <v>0</v>
      </c>
      <c r="CX674" s="265">
        <v>0</v>
      </c>
      <c r="CY674" s="265">
        <v>0</v>
      </c>
      <c r="CZ674" s="265">
        <v>0</v>
      </c>
      <c r="DA674" s="265">
        <v>0</v>
      </c>
      <c r="DB674" s="265">
        <v>0</v>
      </c>
      <c r="DC674" s="265">
        <v>6285.4317222312893</v>
      </c>
      <c r="DD674" s="265">
        <v>0</v>
      </c>
      <c r="DE674" s="265">
        <v>0</v>
      </c>
      <c r="DF674" s="265">
        <v>0</v>
      </c>
      <c r="DG674" s="265">
        <v>466.103802632937</v>
      </c>
      <c r="DH674" s="265">
        <v>0</v>
      </c>
      <c r="DI674" s="265">
        <v>-257.02362033463942</v>
      </c>
      <c r="DJ674" s="265"/>
      <c r="DK674" s="265">
        <v>0</v>
      </c>
      <c r="DL674" s="265">
        <v>0</v>
      </c>
      <c r="DM674" s="265">
        <v>0</v>
      </c>
      <c r="DN674" s="265">
        <v>0</v>
      </c>
      <c r="DO674" s="265">
        <v>-38.382895644893324</v>
      </c>
      <c r="DP674" s="265">
        <v>-8.4548251295259433</v>
      </c>
      <c r="DQ674" s="265">
        <v>0</v>
      </c>
      <c r="DR674" s="265">
        <v>0</v>
      </c>
      <c r="DS674" s="265"/>
      <c r="DT674" s="265"/>
      <c r="DU674" s="265"/>
      <c r="DV674" s="265">
        <v>0</v>
      </c>
      <c r="DW674" s="265">
        <v>0</v>
      </c>
      <c r="DX674" s="265">
        <v>0</v>
      </c>
      <c r="DY674" s="265">
        <v>162.48481999999785</v>
      </c>
      <c r="DZ674" s="265">
        <v>6287.3363399999944</v>
      </c>
      <c r="EA674" s="265">
        <v>0</v>
      </c>
      <c r="EB674" s="265">
        <v>0</v>
      </c>
      <c r="EC674" s="265">
        <v>0</v>
      </c>
      <c r="ED674" s="265">
        <v>0</v>
      </c>
      <c r="EE674" s="265">
        <v>0</v>
      </c>
      <c r="EF674" s="265">
        <v>0</v>
      </c>
      <c r="EG674" s="265">
        <v>0</v>
      </c>
      <c r="EH674" s="265">
        <v>0</v>
      </c>
      <c r="EI674" s="265">
        <v>0</v>
      </c>
      <c r="EJ674" s="265">
        <v>0</v>
      </c>
      <c r="EK674" s="265">
        <v>0</v>
      </c>
      <c r="EL674" s="265">
        <v>0</v>
      </c>
      <c r="EM674" s="265">
        <v>0</v>
      </c>
      <c r="EN674" s="265">
        <v>0</v>
      </c>
      <c r="EO674" s="265">
        <v>0</v>
      </c>
      <c r="EP674" s="265">
        <v>0</v>
      </c>
      <c r="EQ674" s="265">
        <v>0</v>
      </c>
      <c r="ER674" s="265">
        <v>0</v>
      </c>
      <c r="ES674" s="265">
        <v>0</v>
      </c>
      <c r="ET674" s="265">
        <v>0</v>
      </c>
      <c r="EU674" s="265">
        <v>0</v>
      </c>
      <c r="EV674" s="265">
        <v>238</v>
      </c>
      <c r="EW674" s="265">
        <v>0</v>
      </c>
      <c r="EX674" s="265">
        <v>0</v>
      </c>
      <c r="EY674" s="265">
        <v>0</v>
      </c>
      <c r="EZ674" s="265"/>
      <c r="FA674" s="265">
        <v>0</v>
      </c>
      <c r="FB674" s="265"/>
      <c r="FC674" s="265"/>
      <c r="FD674" s="265"/>
      <c r="FE674" s="265"/>
      <c r="FF674" s="265">
        <v>0</v>
      </c>
      <c r="FG674" s="265">
        <v>0</v>
      </c>
      <c r="FH674" s="265">
        <v>0</v>
      </c>
      <c r="FI674" s="265">
        <v>0</v>
      </c>
    </row>
    <row r="675" spans="1:165">
      <c r="A675" s="265">
        <v>680</v>
      </c>
      <c r="B675" s="265" t="s">
        <v>2255</v>
      </c>
      <c r="C675" s="265" t="s">
        <v>2243</v>
      </c>
      <c r="D675" s="265" t="s">
        <v>597</v>
      </c>
      <c r="E675" s="265" t="s">
        <v>970</v>
      </c>
      <c r="F675" s="265" t="s">
        <v>1322</v>
      </c>
      <c r="G675" s="265" t="s">
        <v>1322</v>
      </c>
      <c r="H675" s="265" t="s">
        <v>1322</v>
      </c>
      <c r="I675" s="265" t="s">
        <v>1322</v>
      </c>
      <c r="J675" s="265" t="s">
        <v>2236</v>
      </c>
      <c r="K675" s="1639">
        <v>44713</v>
      </c>
      <c r="L675" s="265">
        <v>1666</v>
      </c>
      <c r="M675" s="265">
        <v>1666</v>
      </c>
      <c r="N675" s="265">
        <v>0</v>
      </c>
      <c r="O675" s="265">
        <v>0</v>
      </c>
      <c r="P675" s="265">
        <v>0</v>
      </c>
      <c r="Q675" s="265">
        <v>0</v>
      </c>
      <c r="R675" s="265">
        <v>44.35</v>
      </c>
      <c r="S675" s="265"/>
      <c r="T675" s="265"/>
      <c r="U675" s="265">
        <v>73887.100000000006</v>
      </c>
      <c r="V675" s="265"/>
      <c r="W675" s="265">
        <v>73887.100000000006</v>
      </c>
      <c r="X675" s="265">
        <v>48264.02</v>
      </c>
      <c r="Y675" s="265">
        <v>0</v>
      </c>
      <c r="Z675" s="265">
        <v>0</v>
      </c>
      <c r="AA675" s="265">
        <v>0</v>
      </c>
      <c r="AB675" s="265">
        <v>0</v>
      </c>
      <c r="AC675" s="265">
        <v>0</v>
      </c>
      <c r="AD675" s="265">
        <v>21861.358104350111</v>
      </c>
      <c r="AE675" s="265">
        <v>47843.931912052838</v>
      </c>
      <c r="AF675" s="265"/>
      <c r="AG675" s="265"/>
      <c r="AH675" s="265"/>
      <c r="AI675" s="265">
        <v>0</v>
      </c>
      <c r="AJ675" s="265">
        <v>0</v>
      </c>
      <c r="AK675" s="265">
        <v>0</v>
      </c>
      <c r="AL675" s="265">
        <v>0</v>
      </c>
      <c r="AM675" s="265"/>
      <c r="AN675" s="265">
        <v>0</v>
      </c>
      <c r="AO675" s="265">
        <v>1652.2066723071709</v>
      </c>
      <c r="AP675" s="265">
        <v>2527.8074614179777</v>
      </c>
      <c r="AQ675" s="265">
        <v>0</v>
      </c>
      <c r="AR675" s="265">
        <v>0</v>
      </c>
      <c r="AS675" s="265"/>
      <c r="AT675" s="265"/>
      <c r="AU675" s="265">
        <v>0</v>
      </c>
      <c r="AV675" s="265">
        <v>0</v>
      </c>
      <c r="AW675" s="265">
        <v>0</v>
      </c>
      <c r="AX675" s="265"/>
      <c r="AY675" s="265"/>
      <c r="AZ675" s="265">
        <v>0</v>
      </c>
      <c r="BA675" s="265"/>
      <c r="BB675" s="265">
        <v>0</v>
      </c>
      <c r="BC675" s="265">
        <v>0</v>
      </c>
      <c r="BD675" s="265">
        <v>0</v>
      </c>
      <c r="BE675" s="265">
        <v>0</v>
      </c>
      <c r="BF675" s="265"/>
      <c r="BG675" s="265">
        <v>0</v>
      </c>
      <c r="BH675" s="265">
        <v>0</v>
      </c>
      <c r="BI675" s="265">
        <v>316.83</v>
      </c>
      <c r="BJ675" s="265">
        <v>1463.54</v>
      </c>
      <c r="BK675" s="265">
        <v>28999.79</v>
      </c>
      <c r="BL675" s="265">
        <v>7</v>
      </c>
      <c r="BM675" s="265"/>
      <c r="BN675" s="265"/>
      <c r="BO675" s="265"/>
      <c r="BP675" s="265"/>
      <c r="BQ675" s="265"/>
      <c r="BR675" s="265"/>
      <c r="BS675" s="265"/>
      <c r="BT675" s="265"/>
      <c r="BU675" s="265"/>
      <c r="BV675" s="265">
        <v>0</v>
      </c>
      <c r="BW675" s="265"/>
      <c r="BX675" s="265"/>
      <c r="BY675" s="265"/>
      <c r="BZ675" s="265"/>
      <c r="CA675" s="265"/>
      <c r="CB675" s="265"/>
      <c r="CC675" s="265"/>
      <c r="CD675" s="265"/>
      <c r="CE675" s="265"/>
      <c r="CF675" s="265"/>
      <c r="CG675" s="265"/>
      <c r="CH675" s="265"/>
      <c r="CI675" s="265">
        <v>48264.02</v>
      </c>
      <c r="CJ675" s="265">
        <v>-25623.109999999993</v>
      </c>
      <c r="CK675" s="265"/>
      <c r="CL675" s="265"/>
      <c r="CM675" s="265"/>
      <c r="CN675" s="265"/>
      <c r="CO675" s="265">
        <v>-25623.080000000005</v>
      </c>
      <c r="CP675" s="265">
        <v>0</v>
      </c>
      <c r="CQ675" s="265">
        <v>30</v>
      </c>
      <c r="CR675" s="265">
        <v>1221.3302042005598</v>
      </c>
      <c r="CS675" s="265">
        <v>199.47426635482566</v>
      </c>
      <c r="CT675" s="265">
        <v>305.18732753239146</v>
      </c>
      <c r="CU675" s="265">
        <v>0</v>
      </c>
      <c r="CV675" s="265">
        <v>0</v>
      </c>
      <c r="CW675" s="265"/>
      <c r="CX675" s="265"/>
      <c r="CY675" s="265"/>
      <c r="CZ675" s="265">
        <v>716.66861031334338</v>
      </c>
      <c r="DA675" s="265">
        <v>0</v>
      </c>
      <c r="DB675" s="265">
        <v>0</v>
      </c>
      <c r="DC675" s="265"/>
      <c r="DD675" s="265"/>
      <c r="DE675" s="265">
        <v>0</v>
      </c>
      <c r="DF675" s="265">
        <v>0</v>
      </c>
      <c r="DG675" s="265">
        <v>0</v>
      </c>
      <c r="DH675" s="265">
        <v>0</v>
      </c>
      <c r="DI675" s="265">
        <v>0</v>
      </c>
      <c r="DJ675" s="265"/>
      <c r="DK675" s="265">
        <v>0</v>
      </c>
      <c r="DL675" s="265">
        <v>0</v>
      </c>
      <c r="DM675" s="265"/>
      <c r="DN675" s="265">
        <v>0</v>
      </c>
      <c r="DO675" s="265">
        <v>0</v>
      </c>
      <c r="DP675" s="265">
        <v>0</v>
      </c>
      <c r="DQ675" s="265">
        <v>0</v>
      </c>
      <c r="DR675" s="265">
        <v>0</v>
      </c>
      <c r="DS675" s="265"/>
      <c r="DT675" s="265"/>
      <c r="DU675" s="265">
        <v>47843.931912052838</v>
      </c>
      <c r="DV675" s="265"/>
      <c r="DW675" s="265">
        <v>0</v>
      </c>
      <c r="DX675" s="265">
        <v>0</v>
      </c>
      <c r="DY675" s="265">
        <v>-25623.080000000009</v>
      </c>
      <c r="DZ675" s="265"/>
      <c r="EA675" s="265">
        <v>0</v>
      </c>
      <c r="EB675" s="265"/>
      <c r="EC675" s="265">
        <v>-26839.952971663417</v>
      </c>
      <c r="ED675" s="265"/>
      <c r="EE675" s="265">
        <v>0</v>
      </c>
      <c r="EF675" s="265">
        <v>0</v>
      </c>
      <c r="EG675" s="265"/>
      <c r="EH675" s="265">
        <v>0</v>
      </c>
      <c r="EI675" s="265">
        <v>0</v>
      </c>
      <c r="EJ675" s="265">
        <v>0</v>
      </c>
      <c r="EK675" s="265">
        <v>0</v>
      </c>
      <c r="EL675" s="265">
        <v>0</v>
      </c>
      <c r="EM675" s="265"/>
      <c r="EN675" s="265"/>
      <c r="EO675" s="265">
        <v>0</v>
      </c>
      <c r="EP675" s="265">
        <v>0</v>
      </c>
      <c r="EQ675" s="265"/>
      <c r="ER675" s="265">
        <v>0</v>
      </c>
      <c r="ES675" s="265"/>
      <c r="ET675" s="265">
        <v>0</v>
      </c>
      <c r="EU675" s="265"/>
      <c r="EV675" s="265">
        <v>238</v>
      </c>
      <c r="EW675" s="265"/>
      <c r="EX675" s="265"/>
      <c r="EY675" s="265"/>
      <c r="EZ675" s="265"/>
      <c r="FA675" s="265">
        <v>0</v>
      </c>
      <c r="FB675" s="265"/>
      <c r="FC675" s="265"/>
      <c r="FD675" s="265"/>
      <c r="FE675" s="265"/>
      <c r="FF675" s="265">
        <v>0</v>
      </c>
      <c r="FG675" s="265">
        <v>0</v>
      </c>
      <c r="FH675" s="265">
        <v>0</v>
      </c>
      <c r="FI675" s="265">
        <v>0</v>
      </c>
    </row>
    <row r="676" spans="1:165">
      <c r="A676" s="265">
        <v>681</v>
      </c>
      <c r="B676" s="265" t="s">
        <v>2255</v>
      </c>
      <c r="C676" s="265" t="s">
        <v>2235</v>
      </c>
      <c r="D676" s="265" t="s">
        <v>1958</v>
      </c>
      <c r="E676" s="265" t="s">
        <v>998</v>
      </c>
      <c r="F676" s="265" t="s">
        <v>1322</v>
      </c>
      <c r="G676" s="265" t="s">
        <v>1322</v>
      </c>
      <c r="H676" s="265" t="s">
        <v>1322</v>
      </c>
      <c r="I676" s="265" t="s">
        <v>1322</v>
      </c>
      <c r="J676" s="265" t="s">
        <v>2236</v>
      </c>
      <c r="K676" s="1639">
        <v>44713</v>
      </c>
      <c r="L676" s="265">
        <v>0</v>
      </c>
      <c r="M676" s="265">
        <v>0</v>
      </c>
      <c r="N676" s="265">
        <v>302.43200000000002</v>
      </c>
      <c r="O676" s="265">
        <v>302.43200000000002</v>
      </c>
      <c r="P676" s="265">
        <v>302.43200000000002</v>
      </c>
      <c r="Q676" s="265">
        <v>302.43200000000002</v>
      </c>
      <c r="R676" s="265"/>
      <c r="S676" s="265">
        <v>581.32000000000005</v>
      </c>
      <c r="T676" s="265">
        <v>209.4</v>
      </c>
      <c r="U676" s="265"/>
      <c r="V676" s="265">
        <v>239139.03104000003</v>
      </c>
      <c r="W676" s="265">
        <v>239139.03104000003</v>
      </c>
      <c r="X676" s="265">
        <v>182690.09824000002</v>
      </c>
      <c r="Y676" s="265">
        <v>0</v>
      </c>
      <c r="Z676" s="265">
        <v>18611.032433986438</v>
      </c>
      <c r="AA676" s="265">
        <v>0</v>
      </c>
      <c r="AB676" s="265">
        <v>0</v>
      </c>
      <c r="AC676" s="265">
        <v>0</v>
      </c>
      <c r="AD676" s="265">
        <v>22437.776302887771</v>
      </c>
      <c r="AE676" s="265">
        <v>116558.8992854563</v>
      </c>
      <c r="AF676" s="265">
        <v>62497.79835107128</v>
      </c>
      <c r="AG676" s="265">
        <v>832.58470004928711</v>
      </c>
      <c r="AH676" s="265">
        <v>0</v>
      </c>
      <c r="AI676" s="265">
        <v>0</v>
      </c>
      <c r="AJ676" s="265">
        <v>0</v>
      </c>
      <c r="AK676" s="265">
        <v>0</v>
      </c>
      <c r="AL676" s="265">
        <v>2876.0078447383294</v>
      </c>
      <c r="AM676" s="265"/>
      <c r="AN676" s="265">
        <v>551.3227439647568</v>
      </c>
      <c r="AO676" s="265">
        <v>1723.7053697630065</v>
      </c>
      <c r="AP676" s="265">
        <v>2596.4361731569129</v>
      </c>
      <c r="AQ676" s="265">
        <v>0</v>
      </c>
      <c r="AR676" s="265">
        <v>0</v>
      </c>
      <c r="AS676" s="265">
        <v>0</v>
      </c>
      <c r="AT676" s="265">
        <v>0</v>
      </c>
      <c r="AU676" s="265">
        <v>0</v>
      </c>
      <c r="AV676" s="265">
        <v>0</v>
      </c>
      <c r="AW676" s="265">
        <v>0</v>
      </c>
      <c r="AX676" s="265">
        <v>0</v>
      </c>
      <c r="AY676" s="265">
        <v>0</v>
      </c>
      <c r="AZ676" s="265">
        <v>0</v>
      </c>
      <c r="BA676" s="265"/>
      <c r="BB676" s="265">
        <v>0</v>
      </c>
      <c r="BC676" s="265">
        <v>0</v>
      </c>
      <c r="BD676" s="265">
        <v>0</v>
      </c>
      <c r="BE676" s="265">
        <v>0</v>
      </c>
      <c r="BF676" s="265">
        <v>0</v>
      </c>
      <c r="BG676" s="265">
        <v>10455.764830600161</v>
      </c>
      <c r="BH676" s="265">
        <v>0</v>
      </c>
      <c r="BI676" s="265">
        <v>390.6</v>
      </c>
      <c r="BJ676" s="265">
        <v>1825.28</v>
      </c>
      <c r="BK676" s="265">
        <v>62546.84</v>
      </c>
      <c r="BL676" s="265">
        <v>817</v>
      </c>
      <c r="BM676" s="265"/>
      <c r="BN676" s="265"/>
      <c r="BO676" s="265"/>
      <c r="BP676" s="265"/>
      <c r="BQ676" s="265"/>
      <c r="BR676" s="265"/>
      <c r="BS676" s="265"/>
      <c r="BT676" s="265"/>
      <c r="BU676" s="265"/>
      <c r="BV676" s="265">
        <v>72953.563181671445</v>
      </c>
      <c r="BW676" s="265"/>
      <c r="BX676" s="265"/>
      <c r="BY676" s="265"/>
      <c r="BZ676" s="265"/>
      <c r="CA676" s="265"/>
      <c r="CB676" s="265"/>
      <c r="CC676" s="265"/>
      <c r="CD676" s="265"/>
      <c r="CE676" s="265"/>
      <c r="CF676" s="265"/>
      <c r="CG676" s="265"/>
      <c r="CH676" s="265"/>
      <c r="CI676" s="265">
        <v>182688.89009999999</v>
      </c>
      <c r="CJ676" s="265">
        <v>-56450.170940000069</v>
      </c>
      <c r="CK676" s="265"/>
      <c r="CL676" s="265"/>
      <c r="CM676" s="265"/>
      <c r="CN676" s="265"/>
      <c r="CO676" s="265">
        <v>-63353.455360000029</v>
      </c>
      <c r="CP676" s="265">
        <v>6904.5225599999958</v>
      </c>
      <c r="CQ676" s="265">
        <v>30</v>
      </c>
      <c r="CR676" s="265">
        <v>8935.0119062943704</v>
      </c>
      <c r="CS676" s="265">
        <v>208.10644927684348</v>
      </c>
      <c r="CT676" s="265">
        <v>313.47301125129297</v>
      </c>
      <c r="CU676" s="265">
        <v>0</v>
      </c>
      <c r="CV676" s="265">
        <v>0</v>
      </c>
      <c r="CW676" s="265">
        <v>0</v>
      </c>
      <c r="CX676" s="265">
        <v>0</v>
      </c>
      <c r="CY676" s="265">
        <v>0</v>
      </c>
      <c r="CZ676" s="265">
        <v>735.56500400178993</v>
      </c>
      <c r="DA676" s="265">
        <v>0</v>
      </c>
      <c r="DB676" s="265">
        <v>0</v>
      </c>
      <c r="DC676" s="265">
        <v>6902.4309785032965</v>
      </c>
      <c r="DD676" s="265">
        <v>0</v>
      </c>
      <c r="DE676" s="265">
        <v>0</v>
      </c>
      <c r="DF676" s="265">
        <v>0</v>
      </c>
      <c r="DG676" s="265">
        <v>1154.7637992825403</v>
      </c>
      <c r="DH676" s="265">
        <v>0</v>
      </c>
      <c r="DI676" s="265">
        <v>-324.42980347456978</v>
      </c>
      <c r="DJ676" s="265"/>
      <c r="DK676" s="265">
        <v>0</v>
      </c>
      <c r="DL676" s="265">
        <v>0</v>
      </c>
      <c r="DM676" s="265">
        <v>0</v>
      </c>
      <c r="DN676" s="265">
        <v>0</v>
      </c>
      <c r="DO676" s="265">
        <v>-42.150690621124795</v>
      </c>
      <c r="DP676" s="265">
        <v>-12.746841925720673</v>
      </c>
      <c r="DQ676" s="265">
        <v>0</v>
      </c>
      <c r="DR676" s="265">
        <v>0</v>
      </c>
      <c r="DS676" s="265"/>
      <c r="DT676" s="265"/>
      <c r="DU676" s="265"/>
      <c r="DV676" s="265">
        <v>116558.8992854563</v>
      </c>
      <c r="DW676" s="265">
        <v>0</v>
      </c>
      <c r="DX676" s="265">
        <v>0</v>
      </c>
      <c r="DY676" s="265">
        <v>-63353.455360000007</v>
      </c>
      <c r="DZ676" s="265">
        <v>6904.5225599999976</v>
      </c>
      <c r="EA676" s="265">
        <v>0</v>
      </c>
      <c r="EB676" s="265">
        <v>0</v>
      </c>
      <c r="EC676" s="265">
        <v>-65388.341848684526</v>
      </c>
      <c r="ED676" s="265">
        <v>0</v>
      </c>
      <c r="EE676" s="265">
        <v>0</v>
      </c>
      <c r="EF676" s="265">
        <v>0</v>
      </c>
      <c r="EG676" s="265">
        <v>0</v>
      </c>
      <c r="EH676" s="265">
        <v>0</v>
      </c>
      <c r="EI676" s="265">
        <v>0</v>
      </c>
      <c r="EJ676" s="265">
        <v>0</v>
      </c>
      <c r="EK676" s="265">
        <v>0</v>
      </c>
      <c r="EL676" s="265">
        <v>0</v>
      </c>
      <c r="EM676" s="265">
        <v>0</v>
      </c>
      <c r="EN676" s="265">
        <v>0</v>
      </c>
      <c r="EO676" s="265">
        <v>0</v>
      </c>
      <c r="EP676" s="265">
        <v>0</v>
      </c>
      <c r="EQ676" s="265">
        <v>0</v>
      </c>
      <c r="ER676" s="265">
        <v>0</v>
      </c>
      <c r="ES676" s="265">
        <v>0</v>
      </c>
      <c r="ET676" s="265">
        <v>0</v>
      </c>
      <c r="EU676" s="265">
        <v>0</v>
      </c>
      <c r="EV676" s="265">
        <v>238</v>
      </c>
      <c r="EW676" s="265">
        <v>0</v>
      </c>
      <c r="EX676" s="265">
        <v>0</v>
      </c>
      <c r="EY676" s="265">
        <v>0</v>
      </c>
      <c r="EZ676" s="265"/>
      <c r="FA676" s="265">
        <v>0</v>
      </c>
      <c r="FB676" s="265"/>
      <c r="FC676" s="265"/>
      <c r="FD676" s="265"/>
      <c r="FE676" s="265"/>
      <c r="FF676" s="265">
        <v>0</v>
      </c>
      <c r="FG676" s="265">
        <v>0</v>
      </c>
      <c r="FH676" s="265">
        <v>0</v>
      </c>
      <c r="FI676" s="265">
        <v>0</v>
      </c>
    </row>
    <row r="677" spans="1:165">
      <c r="A677" s="265">
        <v>682</v>
      </c>
      <c r="B677" s="265" t="s">
        <v>2255</v>
      </c>
      <c r="C677" s="265" t="s">
        <v>2235</v>
      </c>
      <c r="D677" s="265" t="s">
        <v>1958</v>
      </c>
      <c r="E677" s="265" t="s">
        <v>998</v>
      </c>
      <c r="F677" s="265" t="s">
        <v>1322</v>
      </c>
      <c r="G677" s="265" t="s">
        <v>1322</v>
      </c>
      <c r="H677" s="265" t="s">
        <v>1322</v>
      </c>
      <c r="I677" s="265" t="s">
        <v>1322</v>
      </c>
      <c r="J677" s="265" t="s">
        <v>2236</v>
      </c>
      <c r="K677" s="1639">
        <v>44713</v>
      </c>
      <c r="L677" s="265">
        <v>0</v>
      </c>
      <c r="M677" s="265">
        <v>0</v>
      </c>
      <c r="N677" s="265">
        <v>-0.28799999999999998</v>
      </c>
      <c r="O677" s="265">
        <v>-0.28799999999999998</v>
      </c>
      <c r="P677" s="265">
        <v>-0.28799999999999998</v>
      </c>
      <c r="Q677" s="265">
        <v>-0.28799999999999998</v>
      </c>
      <c r="R677" s="265"/>
      <c r="S677" s="265">
        <v>581.32000000000005</v>
      </c>
      <c r="T677" s="265">
        <v>209.4</v>
      </c>
      <c r="U677" s="265"/>
      <c r="V677" s="265">
        <v>-227.72736</v>
      </c>
      <c r="W677" s="265">
        <v>-227.72736</v>
      </c>
      <c r="X677" s="265">
        <v>-173.97215999999997</v>
      </c>
      <c r="Y677" s="265">
        <v>0</v>
      </c>
      <c r="Z677" s="265">
        <v>-17.72291735328303</v>
      </c>
      <c r="AA677" s="265">
        <v>0</v>
      </c>
      <c r="AB677" s="265">
        <v>0</v>
      </c>
      <c r="AC677" s="265">
        <v>0</v>
      </c>
      <c r="AD677" s="265">
        <v>-21.367049701194574</v>
      </c>
      <c r="AE677" s="265">
        <v>-110.99672982426267</v>
      </c>
      <c r="AF677" s="265">
        <v>-59.515414787815196</v>
      </c>
      <c r="AG677" s="265">
        <v>-0.79285390968612668</v>
      </c>
      <c r="AH677" s="265">
        <v>0</v>
      </c>
      <c r="AI677" s="265">
        <v>0</v>
      </c>
      <c r="AJ677" s="265">
        <v>0</v>
      </c>
      <c r="AK677" s="265">
        <v>0</v>
      </c>
      <c r="AL677" s="265">
        <v>-2.7387652737958903</v>
      </c>
      <c r="AM677" s="265"/>
      <c r="AN677" s="265">
        <v>-0.52501372295871451</v>
      </c>
      <c r="AO677" s="265">
        <v>-1.6414504632173377</v>
      </c>
      <c r="AP677" s="265">
        <v>-2.4725347115027208</v>
      </c>
      <c r="AQ677" s="265">
        <v>0</v>
      </c>
      <c r="AR677" s="265">
        <v>0</v>
      </c>
      <c r="AS677" s="265">
        <v>0</v>
      </c>
      <c r="AT677" s="265">
        <v>0</v>
      </c>
      <c r="AU677" s="265">
        <v>0</v>
      </c>
      <c r="AV677" s="265">
        <v>0</v>
      </c>
      <c r="AW677" s="265">
        <v>0</v>
      </c>
      <c r="AX677" s="265">
        <v>0</v>
      </c>
      <c r="AY677" s="265">
        <v>0</v>
      </c>
      <c r="AZ677" s="265">
        <v>0</v>
      </c>
      <c r="BA677" s="265"/>
      <c r="BB677" s="265">
        <v>0</v>
      </c>
      <c r="BC677" s="265">
        <v>0</v>
      </c>
      <c r="BD677" s="265">
        <v>0</v>
      </c>
      <c r="BE677" s="265">
        <v>0</v>
      </c>
      <c r="BF677" s="265">
        <v>0</v>
      </c>
      <c r="BG677" s="265">
        <v>-9.9568176357424019</v>
      </c>
      <c r="BH677" s="265">
        <v>0</v>
      </c>
      <c r="BI677" s="265">
        <v>-0.54</v>
      </c>
      <c r="BJ677" s="265">
        <v>-2.58</v>
      </c>
      <c r="BK677" s="265">
        <v>-72.66</v>
      </c>
      <c r="BL677" s="265">
        <v>0</v>
      </c>
      <c r="BM677" s="265"/>
      <c r="BN677" s="265"/>
      <c r="BO677" s="265"/>
      <c r="BP677" s="265"/>
      <c r="BQ677" s="265"/>
      <c r="BR677" s="265"/>
      <c r="BS677" s="265"/>
      <c r="BT677" s="265"/>
      <c r="BU677" s="265"/>
      <c r="BV677" s="265">
        <v>-69.4722324235576</v>
      </c>
      <c r="BW677" s="265"/>
      <c r="BX677" s="265"/>
      <c r="BY677" s="265"/>
      <c r="BZ677" s="265"/>
      <c r="CA677" s="265"/>
      <c r="CB677" s="265"/>
      <c r="CC677" s="265"/>
      <c r="CD677" s="265"/>
      <c r="CE677" s="265"/>
      <c r="CF677" s="265"/>
      <c r="CG677" s="265"/>
      <c r="CH677" s="265"/>
      <c r="CI677" s="265">
        <v>-175.18029999999999</v>
      </c>
      <c r="CJ677" s="265">
        <v>52.517060000000043</v>
      </c>
      <c r="CK677" s="265"/>
      <c r="CL677" s="265"/>
      <c r="CM677" s="265"/>
      <c r="CN677" s="265"/>
      <c r="CO677" s="265">
        <v>60.330240000000018</v>
      </c>
      <c r="CP677" s="265">
        <v>-6.5750399999999951</v>
      </c>
      <c r="CQ677" s="265">
        <v>30</v>
      </c>
      <c r="CR677" s="265">
        <v>-8.5086347642206448</v>
      </c>
      <c r="CS677" s="265">
        <v>-0.19817564739092064</v>
      </c>
      <c r="CT677" s="265">
        <v>-0.29851413620374956</v>
      </c>
      <c r="CU677" s="265">
        <v>0</v>
      </c>
      <c r="CV677" s="265">
        <v>0</v>
      </c>
      <c r="CW677" s="265">
        <v>0</v>
      </c>
      <c r="CX677" s="265">
        <v>0</v>
      </c>
      <c r="CY677" s="265">
        <v>0</v>
      </c>
      <c r="CZ677" s="265">
        <v>-0.70046397587727327</v>
      </c>
      <c r="DA677" s="265">
        <v>0</v>
      </c>
      <c r="DB677" s="265">
        <v>0</v>
      </c>
      <c r="DC677" s="265">
        <v>-6.5730482283916771</v>
      </c>
      <c r="DD677" s="265">
        <v>0</v>
      </c>
      <c r="DE677" s="265">
        <v>0</v>
      </c>
      <c r="DF677" s="265">
        <v>0</v>
      </c>
      <c r="DG677" s="265">
        <v>-1.09965868093777</v>
      </c>
      <c r="DH677" s="265">
        <v>0</v>
      </c>
      <c r="DI677" s="265">
        <v>0.30894807229617172</v>
      </c>
      <c r="DJ677" s="265"/>
      <c r="DK677" s="265">
        <v>0</v>
      </c>
      <c r="DL677" s="265">
        <v>0</v>
      </c>
      <c r="DM677" s="265">
        <v>0</v>
      </c>
      <c r="DN677" s="265">
        <v>0</v>
      </c>
      <c r="DO677" s="265">
        <v>4.0139267335744577E-2</v>
      </c>
      <c r="DP677" s="265">
        <v>1.2138564948839914E-2</v>
      </c>
      <c r="DQ677" s="265">
        <v>0</v>
      </c>
      <c r="DR677" s="265">
        <v>0</v>
      </c>
      <c r="DS677" s="265"/>
      <c r="DT677" s="265"/>
      <c r="DU677" s="265"/>
      <c r="DV677" s="265">
        <v>-110.99672982426267</v>
      </c>
      <c r="DW677" s="265">
        <v>0</v>
      </c>
      <c r="DX677" s="265">
        <v>0</v>
      </c>
      <c r="DY677" s="265">
        <v>60.330240000000032</v>
      </c>
      <c r="DZ677" s="265">
        <v>-6.5750400000000013</v>
      </c>
      <c r="EA677" s="265">
        <v>0</v>
      </c>
      <c r="EB677" s="265">
        <v>0</v>
      </c>
      <c r="EC677" s="265">
        <v>62.26802207577618</v>
      </c>
      <c r="ED677" s="265">
        <v>0</v>
      </c>
      <c r="EE677" s="265">
        <v>0</v>
      </c>
      <c r="EF677" s="265">
        <v>0</v>
      </c>
      <c r="EG677" s="265">
        <v>0</v>
      </c>
      <c r="EH677" s="265">
        <v>0</v>
      </c>
      <c r="EI677" s="265">
        <v>0</v>
      </c>
      <c r="EJ677" s="265">
        <v>0</v>
      </c>
      <c r="EK677" s="265">
        <v>0</v>
      </c>
      <c r="EL677" s="265">
        <v>0</v>
      </c>
      <c r="EM677" s="265">
        <v>0</v>
      </c>
      <c r="EN677" s="265">
        <v>0</v>
      </c>
      <c r="EO677" s="265">
        <v>0</v>
      </c>
      <c r="EP677" s="265">
        <v>0</v>
      </c>
      <c r="EQ677" s="265">
        <v>0</v>
      </c>
      <c r="ER677" s="265">
        <v>0</v>
      </c>
      <c r="ES677" s="265">
        <v>0</v>
      </c>
      <c r="ET677" s="265">
        <v>0</v>
      </c>
      <c r="EU677" s="265">
        <v>0</v>
      </c>
      <c r="EV677" s="265">
        <v>238</v>
      </c>
      <c r="EW677" s="265">
        <v>0</v>
      </c>
      <c r="EX677" s="265">
        <v>0</v>
      </c>
      <c r="EY677" s="265">
        <v>0</v>
      </c>
      <c r="EZ677" s="265"/>
      <c r="FA677" s="265">
        <v>0</v>
      </c>
      <c r="FB677" s="265"/>
      <c r="FC677" s="265"/>
      <c r="FD677" s="265"/>
      <c r="FE677" s="265"/>
      <c r="FF677" s="265">
        <v>0</v>
      </c>
      <c r="FG677" s="265">
        <v>0</v>
      </c>
      <c r="FH677" s="265">
        <v>0</v>
      </c>
      <c r="FI677" s="265">
        <v>0</v>
      </c>
    </row>
    <row r="678" spans="1:165">
      <c r="A678" s="265">
        <v>683</v>
      </c>
      <c r="B678" s="265" t="s">
        <v>2255</v>
      </c>
      <c r="C678" s="265" t="s">
        <v>2235</v>
      </c>
      <c r="D678" s="265" t="s">
        <v>1958</v>
      </c>
      <c r="E678" s="265" t="s">
        <v>998</v>
      </c>
      <c r="F678" s="265" t="s">
        <v>1322</v>
      </c>
      <c r="G678" s="265" t="s">
        <v>1322</v>
      </c>
      <c r="H678" s="265" t="s">
        <v>1322</v>
      </c>
      <c r="I678" s="265" t="s">
        <v>1322</v>
      </c>
      <c r="J678" s="265" t="s">
        <v>2236</v>
      </c>
      <c r="K678" s="1639">
        <v>44713</v>
      </c>
      <c r="L678" s="265">
        <v>0</v>
      </c>
      <c r="M678" s="265">
        <v>0</v>
      </c>
      <c r="N678" s="265">
        <v>42.094000000000001</v>
      </c>
      <c r="O678" s="265">
        <v>42.094000000000001</v>
      </c>
      <c r="P678" s="265">
        <v>42.094000000000001</v>
      </c>
      <c r="Q678" s="265">
        <v>42.094000000000001</v>
      </c>
      <c r="R678" s="265"/>
      <c r="S678" s="265">
        <v>581.32000000000005</v>
      </c>
      <c r="T678" s="265">
        <v>209.4</v>
      </c>
      <c r="U678" s="265"/>
      <c r="V678" s="265">
        <v>33284.567680000007</v>
      </c>
      <c r="W678" s="265">
        <v>33284.567680000007</v>
      </c>
      <c r="X678" s="265">
        <v>25427.722580000001</v>
      </c>
      <c r="Y678" s="265">
        <v>0</v>
      </c>
      <c r="Z678" s="265">
        <v>2590.3766773232501</v>
      </c>
      <c r="AA678" s="265">
        <v>0</v>
      </c>
      <c r="AB678" s="265">
        <v>0</v>
      </c>
      <c r="AC678" s="265">
        <v>0</v>
      </c>
      <c r="AD678" s="265">
        <v>3123.0020490350153</v>
      </c>
      <c r="AE678" s="265">
        <v>16223.251198689284</v>
      </c>
      <c r="AF678" s="265">
        <v>8698.7564933274061</v>
      </c>
      <c r="AG678" s="265">
        <v>115.88330720252715</v>
      </c>
      <c r="AH678" s="265">
        <v>0</v>
      </c>
      <c r="AI678" s="265">
        <v>0</v>
      </c>
      <c r="AJ678" s="265">
        <v>0</v>
      </c>
      <c r="AK678" s="265">
        <v>0</v>
      </c>
      <c r="AL678" s="265">
        <v>400.29717164987579</v>
      </c>
      <c r="AM678" s="265"/>
      <c r="AN678" s="265">
        <v>76.735859910500452</v>
      </c>
      <c r="AO678" s="265">
        <v>239.91394374538407</v>
      </c>
      <c r="AP678" s="265">
        <v>361.3849866180401</v>
      </c>
      <c r="AQ678" s="265">
        <v>0</v>
      </c>
      <c r="AR678" s="265">
        <v>0</v>
      </c>
      <c r="AS678" s="265">
        <v>0</v>
      </c>
      <c r="AT678" s="265">
        <v>0</v>
      </c>
      <c r="AU678" s="265">
        <v>0</v>
      </c>
      <c r="AV678" s="265">
        <v>0</v>
      </c>
      <c r="AW678" s="265">
        <v>0</v>
      </c>
      <c r="AX678" s="265">
        <v>0</v>
      </c>
      <c r="AY678" s="265">
        <v>0</v>
      </c>
      <c r="AZ678" s="265">
        <v>0</v>
      </c>
      <c r="BA678" s="265"/>
      <c r="BB678" s="265">
        <v>0</v>
      </c>
      <c r="BC678" s="265">
        <v>0</v>
      </c>
      <c r="BD678" s="265">
        <v>0</v>
      </c>
      <c r="BE678" s="265">
        <v>0</v>
      </c>
      <c r="BF678" s="265">
        <v>0</v>
      </c>
      <c r="BG678" s="265">
        <v>1455.285699857433</v>
      </c>
      <c r="BH678" s="265">
        <v>0</v>
      </c>
      <c r="BI678" s="265">
        <v>54.58</v>
      </c>
      <c r="BJ678" s="265">
        <v>254.63</v>
      </c>
      <c r="BK678" s="265">
        <v>23042.27</v>
      </c>
      <c r="BL678" s="265">
        <v>101</v>
      </c>
      <c r="BM678" s="265"/>
      <c r="BN678" s="265"/>
      <c r="BO678" s="265"/>
      <c r="BP678" s="265"/>
      <c r="BQ678" s="265"/>
      <c r="BR678" s="265"/>
      <c r="BS678" s="265"/>
      <c r="BT678" s="265"/>
      <c r="BU678" s="265"/>
      <c r="BV678" s="265">
        <v>10154.04219318484</v>
      </c>
      <c r="BW678" s="265"/>
      <c r="BX678" s="265"/>
      <c r="BY678" s="265"/>
      <c r="BZ678" s="265"/>
      <c r="CA678" s="265"/>
      <c r="CB678" s="265"/>
      <c r="CC678" s="265"/>
      <c r="CD678" s="265"/>
      <c r="CE678" s="265"/>
      <c r="CF678" s="265"/>
      <c r="CG678" s="265"/>
      <c r="CH678" s="265"/>
      <c r="CI678" s="265">
        <v>25425.3063</v>
      </c>
      <c r="CJ678" s="265">
        <v>-7859.291380000006</v>
      </c>
      <c r="CK678" s="265"/>
      <c r="CL678" s="265"/>
      <c r="CM678" s="265"/>
      <c r="CN678" s="265"/>
      <c r="CO678" s="265">
        <v>-8817.851120000003</v>
      </c>
      <c r="CP678" s="265">
        <v>961.00601999999935</v>
      </c>
      <c r="CQ678" s="265">
        <v>30</v>
      </c>
      <c r="CR678" s="265">
        <v>1243.6196936288288</v>
      </c>
      <c r="CS678" s="265">
        <v>28.965297573866053</v>
      </c>
      <c r="CT678" s="265">
        <v>43.630743226946606</v>
      </c>
      <c r="CU678" s="265">
        <v>0</v>
      </c>
      <c r="CV678" s="265">
        <v>0</v>
      </c>
      <c r="CW678" s="265">
        <v>0</v>
      </c>
      <c r="CX678" s="265">
        <v>0</v>
      </c>
      <c r="CY678" s="265">
        <v>0</v>
      </c>
      <c r="CZ678" s="265">
        <v>102.3796201408959</v>
      </c>
      <c r="DA678" s="265">
        <v>0</v>
      </c>
      <c r="DB678" s="265">
        <v>0</v>
      </c>
      <c r="DC678" s="265">
        <v>960.71490321499732</v>
      </c>
      <c r="DD678" s="265">
        <v>0</v>
      </c>
      <c r="DE678" s="265">
        <v>0</v>
      </c>
      <c r="DF678" s="265">
        <v>0</v>
      </c>
      <c r="DG678" s="265">
        <v>160.72580734511962</v>
      </c>
      <c r="DH678" s="265">
        <v>0</v>
      </c>
      <c r="DI678" s="265">
        <v>-45.155764427900067</v>
      </c>
      <c r="DJ678" s="265"/>
      <c r="DK678" s="265">
        <v>0</v>
      </c>
      <c r="DL678" s="265">
        <v>0</v>
      </c>
      <c r="DM678" s="265">
        <v>0</v>
      </c>
      <c r="DN678" s="265">
        <v>0</v>
      </c>
      <c r="DO678" s="265">
        <v>-5.8667441639959748</v>
      </c>
      <c r="DP678" s="265">
        <v>-1.7741692810988496</v>
      </c>
      <c r="DQ678" s="265">
        <v>0</v>
      </c>
      <c r="DR678" s="265">
        <v>0</v>
      </c>
      <c r="DS678" s="265"/>
      <c r="DT678" s="265"/>
      <c r="DU678" s="265"/>
      <c r="DV678" s="265">
        <v>16223.251198689284</v>
      </c>
      <c r="DW678" s="265">
        <v>0</v>
      </c>
      <c r="DX678" s="265">
        <v>0</v>
      </c>
      <c r="DY678" s="265">
        <v>-8817.8511200000048</v>
      </c>
      <c r="DZ678" s="265">
        <v>961.0060199999989</v>
      </c>
      <c r="EA678" s="265">
        <v>0</v>
      </c>
      <c r="EB678" s="265">
        <v>0</v>
      </c>
      <c r="EC678" s="265">
        <v>-9101.0768099226498</v>
      </c>
      <c r="ED678" s="265">
        <v>0</v>
      </c>
      <c r="EE678" s="265">
        <v>0</v>
      </c>
      <c r="EF678" s="265">
        <v>0</v>
      </c>
      <c r="EG678" s="265">
        <v>0</v>
      </c>
      <c r="EH678" s="265">
        <v>0</v>
      </c>
      <c r="EI678" s="265">
        <v>0</v>
      </c>
      <c r="EJ678" s="265">
        <v>0</v>
      </c>
      <c r="EK678" s="265">
        <v>0</v>
      </c>
      <c r="EL678" s="265">
        <v>0</v>
      </c>
      <c r="EM678" s="265">
        <v>0</v>
      </c>
      <c r="EN678" s="265">
        <v>0</v>
      </c>
      <c r="EO678" s="265">
        <v>0</v>
      </c>
      <c r="EP678" s="265">
        <v>0</v>
      </c>
      <c r="EQ678" s="265">
        <v>0</v>
      </c>
      <c r="ER678" s="265">
        <v>0</v>
      </c>
      <c r="ES678" s="265">
        <v>0</v>
      </c>
      <c r="ET678" s="265">
        <v>0</v>
      </c>
      <c r="EU678" s="265">
        <v>0</v>
      </c>
      <c r="EV678" s="265">
        <v>238</v>
      </c>
      <c r="EW678" s="265">
        <v>0</v>
      </c>
      <c r="EX678" s="265">
        <v>0</v>
      </c>
      <c r="EY678" s="265">
        <v>0</v>
      </c>
      <c r="EZ678" s="265"/>
      <c r="FA678" s="265">
        <v>0</v>
      </c>
      <c r="FB678" s="265"/>
      <c r="FC678" s="265"/>
      <c r="FD678" s="265"/>
      <c r="FE678" s="265"/>
      <c r="FF678" s="265">
        <v>0</v>
      </c>
      <c r="FG678" s="265">
        <v>0</v>
      </c>
      <c r="FH678" s="265">
        <v>0</v>
      </c>
      <c r="FI678" s="265">
        <v>0</v>
      </c>
    </row>
    <row r="679" spans="1:165">
      <c r="A679" s="265">
        <v>684</v>
      </c>
      <c r="B679" s="265" t="s">
        <v>2255</v>
      </c>
      <c r="C679" s="265" t="s">
        <v>2243</v>
      </c>
      <c r="D679" s="265" t="s">
        <v>597</v>
      </c>
      <c r="E679" s="265" t="s">
        <v>998</v>
      </c>
      <c r="F679" s="265" t="s">
        <v>1322</v>
      </c>
      <c r="G679" s="265" t="s">
        <v>1322</v>
      </c>
      <c r="H679" s="265" t="s">
        <v>1322</v>
      </c>
      <c r="I679" s="265" t="s">
        <v>973</v>
      </c>
      <c r="J679" s="265" t="s">
        <v>2236</v>
      </c>
      <c r="K679" s="1639">
        <v>44713</v>
      </c>
      <c r="L679" s="265">
        <v>0</v>
      </c>
      <c r="M679" s="265">
        <v>0</v>
      </c>
      <c r="N679" s="265">
        <v>30.815999999999999</v>
      </c>
      <c r="O679" s="265">
        <v>30.815999999999999</v>
      </c>
      <c r="P679" s="265">
        <v>30.815999999999999</v>
      </c>
      <c r="Q679" s="265">
        <v>30.815999999999999</v>
      </c>
      <c r="R679" s="265"/>
      <c r="S679" s="265">
        <v>1614.19</v>
      </c>
      <c r="T679" s="265">
        <v>209.4</v>
      </c>
      <c r="U679" s="265"/>
      <c r="V679" s="265">
        <v>56195.74944</v>
      </c>
      <c r="W679" s="265">
        <v>56195.74944</v>
      </c>
      <c r="X679" s="265">
        <v>37353.614399999999</v>
      </c>
      <c r="Y679" s="265">
        <v>0</v>
      </c>
      <c r="Z679" s="265">
        <v>1649.8263764171186</v>
      </c>
      <c r="AA679" s="265">
        <v>0</v>
      </c>
      <c r="AB679" s="265">
        <v>0</v>
      </c>
      <c r="AC679" s="265">
        <v>0</v>
      </c>
      <c r="AD679" s="265">
        <v>9596.6567904406111</v>
      </c>
      <c r="AE679" s="265">
        <v>35833.973163042967</v>
      </c>
      <c r="AF679" s="265">
        <v>6368.1493822962266</v>
      </c>
      <c r="AG679" s="265">
        <v>84.835368336415556</v>
      </c>
      <c r="AH679" s="265">
        <v>0</v>
      </c>
      <c r="AI679" s="265">
        <v>0</v>
      </c>
      <c r="AJ679" s="265">
        <v>0</v>
      </c>
      <c r="AK679" s="265">
        <v>0</v>
      </c>
      <c r="AL679" s="265">
        <v>293.0478842961603</v>
      </c>
      <c r="AM679" s="265"/>
      <c r="AN679" s="265">
        <v>40.918850210986221</v>
      </c>
      <c r="AO679" s="265">
        <v>745.59082028707383</v>
      </c>
      <c r="AP679" s="265">
        <v>1110.568697358892</v>
      </c>
      <c r="AQ679" s="265">
        <v>0</v>
      </c>
      <c r="AR679" s="265">
        <v>0</v>
      </c>
      <c r="AS679" s="265">
        <v>0</v>
      </c>
      <c r="AT679" s="265">
        <v>0</v>
      </c>
      <c r="AU679" s="265">
        <v>0</v>
      </c>
      <c r="AV679" s="265">
        <v>0</v>
      </c>
      <c r="AW679" s="265">
        <v>0</v>
      </c>
      <c r="AX679" s="265">
        <v>0</v>
      </c>
      <c r="AY679" s="265">
        <v>0</v>
      </c>
      <c r="AZ679" s="265">
        <v>0</v>
      </c>
      <c r="BA679" s="265"/>
      <c r="BB679" s="265">
        <v>0</v>
      </c>
      <c r="BC679" s="265">
        <v>0</v>
      </c>
      <c r="BD679" s="265">
        <v>0</v>
      </c>
      <c r="BE679" s="265">
        <v>0</v>
      </c>
      <c r="BF679" s="265">
        <v>0</v>
      </c>
      <c r="BG679" s="265">
        <v>472.23783090737402</v>
      </c>
      <c r="BH679" s="265">
        <v>0</v>
      </c>
      <c r="BI679" s="265">
        <v>0</v>
      </c>
      <c r="BJ679" s="265">
        <v>0</v>
      </c>
      <c r="BK679" s="265">
        <v>0</v>
      </c>
      <c r="BL679" s="265">
        <v>0</v>
      </c>
      <c r="BM679" s="265"/>
      <c r="BN679" s="265"/>
      <c r="BO679" s="265"/>
      <c r="BP679" s="265"/>
      <c r="BQ679" s="265"/>
      <c r="BR679" s="265"/>
      <c r="BS679" s="265"/>
      <c r="BT679" s="265"/>
      <c r="BU679" s="265"/>
      <c r="BV679" s="265">
        <v>6840.3872132036004</v>
      </c>
      <c r="BW679" s="265"/>
      <c r="BX679" s="265"/>
      <c r="BY679" s="265"/>
      <c r="BZ679" s="265"/>
      <c r="CA679" s="265"/>
      <c r="CB679" s="265"/>
      <c r="CC679" s="265"/>
      <c r="CD679" s="265"/>
      <c r="CE679" s="265"/>
      <c r="CF679" s="265"/>
      <c r="CG679" s="265"/>
      <c r="CH679" s="265"/>
      <c r="CI679" s="265">
        <v>37358.462999999996</v>
      </c>
      <c r="CJ679" s="265">
        <v>-18837.31644000001</v>
      </c>
      <c r="CK679" s="265"/>
      <c r="CL679" s="265"/>
      <c r="CM679" s="265"/>
      <c r="CN679" s="265"/>
      <c r="CO679" s="265">
        <v>-19545.664320000003</v>
      </c>
      <c r="CP679" s="265">
        <v>703.52927999999952</v>
      </c>
      <c r="CQ679" s="265">
        <v>30</v>
      </c>
      <c r="CR679" s="265">
        <v>1260.1701923928449</v>
      </c>
      <c r="CS679" s="265">
        <v>90.016693656109851</v>
      </c>
      <c r="CT679" s="265">
        <v>134.08121384291144</v>
      </c>
      <c r="CU679" s="265">
        <v>0</v>
      </c>
      <c r="CV679" s="265">
        <v>0</v>
      </c>
      <c r="CW679" s="265">
        <v>0</v>
      </c>
      <c r="CX679" s="265">
        <v>0</v>
      </c>
      <c r="CY679" s="265">
        <v>0</v>
      </c>
      <c r="CZ679" s="265">
        <v>314.60180345750086</v>
      </c>
      <c r="DA679" s="265">
        <v>0</v>
      </c>
      <c r="DB679" s="265">
        <v>0</v>
      </c>
      <c r="DC679" s="265">
        <v>703.31616043790928</v>
      </c>
      <c r="DD679" s="265">
        <v>0</v>
      </c>
      <c r="DE679" s="265">
        <v>0</v>
      </c>
      <c r="DF679" s="265">
        <v>0</v>
      </c>
      <c r="DG679" s="265">
        <v>52.155261773638813</v>
      </c>
      <c r="DH679" s="265">
        <v>0</v>
      </c>
      <c r="DI679" s="265">
        <v>-28.759976050052046</v>
      </c>
      <c r="DJ679" s="265"/>
      <c r="DK679" s="265">
        <v>0</v>
      </c>
      <c r="DL679" s="265">
        <v>0</v>
      </c>
      <c r="DM679" s="265">
        <v>0</v>
      </c>
      <c r="DN679" s="265">
        <v>0</v>
      </c>
      <c r="DO679" s="265">
        <v>-4.2949016049246893</v>
      </c>
      <c r="DP679" s="265">
        <v>-0.94606312025312889</v>
      </c>
      <c r="DQ679" s="265">
        <v>0</v>
      </c>
      <c r="DR679" s="265">
        <v>0</v>
      </c>
      <c r="DS679" s="265"/>
      <c r="DT679" s="265"/>
      <c r="DU679" s="265"/>
      <c r="DV679" s="265">
        <v>35833.973163042967</v>
      </c>
      <c r="DW679" s="265">
        <v>0</v>
      </c>
      <c r="DX679" s="265">
        <v>0</v>
      </c>
      <c r="DY679" s="265">
        <v>-19545.664320000003</v>
      </c>
      <c r="DZ679" s="265">
        <v>703.52927999999974</v>
      </c>
      <c r="EA679" s="265">
        <v>0</v>
      </c>
      <c r="EB679" s="265">
        <v>0</v>
      </c>
      <c r="EC679" s="265">
        <v>-20102.489825708355</v>
      </c>
      <c r="ED679" s="265">
        <v>0</v>
      </c>
      <c r="EE679" s="265">
        <v>0</v>
      </c>
      <c r="EF679" s="265">
        <v>0</v>
      </c>
      <c r="EG679" s="265">
        <v>0</v>
      </c>
      <c r="EH679" s="265">
        <v>0</v>
      </c>
      <c r="EI679" s="265">
        <v>0</v>
      </c>
      <c r="EJ679" s="265">
        <v>0</v>
      </c>
      <c r="EK679" s="265">
        <v>0</v>
      </c>
      <c r="EL679" s="265">
        <v>0</v>
      </c>
      <c r="EM679" s="265">
        <v>0</v>
      </c>
      <c r="EN679" s="265">
        <v>0</v>
      </c>
      <c r="EO679" s="265">
        <v>0</v>
      </c>
      <c r="EP679" s="265">
        <v>0</v>
      </c>
      <c r="EQ679" s="265">
        <v>0</v>
      </c>
      <c r="ER679" s="265">
        <v>0</v>
      </c>
      <c r="ES679" s="265">
        <v>0</v>
      </c>
      <c r="ET679" s="265">
        <v>0</v>
      </c>
      <c r="EU679" s="265">
        <v>0</v>
      </c>
      <c r="EV679" s="265">
        <v>238</v>
      </c>
      <c r="EW679" s="265">
        <v>0</v>
      </c>
      <c r="EX679" s="265">
        <v>0</v>
      </c>
      <c r="EY679" s="265">
        <v>0</v>
      </c>
      <c r="EZ679" s="265"/>
      <c r="FA679" s="265">
        <v>0</v>
      </c>
      <c r="FB679" s="265"/>
      <c r="FC679" s="265"/>
      <c r="FD679" s="265"/>
      <c r="FE679" s="265"/>
      <c r="FF679" s="265">
        <v>0</v>
      </c>
      <c r="FG679" s="265">
        <v>0</v>
      </c>
      <c r="FH679" s="265">
        <v>0</v>
      </c>
      <c r="FI679" s="265">
        <v>0</v>
      </c>
    </row>
    <row r="680" spans="1:165">
      <c r="A680" s="265">
        <v>685</v>
      </c>
      <c r="B680" s="265" t="s">
        <v>2255</v>
      </c>
      <c r="C680" s="265" t="s">
        <v>2243</v>
      </c>
      <c r="D680" s="265" t="s">
        <v>597</v>
      </c>
      <c r="E680" s="265" t="s">
        <v>998</v>
      </c>
      <c r="F680" s="265" t="s">
        <v>1322</v>
      </c>
      <c r="G680" s="265" t="s">
        <v>1322</v>
      </c>
      <c r="H680" s="265" t="s">
        <v>1322</v>
      </c>
      <c r="I680" s="265" t="s">
        <v>2244</v>
      </c>
      <c r="J680" s="265" t="s">
        <v>2236</v>
      </c>
      <c r="K680" s="1639">
        <v>44713</v>
      </c>
      <c r="L680" s="265">
        <v>0</v>
      </c>
      <c r="M680" s="265">
        <v>0</v>
      </c>
      <c r="N680" s="265">
        <v>469.56299999999999</v>
      </c>
      <c r="O680" s="265">
        <v>469.56299999999999</v>
      </c>
      <c r="P680" s="265">
        <v>469.56299999999999</v>
      </c>
      <c r="Q680" s="265">
        <v>469.56299999999999</v>
      </c>
      <c r="R680" s="265"/>
      <c r="S680" s="265">
        <v>79.7</v>
      </c>
      <c r="T680" s="265">
        <v>209.4</v>
      </c>
      <c r="U680" s="265"/>
      <c r="V680" s="265">
        <v>135750.66329999999</v>
      </c>
      <c r="W680" s="265">
        <v>135750.66329999999</v>
      </c>
      <c r="X680" s="265">
        <v>146747.82876</v>
      </c>
      <c r="Y680" s="265">
        <v>0</v>
      </c>
      <c r="Z680" s="265">
        <v>25139.454270169765</v>
      </c>
      <c r="AA680" s="265">
        <v>0</v>
      </c>
      <c r="AB680" s="265">
        <v>0</v>
      </c>
      <c r="AC680" s="265">
        <v>0</v>
      </c>
      <c r="AD680" s="265">
        <v>0</v>
      </c>
      <c r="AE680" s="265">
        <v>0</v>
      </c>
      <c r="AF680" s="265">
        <v>97035.54414587107</v>
      </c>
      <c r="AG680" s="265">
        <v>1292.6904874789816</v>
      </c>
      <c r="AH680" s="265">
        <v>0</v>
      </c>
      <c r="AI680" s="265">
        <v>0</v>
      </c>
      <c r="AJ680" s="265">
        <v>0</v>
      </c>
      <c r="AK680" s="265">
        <v>0</v>
      </c>
      <c r="AL680" s="265">
        <v>4465.3570772896519</v>
      </c>
      <c r="AM680" s="265"/>
      <c r="AN680" s="265">
        <v>623.5065570359983</v>
      </c>
      <c r="AO680" s="265">
        <v>0</v>
      </c>
      <c r="AP680" s="265">
        <v>0</v>
      </c>
      <c r="AQ680" s="265">
        <v>0</v>
      </c>
      <c r="AR680" s="265">
        <v>0</v>
      </c>
      <c r="AS680" s="265">
        <v>0</v>
      </c>
      <c r="AT680" s="265">
        <v>0</v>
      </c>
      <c r="AU680" s="265">
        <v>0</v>
      </c>
      <c r="AV680" s="265">
        <v>0</v>
      </c>
      <c r="AW680" s="265">
        <v>0</v>
      </c>
      <c r="AX680" s="265">
        <v>0</v>
      </c>
      <c r="AY680" s="265">
        <v>0</v>
      </c>
      <c r="AZ680" s="265">
        <v>0</v>
      </c>
      <c r="BA680" s="265"/>
      <c r="BB680" s="265">
        <v>0</v>
      </c>
      <c r="BC680" s="265">
        <v>0</v>
      </c>
      <c r="BD680" s="265">
        <v>0</v>
      </c>
      <c r="BE680" s="265">
        <v>0</v>
      </c>
      <c r="BF680" s="265">
        <v>0</v>
      </c>
      <c r="BG680" s="265">
        <v>7195.7883110838284</v>
      </c>
      <c r="BH680" s="265">
        <v>0</v>
      </c>
      <c r="BI680" s="265">
        <v>0</v>
      </c>
      <c r="BJ680" s="265">
        <v>0</v>
      </c>
      <c r="BK680" s="265">
        <v>0</v>
      </c>
      <c r="BL680" s="265">
        <v>0</v>
      </c>
      <c r="BM680" s="265"/>
      <c r="BN680" s="265"/>
      <c r="BO680" s="265"/>
      <c r="BP680" s="265"/>
      <c r="BQ680" s="265"/>
      <c r="BR680" s="265"/>
      <c r="BS680" s="265"/>
      <c r="BT680" s="265"/>
      <c r="BU680" s="265"/>
      <c r="BV680" s="265">
        <v>104231.3324569549</v>
      </c>
      <c r="BW680" s="265"/>
      <c r="BX680" s="265"/>
      <c r="BY680" s="265"/>
      <c r="BZ680" s="265"/>
      <c r="CA680" s="265"/>
      <c r="CB680" s="265"/>
      <c r="CC680" s="265"/>
      <c r="CD680" s="265"/>
      <c r="CE680" s="265"/>
      <c r="CF680" s="265"/>
      <c r="CG680" s="265"/>
      <c r="CH680" s="265"/>
      <c r="CI680" s="265">
        <v>146746.89120000001</v>
      </c>
      <c r="CJ680" s="265">
        <v>10996.197899999999</v>
      </c>
      <c r="CK680" s="265"/>
      <c r="CL680" s="265"/>
      <c r="CM680" s="265"/>
      <c r="CN680" s="265"/>
      <c r="CO680" s="265">
        <v>277.04217000000159</v>
      </c>
      <c r="CP680" s="265">
        <v>10720.123289999992</v>
      </c>
      <c r="CQ680" s="265">
        <v>30</v>
      </c>
      <c r="CR680" s="265">
        <v>10993.504792143096</v>
      </c>
      <c r="CS680" s="265">
        <v>0</v>
      </c>
      <c r="CT680" s="265">
        <v>0</v>
      </c>
      <c r="CU680" s="265">
        <v>0</v>
      </c>
      <c r="CV680" s="265">
        <v>0</v>
      </c>
      <c r="CW680" s="265">
        <v>0</v>
      </c>
      <c r="CX680" s="265">
        <v>0</v>
      </c>
      <c r="CY680" s="265">
        <v>0</v>
      </c>
      <c r="CZ680" s="265">
        <v>0</v>
      </c>
      <c r="DA680" s="265">
        <v>0</v>
      </c>
      <c r="DB680" s="265">
        <v>0</v>
      </c>
      <c r="DC680" s="265">
        <v>10716.87585162597</v>
      </c>
      <c r="DD680" s="265">
        <v>0</v>
      </c>
      <c r="DE680" s="265">
        <v>0</v>
      </c>
      <c r="DF680" s="265">
        <v>0</v>
      </c>
      <c r="DG680" s="265">
        <v>794.72290966430319</v>
      </c>
      <c r="DH680" s="265">
        <v>0</v>
      </c>
      <c r="DI680" s="265">
        <v>-438.23405484133764</v>
      </c>
      <c r="DJ680" s="265"/>
      <c r="DK680" s="265">
        <v>0</v>
      </c>
      <c r="DL680" s="265">
        <v>0</v>
      </c>
      <c r="DM680" s="265">
        <v>0</v>
      </c>
      <c r="DN680" s="265">
        <v>0</v>
      </c>
      <c r="DO680" s="265">
        <v>-65.444148569355093</v>
      </c>
      <c r="DP680" s="265">
        <v>-14.415765736481717</v>
      </c>
      <c r="DQ680" s="265">
        <v>0</v>
      </c>
      <c r="DR680" s="265">
        <v>0</v>
      </c>
      <c r="DS680" s="265"/>
      <c r="DT680" s="265"/>
      <c r="DU680" s="265"/>
      <c r="DV680" s="265">
        <v>0</v>
      </c>
      <c r="DW680" s="265">
        <v>0</v>
      </c>
      <c r="DX680" s="265">
        <v>0</v>
      </c>
      <c r="DY680" s="265">
        <v>277.04217000000062</v>
      </c>
      <c r="DZ680" s="265">
        <v>10720.123290000003</v>
      </c>
      <c r="EA680" s="265">
        <v>0</v>
      </c>
      <c r="EB680" s="265">
        <v>0</v>
      </c>
      <c r="EC680" s="265">
        <v>0</v>
      </c>
      <c r="ED680" s="265">
        <v>0</v>
      </c>
      <c r="EE680" s="265">
        <v>0</v>
      </c>
      <c r="EF680" s="265">
        <v>0</v>
      </c>
      <c r="EG680" s="265">
        <v>0</v>
      </c>
      <c r="EH680" s="265">
        <v>0</v>
      </c>
      <c r="EI680" s="265">
        <v>0</v>
      </c>
      <c r="EJ680" s="265">
        <v>0</v>
      </c>
      <c r="EK680" s="265">
        <v>0</v>
      </c>
      <c r="EL680" s="265">
        <v>0</v>
      </c>
      <c r="EM680" s="265">
        <v>0</v>
      </c>
      <c r="EN680" s="265">
        <v>0</v>
      </c>
      <c r="EO680" s="265">
        <v>0</v>
      </c>
      <c r="EP680" s="265">
        <v>0</v>
      </c>
      <c r="EQ680" s="265">
        <v>0</v>
      </c>
      <c r="ER680" s="265">
        <v>0</v>
      </c>
      <c r="ES680" s="265">
        <v>0</v>
      </c>
      <c r="ET680" s="265">
        <v>0</v>
      </c>
      <c r="EU680" s="265">
        <v>0</v>
      </c>
      <c r="EV680" s="265">
        <v>238</v>
      </c>
      <c r="EW680" s="265">
        <v>0</v>
      </c>
      <c r="EX680" s="265">
        <v>0</v>
      </c>
      <c r="EY680" s="265">
        <v>0</v>
      </c>
      <c r="EZ680" s="265"/>
      <c r="FA680" s="265">
        <v>0</v>
      </c>
      <c r="FB680" s="265"/>
      <c r="FC680" s="265"/>
      <c r="FD680" s="265"/>
      <c r="FE680" s="265"/>
      <c r="FF680" s="265">
        <v>0</v>
      </c>
      <c r="FG680" s="265">
        <v>0</v>
      </c>
      <c r="FH680" s="265">
        <v>0</v>
      </c>
      <c r="FI680" s="265">
        <v>0</v>
      </c>
    </row>
    <row r="681" spans="1:165">
      <c r="A681" s="265">
        <v>686</v>
      </c>
      <c r="B681" s="265" t="s">
        <v>2255</v>
      </c>
      <c r="C681" s="265" t="s">
        <v>2243</v>
      </c>
      <c r="D681" s="265" t="s">
        <v>597</v>
      </c>
      <c r="E681" s="265" t="s">
        <v>998</v>
      </c>
      <c r="F681" s="265" t="s">
        <v>1322</v>
      </c>
      <c r="G681" s="265" t="s">
        <v>1322</v>
      </c>
      <c r="H681" s="265" t="s">
        <v>1322</v>
      </c>
      <c r="I681" s="265" t="s">
        <v>1322</v>
      </c>
      <c r="J681" s="265" t="s">
        <v>2236</v>
      </c>
      <c r="K681" s="1639">
        <v>44713</v>
      </c>
      <c r="L681" s="265">
        <v>4901</v>
      </c>
      <c r="M681" s="265">
        <v>4901</v>
      </c>
      <c r="N681" s="265">
        <v>0</v>
      </c>
      <c r="O681" s="265">
        <v>0</v>
      </c>
      <c r="P681" s="265">
        <v>0</v>
      </c>
      <c r="Q681" s="265">
        <v>0</v>
      </c>
      <c r="R681" s="265">
        <v>44.35</v>
      </c>
      <c r="S681" s="265"/>
      <c r="T681" s="265"/>
      <c r="U681" s="265">
        <v>217359.35</v>
      </c>
      <c r="V681" s="265"/>
      <c r="W681" s="265">
        <v>217359.35</v>
      </c>
      <c r="X681" s="265">
        <v>141981.97</v>
      </c>
      <c r="Y681" s="265">
        <v>0</v>
      </c>
      <c r="Z681" s="265">
        <v>0</v>
      </c>
      <c r="AA681" s="265">
        <v>0</v>
      </c>
      <c r="AB681" s="265">
        <v>0</v>
      </c>
      <c r="AC681" s="265">
        <v>0</v>
      </c>
      <c r="AD681" s="265">
        <v>64311.234135306055</v>
      </c>
      <c r="AE681" s="265">
        <v>140746.16464644115</v>
      </c>
      <c r="AF681" s="265"/>
      <c r="AG681" s="265"/>
      <c r="AH681" s="265"/>
      <c r="AI681" s="265">
        <v>0</v>
      </c>
      <c r="AJ681" s="265">
        <v>0</v>
      </c>
      <c r="AK681" s="265">
        <v>0</v>
      </c>
      <c r="AL681" s="265">
        <v>0</v>
      </c>
      <c r="AM681" s="265"/>
      <c r="AN681" s="265">
        <v>0</v>
      </c>
      <c r="AO681" s="265">
        <v>4860.423109830399</v>
      </c>
      <c r="AP681" s="265">
        <v>7436.2451190933434</v>
      </c>
      <c r="AQ681" s="265">
        <v>0</v>
      </c>
      <c r="AR681" s="265">
        <v>0</v>
      </c>
      <c r="AS681" s="265"/>
      <c r="AT681" s="265"/>
      <c r="AU681" s="265">
        <v>0</v>
      </c>
      <c r="AV681" s="265">
        <v>0</v>
      </c>
      <c r="AW681" s="265">
        <v>0</v>
      </c>
      <c r="AX681" s="265"/>
      <c r="AY681" s="265"/>
      <c r="AZ681" s="265">
        <v>0</v>
      </c>
      <c r="BA681" s="265"/>
      <c r="BB681" s="265">
        <v>0</v>
      </c>
      <c r="BC681" s="265">
        <v>0</v>
      </c>
      <c r="BD681" s="265">
        <v>0</v>
      </c>
      <c r="BE681" s="265">
        <v>0</v>
      </c>
      <c r="BF681" s="265"/>
      <c r="BG681" s="265">
        <v>0</v>
      </c>
      <c r="BH681" s="265">
        <v>0</v>
      </c>
      <c r="BI681" s="265">
        <v>720.16</v>
      </c>
      <c r="BJ681" s="265">
        <v>3326.98</v>
      </c>
      <c r="BK681" s="265">
        <v>112083.23</v>
      </c>
      <c r="BL681" s="265">
        <v>33</v>
      </c>
      <c r="BM681" s="265"/>
      <c r="BN681" s="265"/>
      <c r="BO681" s="265"/>
      <c r="BP681" s="265"/>
      <c r="BQ681" s="265"/>
      <c r="BR681" s="265"/>
      <c r="BS681" s="265"/>
      <c r="BT681" s="265"/>
      <c r="BU681" s="265"/>
      <c r="BV681" s="265">
        <v>0</v>
      </c>
      <c r="BW681" s="265"/>
      <c r="BX681" s="265"/>
      <c r="BY681" s="265"/>
      <c r="BZ681" s="265"/>
      <c r="CA681" s="265"/>
      <c r="CB681" s="265"/>
      <c r="CC681" s="265"/>
      <c r="CD681" s="265"/>
      <c r="CE681" s="265"/>
      <c r="CF681" s="265"/>
      <c r="CG681" s="265"/>
      <c r="CH681" s="265"/>
      <c r="CI681" s="265">
        <v>141981.97</v>
      </c>
      <c r="CJ681" s="265">
        <v>-75377.410000000033</v>
      </c>
      <c r="CK681" s="265"/>
      <c r="CL681" s="265"/>
      <c r="CM681" s="265"/>
      <c r="CN681" s="265"/>
      <c r="CO681" s="265">
        <v>-75377.380000000019</v>
      </c>
      <c r="CP681" s="265">
        <v>0</v>
      </c>
      <c r="CQ681" s="265">
        <v>30</v>
      </c>
      <c r="CR681" s="265">
        <v>3592.880750772485</v>
      </c>
      <c r="CS681" s="265">
        <v>586.80875114345781</v>
      </c>
      <c r="CT681" s="265">
        <v>897.79297253076311</v>
      </c>
      <c r="CU681" s="265">
        <v>0</v>
      </c>
      <c r="CV681" s="265">
        <v>0</v>
      </c>
      <c r="CW681" s="265"/>
      <c r="CX681" s="265"/>
      <c r="CY681" s="265"/>
      <c r="CZ681" s="265">
        <v>2108.2790270982587</v>
      </c>
      <c r="DA681" s="265">
        <v>0</v>
      </c>
      <c r="DB681" s="265">
        <v>0</v>
      </c>
      <c r="DC681" s="265"/>
      <c r="DD681" s="265"/>
      <c r="DE681" s="265">
        <v>0</v>
      </c>
      <c r="DF681" s="265">
        <v>0</v>
      </c>
      <c r="DG681" s="265">
        <v>0</v>
      </c>
      <c r="DH681" s="265">
        <v>0</v>
      </c>
      <c r="DI681" s="265">
        <v>0</v>
      </c>
      <c r="DJ681" s="265"/>
      <c r="DK681" s="265">
        <v>0</v>
      </c>
      <c r="DL681" s="265">
        <v>0</v>
      </c>
      <c r="DM681" s="265"/>
      <c r="DN681" s="265">
        <v>0</v>
      </c>
      <c r="DO681" s="265">
        <v>0</v>
      </c>
      <c r="DP681" s="265">
        <v>0</v>
      </c>
      <c r="DQ681" s="265">
        <v>0</v>
      </c>
      <c r="DR681" s="265">
        <v>0</v>
      </c>
      <c r="DS681" s="265"/>
      <c r="DT681" s="265"/>
      <c r="DU681" s="265">
        <v>140746.16464644115</v>
      </c>
      <c r="DV681" s="265"/>
      <c r="DW681" s="265">
        <v>0</v>
      </c>
      <c r="DX681" s="265">
        <v>0</v>
      </c>
      <c r="DY681" s="265">
        <v>-75377.38</v>
      </c>
      <c r="DZ681" s="265"/>
      <c r="EA681" s="265">
        <v>0</v>
      </c>
      <c r="EB681" s="265"/>
      <c r="EC681" s="265">
        <v>-78957.1485679006</v>
      </c>
      <c r="ED681" s="265"/>
      <c r="EE681" s="265">
        <v>0</v>
      </c>
      <c r="EF681" s="265">
        <v>0</v>
      </c>
      <c r="EG681" s="265"/>
      <c r="EH681" s="265">
        <v>0</v>
      </c>
      <c r="EI681" s="265">
        <v>0</v>
      </c>
      <c r="EJ681" s="265">
        <v>0</v>
      </c>
      <c r="EK681" s="265">
        <v>0</v>
      </c>
      <c r="EL681" s="265">
        <v>0</v>
      </c>
      <c r="EM681" s="265"/>
      <c r="EN681" s="265"/>
      <c r="EO681" s="265">
        <v>0</v>
      </c>
      <c r="EP681" s="265">
        <v>0</v>
      </c>
      <c r="EQ681" s="265"/>
      <c r="ER681" s="265">
        <v>0</v>
      </c>
      <c r="ES681" s="265"/>
      <c r="ET681" s="265">
        <v>0</v>
      </c>
      <c r="EU681" s="265"/>
      <c r="EV681" s="265">
        <v>238</v>
      </c>
      <c r="EW681" s="265"/>
      <c r="EX681" s="265"/>
      <c r="EY681" s="265"/>
      <c r="EZ681" s="265"/>
      <c r="FA681" s="265">
        <v>0</v>
      </c>
      <c r="FB681" s="265"/>
      <c r="FC681" s="265"/>
      <c r="FD681" s="265"/>
      <c r="FE681" s="265"/>
      <c r="FF681" s="265">
        <v>0</v>
      </c>
      <c r="FG681" s="265">
        <v>0</v>
      </c>
      <c r="FH681" s="265">
        <v>0</v>
      </c>
      <c r="FI681" s="265">
        <v>0</v>
      </c>
    </row>
    <row r="682" spans="1:165">
      <c r="A682" s="265">
        <v>687</v>
      </c>
      <c r="B682" s="265" t="s">
        <v>2255</v>
      </c>
      <c r="C682" s="265" t="s">
        <v>2243</v>
      </c>
      <c r="D682" s="265" t="s">
        <v>597</v>
      </c>
      <c r="E682" s="265" t="s">
        <v>998</v>
      </c>
      <c r="F682" s="265" t="s">
        <v>1322</v>
      </c>
      <c r="G682" s="265" t="s">
        <v>1322</v>
      </c>
      <c r="H682" s="265" t="s">
        <v>1322</v>
      </c>
      <c r="I682" s="265" t="s">
        <v>1322</v>
      </c>
      <c r="J682" s="265" t="s">
        <v>2236</v>
      </c>
      <c r="K682" s="1639">
        <v>44713</v>
      </c>
      <c r="L682" s="265">
        <v>554</v>
      </c>
      <c r="M682" s="265">
        <v>554</v>
      </c>
      <c r="N682" s="265">
        <v>0</v>
      </c>
      <c r="O682" s="265">
        <v>0</v>
      </c>
      <c r="P682" s="265">
        <v>0</v>
      </c>
      <c r="Q682" s="265">
        <v>0</v>
      </c>
      <c r="R682" s="265">
        <v>44.35</v>
      </c>
      <c r="S682" s="265"/>
      <c r="T682" s="265"/>
      <c r="U682" s="265">
        <v>24569.9</v>
      </c>
      <c r="V682" s="265"/>
      <c r="W682" s="265">
        <v>24569.9</v>
      </c>
      <c r="X682" s="265">
        <v>16049.38</v>
      </c>
      <c r="Y682" s="265">
        <v>0</v>
      </c>
      <c r="Z682" s="265">
        <v>0</v>
      </c>
      <c r="AA682" s="265">
        <v>0</v>
      </c>
      <c r="AB682" s="265">
        <v>0</v>
      </c>
      <c r="AC682" s="265">
        <v>0</v>
      </c>
      <c r="AD682" s="265">
        <v>7269.6232831992556</v>
      </c>
      <c r="AE682" s="265">
        <v>15909.686842303283</v>
      </c>
      <c r="AF682" s="265"/>
      <c r="AG682" s="265"/>
      <c r="AH682" s="265"/>
      <c r="AI682" s="265">
        <v>0</v>
      </c>
      <c r="AJ682" s="265">
        <v>0</v>
      </c>
      <c r="AK682" s="265">
        <v>0</v>
      </c>
      <c r="AL682" s="265">
        <v>0</v>
      </c>
      <c r="AM682" s="265"/>
      <c r="AN682" s="265">
        <v>0</v>
      </c>
      <c r="AO682" s="265">
        <v>549.4132631801757</v>
      </c>
      <c r="AP682" s="265">
        <v>840.57943194811514</v>
      </c>
      <c r="AQ682" s="265">
        <v>0</v>
      </c>
      <c r="AR682" s="265">
        <v>0</v>
      </c>
      <c r="AS682" s="265"/>
      <c r="AT682" s="265"/>
      <c r="AU682" s="265">
        <v>0</v>
      </c>
      <c r="AV682" s="265">
        <v>0</v>
      </c>
      <c r="AW682" s="265">
        <v>0</v>
      </c>
      <c r="AX682" s="265"/>
      <c r="AY682" s="265"/>
      <c r="AZ682" s="265">
        <v>0</v>
      </c>
      <c r="BA682" s="265"/>
      <c r="BB682" s="265">
        <v>0</v>
      </c>
      <c r="BC682" s="265">
        <v>0</v>
      </c>
      <c r="BD682" s="265">
        <v>0</v>
      </c>
      <c r="BE682" s="265">
        <v>0</v>
      </c>
      <c r="BF682" s="265"/>
      <c r="BG682" s="265">
        <v>0</v>
      </c>
      <c r="BH682" s="265">
        <v>0</v>
      </c>
      <c r="BI682" s="265">
        <v>37.57</v>
      </c>
      <c r="BJ682" s="265">
        <v>173.66</v>
      </c>
      <c r="BK682" s="265">
        <v>8096.64</v>
      </c>
      <c r="BL682" s="265">
        <v>4</v>
      </c>
      <c r="BM682" s="265"/>
      <c r="BN682" s="265"/>
      <c r="BO682" s="265"/>
      <c r="BP682" s="265"/>
      <c r="BQ682" s="265"/>
      <c r="BR682" s="265"/>
      <c r="BS682" s="265"/>
      <c r="BT682" s="265"/>
      <c r="BU682" s="265"/>
      <c r="BV682" s="265">
        <v>0</v>
      </c>
      <c r="BW682" s="265"/>
      <c r="BX682" s="265"/>
      <c r="BY682" s="265"/>
      <c r="BZ682" s="265"/>
      <c r="CA682" s="265"/>
      <c r="CB682" s="265"/>
      <c r="CC682" s="265"/>
      <c r="CD682" s="265"/>
      <c r="CE682" s="265"/>
      <c r="CF682" s="265"/>
      <c r="CG682" s="265"/>
      <c r="CH682" s="265"/>
      <c r="CI682" s="265">
        <v>16049.38</v>
      </c>
      <c r="CJ682" s="265">
        <v>-8520.5499999999975</v>
      </c>
      <c r="CK682" s="265"/>
      <c r="CL682" s="265"/>
      <c r="CM682" s="265"/>
      <c r="CN682" s="265"/>
      <c r="CO682" s="265">
        <v>-8520.5200000000023</v>
      </c>
      <c r="CP682" s="265">
        <v>0</v>
      </c>
      <c r="CQ682" s="265">
        <v>30</v>
      </c>
      <c r="CR682" s="265">
        <v>406.13261292143579</v>
      </c>
      <c r="CS682" s="265">
        <v>66.331778847883243</v>
      </c>
      <c r="CT682" s="265">
        <v>101.48486161641347</v>
      </c>
      <c r="CU682" s="265">
        <v>0</v>
      </c>
      <c r="CV682" s="265">
        <v>0</v>
      </c>
      <c r="CW682" s="265"/>
      <c r="CX682" s="265"/>
      <c r="CY682" s="265"/>
      <c r="CZ682" s="265">
        <v>238.31597245713965</v>
      </c>
      <c r="DA682" s="265">
        <v>0</v>
      </c>
      <c r="DB682" s="265">
        <v>0</v>
      </c>
      <c r="DC682" s="265"/>
      <c r="DD682" s="265"/>
      <c r="DE682" s="265">
        <v>0</v>
      </c>
      <c r="DF682" s="265">
        <v>0</v>
      </c>
      <c r="DG682" s="265">
        <v>0</v>
      </c>
      <c r="DH682" s="265">
        <v>0</v>
      </c>
      <c r="DI682" s="265">
        <v>0</v>
      </c>
      <c r="DJ682" s="265"/>
      <c r="DK682" s="265">
        <v>0</v>
      </c>
      <c r="DL682" s="265">
        <v>0</v>
      </c>
      <c r="DM682" s="265"/>
      <c r="DN682" s="265">
        <v>0</v>
      </c>
      <c r="DO682" s="265">
        <v>0</v>
      </c>
      <c r="DP682" s="265">
        <v>0</v>
      </c>
      <c r="DQ682" s="265">
        <v>0</v>
      </c>
      <c r="DR682" s="265">
        <v>0</v>
      </c>
      <c r="DS682" s="265"/>
      <c r="DT682" s="265"/>
      <c r="DU682" s="265">
        <v>15909.686842303283</v>
      </c>
      <c r="DV682" s="265"/>
      <c r="DW682" s="265">
        <v>0</v>
      </c>
      <c r="DX682" s="265">
        <v>0</v>
      </c>
      <c r="DY682" s="265">
        <v>-8520.5200000000023</v>
      </c>
      <c r="DZ682" s="265"/>
      <c r="EA682" s="265">
        <v>0</v>
      </c>
      <c r="EB682" s="265"/>
      <c r="EC682" s="265">
        <v>-8925.1704359553005</v>
      </c>
      <c r="ED682" s="265"/>
      <c r="EE682" s="265">
        <v>0</v>
      </c>
      <c r="EF682" s="265">
        <v>0</v>
      </c>
      <c r="EG682" s="265"/>
      <c r="EH682" s="265">
        <v>0</v>
      </c>
      <c r="EI682" s="265">
        <v>0</v>
      </c>
      <c r="EJ682" s="265">
        <v>0</v>
      </c>
      <c r="EK682" s="265">
        <v>0</v>
      </c>
      <c r="EL682" s="265">
        <v>0</v>
      </c>
      <c r="EM682" s="265"/>
      <c r="EN682" s="265"/>
      <c r="EO682" s="265">
        <v>0</v>
      </c>
      <c r="EP682" s="265">
        <v>0</v>
      </c>
      <c r="EQ682" s="265"/>
      <c r="ER682" s="265">
        <v>0</v>
      </c>
      <c r="ES682" s="265"/>
      <c r="ET682" s="265">
        <v>0</v>
      </c>
      <c r="EU682" s="265"/>
      <c r="EV682" s="265">
        <v>238</v>
      </c>
      <c r="EW682" s="265"/>
      <c r="EX682" s="265"/>
      <c r="EY682" s="265"/>
      <c r="EZ682" s="265"/>
      <c r="FA682" s="265">
        <v>0</v>
      </c>
      <c r="FB682" s="265"/>
      <c r="FC682" s="265"/>
      <c r="FD682" s="265"/>
      <c r="FE682" s="265"/>
      <c r="FF682" s="265">
        <v>0</v>
      </c>
      <c r="FG682" s="265">
        <v>0</v>
      </c>
      <c r="FH682" s="265">
        <v>0</v>
      </c>
      <c r="FI682" s="265">
        <v>0</v>
      </c>
    </row>
    <row r="683" spans="1:165">
      <c r="A683" s="265">
        <v>688</v>
      </c>
      <c r="B683" s="265" t="s">
        <v>2255</v>
      </c>
      <c r="C683" s="265" t="s">
        <v>2235</v>
      </c>
      <c r="D683" s="265" t="s">
        <v>2245</v>
      </c>
      <c r="E683" s="265" t="s">
        <v>974</v>
      </c>
      <c r="F683" s="265" t="s">
        <v>1322</v>
      </c>
      <c r="G683" s="265" t="s">
        <v>1322</v>
      </c>
      <c r="H683" s="265" t="s">
        <v>1322</v>
      </c>
      <c r="I683" s="265" t="s">
        <v>1322</v>
      </c>
      <c r="J683" s="265" t="s">
        <v>2236</v>
      </c>
      <c r="K683" s="1639">
        <v>44713</v>
      </c>
      <c r="L683" s="265">
        <v>0</v>
      </c>
      <c r="M683" s="265">
        <v>0</v>
      </c>
      <c r="N683" s="265">
        <v>3569.2060000000001</v>
      </c>
      <c r="O683" s="265">
        <v>3569.2060000000001</v>
      </c>
      <c r="P683" s="265">
        <v>3569.2060000000001</v>
      </c>
      <c r="Q683" s="265">
        <v>3569.2060000000001</v>
      </c>
      <c r="R683" s="265"/>
      <c r="S683" s="265">
        <v>581.32000000000005</v>
      </c>
      <c r="T683" s="265">
        <v>209.4</v>
      </c>
      <c r="U683" s="265"/>
      <c r="V683" s="265">
        <v>2822242.5683200005</v>
      </c>
      <c r="W683" s="265">
        <v>2822242.5683200005</v>
      </c>
      <c r="X683" s="265">
        <v>2156050.2684200001</v>
      </c>
      <c r="Y683" s="265">
        <v>0</v>
      </c>
      <c r="Z683" s="265">
        <v>219641.46859320113</v>
      </c>
      <c r="AA683" s="265">
        <v>0</v>
      </c>
      <c r="AB683" s="265">
        <v>0</v>
      </c>
      <c r="AC683" s="265">
        <v>0</v>
      </c>
      <c r="AD683" s="265">
        <v>264803.47915208986</v>
      </c>
      <c r="AE683" s="265">
        <v>1375590.951628949</v>
      </c>
      <c r="AF683" s="265">
        <v>737579.08178180119</v>
      </c>
      <c r="AG683" s="265">
        <v>9825.8990679693816</v>
      </c>
      <c r="AH683" s="265">
        <v>0</v>
      </c>
      <c r="AI683" s="265">
        <v>0</v>
      </c>
      <c r="AJ683" s="265">
        <v>0</v>
      </c>
      <c r="AK683" s="265">
        <v>0</v>
      </c>
      <c r="AL683" s="265">
        <v>33941.72724938867</v>
      </c>
      <c r="AM683" s="265"/>
      <c r="AN683" s="265">
        <v>6506.5351738422978</v>
      </c>
      <c r="AO683" s="265">
        <v>20342.620979229519</v>
      </c>
      <c r="AP683" s="265">
        <v>30642.311553832573</v>
      </c>
      <c r="AQ683" s="265">
        <v>0</v>
      </c>
      <c r="AR683" s="265">
        <v>0</v>
      </c>
      <c r="AS683" s="265">
        <v>0</v>
      </c>
      <c r="AT683" s="265">
        <v>0</v>
      </c>
      <c r="AU683" s="265">
        <v>0</v>
      </c>
      <c r="AV683" s="265">
        <v>0</v>
      </c>
      <c r="AW683" s="265">
        <v>0</v>
      </c>
      <c r="AX683" s="265">
        <v>0</v>
      </c>
      <c r="AY683" s="265">
        <v>0</v>
      </c>
      <c r="AZ683" s="265">
        <v>0</v>
      </c>
      <c r="BA683" s="265"/>
      <c r="BB683" s="265">
        <v>0</v>
      </c>
      <c r="BC683" s="265">
        <v>0</v>
      </c>
      <c r="BD683" s="265">
        <v>0</v>
      </c>
      <c r="BE683" s="265">
        <v>0</v>
      </c>
      <c r="BF683" s="265">
        <v>0</v>
      </c>
      <c r="BG683" s="265">
        <v>123395.60154999167</v>
      </c>
      <c r="BH683" s="265">
        <v>0</v>
      </c>
      <c r="BI683" s="265">
        <v>4118.4399999999996</v>
      </c>
      <c r="BJ683" s="265">
        <v>19338.87</v>
      </c>
      <c r="BK683" s="265">
        <v>196001.81</v>
      </c>
      <c r="BL683" s="265">
        <v>13347</v>
      </c>
      <c r="BM683" s="265"/>
      <c r="BN683" s="265"/>
      <c r="BO683" s="265"/>
      <c r="BP683" s="265"/>
      <c r="BQ683" s="265"/>
      <c r="BR683" s="265">
        <v>258731.74293999973</v>
      </c>
      <c r="BS683" s="265"/>
      <c r="BT683" s="265"/>
      <c r="BU683" s="265"/>
      <c r="BV683" s="265">
        <v>860974.68333179282</v>
      </c>
      <c r="BW683" s="265"/>
      <c r="BX683" s="265"/>
      <c r="BY683" s="265"/>
      <c r="BZ683" s="265"/>
      <c r="CA683" s="265"/>
      <c r="CB683" s="265"/>
      <c r="CC683" s="265"/>
      <c r="CD683" s="265"/>
      <c r="CE683" s="265"/>
      <c r="CF683" s="265"/>
      <c r="CG683" s="265"/>
      <c r="CH683" s="265"/>
      <c r="CI683" s="265">
        <v>1897320.6518000001</v>
      </c>
      <c r="CJ683" s="265">
        <v>-586311.37329999963</v>
      </c>
      <c r="CK683" s="265"/>
      <c r="CL683" s="265"/>
      <c r="CM683" s="265"/>
      <c r="CN683" s="265"/>
      <c r="CO683" s="265">
        <v>-747677.2728800003</v>
      </c>
      <c r="CP683" s="265">
        <v>81484.972979999948</v>
      </c>
      <c r="CQ683" s="265">
        <v>30</v>
      </c>
      <c r="CR683" s="265">
        <v>105448.16059814184</v>
      </c>
      <c r="CS683" s="265">
        <v>2456.0059365331872</v>
      </c>
      <c r="CT683" s="265">
        <v>3699.5084931362508</v>
      </c>
      <c r="CU683" s="265">
        <v>0</v>
      </c>
      <c r="CV683" s="265">
        <v>0</v>
      </c>
      <c r="CW683" s="265">
        <v>0</v>
      </c>
      <c r="CX683" s="265">
        <v>0</v>
      </c>
      <c r="CY683" s="265">
        <v>0</v>
      </c>
      <c r="CZ683" s="265">
        <v>8680.9035607118858</v>
      </c>
      <c r="DA683" s="265">
        <v>0</v>
      </c>
      <c r="DB683" s="265">
        <v>0</v>
      </c>
      <c r="DC683" s="265">
        <v>81460.288802308845</v>
      </c>
      <c r="DD683" s="265">
        <v>0</v>
      </c>
      <c r="DE683" s="265">
        <v>0</v>
      </c>
      <c r="DF683" s="265">
        <v>0</v>
      </c>
      <c r="DG683" s="265">
        <v>13628.154034566571</v>
      </c>
      <c r="DH683" s="265">
        <v>0</v>
      </c>
      <c r="DI683" s="265">
        <v>-3828.8170601664751</v>
      </c>
      <c r="DJ683" s="265"/>
      <c r="DK683" s="265">
        <v>0</v>
      </c>
      <c r="DL683" s="265">
        <v>0</v>
      </c>
      <c r="DM683" s="265">
        <v>0</v>
      </c>
      <c r="DN683" s="265">
        <v>0</v>
      </c>
      <c r="DO683" s="265">
        <v>-497.44900628591859</v>
      </c>
      <c r="DP683" s="265">
        <v>-150.43416266246277</v>
      </c>
      <c r="DQ683" s="265">
        <v>0</v>
      </c>
      <c r="DR683" s="265">
        <v>0</v>
      </c>
      <c r="DS683" s="265"/>
      <c r="DT683" s="265"/>
      <c r="DU683" s="265"/>
      <c r="DV683" s="265">
        <v>1375590.951628949</v>
      </c>
      <c r="DW683" s="265">
        <v>0</v>
      </c>
      <c r="DX683" s="265">
        <v>0</v>
      </c>
      <c r="DY683" s="265">
        <v>-747677.2728800003</v>
      </c>
      <c r="DZ683" s="265">
        <v>81484.972979999962</v>
      </c>
      <c r="EA683" s="265">
        <v>0</v>
      </c>
      <c r="EB683" s="265">
        <v>0</v>
      </c>
      <c r="EC683" s="265">
        <v>-771692.35417011392</v>
      </c>
      <c r="ED683" s="265">
        <v>0</v>
      </c>
      <c r="EE683" s="265">
        <v>0</v>
      </c>
      <c r="EF683" s="265">
        <v>0</v>
      </c>
      <c r="EG683" s="265">
        <v>0</v>
      </c>
      <c r="EH683" s="265">
        <v>0</v>
      </c>
      <c r="EI683" s="265">
        <v>0</v>
      </c>
      <c r="EJ683" s="265">
        <v>0</v>
      </c>
      <c r="EK683" s="265">
        <v>0</v>
      </c>
      <c r="EL683" s="265">
        <v>0</v>
      </c>
      <c r="EM683" s="265">
        <v>0</v>
      </c>
      <c r="EN683" s="265">
        <v>0</v>
      </c>
      <c r="EO683" s="265">
        <v>0</v>
      </c>
      <c r="EP683" s="265">
        <v>0</v>
      </c>
      <c r="EQ683" s="265">
        <v>0</v>
      </c>
      <c r="ER683" s="265">
        <v>0</v>
      </c>
      <c r="ES683" s="265">
        <v>0</v>
      </c>
      <c r="ET683" s="265">
        <v>0</v>
      </c>
      <c r="EU683" s="265">
        <v>0</v>
      </c>
      <c r="EV683" s="265">
        <v>238</v>
      </c>
      <c r="EW683" s="265">
        <v>0</v>
      </c>
      <c r="EX683" s="265">
        <v>0</v>
      </c>
      <c r="EY683" s="265">
        <v>0</v>
      </c>
      <c r="EZ683" s="265"/>
      <c r="FA683" s="265">
        <v>0</v>
      </c>
      <c r="FB683" s="265"/>
      <c r="FC683" s="265"/>
      <c r="FD683" s="265"/>
      <c r="FE683" s="265"/>
      <c r="FF683" s="265">
        <v>0</v>
      </c>
      <c r="FG683" s="265">
        <v>0</v>
      </c>
      <c r="FH683" s="265">
        <v>0</v>
      </c>
      <c r="FI683" s="265">
        <v>0</v>
      </c>
    </row>
    <row r="684" spans="1:165">
      <c r="A684" s="265">
        <v>689</v>
      </c>
      <c r="B684" s="265" t="s">
        <v>2255</v>
      </c>
      <c r="C684" s="265" t="s">
        <v>2235</v>
      </c>
      <c r="D684" s="265" t="s">
        <v>2245</v>
      </c>
      <c r="E684" s="265" t="s">
        <v>974</v>
      </c>
      <c r="F684" s="265" t="s">
        <v>1322</v>
      </c>
      <c r="G684" s="265" t="s">
        <v>1322</v>
      </c>
      <c r="H684" s="265" t="s">
        <v>1322</v>
      </c>
      <c r="I684" s="265" t="s">
        <v>1322</v>
      </c>
      <c r="J684" s="265" t="s">
        <v>2236</v>
      </c>
      <c r="K684" s="1639">
        <v>44713</v>
      </c>
      <c r="L684" s="265">
        <v>0</v>
      </c>
      <c r="M684" s="265">
        <v>0</v>
      </c>
      <c r="N684" s="265">
        <v>-6.7149999999999999</v>
      </c>
      <c r="O684" s="265">
        <v>-6.7149999999999999</v>
      </c>
      <c r="P684" s="265">
        <v>-6.7149999999999999</v>
      </c>
      <c r="Q684" s="265">
        <v>-6.7149999999999999</v>
      </c>
      <c r="R684" s="265"/>
      <c r="S684" s="265">
        <v>581.32000000000005</v>
      </c>
      <c r="T684" s="265">
        <v>209.4</v>
      </c>
      <c r="U684" s="265"/>
      <c r="V684" s="265">
        <v>-5309.6848000000009</v>
      </c>
      <c r="W684" s="265">
        <v>-5309.6848000000009</v>
      </c>
      <c r="X684" s="265">
        <v>-4056.3300499999996</v>
      </c>
      <c r="Y684" s="265">
        <v>0</v>
      </c>
      <c r="Z684" s="265">
        <v>-413.2270487058874</v>
      </c>
      <c r="AA684" s="265">
        <v>0</v>
      </c>
      <c r="AB684" s="265">
        <v>0</v>
      </c>
      <c r="AC684" s="265">
        <v>0</v>
      </c>
      <c r="AD684" s="265">
        <v>-498.19353730389435</v>
      </c>
      <c r="AE684" s="265">
        <v>-2587.9966693400138</v>
      </c>
      <c r="AF684" s="265">
        <v>-1387.6597579867328</v>
      </c>
      <c r="AG684" s="265">
        <v>-18.486159734522019</v>
      </c>
      <c r="AH684" s="265">
        <v>0</v>
      </c>
      <c r="AI684" s="265">
        <v>0</v>
      </c>
      <c r="AJ684" s="265">
        <v>0</v>
      </c>
      <c r="AK684" s="265">
        <v>0</v>
      </c>
      <c r="AL684" s="265">
        <v>-63.856975047011822</v>
      </c>
      <c r="AM684" s="265"/>
      <c r="AN684" s="265">
        <v>-12.241205380790861</v>
      </c>
      <c r="AO684" s="265">
        <v>-38.272013404529247</v>
      </c>
      <c r="AP684" s="265">
        <v>-57.649550651877682</v>
      </c>
      <c r="AQ684" s="265">
        <v>0</v>
      </c>
      <c r="AR684" s="265">
        <v>0</v>
      </c>
      <c r="AS684" s="265">
        <v>0</v>
      </c>
      <c r="AT684" s="265">
        <v>0</v>
      </c>
      <c r="AU684" s="265">
        <v>0</v>
      </c>
      <c r="AV684" s="265">
        <v>0</v>
      </c>
      <c r="AW684" s="265">
        <v>0</v>
      </c>
      <c r="AX684" s="265">
        <v>0</v>
      </c>
      <c r="AY684" s="265">
        <v>0</v>
      </c>
      <c r="AZ684" s="265">
        <v>0</v>
      </c>
      <c r="BA684" s="265"/>
      <c r="BB684" s="265">
        <v>0</v>
      </c>
      <c r="BC684" s="265">
        <v>0</v>
      </c>
      <c r="BD684" s="265">
        <v>0</v>
      </c>
      <c r="BE684" s="265">
        <v>0</v>
      </c>
      <c r="BF684" s="265">
        <v>0</v>
      </c>
      <c r="BG684" s="265">
        <v>-232.1528834167022</v>
      </c>
      <c r="BH684" s="265">
        <v>0</v>
      </c>
      <c r="BI684" s="265">
        <v>-11.99</v>
      </c>
      <c r="BJ684" s="265">
        <v>-61.81</v>
      </c>
      <c r="BK684" s="265">
        <v>-53.7</v>
      </c>
      <c r="BL684" s="265">
        <v>0</v>
      </c>
      <c r="BM684" s="265"/>
      <c r="BN684" s="265"/>
      <c r="BO684" s="265"/>
      <c r="BP684" s="265"/>
      <c r="BQ684" s="265"/>
      <c r="BR684" s="265">
        <v>-486.77034999999944</v>
      </c>
      <c r="BS684" s="265"/>
      <c r="BT684" s="265"/>
      <c r="BU684" s="265"/>
      <c r="BV684" s="265">
        <v>-1619.812641403435</v>
      </c>
      <c r="BW684" s="265"/>
      <c r="BX684" s="265"/>
      <c r="BY684" s="265"/>
      <c r="BZ684" s="265"/>
      <c r="CA684" s="265"/>
      <c r="CB684" s="265"/>
      <c r="CC684" s="265"/>
      <c r="CD684" s="265"/>
      <c r="CE684" s="265"/>
      <c r="CF684" s="265"/>
      <c r="CG684" s="265"/>
      <c r="CH684" s="265"/>
      <c r="CI684" s="265">
        <v>-3572.2175999999999</v>
      </c>
      <c r="CJ684" s="265">
        <v>1100.3851499999992</v>
      </c>
      <c r="CK684" s="265"/>
      <c r="CL684" s="265"/>
      <c r="CM684" s="265"/>
      <c r="CN684" s="265"/>
      <c r="CO684" s="265">
        <v>1406.6582000000005</v>
      </c>
      <c r="CP684" s="265">
        <v>-153.30344999999988</v>
      </c>
      <c r="CQ684" s="265">
        <v>30</v>
      </c>
      <c r="CR684" s="265">
        <v>-198.38709181160266</v>
      </c>
      <c r="CS684" s="265">
        <v>-4.6206578896876067</v>
      </c>
      <c r="CT684" s="265">
        <v>-6.9601473076672775</v>
      </c>
      <c r="CU684" s="265">
        <v>0</v>
      </c>
      <c r="CV684" s="265">
        <v>0</v>
      </c>
      <c r="CW684" s="265">
        <v>0</v>
      </c>
      <c r="CX684" s="265">
        <v>0</v>
      </c>
      <c r="CY684" s="265">
        <v>0</v>
      </c>
      <c r="CZ684" s="265">
        <v>-16.331998604221781</v>
      </c>
      <c r="DA684" s="265">
        <v>0</v>
      </c>
      <c r="DB684" s="265">
        <v>0</v>
      </c>
      <c r="DC684" s="265">
        <v>-153.25700990850737</v>
      </c>
      <c r="DD684" s="265">
        <v>0</v>
      </c>
      <c r="DE684" s="265">
        <v>0</v>
      </c>
      <c r="DF684" s="265">
        <v>0</v>
      </c>
      <c r="DG684" s="265">
        <v>-25.639611258670584</v>
      </c>
      <c r="DH684" s="265">
        <v>0</v>
      </c>
      <c r="DI684" s="265">
        <v>7.2034246717667543</v>
      </c>
      <c r="DJ684" s="265"/>
      <c r="DK684" s="265">
        <v>0</v>
      </c>
      <c r="DL684" s="265">
        <v>0</v>
      </c>
      <c r="DM684" s="265">
        <v>0</v>
      </c>
      <c r="DN684" s="265">
        <v>0</v>
      </c>
      <c r="DO684" s="265">
        <v>0.93588604222056659</v>
      </c>
      <c r="DP684" s="265">
        <v>0.28302244316479275</v>
      </c>
      <c r="DQ684" s="265">
        <v>0</v>
      </c>
      <c r="DR684" s="265">
        <v>0</v>
      </c>
      <c r="DS684" s="265"/>
      <c r="DT684" s="265"/>
      <c r="DU684" s="265"/>
      <c r="DV684" s="265">
        <v>-2587.9966693400138</v>
      </c>
      <c r="DW684" s="265">
        <v>0</v>
      </c>
      <c r="DX684" s="265">
        <v>0</v>
      </c>
      <c r="DY684" s="265">
        <v>1406.6582000000008</v>
      </c>
      <c r="DZ684" s="265">
        <v>-153.30344999999988</v>
      </c>
      <c r="EA684" s="265">
        <v>0</v>
      </c>
      <c r="EB684" s="265">
        <v>0</v>
      </c>
      <c r="EC684" s="265">
        <v>1451.8394730515179</v>
      </c>
      <c r="ED684" s="265">
        <v>0</v>
      </c>
      <c r="EE684" s="265">
        <v>0</v>
      </c>
      <c r="EF684" s="265">
        <v>0</v>
      </c>
      <c r="EG684" s="265">
        <v>0</v>
      </c>
      <c r="EH684" s="265">
        <v>0</v>
      </c>
      <c r="EI684" s="265">
        <v>0</v>
      </c>
      <c r="EJ684" s="265">
        <v>0</v>
      </c>
      <c r="EK684" s="265">
        <v>0</v>
      </c>
      <c r="EL684" s="265">
        <v>0</v>
      </c>
      <c r="EM684" s="265">
        <v>0</v>
      </c>
      <c r="EN684" s="265">
        <v>0</v>
      </c>
      <c r="EO684" s="265">
        <v>0</v>
      </c>
      <c r="EP684" s="265">
        <v>0</v>
      </c>
      <c r="EQ684" s="265">
        <v>0</v>
      </c>
      <c r="ER684" s="265">
        <v>0</v>
      </c>
      <c r="ES684" s="265">
        <v>0</v>
      </c>
      <c r="ET684" s="265">
        <v>0</v>
      </c>
      <c r="EU684" s="265">
        <v>0</v>
      </c>
      <c r="EV684" s="265">
        <v>238</v>
      </c>
      <c r="EW684" s="265">
        <v>0</v>
      </c>
      <c r="EX684" s="265">
        <v>0</v>
      </c>
      <c r="EY684" s="265">
        <v>0</v>
      </c>
      <c r="EZ684" s="265"/>
      <c r="FA684" s="265">
        <v>0</v>
      </c>
      <c r="FB684" s="265"/>
      <c r="FC684" s="265"/>
      <c r="FD684" s="265"/>
      <c r="FE684" s="265"/>
      <c r="FF684" s="265">
        <v>0</v>
      </c>
      <c r="FG684" s="265">
        <v>0</v>
      </c>
      <c r="FH684" s="265">
        <v>0</v>
      </c>
      <c r="FI684" s="265">
        <v>0</v>
      </c>
    </row>
    <row r="685" spans="1:165">
      <c r="A685" s="265">
        <v>690</v>
      </c>
      <c r="B685" s="265" t="s">
        <v>2255</v>
      </c>
      <c r="C685" s="265" t="s">
        <v>2235</v>
      </c>
      <c r="D685" s="265" t="s">
        <v>2245</v>
      </c>
      <c r="E685" s="265" t="s">
        <v>974</v>
      </c>
      <c r="F685" s="265" t="s">
        <v>1322</v>
      </c>
      <c r="G685" s="265" t="s">
        <v>1322</v>
      </c>
      <c r="H685" s="265" t="s">
        <v>1322</v>
      </c>
      <c r="I685" s="265" t="s">
        <v>1322</v>
      </c>
      <c r="J685" s="265" t="s">
        <v>2236</v>
      </c>
      <c r="K685" s="1639">
        <v>44713</v>
      </c>
      <c r="L685" s="265">
        <v>0</v>
      </c>
      <c r="M685" s="265">
        <v>0</v>
      </c>
      <c r="N685" s="265">
        <v>203.92</v>
      </c>
      <c r="O685" s="265">
        <v>203.92</v>
      </c>
      <c r="P685" s="265">
        <v>203.92</v>
      </c>
      <c r="Q685" s="265">
        <v>203.92</v>
      </c>
      <c r="R685" s="265"/>
      <c r="S685" s="265">
        <v>581.32000000000005</v>
      </c>
      <c r="T685" s="265">
        <v>209.4</v>
      </c>
      <c r="U685" s="265"/>
      <c r="V685" s="265">
        <v>161243.62239999999</v>
      </c>
      <c r="W685" s="265">
        <v>161243.62239999999</v>
      </c>
      <c r="X685" s="265">
        <v>123181.95439999999</v>
      </c>
      <c r="Y685" s="265">
        <v>0</v>
      </c>
      <c r="Z685" s="265">
        <v>12548.810092644013</v>
      </c>
      <c r="AA685" s="265">
        <v>0</v>
      </c>
      <c r="AB685" s="265">
        <v>0</v>
      </c>
      <c r="AC685" s="265">
        <v>0</v>
      </c>
      <c r="AD685" s="265">
        <v>15129.05824676249</v>
      </c>
      <c r="AE685" s="265">
        <v>78591.851200568213</v>
      </c>
      <c r="AF685" s="265">
        <v>42140.220081705818</v>
      </c>
      <c r="AG685" s="265">
        <v>561.38461549720466</v>
      </c>
      <c r="AH685" s="265">
        <v>0</v>
      </c>
      <c r="AI685" s="265">
        <v>0</v>
      </c>
      <c r="AJ685" s="265">
        <v>0</v>
      </c>
      <c r="AK685" s="265">
        <v>0</v>
      </c>
      <c r="AL685" s="265">
        <v>1939.1979674738125</v>
      </c>
      <c r="AM685" s="265"/>
      <c r="AN685" s="265">
        <v>371.73888328382316</v>
      </c>
      <c r="AO685" s="265">
        <v>1162.2381196502761</v>
      </c>
      <c r="AP685" s="265">
        <v>1750.6919387834544</v>
      </c>
      <c r="AQ685" s="265">
        <v>0</v>
      </c>
      <c r="AR685" s="265">
        <v>0</v>
      </c>
      <c r="AS685" s="265">
        <v>0</v>
      </c>
      <c r="AT685" s="265">
        <v>0</v>
      </c>
      <c r="AU685" s="265">
        <v>0</v>
      </c>
      <c r="AV685" s="265">
        <v>0</v>
      </c>
      <c r="AW685" s="265">
        <v>0</v>
      </c>
      <c r="AX685" s="265">
        <v>0</v>
      </c>
      <c r="AY685" s="265">
        <v>0</v>
      </c>
      <c r="AZ685" s="265">
        <v>0</v>
      </c>
      <c r="BA685" s="265"/>
      <c r="BB685" s="265">
        <v>0</v>
      </c>
      <c r="BC685" s="265">
        <v>0</v>
      </c>
      <c r="BD685" s="265">
        <v>0</v>
      </c>
      <c r="BE685" s="265">
        <v>0</v>
      </c>
      <c r="BF685" s="265">
        <v>0</v>
      </c>
      <c r="BG685" s="265">
        <v>7049.9800426409402</v>
      </c>
      <c r="BH685" s="265">
        <v>0</v>
      </c>
      <c r="BI685" s="265">
        <v>243.2</v>
      </c>
      <c r="BJ685" s="265">
        <v>1146.47</v>
      </c>
      <c r="BK685" s="265">
        <v>9374.5499999999993</v>
      </c>
      <c r="BL685" s="265">
        <v>1017</v>
      </c>
      <c r="BM685" s="265"/>
      <c r="BN685" s="265"/>
      <c r="BO685" s="265"/>
      <c r="BP685" s="265"/>
      <c r="BQ685" s="265"/>
      <c r="BR685" s="265">
        <v>14782.160799999983</v>
      </c>
      <c r="BS685" s="265"/>
      <c r="BT685" s="265"/>
      <c r="BU685" s="265"/>
      <c r="BV685" s="265">
        <v>49190.20012434676</v>
      </c>
      <c r="BW685" s="265"/>
      <c r="BX685" s="265"/>
      <c r="BY685" s="265"/>
      <c r="BZ685" s="265"/>
      <c r="CA685" s="265"/>
      <c r="CB685" s="265"/>
      <c r="CC685" s="265"/>
      <c r="CD685" s="265"/>
      <c r="CE685" s="265"/>
      <c r="CF685" s="265"/>
      <c r="CG685" s="265"/>
      <c r="CH685" s="265"/>
      <c r="CI685" s="265">
        <v>108399.7936</v>
      </c>
      <c r="CJ685" s="265">
        <v>-33497.968399999983</v>
      </c>
      <c r="CK685" s="265"/>
      <c r="CL685" s="265"/>
      <c r="CM685" s="265"/>
      <c r="CN685" s="265"/>
      <c r="CO685" s="265">
        <v>-42717.161600000014</v>
      </c>
      <c r="CP685" s="265">
        <v>4655.4935999999961</v>
      </c>
      <c r="CQ685" s="265">
        <v>30</v>
      </c>
      <c r="CR685" s="265">
        <v>6024.5861149995617</v>
      </c>
      <c r="CS685" s="265">
        <v>140.31936811096011</v>
      </c>
      <c r="CT685" s="265">
        <v>211.36459255093268</v>
      </c>
      <c r="CU685" s="265">
        <v>0</v>
      </c>
      <c r="CV685" s="265">
        <v>0</v>
      </c>
      <c r="CW685" s="265">
        <v>0</v>
      </c>
      <c r="CX685" s="265">
        <v>0</v>
      </c>
      <c r="CY685" s="265">
        <v>0</v>
      </c>
      <c r="CZ685" s="265">
        <v>495.9674095864375</v>
      </c>
      <c r="DA685" s="265">
        <v>0</v>
      </c>
      <c r="DB685" s="265">
        <v>0</v>
      </c>
      <c r="DC685" s="265">
        <v>4654.0833150473263</v>
      </c>
      <c r="DD685" s="265">
        <v>0</v>
      </c>
      <c r="DE685" s="265">
        <v>0</v>
      </c>
      <c r="DF685" s="265">
        <v>0</v>
      </c>
      <c r="DG685" s="265">
        <v>778.61943825288108</v>
      </c>
      <c r="DH685" s="265">
        <v>0</v>
      </c>
      <c r="DI685" s="265">
        <v>-218.75239896748462</v>
      </c>
      <c r="DJ685" s="265"/>
      <c r="DK685" s="265">
        <v>0</v>
      </c>
      <c r="DL685" s="265">
        <v>0</v>
      </c>
      <c r="DM685" s="265">
        <v>0</v>
      </c>
      <c r="DN685" s="265">
        <v>0</v>
      </c>
      <c r="DO685" s="265">
        <v>-28.420831233003582</v>
      </c>
      <c r="DP685" s="265">
        <v>-8.594778348498096</v>
      </c>
      <c r="DQ685" s="265">
        <v>0</v>
      </c>
      <c r="DR685" s="265">
        <v>0</v>
      </c>
      <c r="DS685" s="265"/>
      <c r="DT685" s="265"/>
      <c r="DU685" s="265"/>
      <c r="DV685" s="265">
        <v>78591.851200568213</v>
      </c>
      <c r="DW685" s="265">
        <v>0</v>
      </c>
      <c r="DX685" s="265">
        <v>0</v>
      </c>
      <c r="DY685" s="265">
        <v>-42717.161600000021</v>
      </c>
      <c r="DZ685" s="265">
        <v>4655.4935999999943</v>
      </c>
      <c r="EA685" s="265">
        <v>0</v>
      </c>
      <c r="EB685" s="265">
        <v>0</v>
      </c>
      <c r="EC685" s="265">
        <v>-44089.2189642093</v>
      </c>
      <c r="ED685" s="265">
        <v>0</v>
      </c>
      <c r="EE685" s="265">
        <v>0</v>
      </c>
      <c r="EF685" s="265">
        <v>0</v>
      </c>
      <c r="EG685" s="265">
        <v>0</v>
      </c>
      <c r="EH685" s="265">
        <v>0</v>
      </c>
      <c r="EI685" s="265">
        <v>0</v>
      </c>
      <c r="EJ685" s="265">
        <v>0</v>
      </c>
      <c r="EK685" s="265">
        <v>0</v>
      </c>
      <c r="EL685" s="265">
        <v>0</v>
      </c>
      <c r="EM685" s="265">
        <v>0</v>
      </c>
      <c r="EN685" s="265">
        <v>0</v>
      </c>
      <c r="EO685" s="265">
        <v>0</v>
      </c>
      <c r="EP685" s="265">
        <v>0</v>
      </c>
      <c r="EQ685" s="265">
        <v>0</v>
      </c>
      <c r="ER685" s="265">
        <v>0</v>
      </c>
      <c r="ES685" s="265">
        <v>0</v>
      </c>
      <c r="ET685" s="265">
        <v>0</v>
      </c>
      <c r="EU685" s="265">
        <v>0</v>
      </c>
      <c r="EV685" s="265">
        <v>238</v>
      </c>
      <c r="EW685" s="265">
        <v>0</v>
      </c>
      <c r="EX685" s="265">
        <v>0</v>
      </c>
      <c r="EY685" s="265">
        <v>0</v>
      </c>
      <c r="EZ685" s="265"/>
      <c r="FA685" s="265">
        <v>0</v>
      </c>
      <c r="FB685" s="265"/>
      <c r="FC685" s="265"/>
      <c r="FD685" s="265"/>
      <c r="FE685" s="265"/>
      <c r="FF685" s="265">
        <v>0</v>
      </c>
      <c r="FG685" s="265">
        <v>0</v>
      </c>
      <c r="FH685" s="265">
        <v>0</v>
      </c>
      <c r="FI685" s="265">
        <v>0</v>
      </c>
    </row>
    <row r="686" spans="1:165">
      <c r="A686" s="265">
        <v>691</v>
      </c>
      <c r="B686" s="265" t="s">
        <v>2255</v>
      </c>
      <c r="C686" s="265" t="s">
        <v>2235</v>
      </c>
      <c r="D686" s="265" t="s">
        <v>2245</v>
      </c>
      <c r="E686" s="265" t="s">
        <v>974</v>
      </c>
      <c r="F686" s="265" t="s">
        <v>1322</v>
      </c>
      <c r="G686" s="265" t="s">
        <v>1322</v>
      </c>
      <c r="H686" s="265" t="s">
        <v>1322</v>
      </c>
      <c r="I686" s="265" t="s">
        <v>1322</v>
      </c>
      <c r="J686" s="265" t="s">
        <v>2236</v>
      </c>
      <c r="K686" s="1639">
        <v>44713</v>
      </c>
      <c r="L686" s="265">
        <v>0</v>
      </c>
      <c r="M686" s="265">
        <v>0</v>
      </c>
      <c r="N686" s="265">
        <v>0.1</v>
      </c>
      <c r="O686" s="265">
        <v>0.1</v>
      </c>
      <c r="P686" s="265">
        <v>0.1</v>
      </c>
      <c r="Q686" s="265">
        <v>0.1</v>
      </c>
      <c r="R686" s="265"/>
      <c r="S686" s="265">
        <v>581.32000000000005</v>
      </c>
      <c r="T686" s="265">
        <v>209.4</v>
      </c>
      <c r="U686" s="265"/>
      <c r="V686" s="265">
        <v>79.072000000000003</v>
      </c>
      <c r="W686" s="265">
        <v>79.072000000000003</v>
      </c>
      <c r="X686" s="265">
        <v>60.406999999999996</v>
      </c>
      <c r="Y686" s="265">
        <v>0</v>
      </c>
      <c r="Z686" s="265">
        <v>6.1537907476677205</v>
      </c>
      <c r="AA686" s="265">
        <v>0</v>
      </c>
      <c r="AB686" s="265">
        <v>0</v>
      </c>
      <c r="AC686" s="265">
        <v>0</v>
      </c>
      <c r="AD686" s="265">
        <v>7.4191144795814497</v>
      </c>
      <c r="AE686" s="265">
        <v>38.540531188980104</v>
      </c>
      <c r="AF686" s="265">
        <v>20.665074579102502</v>
      </c>
      <c r="AG686" s="265">
        <v>0.275296496418794</v>
      </c>
      <c r="AH686" s="265">
        <v>0</v>
      </c>
      <c r="AI686" s="265">
        <v>0</v>
      </c>
      <c r="AJ686" s="265">
        <v>0</v>
      </c>
      <c r="AK686" s="265">
        <v>0</v>
      </c>
      <c r="AL686" s="265">
        <v>0.95096016451246212</v>
      </c>
      <c r="AM686" s="265"/>
      <c r="AN686" s="265">
        <v>0.182296431582887</v>
      </c>
      <c r="AO686" s="265">
        <v>0.56994807750602006</v>
      </c>
      <c r="AP686" s="265">
        <v>0.85851899704955592</v>
      </c>
      <c r="AQ686" s="265">
        <v>0</v>
      </c>
      <c r="AR686" s="265">
        <v>0</v>
      </c>
      <c r="AS686" s="265">
        <v>0</v>
      </c>
      <c r="AT686" s="265">
        <v>0</v>
      </c>
      <c r="AU686" s="265">
        <v>0</v>
      </c>
      <c r="AV686" s="265">
        <v>0</v>
      </c>
      <c r="AW686" s="265">
        <v>0</v>
      </c>
      <c r="AX686" s="265">
        <v>0</v>
      </c>
      <c r="AY686" s="265">
        <v>0</v>
      </c>
      <c r="AZ686" s="265">
        <v>0</v>
      </c>
      <c r="BA686" s="265"/>
      <c r="BB686" s="265">
        <v>0</v>
      </c>
      <c r="BC686" s="265">
        <v>0</v>
      </c>
      <c r="BD686" s="265">
        <v>0</v>
      </c>
      <c r="BE686" s="265">
        <v>0</v>
      </c>
      <c r="BF686" s="265">
        <v>0</v>
      </c>
      <c r="BG686" s="265">
        <v>3.4572283457438902</v>
      </c>
      <c r="BH686" s="265">
        <v>0</v>
      </c>
      <c r="BI686" s="265">
        <v>0.19</v>
      </c>
      <c r="BJ686" s="265">
        <v>0.88</v>
      </c>
      <c r="BK686" s="265">
        <v>11.12</v>
      </c>
      <c r="BL686" s="265">
        <v>3</v>
      </c>
      <c r="BM686" s="265"/>
      <c r="BN686" s="265"/>
      <c r="BO686" s="265"/>
      <c r="BP686" s="265"/>
      <c r="BQ686" s="265"/>
      <c r="BR686" s="265">
        <v>7.2489999999999934</v>
      </c>
      <c r="BS686" s="265"/>
      <c r="BT686" s="265"/>
      <c r="BU686" s="265"/>
      <c r="BV686" s="265">
        <v>24.122302924846391</v>
      </c>
      <c r="BW686" s="265"/>
      <c r="BX686" s="265"/>
      <c r="BY686" s="265"/>
      <c r="BZ686" s="265"/>
      <c r="CA686" s="265"/>
      <c r="CB686" s="265"/>
      <c r="CC686" s="265"/>
      <c r="CD686" s="265"/>
      <c r="CE686" s="265"/>
      <c r="CF686" s="265"/>
      <c r="CG686" s="265"/>
      <c r="CH686" s="265"/>
      <c r="CI686" s="265">
        <v>53.158000000000001</v>
      </c>
      <c r="CJ686" s="265">
        <v>-16.457000000000008</v>
      </c>
      <c r="CK686" s="265"/>
      <c r="CL686" s="265"/>
      <c r="CM686" s="265"/>
      <c r="CN686" s="265"/>
      <c r="CO686" s="265">
        <v>-20.948000000000008</v>
      </c>
      <c r="CP686" s="265">
        <v>2.2829999999999986</v>
      </c>
      <c r="CQ686" s="265">
        <v>30</v>
      </c>
      <c r="CR686" s="265">
        <v>2.9543870709099522</v>
      </c>
      <c r="CS686" s="265">
        <v>6.8810988677402984E-2</v>
      </c>
      <c r="CT686" s="265">
        <v>0.10365074173741307</v>
      </c>
      <c r="CU686" s="265">
        <v>0</v>
      </c>
      <c r="CV686" s="265">
        <v>0</v>
      </c>
      <c r="CW686" s="265">
        <v>0</v>
      </c>
      <c r="CX686" s="265">
        <v>0</v>
      </c>
      <c r="CY686" s="265">
        <v>0</v>
      </c>
      <c r="CZ686" s="265">
        <v>0.24321665829072003</v>
      </c>
      <c r="DA686" s="265">
        <v>0</v>
      </c>
      <c r="DB686" s="265">
        <v>0</v>
      </c>
      <c r="DC686" s="265">
        <v>2.2823084126359987</v>
      </c>
      <c r="DD686" s="265">
        <v>0</v>
      </c>
      <c r="DE686" s="265">
        <v>0</v>
      </c>
      <c r="DF686" s="265">
        <v>0</v>
      </c>
      <c r="DG686" s="265">
        <v>0.38182593088116956</v>
      </c>
      <c r="DH686" s="265">
        <v>0</v>
      </c>
      <c r="DI686" s="265">
        <v>-0.10727363621395014</v>
      </c>
      <c r="DJ686" s="265"/>
      <c r="DK686" s="265">
        <v>0</v>
      </c>
      <c r="DL686" s="265">
        <v>0</v>
      </c>
      <c r="DM686" s="265">
        <v>0</v>
      </c>
      <c r="DN686" s="265">
        <v>0</v>
      </c>
      <c r="DO686" s="265">
        <v>-1.3937245602689163E-2</v>
      </c>
      <c r="DP686" s="265">
        <v>-4.2147794961249763E-3</v>
      </c>
      <c r="DQ686" s="265">
        <v>0</v>
      </c>
      <c r="DR686" s="265">
        <v>0</v>
      </c>
      <c r="DS686" s="265"/>
      <c r="DT686" s="265"/>
      <c r="DU686" s="265"/>
      <c r="DV686" s="265">
        <v>38.540531188980104</v>
      </c>
      <c r="DW686" s="265">
        <v>0</v>
      </c>
      <c r="DX686" s="265">
        <v>0</v>
      </c>
      <c r="DY686" s="265">
        <v>-20.948000000000008</v>
      </c>
      <c r="DZ686" s="265">
        <v>2.2829999999999977</v>
      </c>
      <c r="EA686" s="265">
        <v>0</v>
      </c>
      <c r="EB686" s="265">
        <v>0</v>
      </c>
      <c r="EC686" s="265">
        <v>-21.620840998533403</v>
      </c>
      <c r="ED686" s="265">
        <v>0</v>
      </c>
      <c r="EE686" s="265">
        <v>0</v>
      </c>
      <c r="EF686" s="265">
        <v>0</v>
      </c>
      <c r="EG686" s="265">
        <v>0</v>
      </c>
      <c r="EH686" s="265">
        <v>0</v>
      </c>
      <c r="EI686" s="265">
        <v>0</v>
      </c>
      <c r="EJ686" s="265">
        <v>0</v>
      </c>
      <c r="EK686" s="265">
        <v>0</v>
      </c>
      <c r="EL686" s="265">
        <v>0</v>
      </c>
      <c r="EM686" s="265">
        <v>0</v>
      </c>
      <c r="EN686" s="265">
        <v>0</v>
      </c>
      <c r="EO686" s="265">
        <v>0</v>
      </c>
      <c r="EP686" s="265">
        <v>0</v>
      </c>
      <c r="EQ686" s="265">
        <v>0</v>
      </c>
      <c r="ER686" s="265">
        <v>0</v>
      </c>
      <c r="ES686" s="265">
        <v>0</v>
      </c>
      <c r="ET686" s="265">
        <v>0</v>
      </c>
      <c r="EU686" s="265">
        <v>0</v>
      </c>
      <c r="EV686" s="265">
        <v>238</v>
      </c>
      <c r="EW686" s="265">
        <v>0</v>
      </c>
      <c r="EX686" s="265">
        <v>0</v>
      </c>
      <c r="EY686" s="265">
        <v>0</v>
      </c>
      <c r="EZ686" s="265"/>
      <c r="FA686" s="265">
        <v>0</v>
      </c>
      <c r="FB686" s="265"/>
      <c r="FC686" s="265"/>
      <c r="FD686" s="265"/>
      <c r="FE686" s="265"/>
      <c r="FF686" s="265">
        <v>0</v>
      </c>
      <c r="FG686" s="265">
        <v>0</v>
      </c>
      <c r="FH686" s="265">
        <v>0</v>
      </c>
      <c r="FI686" s="265">
        <v>0</v>
      </c>
    </row>
    <row r="687" spans="1:165">
      <c r="A687" s="265">
        <v>692</v>
      </c>
      <c r="B687" s="265" t="s">
        <v>2255</v>
      </c>
      <c r="C687" s="265" t="s">
        <v>2243</v>
      </c>
      <c r="D687" s="265" t="s">
        <v>597</v>
      </c>
      <c r="E687" s="265" t="s">
        <v>974</v>
      </c>
      <c r="F687" s="265" t="s">
        <v>1322</v>
      </c>
      <c r="G687" s="265" t="s">
        <v>1322</v>
      </c>
      <c r="H687" s="265" t="s">
        <v>1322</v>
      </c>
      <c r="I687" s="265" t="s">
        <v>973</v>
      </c>
      <c r="J687" s="265" t="s">
        <v>2236</v>
      </c>
      <c r="K687" s="1639">
        <v>44713</v>
      </c>
      <c r="L687" s="265">
        <v>0</v>
      </c>
      <c r="M687" s="265">
        <v>0</v>
      </c>
      <c r="N687" s="265">
        <v>34.584000000000003</v>
      </c>
      <c r="O687" s="265">
        <v>33.20064</v>
      </c>
      <c r="P687" s="265">
        <v>34.584000000000003</v>
      </c>
      <c r="Q687" s="265">
        <v>33.20064</v>
      </c>
      <c r="R687" s="265"/>
      <c r="S687" s="265">
        <v>1614.19</v>
      </c>
      <c r="T687" s="265">
        <v>209.4</v>
      </c>
      <c r="U687" s="265"/>
      <c r="V687" s="265">
        <v>63067.036560000008</v>
      </c>
      <c r="W687" s="265">
        <v>63067.036560000008</v>
      </c>
      <c r="X687" s="265">
        <v>41920.995600000002</v>
      </c>
      <c r="Y687" s="265">
        <v>0</v>
      </c>
      <c r="Z687" s="265">
        <v>1851.5574831908632</v>
      </c>
      <c r="AA687" s="265">
        <v>0</v>
      </c>
      <c r="AB687" s="265">
        <v>0</v>
      </c>
      <c r="AC687" s="265">
        <v>0</v>
      </c>
      <c r="AD687" s="265">
        <v>10770.079778056794</v>
      </c>
      <c r="AE687" s="265">
        <v>40215.541532667383</v>
      </c>
      <c r="AF687" s="265">
        <v>7146.8093924368095</v>
      </c>
      <c r="AG687" s="265">
        <v>95.208540321475724</v>
      </c>
      <c r="AH687" s="265">
        <v>0</v>
      </c>
      <c r="AI687" s="265">
        <v>0</v>
      </c>
      <c r="AJ687" s="265">
        <v>0</v>
      </c>
      <c r="AK687" s="265">
        <v>0</v>
      </c>
      <c r="AL687" s="265">
        <v>328.8800632949899</v>
      </c>
      <c r="AM687" s="265"/>
      <c r="AN687" s="265">
        <v>45.922167565444823</v>
      </c>
      <c r="AO687" s="265">
        <v>836.75729909164602</v>
      </c>
      <c r="AP687" s="265">
        <v>1246.3625334066694</v>
      </c>
      <c r="AQ687" s="265">
        <v>0</v>
      </c>
      <c r="AR687" s="265">
        <v>0</v>
      </c>
      <c r="AS687" s="265">
        <v>0</v>
      </c>
      <c r="AT687" s="265">
        <v>0</v>
      </c>
      <c r="AU687" s="265">
        <v>0</v>
      </c>
      <c r="AV687" s="265">
        <v>0</v>
      </c>
      <c r="AW687" s="265">
        <v>0</v>
      </c>
      <c r="AX687" s="265">
        <v>0</v>
      </c>
      <c r="AY687" s="265">
        <v>0</v>
      </c>
      <c r="AZ687" s="265">
        <v>0</v>
      </c>
      <c r="BA687" s="265"/>
      <c r="BB687" s="265">
        <v>0</v>
      </c>
      <c r="BC687" s="265">
        <v>0</v>
      </c>
      <c r="BD687" s="265">
        <v>0</v>
      </c>
      <c r="BE687" s="265">
        <v>0</v>
      </c>
      <c r="BF687" s="265">
        <v>0</v>
      </c>
      <c r="BG687" s="265">
        <v>529.98030711645333</v>
      </c>
      <c r="BH687" s="265">
        <v>0</v>
      </c>
      <c r="BI687" s="265">
        <v>0</v>
      </c>
      <c r="BJ687" s="265">
        <v>0</v>
      </c>
      <c r="BK687" s="265">
        <v>0</v>
      </c>
      <c r="BL687" s="265">
        <v>0</v>
      </c>
      <c r="BM687" s="265"/>
      <c r="BN687" s="265"/>
      <c r="BO687" s="265"/>
      <c r="BP687" s="265"/>
      <c r="BQ687" s="265"/>
      <c r="BR687" s="265">
        <v>1676.839824000004</v>
      </c>
      <c r="BS687" s="265"/>
      <c r="BT687" s="265"/>
      <c r="BU687" s="265"/>
      <c r="BV687" s="265">
        <v>7676.7896995532628</v>
      </c>
      <c r="BW687" s="265"/>
      <c r="BX687" s="265"/>
      <c r="BY687" s="265"/>
      <c r="BZ687" s="265"/>
      <c r="CA687" s="265"/>
      <c r="CB687" s="265"/>
      <c r="CC687" s="265"/>
      <c r="CD687" s="265"/>
      <c r="CE687" s="265"/>
      <c r="CF687" s="265"/>
      <c r="CG687" s="265"/>
      <c r="CH687" s="265"/>
      <c r="CI687" s="265">
        <v>40243.380000000005</v>
      </c>
      <c r="CJ687" s="265">
        <v>-20301.005097599998</v>
      </c>
      <c r="CK687" s="265"/>
      <c r="CL687" s="265"/>
      <c r="CM687" s="265"/>
      <c r="CN687" s="265"/>
      <c r="CO687" s="265">
        <v>-21935.593680000005</v>
      </c>
      <c r="CP687" s="265">
        <v>789.55271999999957</v>
      </c>
      <c r="CQ687" s="265">
        <v>30</v>
      </c>
      <c r="CR687" s="265">
        <v>1414.2564230826174</v>
      </c>
      <c r="CS687" s="265">
        <v>101.02340775580558</v>
      </c>
      <c r="CT687" s="265">
        <v>150.47587939846994</v>
      </c>
      <c r="CU687" s="265">
        <v>0</v>
      </c>
      <c r="CV687" s="265">
        <v>0</v>
      </c>
      <c r="CW687" s="265">
        <v>0</v>
      </c>
      <c r="CX687" s="265">
        <v>0</v>
      </c>
      <c r="CY687" s="265">
        <v>0</v>
      </c>
      <c r="CZ687" s="265">
        <v>353.06946945658819</v>
      </c>
      <c r="DA687" s="265">
        <v>0</v>
      </c>
      <c r="DB687" s="265">
        <v>0</v>
      </c>
      <c r="DC687" s="265">
        <v>789.31354142603413</v>
      </c>
      <c r="DD687" s="265">
        <v>0</v>
      </c>
      <c r="DE687" s="265">
        <v>0</v>
      </c>
      <c r="DF687" s="265">
        <v>0</v>
      </c>
      <c r="DG687" s="265">
        <v>58.532501725711427</v>
      </c>
      <c r="DH687" s="265">
        <v>0</v>
      </c>
      <c r="DI687" s="265">
        <v>-32.276577482963603</v>
      </c>
      <c r="DJ687" s="265"/>
      <c r="DK687" s="265">
        <v>0</v>
      </c>
      <c r="DL687" s="265">
        <v>0</v>
      </c>
      <c r="DM687" s="265">
        <v>0</v>
      </c>
      <c r="DN687" s="265">
        <v>0</v>
      </c>
      <c r="DO687" s="265">
        <v>-4.8200570192339569</v>
      </c>
      <c r="DP687" s="265">
        <v>-1.0617421777918707</v>
      </c>
      <c r="DQ687" s="265">
        <v>0</v>
      </c>
      <c r="DR687" s="265">
        <v>0</v>
      </c>
      <c r="DS687" s="265"/>
      <c r="DT687" s="265"/>
      <c r="DU687" s="265"/>
      <c r="DV687" s="265">
        <v>40215.541532667383</v>
      </c>
      <c r="DW687" s="265">
        <v>0</v>
      </c>
      <c r="DX687" s="265">
        <v>0</v>
      </c>
      <c r="DY687" s="265">
        <v>-21935.593680000005</v>
      </c>
      <c r="DZ687" s="265">
        <v>789.55271999999968</v>
      </c>
      <c r="EA687" s="265">
        <v>0</v>
      </c>
      <c r="EB687" s="265">
        <v>0</v>
      </c>
      <c r="EC687" s="265">
        <v>-22560.504547387653</v>
      </c>
      <c r="ED687" s="265">
        <v>0</v>
      </c>
      <c r="EE687" s="265">
        <v>0</v>
      </c>
      <c r="EF687" s="265">
        <v>0</v>
      </c>
      <c r="EG687" s="265">
        <v>0</v>
      </c>
      <c r="EH687" s="265">
        <v>0</v>
      </c>
      <c r="EI687" s="265">
        <v>0</v>
      </c>
      <c r="EJ687" s="265">
        <v>0</v>
      </c>
      <c r="EK687" s="265">
        <v>0</v>
      </c>
      <c r="EL687" s="265">
        <v>0</v>
      </c>
      <c r="EM687" s="265">
        <v>0</v>
      </c>
      <c r="EN687" s="265">
        <v>0</v>
      </c>
      <c r="EO687" s="265">
        <v>0</v>
      </c>
      <c r="EP687" s="265">
        <v>0</v>
      </c>
      <c r="EQ687" s="265">
        <v>0</v>
      </c>
      <c r="ER687" s="265">
        <v>0</v>
      </c>
      <c r="ES687" s="265">
        <v>0</v>
      </c>
      <c r="ET687" s="265">
        <v>0</v>
      </c>
      <c r="EU687" s="265">
        <v>0</v>
      </c>
      <c r="EV687" s="265">
        <v>238</v>
      </c>
      <c r="EW687" s="265">
        <v>0</v>
      </c>
      <c r="EX687" s="265">
        <v>0</v>
      </c>
      <c r="EY687" s="265">
        <v>0</v>
      </c>
      <c r="EZ687" s="265"/>
      <c r="FA687" s="265">
        <v>0</v>
      </c>
      <c r="FB687" s="265"/>
      <c r="FC687" s="265"/>
      <c r="FD687" s="265"/>
      <c r="FE687" s="265"/>
      <c r="FF687" s="265">
        <v>0</v>
      </c>
      <c r="FG687" s="265">
        <v>0</v>
      </c>
      <c r="FH687" s="265">
        <v>0</v>
      </c>
      <c r="FI687" s="265">
        <v>0</v>
      </c>
    </row>
    <row r="688" spans="1:165">
      <c r="A688" s="265">
        <v>693</v>
      </c>
      <c r="B688" s="265" t="s">
        <v>2255</v>
      </c>
      <c r="C688" s="265" t="s">
        <v>2243</v>
      </c>
      <c r="D688" s="265" t="s">
        <v>597</v>
      </c>
      <c r="E688" s="265" t="s">
        <v>974</v>
      </c>
      <c r="F688" s="265" t="s">
        <v>1322</v>
      </c>
      <c r="G688" s="265" t="s">
        <v>1322</v>
      </c>
      <c r="H688" s="265" t="s">
        <v>1322</v>
      </c>
      <c r="I688" s="265" t="s">
        <v>973</v>
      </c>
      <c r="J688" s="265" t="s">
        <v>2236</v>
      </c>
      <c r="K688" s="1639">
        <v>44713</v>
      </c>
      <c r="L688" s="265">
        <v>0</v>
      </c>
      <c r="M688" s="265">
        <v>0</v>
      </c>
      <c r="N688" s="265">
        <v>3.1629999999999998</v>
      </c>
      <c r="O688" s="265">
        <v>3.0364800000000001</v>
      </c>
      <c r="P688" s="265">
        <v>3.1629999999999998</v>
      </c>
      <c r="Q688" s="265">
        <v>3.0364800000000001</v>
      </c>
      <c r="R688" s="265"/>
      <c r="S688" s="265">
        <v>1614.19</v>
      </c>
      <c r="T688" s="265">
        <v>209.4</v>
      </c>
      <c r="U688" s="265"/>
      <c r="V688" s="265">
        <v>5768.0151699999997</v>
      </c>
      <c r="W688" s="265">
        <v>5768.0151699999997</v>
      </c>
      <c r="X688" s="265">
        <v>3834.0304499999997</v>
      </c>
      <c r="Y688" s="265">
        <v>0</v>
      </c>
      <c r="Z688" s="265">
        <v>169.34062917339517</v>
      </c>
      <c r="AA688" s="265">
        <v>0</v>
      </c>
      <c r="AB688" s="265">
        <v>0</v>
      </c>
      <c r="AC688" s="265">
        <v>0</v>
      </c>
      <c r="AD688" s="265">
        <v>985.01510345806253</v>
      </c>
      <c r="AE688" s="265">
        <v>3678.0522168582847</v>
      </c>
      <c r="AF688" s="265">
        <v>653.63630893701202</v>
      </c>
      <c r="AG688" s="265">
        <v>8.707628181726454</v>
      </c>
      <c r="AH688" s="265">
        <v>0</v>
      </c>
      <c r="AI688" s="265">
        <v>0</v>
      </c>
      <c r="AJ688" s="265">
        <v>0</v>
      </c>
      <c r="AK688" s="265">
        <v>0</v>
      </c>
      <c r="AL688" s="265">
        <v>30.078870003529172</v>
      </c>
      <c r="AM688" s="265"/>
      <c r="AN688" s="265">
        <v>4.1999715478111828</v>
      </c>
      <c r="AO688" s="265">
        <v>76.528548954050322</v>
      </c>
      <c r="AP688" s="265">
        <v>113.99042022800413</v>
      </c>
      <c r="AQ688" s="265">
        <v>0</v>
      </c>
      <c r="AR688" s="265">
        <v>0</v>
      </c>
      <c r="AS688" s="265">
        <v>0</v>
      </c>
      <c r="AT688" s="265">
        <v>0</v>
      </c>
      <c r="AU688" s="265">
        <v>0</v>
      </c>
      <c r="AV688" s="265">
        <v>0</v>
      </c>
      <c r="AW688" s="265">
        <v>0</v>
      </c>
      <c r="AX688" s="265">
        <v>0</v>
      </c>
      <c r="AY688" s="265">
        <v>0</v>
      </c>
      <c r="AZ688" s="265">
        <v>0</v>
      </c>
      <c r="BA688" s="265"/>
      <c r="BB688" s="265">
        <v>0</v>
      </c>
      <c r="BC688" s="265">
        <v>0</v>
      </c>
      <c r="BD688" s="265">
        <v>0</v>
      </c>
      <c r="BE688" s="265">
        <v>0</v>
      </c>
      <c r="BF688" s="265">
        <v>0</v>
      </c>
      <c r="BG688" s="265">
        <v>48.471192210540757</v>
      </c>
      <c r="BH688" s="265">
        <v>0</v>
      </c>
      <c r="BI688" s="265">
        <v>0</v>
      </c>
      <c r="BJ688" s="265">
        <v>0</v>
      </c>
      <c r="BK688" s="265">
        <v>0</v>
      </c>
      <c r="BL688" s="265">
        <v>0</v>
      </c>
      <c r="BM688" s="265"/>
      <c r="BN688" s="265"/>
      <c r="BO688" s="265"/>
      <c r="BP688" s="265"/>
      <c r="BQ688" s="265"/>
      <c r="BR688" s="265">
        <v>153.3612179999997</v>
      </c>
      <c r="BS688" s="265"/>
      <c r="BT688" s="265"/>
      <c r="BU688" s="265"/>
      <c r="BV688" s="265">
        <v>702.10750114755274</v>
      </c>
      <c r="BW688" s="265"/>
      <c r="BX688" s="265"/>
      <c r="BY688" s="265"/>
      <c r="BZ688" s="265"/>
      <c r="CA688" s="265"/>
      <c r="CB688" s="265"/>
      <c r="CC688" s="265"/>
      <c r="CD688" s="265"/>
      <c r="CE688" s="265"/>
      <c r="CF688" s="265"/>
      <c r="CG688" s="265"/>
      <c r="CH688" s="265"/>
      <c r="CI688" s="265">
        <v>3684.9359999999997</v>
      </c>
      <c r="CJ688" s="265">
        <v>-1852.388563200001</v>
      </c>
      <c r="CK688" s="265"/>
      <c r="CL688" s="265"/>
      <c r="CM688" s="265"/>
      <c r="CN688" s="265"/>
      <c r="CO688" s="265">
        <v>-2006.1960100000001</v>
      </c>
      <c r="CP688" s="265">
        <v>72.211289999999948</v>
      </c>
      <c r="CQ688" s="265">
        <v>30</v>
      </c>
      <c r="CR688" s="265">
        <v>129.34573982796428</v>
      </c>
      <c r="CS688" s="265">
        <v>9.2394471065120456</v>
      </c>
      <c r="CT688" s="265">
        <v>13.762294891781195</v>
      </c>
      <c r="CU688" s="265">
        <v>0</v>
      </c>
      <c r="CV688" s="265">
        <v>0</v>
      </c>
      <c r="CW688" s="265">
        <v>0</v>
      </c>
      <c r="CX688" s="265">
        <v>0</v>
      </c>
      <c r="CY688" s="265">
        <v>0</v>
      </c>
      <c r="CZ688" s="265">
        <v>32.291196272588081</v>
      </c>
      <c r="DA688" s="265">
        <v>0</v>
      </c>
      <c r="DB688" s="265">
        <v>0</v>
      </c>
      <c r="DC688" s="265">
        <v>72.189415091676665</v>
      </c>
      <c r="DD688" s="265">
        <v>0</v>
      </c>
      <c r="DE688" s="265">
        <v>0</v>
      </c>
      <c r="DF688" s="265">
        <v>0</v>
      </c>
      <c r="DG688" s="265">
        <v>5.3532935160312647</v>
      </c>
      <c r="DH688" s="265">
        <v>0</v>
      </c>
      <c r="DI688" s="265">
        <v>-2.951966648699198</v>
      </c>
      <c r="DJ688" s="265"/>
      <c r="DK688" s="265">
        <v>0</v>
      </c>
      <c r="DL688" s="265">
        <v>0</v>
      </c>
      <c r="DM688" s="265">
        <v>0</v>
      </c>
      <c r="DN688" s="265">
        <v>0</v>
      </c>
      <c r="DO688" s="265">
        <v>-0.44083507841305547</v>
      </c>
      <c r="DP688" s="265">
        <v>-9.7105323512481689E-2</v>
      </c>
      <c r="DQ688" s="265">
        <v>0</v>
      </c>
      <c r="DR688" s="265">
        <v>0</v>
      </c>
      <c r="DS688" s="265"/>
      <c r="DT688" s="265"/>
      <c r="DU688" s="265"/>
      <c r="DV688" s="265">
        <v>3678.0522168582847</v>
      </c>
      <c r="DW688" s="265">
        <v>0</v>
      </c>
      <c r="DX688" s="265">
        <v>0</v>
      </c>
      <c r="DY688" s="265">
        <v>-2006.1960100000001</v>
      </c>
      <c r="DZ688" s="265">
        <v>72.211289999999963</v>
      </c>
      <c r="EA688" s="265">
        <v>0</v>
      </c>
      <c r="EB688" s="265">
        <v>0</v>
      </c>
      <c r="EC688" s="265">
        <v>-2063.3494067599795</v>
      </c>
      <c r="ED688" s="265">
        <v>0</v>
      </c>
      <c r="EE688" s="265">
        <v>0</v>
      </c>
      <c r="EF688" s="265">
        <v>0</v>
      </c>
      <c r="EG688" s="265">
        <v>0</v>
      </c>
      <c r="EH688" s="265">
        <v>0</v>
      </c>
      <c r="EI688" s="265">
        <v>0</v>
      </c>
      <c r="EJ688" s="265">
        <v>0</v>
      </c>
      <c r="EK688" s="265">
        <v>0</v>
      </c>
      <c r="EL688" s="265">
        <v>0</v>
      </c>
      <c r="EM688" s="265">
        <v>0</v>
      </c>
      <c r="EN688" s="265">
        <v>0</v>
      </c>
      <c r="EO688" s="265">
        <v>0</v>
      </c>
      <c r="EP688" s="265">
        <v>0</v>
      </c>
      <c r="EQ688" s="265">
        <v>0</v>
      </c>
      <c r="ER688" s="265">
        <v>0</v>
      </c>
      <c r="ES688" s="265">
        <v>0</v>
      </c>
      <c r="ET688" s="265">
        <v>0</v>
      </c>
      <c r="EU688" s="265">
        <v>0</v>
      </c>
      <c r="EV688" s="265">
        <v>238</v>
      </c>
      <c r="EW688" s="265">
        <v>0</v>
      </c>
      <c r="EX688" s="265">
        <v>0</v>
      </c>
      <c r="EY688" s="265">
        <v>0</v>
      </c>
      <c r="EZ688" s="265"/>
      <c r="FA688" s="265">
        <v>0</v>
      </c>
      <c r="FB688" s="265"/>
      <c r="FC688" s="265"/>
      <c r="FD688" s="265"/>
      <c r="FE688" s="265"/>
      <c r="FF688" s="265">
        <v>0</v>
      </c>
      <c r="FG688" s="265">
        <v>0</v>
      </c>
      <c r="FH688" s="265">
        <v>0</v>
      </c>
      <c r="FI688" s="265">
        <v>0</v>
      </c>
    </row>
    <row r="689" spans="1:165">
      <c r="A689" s="265">
        <v>694</v>
      </c>
      <c r="B689" s="265" t="s">
        <v>2255</v>
      </c>
      <c r="C689" s="265" t="s">
        <v>2243</v>
      </c>
      <c r="D689" s="265" t="s">
        <v>597</v>
      </c>
      <c r="E689" s="265" t="s">
        <v>974</v>
      </c>
      <c r="F689" s="265" t="s">
        <v>1322</v>
      </c>
      <c r="G689" s="265" t="s">
        <v>1322</v>
      </c>
      <c r="H689" s="265" t="s">
        <v>1322</v>
      </c>
      <c r="I689" s="265" t="s">
        <v>2244</v>
      </c>
      <c r="J689" s="265" t="s">
        <v>2236</v>
      </c>
      <c r="K689" s="1639">
        <v>44713</v>
      </c>
      <c r="L689" s="265">
        <v>0</v>
      </c>
      <c r="M689" s="265">
        <v>0</v>
      </c>
      <c r="N689" s="265">
        <v>385.24200000000002</v>
      </c>
      <c r="O689" s="265">
        <v>369.83231999999998</v>
      </c>
      <c r="P689" s="265">
        <v>385.24200000000002</v>
      </c>
      <c r="Q689" s="265">
        <v>369.83231999999998</v>
      </c>
      <c r="R689" s="265"/>
      <c r="S689" s="265">
        <v>79.7</v>
      </c>
      <c r="T689" s="265">
        <v>209.4</v>
      </c>
      <c r="U689" s="265"/>
      <c r="V689" s="265">
        <v>111373.46220000001</v>
      </c>
      <c r="W689" s="265">
        <v>111373.46220000001</v>
      </c>
      <c r="X689" s="265">
        <v>120395.82984000001</v>
      </c>
      <c r="Y689" s="265">
        <v>0</v>
      </c>
      <c r="Z689" s="265">
        <v>20625.078300353183</v>
      </c>
      <c r="AA689" s="265">
        <v>0</v>
      </c>
      <c r="AB689" s="265">
        <v>0</v>
      </c>
      <c r="AC689" s="265">
        <v>0</v>
      </c>
      <c r="AD689" s="265">
        <v>0</v>
      </c>
      <c r="AE689" s="265">
        <v>0</v>
      </c>
      <c r="AF689" s="265">
        <v>79610.546610026053</v>
      </c>
      <c r="AG689" s="265">
        <v>1060.5577287336905</v>
      </c>
      <c r="AH689" s="265">
        <v>0</v>
      </c>
      <c r="AI689" s="265">
        <v>0</v>
      </c>
      <c r="AJ689" s="265">
        <v>0</v>
      </c>
      <c r="AK689" s="265">
        <v>0</v>
      </c>
      <c r="AL689" s="265">
        <v>3663.497956971099</v>
      </c>
      <c r="AM689" s="265"/>
      <c r="AN689" s="265">
        <v>511.54139709828519</v>
      </c>
      <c r="AO689" s="265">
        <v>0</v>
      </c>
      <c r="AP689" s="265">
        <v>0</v>
      </c>
      <c r="AQ689" s="265">
        <v>0</v>
      </c>
      <c r="AR689" s="265">
        <v>0</v>
      </c>
      <c r="AS689" s="265">
        <v>0</v>
      </c>
      <c r="AT689" s="265">
        <v>0</v>
      </c>
      <c r="AU689" s="265">
        <v>0</v>
      </c>
      <c r="AV689" s="265">
        <v>0</v>
      </c>
      <c r="AW689" s="265">
        <v>0</v>
      </c>
      <c r="AX689" s="265">
        <v>0</v>
      </c>
      <c r="AY689" s="265">
        <v>0</v>
      </c>
      <c r="AZ689" s="265">
        <v>0</v>
      </c>
      <c r="BA689" s="265"/>
      <c r="BB689" s="265">
        <v>0</v>
      </c>
      <c r="BC689" s="265">
        <v>0</v>
      </c>
      <c r="BD689" s="265">
        <v>0</v>
      </c>
      <c r="BE689" s="265">
        <v>0</v>
      </c>
      <c r="BF689" s="265">
        <v>0</v>
      </c>
      <c r="BG689" s="265">
        <v>5903.6165126693468</v>
      </c>
      <c r="BH689" s="265">
        <v>0</v>
      </c>
      <c r="BI689" s="265">
        <v>0</v>
      </c>
      <c r="BJ689" s="265">
        <v>0</v>
      </c>
      <c r="BK689" s="265">
        <v>0</v>
      </c>
      <c r="BL689" s="265">
        <v>0</v>
      </c>
      <c r="BM689" s="265"/>
      <c r="BN689" s="265"/>
      <c r="BO689" s="265"/>
      <c r="BP689" s="265"/>
      <c r="BQ689" s="265"/>
      <c r="BR689" s="265">
        <v>4815.8331936000113</v>
      </c>
      <c r="BS689" s="265"/>
      <c r="BT689" s="265"/>
      <c r="BU689" s="265"/>
      <c r="BV689" s="265">
        <v>85514.163122695405</v>
      </c>
      <c r="BW689" s="265"/>
      <c r="BX689" s="265"/>
      <c r="BY689" s="265"/>
      <c r="BZ689" s="265"/>
      <c r="CA689" s="265"/>
      <c r="CB689" s="265"/>
      <c r="CC689" s="265"/>
      <c r="CD689" s="265"/>
      <c r="CE689" s="265"/>
      <c r="CF689" s="265"/>
      <c r="CG689" s="265"/>
      <c r="CH689" s="265"/>
      <c r="CI689" s="265">
        <v>115579.27159999999</v>
      </c>
      <c r="CJ689" s="265">
        <v>8660.7178879999992</v>
      </c>
      <c r="CK689" s="265"/>
      <c r="CL689" s="265"/>
      <c r="CM689" s="265"/>
      <c r="CN689" s="265"/>
      <c r="CO689" s="265">
        <v>227.29278000000133</v>
      </c>
      <c r="CP689" s="265">
        <v>8795.0748599999952</v>
      </c>
      <c r="CQ689" s="265">
        <v>30</v>
      </c>
      <c r="CR689" s="265">
        <v>9019.3643305260193</v>
      </c>
      <c r="CS689" s="265">
        <v>0</v>
      </c>
      <c r="CT689" s="265">
        <v>0</v>
      </c>
      <c r="CU689" s="265">
        <v>0</v>
      </c>
      <c r="CV689" s="265">
        <v>0</v>
      </c>
      <c r="CW689" s="265">
        <v>0</v>
      </c>
      <c r="CX689" s="265">
        <v>0</v>
      </c>
      <c r="CY689" s="265">
        <v>0</v>
      </c>
      <c r="CZ689" s="265">
        <v>0</v>
      </c>
      <c r="DA689" s="265">
        <v>0</v>
      </c>
      <c r="DB689" s="265">
        <v>0</v>
      </c>
      <c r="DC689" s="265">
        <v>8792.4105750071758</v>
      </c>
      <c r="DD689" s="265">
        <v>0</v>
      </c>
      <c r="DE689" s="265">
        <v>0</v>
      </c>
      <c r="DF689" s="265">
        <v>0</v>
      </c>
      <c r="DG689" s="265">
        <v>652.011856055301</v>
      </c>
      <c r="DH689" s="265">
        <v>0</v>
      </c>
      <c r="DI689" s="265">
        <v>-359.53889841232376</v>
      </c>
      <c r="DJ689" s="265"/>
      <c r="DK689" s="265">
        <v>0</v>
      </c>
      <c r="DL689" s="265">
        <v>0</v>
      </c>
      <c r="DM689" s="265">
        <v>0</v>
      </c>
      <c r="DN689" s="265">
        <v>0</v>
      </c>
      <c r="DO689" s="265">
        <v>-53.692123704711321</v>
      </c>
      <c r="DP689" s="265">
        <v>-11.827078419410611</v>
      </c>
      <c r="DQ689" s="265">
        <v>0</v>
      </c>
      <c r="DR689" s="265">
        <v>0</v>
      </c>
      <c r="DS689" s="265"/>
      <c r="DT689" s="265"/>
      <c r="DU689" s="265"/>
      <c r="DV689" s="265">
        <v>0</v>
      </c>
      <c r="DW689" s="265">
        <v>0</v>
      </c>
      <c r="DX689" s="265">
        <v>0</v>
      </c>
      <c r="DY689" s="265">
        <v>227.2927800000034</v>
      </c>
      <c r="DZ689" s="265">
        <v>8795.0748599999934</v>
      </c>
      <c r="EA689" s="265">
        <v>0</v>
      </c>
      <c r="EB689" s="265">
        <v>0</v>
      </c>
      <c r="EC689" s="265">
        <v>0</v>
      </c>
      <c r="ED689" s="265">
        <v>0</v>
      </c>
      <c r="EE689" s="265">
        <v>0</v>
      </c>
      <c r="EF689" s="265">
        <v>0</v>
      </c>
      <c r="EG689" s="265">
        <v>0</v>
      </c>
      <c r="EH689" s="265">
        <v>0</v>
      </c>
      <c r="EI689" s="265">
        <v>0</v>
      </c>
      <c r="EJ689" s="265">
        <v>0</v>
      </c>
      <c r="EK689" s="265">
        <v>0</v>
      </c>
      <c r="EL689" s="265">
        <v>0</v>
      </c>
      <c r="EM689" s="265">
        <v>0</v>
      </c>
      <c r="EN689" s="265">
        <v>0</v>
      </c>
      <c r="EO689" s="265">
        <v>0</v>
      </c>
      <c r="EP689" s="265">
        <v>0</v>
      </c>
      <c r="EQ689" s="265">
        <v>0</v>
      </c>
      <c r="ER689" s="265">
        <v>0</v>
      </c>
      <c r="ES689" s="265">
        <v>0</v>
      </c>
      <c r="ET689" s="265">
        <v>0</v>
      </c>
      <c r="EU689" s="265">
        <v>0</v>
      </c>
      <c r="EV689" s="265">
        <v>238</v>
      </c>
      <c r="EW689" s="265">
        <v>0</v>
      </c>
      <c r="EX689" s="265">
        <v>0</v>
      </c>
      <c r="EY689" s="265">
        <v>0</v>
      </c>
      <c r="EZ689" s="265"/>
      <c r="FA689" s="265">
        <v>0</v>
      </c>
      <c r="FB689" s="265"/>
      <c r="FC689" s="265"/>
      <c r="FD689" s="265"/>
      <c r="FE689" s="265"/>
      <c r="FF689" s="265">
        <v>0</v>
      </c>
      <c r="FG689" s="265">
        <v>0</v>
      </c>
      <c r="FH689" s="265">
        <v>0</v>
      </c>
      <c r="FI689" s="265">
        <v>0</v>
      </c>
    </row>
    <row r="690" spans="1:165">
      <c r="A690" s="265">
        <v>695</v>
      </c>
      <c r="B690" s="265" t="s">
        <v>2255</v>
      </c>
      <c r="C690" s="265" t="s">
        <v>2243</v>
      </c>
      <c r="D690" s="265" t="s">
        <v>597</v>
      </c>
      <c r="E690" s="265" t="s">
        <v>974</v>
      </c>
      <c r="F690" s="265" t="s">
        <v>1322</v>
      </c>
      <c r="G690" s="265" t="s">
        <v>1322</v>
      </c>
      <c r="H690" s="265" t="s">
        <v>1322</v>
      </c>
      <c r="I690" s="265" t="s">
        <v>2244</v>
      </c>
      <c r="J690" s="265" t="s">
        <v>2236</v>
      </c>
      <c r="K690" s="1639">
        <v>44713</v>
      </c>
      <c r="L690" s="265">
        <v>0</v>
      </c>
      <c r="M690" s="265">
        <v>0</v>
      </c>
      <c r="N690" s="265">
        <v>26.338000000000001</v>
      </c>
      <c r="O690" s="265">
        <v>25.284479999999999</v>
      </c>
      <c r="P690" s="265">
        <v>26.338000000000001</v>
      </c>
      <c r="Q690" s="265">
        <v>25.284479999999999</v>
      </c>
      <c r="R690" s="265"/>
      <c r="S690" s="265">
        <v>79.7</v>
      </c>
      <c r="T690" s="265">
        <v>209.4</v>
      </c>
      <c r="U690" s="265"/>
      <c r="V690" s="265">
        <v>7614.3158000000003</v>
      </c>
      <c r="W690" s="265">
        <v>7614.3158000000003</v>
      </c>
      <c r="X690" s="265">
        <v>8231.1517600000006</v>
      </c>
      <c r="Y690" s="265">
        <v>0</v>
      </c>
      <c r="Z690" s="265">
        <v>1410.0833041950309</v>
      </c>
      <c r="AA690" s="265">
        <v>0</v>
      </c>
      <c r="AB690" s="265">
        <v>0</v>
      </c>
      <c r="AC690" s="265">
        <v>0</v>
      </c>
      <c r="AD690" s="265">
        <v>0</v>
      </c>
      <c r="AE690" s="265">
        <v>0</v>
      </c>
      <c r="AF690" s="265">
        <v>5442.7673426440169</v>
      </c>
      <c r="AG690" s="265">
        <v>72.507591226781969</v>
      </c>
      <c r="AH690" s="265">
        <v>0</v>
      </c>
      <c r="AI690" s="265">
        <v>0</v>
      </c>
      <c r="AJ690" s="265">
        <v>0</v>
      </c>
      <c r="AK690" s="265">
        <v>0</v>
      </c>
      <c r="AL690" s="265">
        <v>250.46388812929226</v>
      </c>
      <c r="AM690" s="265"/>
      <c r="AN690" s="265">
        <v>34.972763397486865</v>
      </c>
      <c r="AO690" s="265">
        <v>0</v>
      </c>
      <c r="AP690" s="265">
        <v>0</v>
      </c>
      <c r="AQ690" s="265">
        <v>0</v>
      </c>
      <c r="AR690" s="265">
        <v>0</v>
      </c>
      <c r="AS690" s="265">
        <v>0</v>
      </c>
      <c r="AT690" s="265">
        <v>0</v>
      </c>
      <c r="AU690" s="265">
        <v>0</v>
      </c>
      <c r="AV690" s="265">
        <v>0</v>
      </c>
      <c r="AW690" s="265">
        <v>0</v>
      </c>
      <c r="AX690" s="265">
        <v>0</v>
      </c>
      <c r="AY690" s="265">
        <v>0</v>
      </c>
      <c r="AZ690" s="265">
        <v>0</v>
      </c>
      <c r="BA690" s="265"/>
      <c r="BB690" s="265">
        <v>0</v>
      </c>
      <c r="BC690" s="265">
        <v>0</v>
      </c>
      <c r="BD690" s="265">
        <v>0</v>
      </c>
      <c r="BE690" s="265">
        <v>0</v>
      </c>
      <c r="BF690" s="265">
        <v>0</v>
      </c>
      <c r="BG690" s="265">
        <v>403.61500488182821</v>
      </c>
      <c r="BH690" s="265">
        <v>0</v>
      </c>
      <c r="BI690" s="265">
        <v>0</v>
      </c>
      <c r="BJ690" s="265">
        <v>0</v>
      </c>
      <c r="BK690" s="265">
        <v>0</v>
      </c>
      <c r="BL690" s="265">
        <v>0</v>
      </c>
      <c r="BM690" s="265"/>
      <c r="BN690" s="265"/>
      <c r="BO690" s="265"/>
      <c r="BP690" s="265"/>
      <c r="BQ690" s="265"/>
      <c r="BR690" s="265">
        <v>329.2460704000008</v>
      </c>
      <c r="BS690" s="265"/>
      <c r="BT690" s="265"/>
      <c r="BU690" s="265"/>
      <c r="BV690" s="265">
        <v>5846.382347525845</v>
      </c>
      <c r="BW690" s="265"/>
      <c r="BX690" s="265"/>
      <c r="BY690" s="265"/>
      <c r="BZ690" s="265"/>
      <c r="CA690" s="265"/>
      <c r="CB690" s="265"/>
      <c r="CC690" s="265"/>
      <c r="CD690" s="265"/>
      <c r="CE690" s="265"/>
      <c r="CF690" s="265"/>
      <c r="CG690" s="265"/>
      <c r="CH690" s="265"/>
      <c r="CI690" s="265">
        <v>7900.5056000000004</v>
      </c>
      <c r="CJ690" s="265">
        <v>590.7324320000007</v>
      </c>
      <c r="CK690" s="265"/>
      <c r="CL690" s="265"/>
      <c r="CM690" s="265"/>
      <c r="CN690" s="265"/>
      <c r="CO690" s="265">
        <v>15.53942000000009</v>
      </c>
      <c r="CP690" s="265">
        <v>601.2965399999996</v>
      </c>
      <c r="CQ690" s="265">
        <v>30</v>
      </c>
      <c r="CR690" s="265">
        <v>616.6306314923977</v>
      </c>
      <c r="CS690" s="265">
        <v>0</v>
      </c>
      <c r="CT690" s="265">
        <v>0</v>
      </c>
      <c r="CU690" s="265">
        <v>0</v>
      </c>
      <c r="CV690" s="265">
        <v>0</v>
      </c>
      <c r="CW690" s="265">
        <v>0</v>
      </c>
      <c r="CX690" s="265">
        <v>0</v>
      </c>
      <c r="CY690" s="265">
        <v>0</v>
      </c>
      <c r="CZ690" s="265">
        <v>0</v>
      </c>
      <c r="DA690" s="265">
        <v>0</v>
      </c>
      <c r="DB690" s="265">
        <v>0</v>
      </c>
      <c r="DC690" s="265">
        <v>601.11438972006908</v>
      </c>
      <c r="DD690" s="265">
        <v>0</v>
      </c>
      <c r="DE690" s="265">
        <v>0</v>
      </c>
      <c r="DF690" s="265">
        <v>0</v>
      </c>
      <c r="DG690" s="265">
        <v>44.576365673484531</v>
      </c>
      <c r="DH690" s="265">
        <v>0</v>
      </c>
      <c r="DI690" s="265">
        <v>-24.580745366247129</v>
      </c>
      <c r="DJ690" s="265"/>
      <c r="DK690" s="265">
        <v>0</v>
      </c>
      <c r="DL690" s="265">
        <v>0</v>
      </c>
      <c r="DM690" s="265">
        <v>0</v>
      </c>
      <c r="DN690" s="265">
        <v>0</v>
      </c>
      <c r="DO690" s="265">
        <v>-3.6707917468362439</v>
      </c>
      <c r="DP690" s="265">
        <v>-0.8085867880720059</v>
      </c>
      <c r="DQ690" s="265">
        <v>0</v>
      </c>
      <c r="DR690" s="265">
        <v>0</v>
      </c>
      <c r="DS690" s="265"/>
      <c r="DT690" s="265"/>
      <c r="DU690" s="265"/>
      <c r="DV690" s="265">
        <v>0</v>
      </c>
      <c r="DW690" s="265">
        <v>0</v>
      </c>
      <c r="DX690" s="265">
        <v>0</v>
      </c>
      <c r="DY690" s="265">
        <v>15.539420000000064</v>
      </c>
      <c r="DZ690" s="265">
        <v>601.29654000000028</v>
      </c>
      <c r="EA690" s="265">
        <v>0</v>
      </c>
      <c r="EB690" s="265">
        <v>0</v>
      </c>
      <c r="EC690" s="265">
        <v>0</v>
      </c>
      <c r="ED690" s="265">
        <v>0</v>
      </c>
      <c r="EE690" s="265">
        <v>0</v>
      </c>
      <c r="EF690" s="265">
        <v>0</v>
      </c>
      <c r="EG690" s="265">
        <v>0</v>
      </c>
      <c r="EH690" s="265">
        <v>0</v>
      </c>
      <c r="EI690" s="265">
        <v>0</v>
      </c>
      <c r="EJ690" s="265">
        <v>0</v>
      </c>
      <c r="EK690" s="265">
        <v>0</v>
      </c>
      <c r="EL690" s="265">
        <v>0</v>
      </c>
      <c r="EM690" s="265">
        <v>0</v>
      </c>
      <c r="EN690" s="265">
        <v>0</v>
      </c>
      <c r="EO690" s="265">
        <v>0</v>
      </c>
      <c r="EP690" s="265">
        <v>0</v>
      </c>
      <c r="EQ690" s="265">
        <v>0</v>
      </c>
      <c r="ER690" s="265">
        <v>0</v>
      </c>
      <c r="ES690" s="265">
        <v>0</v>
      </c>
      <c r="ET690" s="265">
        <v>0</v>
      </c>
      <c r="EU690" s="265">
        <v>0</v>
      </c>
      <c r="EV690" s="265">
        <v>238</v>
      </c>
      <c r="EW690" s="265">
        <v>0</v>
      </c>
      <c r="EX690" s="265">
        <v>0</v>
      </c>
      <c r="EY690" s="265">
        <v>0</v>
      </c>
      <c r="EZ690" s="265"/>
      <c r="FA690" s="265">
        <v>0</v>
      </c>
      <c r="FB690" s="265"/>
      <c r="FC690" s="265"/>
      <c r="FD690" s="265"/>
      <c r="FE690" s="265"/>
      <c r="FF690" s="265">
        <v>0</v>
      </c>
      <c r="FG690" s="265">
        <v>0</v>
      </c>
      <c r="FH690" s="265">
        <v>0</v>
      </c>
      <c r="FI690" s="265">
        <v>0</v>
      </c>
    </row>
    <row r="691" spans="1:165">
      <c r="A691" s="265">
        <v>696</v>
      </c>
      <c r="B691" s="265" t="s">
        <v>2255</v>
      </c>
      <c r="C691" s="265" t="s">
        <v>2243</v>
      </c>
      <c r="D691" s="265" t="s">
        <v>597</v>
      </c>
      <c r="E691" s="265" t="s">
        <v>974</v>
      </c>
      <c r="F691" s="265" t="s">
        <v>1322</v>
      </c>
      <c r="G691" s="265" t="s">
        <v>1322</v>
      </c>
      <c r="H691" s="265" t="s">
        <v>1322</v>
      </c>
      <c r="I691" s="265" t="s">
        <v>1322</v>
      </c>
      <c r="J691" s="265" t="s">
        <v>2236</v>
      </c>
      <c r="K691" s="1639">
        <v>44713</v>
      </c>
      <c r="L691" s="265">
        <v>2516</v>
      </c>
      <c r="M691" s="265">
        <v>2415.36</v>
      </c>
      <c r="N691" s="265">
        <v>0</v>
      </c>
      <c r="O691" s="265">
        <v>0</v>
      </c>
      <c r="P691" s="265">
        <v>0</v>
      </c>
      <c r="Q691" s="265">
        <v>0</v>
      </c>
      <c r="R691" s="265">
        <v>44.35</v>
      </c>
      <c r="S691" s="265"/>
      <c r="T691" s="265"/>
      <c r="U691" s="265">
        <v>111584.6</v>
      </c>
      <c r="V691" s="265"/>
      <c r="W691" s="265">
        <v>111584.6</v>
      </c>
      <c r="X691" s="265">
        <v>72888.52</v>
      </c>
      <c r="Y691" s="265">
        <v>0</v>
      </c>
      <c r="Z691" s="265">
        <v>0</v>
      </c>
      <c r="AA691" s="265">
        <v>0</v>
      </c>
      <c r="AB691" s="265">
        <v>0</v>
      </c>
      <c r="AC691" s="265">
        <v>0</v>
      </c>
      <c r="AD691" s="265">
        <v>33015.112239222617</v>
      </c>
      <c r="AE691" s="265">
        <v>72254.101254936933</v>
      </c>
      <c r="AF691" s="265"/>
      <c r="AG691" s="265"/>
      <c r="AH691" s="265"/>
      <c r="AI691" s="265">
        <v>0</v>
      </c>
      <c r="AJ691" s="265">
        <v>0</v>
      </c>
      <c r="AK691" s="265">
        <v>0</v>
      </c>
      <c r="AL691" s="265">
        <v>0</v>
      </c>
      <c r="AM691" s="265"/>
      <c r="AN691" s="265">
        <v>0</v>
      </c>
      <c r="AO691" s="265">
        <v>2495.1692602189928</v>
      </c>
      <c r="AP691" s="265">
        <v>3817.5051458149055</v>
      </c>
      <c r="AQ691" s="265">
        <v>0</v>
      </c>
      <c r="AR691" s="265">
        <v>0</v>
      </c>
      <c r="AS691" s="265"/>
      <c r="AT691" s="265"/>
      <c r="AU691" s="265">
        <v>0</v>
      </c>
      <c r="AV691" s="265">
        <v>0</v>
      </c>
      <c r="AW691" s="265">
        <v>0</v>
      </c>
      <c r="AX691" s="265"/>
      <c r="AY691" s="265"/>
      <c r="AZ691" s="265">
        <v>0</v>
      </c>
      <c r="BA691" s="265"/>
      <c r="BB691" s="265">
        <v>0</v>
      </c>
      <c r="BC691" s="265">
        <v>0</v>
      </c>
      <c r="BD691" s="265">
        <v>0</v>
      </c>
      <c r="BE691" s="265">
        <v>0</v>
      </c>
      <c r="BF691" s="265"/>
      <c r="BG691" s="265">
        <v>0</v>
      </c>
      <c r="BH691" s="265">
        <v>0</v>
      </c>
      <c r="BI691" s="265">
        <v>479.8</v>
      </c>
      <c r="BJ691" s="265">
        <v>2216.3200000000002</v>
      </c>
      <c r="BK691" s="265">
        <v>91.28</v>
      </c>
      <c r="BL691" s="265">
        <v>17</v>
      </c>
      <c r="BM691" s="265"/>
      <c r="BN691" s="265"/>
      <c r="BO691" s="265"/>
      <c r="BP691" s="265"/>
      <c r="BQ691" s="265"/>
      <c r="BR691" s="265">
        <v>2915.5407999999961</v>
      </c>
      <c r="BS691" s="265"/>
      <c r="BT691" s="265"/>
      <c r="BU691" s="265"/>
      <c r="BV691" s="265">
        <v>0</v>
      </c>
      <c r="BW691" s="265"/>
      <c r="BX691" s="265"/>
      <c r="BY691" s="265"/>
      <c r="BZ691" s="265"/>
      <c r="CA691" s="265"/>
      <c r="CB691" s="265"/>
      <c r="CC691" s="265"/>
      <c r="CD691" s="265"/>
      <c r="CE691" s="265"/>
      <c r="CF691" s="265"/>
      <c r="CG691" s="265"/>
      <c r="CH691" s="265"/>
      <c r="CI691" s="265">
        <v>69972.979200000002</v>
      </c>
      <c r="CJ691" s="265">
        <v>-37148.266799999998</v>
      </c>
      <c r="CK691" s="265"/>
      <c r="CL691" s="265"/>
      <c r="CM691" s="265"/>
      <c r="CN691" s="265"/>
      <c r="CO691" s="265">
        <v>-38696.080000000009</v>
      </c>
      <c r="CP691" s="265">
        <v>0</v>
      </c>
      <c r="CQ691" s="265">
        <v>30</v>
      </c>
      <c r="CR691" s="265">
        <v>1844.4578594049308</v>
      </c>
      <c r="CS691" s="265">
        <v>301.24685122973688</v>
      </c>
      <c r="CT691" s="265">
        <v>460.89514770197911</v>
      </c>
      <c r="CU691" s="265">
        <v>0</v>
      </c>
      <c r="CV691" s="265">
        <v>0</v>
      </c>
      <c r="CW691" s="265"/>
      <c r="CX691" s="265"/>
      <c r="CY691" s="265"/>
      <c r="CZ691" s="265">
        <v>1082.3158604732162</v>
      </c>
      <c r="DA691" s="265">
        <v>0</v>
      </c>
      <c r="DB691" s="265">
        <v>0</v>
      </c>
      <c r="DC691" s="265"/>
      <c r="DD691" s="265"/>
      <c r="DE691" s="265">
        <v>0</v>
      </c>
      <c r="DF691" s="265">
        <v>0</v>
      </c>
      <c r="DG691" s="265">
        <v>0</v>
      </c>
      <c r="DH691" s="265">
        <v>0</v>
      </c>
      <c r="DI691" s="265">
        <v>0</v>
      </c>
      <c r="DJ691" s="265"/>
      <c r="DK691" s="265">
        <v>0</v>
      </c>
      <c r="DL691" s="265">
        <v>0</v>
      </c>
      <c r="DM691" s="265"/>
      <c r="DN691" s="265">
        <v>0</v>
      </c>
      <c r="DO691" s="265">
        <v>0</v>
      </c>
      <c r="DP691" s="265">
        <v>0</v>
      </c>
      <c r="DQ691" s="265">
        <v>0</v>
      </c>
      <c r="DR691" s="265">
        <v>0</v>
      </c>
      <c r="DS691" s="265"/>
      <c r="DT691" s="265"/>
      <c r="DU691" s="265">
        <v>72254.101254936933</v>
      </c>
      <c r="DV691" s="265"/>
      <c r="DW691" s="265">
        <v>0</v>
      </c>
      <c r="DX691" s="265">
        <v>0</v>
      </c>
      <c r="DY691" s="265">
        <v>-38696.080000000002</v>
      </c>
      <c r="DZ691" s="265"/>
      <c r="EA691" s="265">
        <v>0</v>
      </c>
      <c r="EB691" s="265"/>
      <c r="EC691" s="265">
        <v>-40533.806528634537</v>
      </c>
      <c r="ED691" s="265"/>
      <c r="EE691" s="265">
        <v>0</v>
      </c>
      <c r="EF691" s="265">
        <v>0</v>
      </c>
      <c r="EG691" s="265"/>
      <c r="EH691" s="265">
        <v>0</v>
      </c>
      <c r="EI691" s="265">
        <v>0</v>
      </c>
      <c r="EJ691" s="265">
        <v>0</v>
      </c>
      <c r="EK691" s="265">
        <v>0</v>
      </c>
      <c r="EL691" s="265">
        <v>0</v>
      </c>
      <c r="EM691" s="265"/>
      <c r="EN691" s="265"/>
      <c r="EO691" s="265">
        <v>0</v>
      </c>
      <c r="EP691" s="265">
        <v>0</v>
      </c>
      <c r="EQ691" s="265"/>
      <c r="ER691" s="265">
        <v>0</v>
      </c>
      <c r="ES691" s="265"/>
      <c r="ET691" s="265">
        <v>0</v>
      </c>
      <c r="EU691" s="265"/>
      <c r="EV691" s="265">
        <v>238</v>
      </c>
      <c r="EW691" s="265"/>
      <c r="EX691" s="265"/>
      <c r="EY691" s="265"/>
      <c r="EZ691" s="265"/>
      <c r="FA691" s="265">
        <v>0</v>
      </c>
      <c r="FB691" s="265"/>
      <c r="FC691" s="265"/>
      <c r="FD691" s="265"/>
      <c r="FE691" s="265"/>
      <c r="FF691" s="265">
        <v>0</v>
      </c>
      <c r="FG691" s="265">
        <v>0</v>
      </c>
      <c r="FH691" s="265">
        <v>0</v>
      </c>
      <c r="FI691" s="265">
        <v>0</v>
      </c>
    </row>
    <row r="692" spans="1:165">
      <c r="A692" s="265">
        <v>697</v>
      </c>
      <c r="B692" s="265" t="s">
        <v>2255</v>
      </c>
      <c r="C692" s="265" t="s">
        <v>2243</v>
      </c>
      <c r="D692" s="265" t="s">
        <v>597</v>
      </c>
      <c r="E692" s="265" t="s">
        <v>974</v>
      </c>
      <c r="F692" s="265" t="s">
        <v>1322</v>
      </c>
      <c r="G692" s="265" t="s">
        <v>1322</v>
      </c>
      <c r="H692" s="265" t="s">
        <v>1322</v>
      </c>
      <c r="I692" s="265" t="s">
        <v>1322</v>
      </c>
      <c r="J692" s="265" t="s">
        <v>2236</v>
      </c>
      <c r="K692" s="1639">
        <v>44713</v>
      </c>
      <c r="L692" s="265">
        <v>0</v>
      </c>
      <c r="M692" s="265">
        <v>0</v>
      </c>
      <c r="N692" s="265">
        <v>0</v>
      </c>
      <c r="O692" s="265">
        <v>0</v>
      </c>
      <c r="P692" s="265">
        <v>0</v>
      </c>
      <c r="Q692" s="265">
        <v>0</v>
      </c>
      <c r="R692" s="265"/>
      <c r="S692" s="265"/>
      <c r="T692" s="265"/>
      <c r="U692" s="265"/>
      <c r="V692" s="265"/>
      <c r="W692" s="265"/>
      <c r="X692" s="265"/>
      <c r="Y692" s="265"/>
      <c r="Z692" s="265"/>
      <c r="AA692" s="265">
        <v>0</v>
      </c>
      <c r="AB692" s="265"/>
      <c r="AC692" s="265"/>
      <c r="AD692" s="265"/>
      <c r="AE692" s="265"/>
      <c r="AF692" s="265"/>
      <c r="AG692" s="265"/>
      <c r="AH692" s="265"/>
      <c r="AI692" s="265"/>
      <c r="AJ692" s="265"/>
      <c r="AK692" s="265"/>
      <c r="AL692" s="265"/>
      <c r="AM692" s="265"/>
      <c r="AN692" s="265"/>
      <c r="AO692" s="265"/>
      <c r="AP692" s="265"/>
      <c r="AQ692" s="265"/>
      <c r="AR692" s="265"/>
      <c r="AS692" s="265"/>
      <c r="AT692" s="265"/>
      <c r="AU692" s="265"/>
      <c r="AV692" s="265"/>
      <c r="AW692" s="265"/>
      <c r="AX692" s="265"/>
      <c r="AY692" s="265"/>
      <c r="AZ692" s="265">
        <v>0</v>
      </c>
      <c r="BA692" s="265"/>
      <c r="BB692" s="265"/>
      <c r="BC692" s="265"/>
      <c r="BD692" s="265"/>
      <c r="BE692" s="265"/>
      <c r="BF692" s="265"/>
      <c r="BG692" s="265"/>
      <c r="BH692" s="265"/>
      <c r="BI692" s="265">
        <v>83.8</v>
      </c>
      <c r="BJ692" s="265">
        <v>387.24</v>
      </c>
      <c r="BK692" s="265">
        <v>34.83</v>
      </c>
      <c r="BL692" s="265">
        <v>9</v>
      </c>
      <c r="BM692" s="265"/>
      <c r="BN692" s="265"/>
      <c r="BO692" s="265"/>
      <c r="BP692" s="265"/>
      <c r="BQ692" s="265"/>
      <c r="BR692" s="265"/>
      <c r="BS692" s="265"/>
      <c r="BT692" s="265"/>
      <c r="BU692" s="265"/>
      <c r="BV692" s="265"/>
      <c r="BW692" s="265"/>
      <c r="BX692" s="265"/>
      <c r="BY692" s="265"/>
      <c r="BZ692" s="265"/>
      <c r="CA692" s="265"/>
      <c r="CB692" s="265"/>
      <c r="CC692" s="265"/>
      <c r="CD692" s="265"/>
      <c r="CE692" s="265"/>
      <c r="CF692" s="265"/>
      <c r="CG692" s="265"/>
      <c r="CH692" s="265"/>
      <c r="CI692" s="265"/>
      <c r="CJ692" s="265">
        <v>-0.03</v>
      </c>
      <c r="CK692" s="265"/>
      <c r="CL692" s="265"/>
      <c r="CM692" s="265"/>
      <c r="CN692" s="265"/>
      <c r="CO692" s="265">
        <v>0</v>
      </c>
      <c r="CP692" s="265">
        <v>0</v>
      </c>
      <c r="CQ692" s="265">
        <v>30</v>
      </c>
      <c r="CR692" s="265"/>
      <c r="CS692" s="265"/>
      <c r="CT692" s="265"/>
      <c r="CU692" s="265"/>
      <c r="CV692" s="265"/>
      <c r="CW692" s="265"/>
      <c r="CX692" s="265"/>
      <c r="CY692" s="265"/>
      <c r="CZ692" s="265"/>
      <c r="DA692" s="265"/>
      <c r="DB692" s="265"/>
      <c r="DC692" s="265"/>
      <c r="DD692" s="265"/>
      <c r="DE692" s="265"/>
      <c r="DF692" s="265"/>
      <c r="DG692" s="265"/>
      <c r="DH692" s="265"/>
      <c r="DI692" s="265"/>
      <c r="DJ692" s="265"/>
      <c r="DK692" s="265">
        <v>0</v>
      </c>
      <c r="DL692" s="265"/>
      <c r="DM692" s="265"/>
      <c r="DN692" s="265"/>
      <c r="DO692" s="265"/>
      <c r="DP692" s="265"/>
      <c r="DQ692" s="265"/>
      <c r="DR692" s="265"/>
      <c r="DS692" s="265"/>
      <c r="DT692" s="265"/>
      <c r="DU692" s="265"/>
      <c r="DV692" s="265"/>
      <c r="DW692" s="265"/>
      <c r="DX692" s="265"/>
      <c r="DY692" s="265"/>
      <c r="DZ692" s="265"/>
      <c r="EA692" s="265"/>
      <c r="EB692" s="265"/>
      <c r="EC692" s="265"/>
      <c r="ED692" s="265"/>
      <c r="EE692" s="265"/>
      <c r="EF692" s="265"/>
      <c r="EG692" s="265"/>
      <c r="EH692" s="265"/>
      <c r="EI692" s="265"/>
      <c r="EJ692" s="265"/>
      <c r="EK692" s="265"/>
      <c r="EL692" s="265"/>
      <c r="EM692" s="265"/>
      <c r="EN692" s="265"/>
      <c r="EO692" s="265"/>
      <c r="EP692" s="265"/>
      <c r="EQ692" s="265"/>
      <c r="ER692" s="265"/>
      <c r="ES692" s="265"/>
      <c r="ET692" s="265"/>
      <c r="EU692" s="265"/>
      <c r="EV692" s="265">
        <v>238</v>
      </c>
      <c r="EW692" s="265"/>
      <c r="EX692" s="265"/>
      <c r="EY692" s="265"/>
      <c r="EZ692" s="265"/>
      <c r="FA692" s="265">
        <v>0</v>
      </c>
      <c r="FB692" s="265"/>
      <c r="FC692" s="265"/>
      <c r="FD692" s="265"/>
      <c r="FE692" s="265"/>
      <c r="FF692" s="265">
        <v>0</v>
      </c>
      <c r="FG692" s="265">
        <v>0</v>
      </c>
      <c r="FH692" s="265">
        <v>0</v>
      </c>
      <c r="FI692" s="265">
        <v>0</v>
      </c>
    </row>
    <row r="693" spans="1:165">
      <c r="A693" s="265">
        <v>698</v>
      </c>
      <c r="B693" s="265" t="s">
        <v>2255</v>
      </c>
      <c r="C693" s="265" t="s">
        <v>2235</v>
      </c>
      <c r="D693" s="265" t="s">
        <v>1958</v>
      </c>
      <c r="E693" s="265" t="s">
        <v>2246</v>
      </c>
      <c r="F693" s="265" t="s">
        <v>1322</v>
      </c>
      <c r="G693" s="265" t="s">
        <v>1322</v>
      </c>
      <c r="H693" s="265" t="s">
        <v>1322</v>
      </c>
      <c r="I693" s="265" t="s">
        <v>1322</v>
      </c>
      <c r="J693" s="265" t="s">
        <v>2236</v>
      </c>
      <c r="K693" s="1639">
        <v>44713</v>
      </c>
      <c r="L693" s="265">
        <v>0</v>
      </c>
      <c r="M693" s="265">
        <v>0</v>
      </c>
      <c r="N693" s="265">
        <v>262.964</v>
      </c>
      <c r="O693" s="265">
        <v>262.964</v>
      </c>
      <c r="P693" s="265">
        <v>262.964</v>
      </c>
      <c r="Q693" s="265">
        <v>262.964</v>
      </c>
      <c r="R693" s="265"/>
      <c r="S693" s="265">
        <v>581.32000000000005</v>
      </c>
      <c r="T693" s="265">
        <v>209.4</v>
      </c>
      <c r="U693" s="265"/>
      <c r="V693" s="265">
        <v>207930.89408</v>
      </c>
      <c r="W693" s="265">
        <v>207930.89408</v>
      </c>
      <c r="X693" s="265">
        <v>158848.66347999999</v>
      </c>
      <c r="Y693" s="265">
        <v>0</v>
      </c>
      <c r="Z693" s="265">
        <v>16182.254301696943</v>
      </c>
      <c r="AA693" s="265">
        <v>0</v>
      </c>
      <c r="AB693" s="265">
        <v>0</v>
      </c>
      <c r="AC693" s="265">
        <v>0</v>
      </c>
      <c r="AD693" s="265">
        <v>19509.600200086563</v>
      </c>
      <c r="AE693" s="265">
        <v>101347.72243578963</v>
      </c>
      <c r="AF693" s="265">
        <v>54341.706716191096</v>
      </c>
      <c r="AG693" s="265">
        <v>723.9306788427175</v>
      </c>
      <c r="AH693" s="265">
        <v>0</v>
      </c>
      <c r="AI693" s="265">
        <v>0</v>
      </c>
      <c r="AJ693" s="265">
        <v>0</v>
      </c>
      <c r="AK693" s="265">
        <v>0</v>
      </c>
      <c r="AL693" s="265">
        <v>2500.6828870085506</v>
      </c>
      <c r="AM693" s="265"/>
      <c r="AN693" s="265">
        <v>479.37398834762297</v>
      </c>
      <c r="AO693" s="265">
        <v>1498.7582625329305</v>
      </c>
      <c r="AP693" s="265">
        <v>2257.595895401394</v>
      </c>
      <c r="AQ693" s="265">
        <v>0</v>
      </c>
      <c r="AR693" s="265">
        <v>0</v>
      </c>
      <c r="AS693" s="265">
        <v>0</v>
      </c>
      <c r="AT693" s="265">
        <v>0</v>
      </c>
      <c r="AU693" s="265">
        <v>0</v>
      </c>
      <c r="AV693" s="265">
        <v>0</v>
      </c>
      <c r="AW693" s="265">
        <v>0</v>
      </c>
      <c r="AX693" s="265">
        <v>0</v>
      </c>
      <c r="AY693" s="265">
        <v>0</v>
      </c>
      <c r="AZ693" s="265">
        <v>0</v>
      </c>
      <c r="BA693" s="265"/>
      <c r="BB693" s="265">
        <v>0</v>
      </c>
      <c r="BC693" s="265">
        <v>0</v>
      </c>
      <c r="BD693" s="265">
        <v>0</v>
      </c>
      <c r="BE693" s="265">
        <v>0</v>
      </c>
      <c r="BF693" s="265">
        <v>0</v>
      </c>
      <c r="BG693" s="265">
        <v>9091.2659471019633</v>
      </c>
      <c r="BH693" s="265">
        <v>0</v>
      </c>
      <c r="BI693" s="265">
        <v>350.66</v>
      </c>
      <c r="BJ693" s="265">
        <v>1632.66</v>
      </c>
      <c r="BK693" s="265">
        <v>47473.9</v>
      </c>
      <c r="BL693" s="265">
        <v>480</v>
      </c>
      <c r="BM693" s="265"/>
      <c r="BN693" s="265"/>
      <c r="BO693" s="265"/>
      <c r="BP693" s="265"/>
      <c r="BQ693" s="265"/>
      <c r="BR693" s="265"/>
      <c r="BS693" s="265"/>
      <c r="BT693" s="265"/>
      <c r="BU693" s="265"/>
      <c r="BV693" s="265">
        <v>63432.972663293061</v>
      </c>
      <c r="BW693" s="265"/>
      <c r="BX693" s="265"/>
      <c r="BY693" s="265"/>
      <c r="BZ693" s="265"/>
      <c r="CA693" s="265"/>
      <c r="CB693" s="265"/>
      <c r="CC693" s="265"/>
      <c r="CD693" s="265"/>
      <c r="CE693" s="265"/>
      <c r="CF693" s="265"/>
      <c r="CG693" s="265"/>
      <c r="CH693" s="265"/>
      <c r="CI693" s="265">
        <v>158846.24719999998</v>
      </c>
      <c r="CJ693" s="265">
        <v>-49084.676880000043</v>
      </c>
      <c r="CK693" s="265"/>
      <c r="CL693" s="265"/>
      <c r="CM693" s="265"/>
      <c r="CN693" s="265"/>
      <c r="CO693" s="265">
        <v>-55085.698720000022</v>
      </c>
      <c r="CP693" s="265">
        <v>6003.4681199999959</v>
      </c>
      <c r="CQ693" s="265">
        <v>30</v>
      </c>
      <c r="CR693" s="265">
        <v>7768.9744171476195</v>
      </c>
      <c r="CS693" s="265">
        <v>180.94812826564612</v>
      </c>
      <c r="CT693" s="265">
        <v>272.56413650237073</v>
      </c>
      <c r="CU693" s="265">
        <v>0</v>
      </c>
      <c r="CV693" s="265">
        <v>0</v>
      </c>
      <c r="CW693" s="265">
        <v>0</v>
      </c>
      <c r="CX693" s="265">
        <v>0</v>
      </c>
      <c r="CY693" s="265">
        <v>0</v>
      </c>
      <c r="CZ693" s="265">
        <v>639.57225330760775</v>
      </c>
      <c r="DA693" s="265">
        <v>0</v>
      </c>
      <c r="DB693" s="265">
        <v>0</v>
      </c>
      <c r="DC693" s="265">
        <v>6001.6494942041318</v>
      </c>
      <c r="DD693" s="265">
        <v>0</v>
      </c>
      <c r="DE693" s="265">
        <v>0</v>
      </c>
      <c r="DF693" s="265">
        <v>0</v>
      </c>
      <c r="DG693" s="265">
        <v>1004.0647408823588</v>
      </c>
      <c r="DH693" s="265">
        <v>0</v>
      </c>
      <c r="DI693" s="265">
        <v>-282.09104473365005</v>
      </c>
      <c r="DJ693" s="265"/>
      <c r="DK693" s="265">
        <v>0</v>
      </c>
      <c r="DL693" s="265">
        <v>0</v>
      </c>
      <c r="DM693" s="265">
        <v>0</v>
      </c>
      <c r="DN693" s="265">
        <v>0</v>
      </c>
      <c r="DO693" s="265">
        <v>-36.649938526655205</v>
      </c>
      <c r="DP693" s="265">
        <v>-11.083352754190116</v>
      </c>
      <c r="DQ693" s="265">
        <v>0</v>
      </c>
      <c r="DR693" s="265">
        <v>0</v>
      </c>
      <c r="DS693" s="265"/>
      <c r="DT693" s="265"/>
      <c r="DU693" s="265"/>
      <c r="DV693" s="265">
        <v>101347.72243578963</v>
      </c>
      <c r="DW693" s="265">
        <v>0</v>
      </c>
      <c r="DX693" s="265">
        <v>0</v>
      </c>
      <c r="DY693" s="265">
        <v>-55085.698720000015</v>
      </c>
      <c r="DZ693" s="265">
        <v>6003.4681199999977</v>
      </c>
      <c r="EA693" s="265">
        <v>0</v>
      </c>
      <c r="EB693" s="265">
        <v>0</v>
      </c>
      <c r="EC693" s="265">
        <v>-56855.028323383369</v>
      </c>
      <c r="ED693" s="265">
        <v>0</v>
      </c>
      <c r="EE693" s="265">
        <v>0</v>
      </c>
      <c r="EF693" s="265">
        <v>0</v>
      </c>
      <c r="EG693" s="265">
        <v>0</v>
      </c>
      <c r="EH693" s="265">
        <v>0</v>
      </c>
      <c r="EI693" s="265">
        <v>0</v>
      </c>
      <c r="EJ693" s="265">
        <v>0</v>
      </c>
      <c r="EK693" s="265">
        <v>0</v>
      </c>
      <c r="EL693" s="265">
        <v>0</v>
      </c>
      <c r="EM693" s="265">
        <v>0</v>
      </c>
      <c r="EN693" s="265">
        <v>0</v>
      </c>
      <c r="EO693" s="265">
        <v>0</v>
      </c>
      <c r="EP693" s="265">
        <v>0</v>
      </c>
      <c r="EQ693" s="265">
        <v>0</v>
      </c>
      <c r="ER693" s="265">
        <v>0</v>
      </c>
      <c r="ES693" s="265">
        <v>0</v>
      </c>
      <c r="ET693" s="265">
        <v>0</v>
      </c>
      <c r="EU693" s="265">
        <v>0</v>
      </c>
      <c r="EV693" s="265">
        <v>238</v>
      </c>
      <c r="EW693" s="265">
        <v>0</v>
      </c>
      <c r="EX693" s="265">
        <v>0</v>
      </c>
      <c r="EY693" s="265">
        <v>0</v>
      </c>
      <c r="EZ693" s="265"/>
      <c r="FA693" s="265">
        <v>0</v>
      </c>
      <c r="FB693" s="265"/>
      <c r="FC693" s="265"/>
      <c r="FD693" s="265"/>
      <c r="FE693" s="265"/>
      <c r="FF693" s="265">
        <v>0</v>
      </c>
      <c r="FG693" s="265">
        <v>0</v>
      </c>
      <c r="FH693" s="265">
        <v>0</v>
      </c>
      <c r="FI693" s="265">
        <v>0</v>
      </c>
    </row>
    <row r="694" spans="1:165">
      <c r="A694" s="265">
        <v>699</v>
      </c>
      <c r="B694" s="265" t="s">
        <v>2255</v>
      </c>
      <c r="C694" s="265" t="s">
        <v>2235</v>
      </c>
      <c r="D694" s="265" t="s">
        <v>1958</v>
      </c>
      <c r="E694" s="265" t="s">
        <v>2246</v>
      </c>
      <c r="F694" s="265" t="s">
        <v>1322</v>
      </c>
      <c r="G694" s="265" t="s">
        <v>1322</v>
      </c>
      <c r="H694" s="265" t="s">
        <v>1322</v>
      </c>
      <c r="I694" s="265" t="s">
        <v>1322</v>
      </c>
      <c r="J694" s="265" t="s">
        <v>2236</v>
      </c>
      <c r="K694" s="1639">
        <v>44713</v>
      </c>
      <c r="L694" s="265">
        <v>0</v>
      </c>
      <c r="M694" s="265">
        <v>0</v>
      </c>
      <c r="N694" s="265">
        <v>4.8559999999999999</v>
      </c>
      <c r="O694" s="265">
        <v>4.8559999999999999</v>
      </c>
      <c r="P694" s="265">
        <v>4.8559999999999999</v>
      </c>
      <c r="Q694" s="265">
        <v>4.8559999999999999</v>
      </c>
      <c r="R694" s="265"/>
      <c r="S694" s="265">
        <v>581.32000000000005</v>
      </c>
      <c r="T694" s="265">
        <v>209.4</v>
      </c>
      <c r="U694" s="265"/>
      <c r="V694" s="265">
        <v>3839.73632</v>
      </c>
      <c r="W694" s="265">
        <v>3839.73632</v>
      </c>
      <c r="X694" s="265">
        <v>2933.3639199999998</v>
      </c>
      <c r="Y694" s="265">
        <v>0</v>
      </c>
      <c r="Z694" s="265">
        <v>298.82807870674446</v>
      </c>
      <c r="AA694" s="265">
        <v>0</v>
      </c>
      <c r="AB694" s="265">
        <v>0</v>
      </c>
      <c r="AC694" s="265">
        <v>0</v>
      </c>
      <c r="AD694" s="265">
        <v>360.27219912847517</v>
      </c>
      <c r="AE694" s="265">
        <v>1871.5281945368736</v>
      </c>
      <c r="AF694" s="265">
        <v>1003.4960215612174</v>
      </c>
      <c r="AG694" s="265">
        <v>13.368397866096636</v>
      </c>
      <c r="AH694" s="265">
        <v>0</v>
      </c>
      <c r="AI694" s="265">
        <v>0</v>
      </c>
      <c r="AJ694" s="265">
        <v>0</v>
      </c>
      <c r="AK694" s="265">
        <v>0</v>
      </c>
      <c r="AL694" s="265">
        <v>46.178625588725154</v>
      </c>
      <c r="AM694" s="265"/>
      <c r="AN694" s="265">
        <v>8.8523147176649921</v>
      </c>
      <c r="AO694" s="265">
        <v>27.67667864369233</v>
      </c>
      <c r="AP694" s="265">
        <v>41.689682496726434</v>
      </c>
      <c r="AQ694" s="265">
        <v>0</v>
      </c>
      <c r="AR694" s="265">
        <v>0</v>
      </c>
      <c r="AS694" s="265">
        <v>0</v>
      </c>
      <c r="AT694" s="265">
        <v>0</v>
      </c>
      <c r="AU694" s="265">
        <v>0</v>
      </c>
      <c r="AV694" s="265">
        <v>0</v>
      </c>
      <c r="AW694" s="265">
        <v>0</v>
      </c>
      <c r="AX694" s="265">
        <v>0</v>
      </c>
      <c r="AY694" s="265">
        <v>0</v>
      </c>
      <c r="AZ694" s="265">
        <v>0</v>
      </c>
      <c r="BA694" s="265"/>
      <c r="BB694" s="265">
        <v>0</v>
      </c>
      <c r="BC694" s="265">
        <v>0</v>
      </c>
      <c r="BD694" s="265">
        <v>0</v>
      </c>
      <c r="BE694" s="265">
        <v>0</v>
      </c>
      <c r="BF694" s="265">
        <v>0</v>
      </c>
      <c r="BG694" s="265">
        <v>167.8830084693233</v>
      </c>
      <c r="BH694" s="265">
        <v>0</v>
      </c>
      <c r="BI694" s="265">
        <v>6.3</v>
      </c>
      <c r="BJ694" s="265">
        <v>29.23</v>
      </c>
      <c r="BK694" s="265">
        <v>1041.8599999999999</v>
      </c>
      <c r="BL694" s="265">
        <v>6</v>
      </c>
      <c r="BM694" s="265"/>
      <c r="BN694" s="265"/>
      <c r="BO694" s="265"/>
      <c r="BP694" s="265"/>
      <c r="BQ694" s="265"/>
      <c r="BR694" s="265"/>
      <c r="BS694" s="265"/>
      <c r="BT694" s="265"/>
      <c r="BU694" s="265"/>
      <c r="BV694" s="265">
        <v>1171.3790300305407</v>
      </c>
      <c r="BW694" s="265"/>
      <c r="BX694" s="265"/>
      <c r="BY694" s="265"/>
      <c r="BZ694" s="265"/>
      <c r="CA694" s="265"/>
      <c r="CB694" s="265"/>
      <c r="CC694" s="265"/>
      <c r="CD694" s="265"/>
      <c r="CE694" s="265"/>
      <c r="CF694" s="265"/>
      <c r="CG694" s="265"/>
      <c r="CH694" s="265"/>
      <c r="CI694" s="265">
        <v>2935.7802000000001</v>
      </c>
      <c r="CJ694" s="265">
        <v>-903.98612000000048</v>
      </c>
      <c r="CK694" s="265"/>
      <c r="CL694" s="265"/>
      <c r="CM694" s="265"/>
      <c r="CN694" s="265"/>
      <c r="CO694" s="265">
        <v>-1017.2348800000003</v>
      </c>
      <c r="CP694" s="265">
        <v>110.86247999999992</v>
      </c>
      <c r="CQ694" s="265">
        <v>30</v>
      </c>
      <c r="CR694" s="265">
        <v>143.46503616338578</v>
      </c>
      <c r="CS694" s="265">
        <v>3.3414616101746901</v>
      </c>
      <c r="CT694" s="265">
        <v>5.0332800187687781</v>
      </c>
      <c r="CU694" s="265">
        <v>0</v>
      </c>
      <c r="CV694" s="265">
        <v>0</v>
      </c>
      <c r="CW694" s="265">
        <v>0</v>
      </c>
      <c r="CX694" s="265">
        <v>0</v>
      </c>
      <c r="CY694" s="265">
        <v>0</v>
      </c>
      <c r="CZ694" s="265">
        <v>11.810600926597374</v>
      </c>
      <c r="DA694" s="265">
        <v>0</v>
      </c>
      <c r="DB694" s="265">
        <v>0</v>
      </c>
      <c r="DC694" s="265">
        <v>110.82889651760399</v>
      </c>
      <c r="DD694" s="265">
        <v>0</v>
      </c>
      <c r="DE694" s="265">
        <v>0</v>
      </c>
      <c r="DF694" s="265">
        <v>0</v>
      </c>
      <c r="DG694" s="265">
        <v>18.541467203589605</v>
      </c>
      <c r="DH694" s="265">
        <v>0</v>
      </c>
      <c r="DI694" s="265">
        <v>-5.2092077745493839</v>
      </c>
      <c r="DJ694" s="265"/>
      <c r="DK694" s="265">
        <v>0</v>
      </c>
      <c r="DL694" s="265">
        <v>0</v>
      </c>
      <c r="DM694" s="265">
        <v>0</v>
      </c>
      <c r="DN694" s="265">
        <v>0</v>
      </c>
      <c r="DO694" s="265">
        <v>-0.67679264646658055</v>
      </c>
      <c r="DP694" s="265">
        <v>-0.2046696923318283</v>
      </c>
      <c r="DQ694" s="265">
        <v>0</v>
      </c>
      <c r="DR694" s="265">
        <v>0</v>
      </c>
      <c r="DS694" s="265"/>
      <c r="DT694" s="265"/>
      <c r="DU694" s="265"/>
      <c r="DV694" s="265">
        <v>1871.5281945368736</v>
      </c>
      <c r="DW694" s="265">
        <v>0</v>
      </c>
      <c r="DX694" s="265">
        <v>0</v>
      </c>
      <c r="DY694" s="265">
        <v>-1017.2348800000002</v>
      </c>
      <c r="DZ694" s="265">
        <v>110.86247999999989</v>
      </c>
      <c r="EA694" s="265">
        <v>0</v>
      </c>
      <c r="EB694" s="265">
        <v>0</v>
      </c>
      <c r="EC694" s="265">
        <v>-1049.9080388887819</v>
      </c>
      <c r="ED694" s="265">
        <v>0</v>
      </c>
      <c r="EE694" s="265">
        <v>0</v>
      </c>
      <c r="EF694" s="265">
        <v>0</v>
      </c>
      <c r="EG694" s="265">
        <v>0</v>
      </c>
      <c r="EH694" s="265">
        <v>0</v>
      </c>
      <c r="EI694" s="265">
        <v>0</v>
      </c>
      <c r="EJ694" s="265">
        <v>0</v>
      </c>
      <c r="EK694" s="265">
        <v>0</v>
      </c>
      <c r="EL694" s="265">
        <v>0</v>
      </c>
      <c r="EM694" s="265">
        <v>0</v>
      </c>
      <c r="EN694" s="265">
        <v>0</v>
      </c>
      <c r="EO694" s="265">
        <v>0</v>
      </c>
      <c r="EP694" s="265">
        <v>0</v>
      </c>
      <c r="EQ694" s="265">
        <v>0</v>
      </c>
      <c r="ER694" s="265">
        <v>0</v>
      </c>
      <c r="ES694" s="265">
        <v>0</v>
      </c>
      <c r="ET694" s="265">
        <v>0</v>
      </c>
      <c r="EU694" s="265">
        <v>0</v>
      </c>
      <c r="EV694" s="265">
        <v>238</v>
      </c>
      <c r="EW694" s="265">
        <v>0</v>
      </c>
      <c r="EX694" s="265">
        <v>0</v>
      </c>
      <c r="EY694" s="265">
        <v>0</v>
      </c>
      <c r="EZ694" s="265"/>
      <c r="FA694" s="265">
        <v>0</v>
      </c>
      <c r="FB694" s="265"/>
      <c r="FC694" s="265"/>
      <c r="FD694" s="265"/>
      <c r="FE694" s="265"/>
      <c r="FF694" s="265">
        <v>0</v>
      </c>
      <c r="FG694" s="265">
        <v>0</v>
      </c>
      <c r="FH694" s="265">
        <v>0</v>
      </c>
      <c r="FI694" s="265">
        <v>0</v>
      </c>
    </row>
    <row r="695" spans="1:165">
      <c r="A695" s="265">
        <v>700</v>
      </c>
      <c r="B695" s="265" t="s">
        <v>2255</v>
      </c>
      <c r="C695" s="265" t="s">
        <v>2243</v>
      </c>
      <c r="D695" s="265" t="s">
        <v>597</v>
      </c>
      <c r="E695" s="265" t="s">
        <v>2246</v>
      </c>
      <c r="F695" s="265" t="s">
        <v>1322</v>
      </c>
      <c r="G695" s="265" t="s">
        <v>1322</v>
      </c>
      <c r="H695" s="265" t="s">
        <v>1322</v>
      </c>
      <c r="I695" s="265" t="s">
        <v>973</v>
      </c>
      <c r="J695" s="265" t="s">
        <v>2236</v>
      </c>
      <c r="K695" s="1639">
        <v>44713</v>
      </c>
      <c r="L695" s="265">
        <v>0</v>
      </c>
      <c r="M695" s="265">
        <v>0</v>
      </c>
      <c r="N695" s="265">
        <v>0.23799999999999999</v>
      </c>
      <c r="O695" s="265">
        <v>0.23799999999999999</v>
      </c>
      <c r="P695" s="265">
        <v>0.23799999999999999</v>
      </c>
      <c r="Q695" s="265">
        <v>0.23799999999999999</v>
      </c>
      <c r="R695" s="265"/>
      <c r="S695" s="265">
        <v>1614.19</v>
      </c>
      <c r="T695" s="265">
        <v>209.4</v>
      </c>
      <c r="U695" s="265"/>
      <c r="V695" s="265">
        <v>434.01441999999997</v>
      </c>
      <c r="W695" s="265">
        <v>434.01441999999997</v>
      </c>
      <c r="X695" s="265">
        <v>288.49169999999998</v>
      </c>
      <c r="Y695" s="265">
        <v>0</v>
      </c>
      <c r="Z695" s="265">
        <v>12.742039122120788</v>
      </c>
      <c r="AA695" s="265">
        <v>0</v>
      </c>
      <c r="AB695" s="265">
        <v>0</v>
      </c>
      <c r="AC695" s="265">
        <v>0</v>
      </c>
      <c r="AD695" s="265">
        <v>74.117481701871284</v>
      </c>
      <c r="AE695" s="265">
        <v>276.75511464188168</v>
      </c>
      <c r="AF695" s="265">
        <v>49.182877498263949</v>
      </c>
      <c r="AG695" s="265">
        <v>0.65520566147672976</v>
      </c>
      <c r="AH695" s="265">
        <v>0</v>
      </c>
      <c r="AI695" s="265">
        <v>0</v>
      </c>
      <c r="AJ695" s="265">
        <v>0</v>
      </c>
      <c r="AK695" s="265">
        <v>0</v>
      </c>
      <c r="AL695" s="265">
        <v>2.2632851915396595</v>
      </c>
      <c r="AM695" s="265"/>
      <c r="AN695" s="265">
        <v>0.31602694542493254</v>
      </c>
      <c r="AO695" s="265">
        <v>5.7583922387176649</v>
      </c>
      <c r="AP695" s="265">
        <v>8.5772115125719193</v>
      </c>
      <c r="AQ695" s="265">
        <v>0</v>
      </c>
      <c r="AR695" s="265">
        <v>0</v>
      </c>
      <c r="AS695" s="265">
        <v>0</v>
      </c>
      <c r="AT695" s="265">
        <v>0</v>
      </c>
      <c r="AU695" s="265">
        <v>0</v>
      </c>
      <c r="AV695" s="265">
        <v>0</v>
      </c>
      <c r="AW695" s="265">
        <v>0</v>
      </c>
      <c r="AX695" s="265">
        <v>0</v>
      </c>
      <c r="AY695" s="265">
        <v>0</v>
      </c>
      <c r="AZ695" s="265">
        <v>0</v>
      </c>
      <c r="BA695" s="265"/>
      <c r="BB695" s="265">
        <v>0</v>
      </c>
      <c r="BC695" s="265">
        <v>0</v>
      </c>
      <c r="BD695" s="265">
        <v>0</v>
      </c>
      <c r="BE695" s="265">
        <v>0</v>
      </c>
      <c r="BF695" s="265">
        <v>0</v>
      </c>
      <c r="BG695" s="265">
        <v>3.6472158539705029</v>
      </c>
      <c r="BH695" s="265">
        <v>0</v>
      </c>
      <c r="BI695" s="265">
        <v>0</v>
      </c>
      <c r="BJ695" s="265">
        <v>0</v>
      </c>
      <c r="BK695" s="265">
        <v>0</v>
      </c>
      <c r="BL695" s="265">
        <v>0</v>
      </c>
      <c r="BM695" s="265"/>
      <c r="BN695" s="265"/>
      <c r="BO695" s="265"/>
      <c r="BP695" s="265"/>
      <c r="BQ695" s="265"/>
      <c r="BR695" s="265"/>
      <c r="BS695" s="265"/>
      <c r="BT695" s="265"/>
      <c r="BU695" s="265"/>
      <c r="BV695" s="265">
        <v>52.830093352234449</v>
      </c>
      <c r="BW695" s="265"/>
      <c r="BX695" s="265"/>
      <c r="BY695" s="265"/>
      <c r="BZ695" s="265"/>
      <c r="CA695" s="265"/>
      <c r="CB695" s="265"/>
      <c r="CC695" s="265"/>
      <c r="CD695" s="265"/>
      <c r="CE695" s="265"/>
      <c r="CF695" s="265"/>
      <c r="CG695" s="265"/>
      <c r="CH695" s="265"/>
      <c r="CI695" s="265">
        <v>290.916</v>
      </c>
      <c r="CJ695" s="265">
        <v>-143.12841999999995</v>
      </c>
      <c r="CK695" s="265"/>
      <c r="CL695" s="265"/>
      <c r="CM695" s="265"/>
      <c r="CN695" s="265"/>
      <c r="CO695" s="265">
        <v>-150.95626000000001</v>
      </c>
      <c r="CP695" s="265">
        <v>5.4335399999999963</v>
      </c>
      <c r="CQ695" s="265">
        <v>30</v>
      </c>
      <c r="CR695" s="265">
        <v>9.7326228514243951</v>
      </c>
      <c r="CS695" s="265">
        <v>0.69522238740116027</v>
      </c>
      <c r="CT695" s="265">
        <v>1.0355441619487582</v>
      </c>
      <c r="CU695" s="265">
        <v>0</v>
      </c>
      <c r="CV695" s="265">
        <v>0</v>
      </c>
      <c r="CW695" s="265">
        <v>0</v>
      </c>
      <c r="CX695" s="265">
        <v>0</v>
      </c>
      <c r="CY695" s="265">
        <v>0</v>
      </c>
      <c r="CZ695" s="265">
        <v>2.4297517271185427</v>
      </c>
      <c r="DA695" s="265">
        <v>0</v>
      </c>
      <c r="DB695" s="265">
        <v>0</v>
      </c>
      <c r="DC695" s="265">
        <v>5.4318940220736778</v>
      </c>
      <c r="DD695" s="265">
        <v>0</v>
      </c>
      <c r="DE695" s="265">
        <v>0</v>
      </c>
      <c r="DF695" s="265">
        <v>0</v>
      </c>
      <c r="DG695" s="265">
        <v>0.40280868062454678</v>
      </c>
      <c r="DH695" s="265">
        <v>0</v>
      </c>
      <c r="DI695" s="265">
        <v>-0.22212079114461325</v>
      </c>
      <c r="DJ695" s="265"/>
      <c r="DK695" s="265">
        <v>0</v>
      </c>
      <c r="DL695" s="265">
        <v>0</v>
      </c>
      <c r="DM695" s="265">
        <v>0</v>
      </c>
      <c r="DN695" s="265">
        <v>0</v>
      </c>
      <c r="DO695" s="265">
        <v>-3.3170644534399774E-2</v>
      </c>
      <c r="DP695" s="265">
        <v>-7.3066920632218757E-3</v>
      </c>
      <c r="DQ695" s="265">
        <v>0</v>
      </c>
      <c r="DR695" s="265">
        <v>0</v>
      </c>
      <c r="DS695" s="265"/>
      <c r="DT695" s="265"/>
      <c r="DU695" s="265"/>
      <c r="DV695" s="265">
        <v>276.75511464188168</v>
      </c>
      <c r="DW695" s="265">
        <v>0</v>
      </c>
      <c r="DX695" s="265">
        <v>0</v>
      </c>
      <c r="DY695" s="265">
        <v>-150.95625999999999</v>
      </c>
      <c r="DZ695" s="265">
        <v>5.4335400000000007</v>
      </c>
      <c r="EA695" s="265">
        <v>0</v>
      </c>
      <c r="EB695" s="265">
        <v>0</v>
      </c>
      <c r="EC695" s="265">
        <v>-155.25676851371327</v>
      </c>
      <c r="ED695" s="265">
        <v>0</v>
      </c>
      <c r="EE695" s="265">
        <v>0</v>
      </c>
      <c r="EF695" s="265">
        <v>0</v>
      </c>
      <c r="EG695" s="265">
        <v>0</v>
      </c>
      <c r="EH695" s="265">
        <v>0</v>
      </c>
      <c r="EI695" s="265">
        <v>0</v>
      </c>
      <c r="EJ695" s="265">
        <v>0</v>
      </c>
      <c r="EK695" s="265">
        <v>0</v>
      </c>
      <c r="EL695" s="265">
        <v>0</v>
      </c>
      <c r="EM695" s="265">
        <v>0</v>
      </c>
      <c r="EN695" s="265">
        <v>0</v>
      </c>
      <c r="EO695" s="265">
        <v>0</v>
      </c>
      <c r="EP695" s="265">
        <v>0</v>
      </c>
      <c r="EQ695" s="265">
        <v>0</v>
      </c>
      <c r="ER695" s="265">
        <v>0</v>
      </c>
      <c r="ES695" s="265">
        <v>0</v>
      </c>
      <c r="ET695" s="265">
        <v>0</v>
      </c>
      <c r="EU695" s="265">
        <v>0</v>
      </c>
      <c r="EV695" s="265">
        <v>238</v>
      </c>
      <c r="EW695" s="265">
        <v>0</v>
      </c>
      <c r="EX695" s="265">
        <v>0</v>
      </c>
      <c r="EY695" s="265">
        <v>0</v>
      </c>
      <c r="EZ695" s="265"/>
      <c r="FA695" s="265">
        <v>0</v>
      </c>
      <c r="FB695" s="265"/>
      <c r="FC695" s="265"/>
      <c r="FD695" s="265"/>
      <c r="FE695" s="265"/>
      <c r="FF695" s="265">
        <v>0</v>
      </c>
      <c r="FG695" s="265">
        <v>0</v>
      </c>
      <c r="FH695" s="265">
        <v>0</v>
      </c>
      <c r="FI695" s="265">
        <v>0</v>
      </c>
    </row>
    <row r="696" spans="1:165">
      <c r="A696" s="265">
        <v>701</v>
      </c>
      <c r="B696" s="265" t="s">
        <v>2255</v>
      </c>
      <c r="C696" s="265" t="s">
        <v>2243</v>
      </c>
      <c r="D696" s="265" t="s">
        <v>597</v>
      </c>
      <c r="E696" s="265" t="s">
        <v>2246</v>
      </c>
      <c r="F696" s="265" t="s">
        <v>1322</v>
      </c>
      <c r="G696" s="265" t="s">
        <v>1322</v>
      </c>
      <c r="H696" s="265" t="s">
        <v>1322</v>
      </c>
      <c r="I696" s="265" t="s">
        <v>2244</v>
      </c>
      <c r="J696" s="265" t="s">
        <v>2236</v>
      </c>
      <c r="K696" s="1639">
        <v>44713</v>
      </c>
      <c r="L696" s="265">
        <v>0</v>
      </c>
      <c r="M696" s="265">
        <v>0</v>
      </c>
      <c r="N696" s="265">
        <v>4.9580000000000002</v>
      </c>
      <c r="O696" s="265">
        <v>4.9580000000000002</v>
      </c>
      <c r="P696" s="265">
        <v>4.9580000000000002</v>
      </c>
      <c r="Q696" s="265">
        <v>4.9580000000000002</v>
      </c>
      <c r="R696" s="265"/>
      <c r="S696" s="265">
        <v>79.7</v>
      </c>
      <c r="T696" s="265">
        <v>209.4</v>
      </c>
      <c r="U696" s="265"/>
      <c r="V696" s="265">
        <v>1433.3578000000002</v>
      </c>
      <c r="W696" s="265">
        <v>1433.3578000000002</v>
      </c>
      <c r="X696" s="265">
        <v>1549.47416</v>
      </c>
      <c r="Y696" s="265">
        <v>0</v>
      </c>
      <c r="Z696" s="265">
        <v>265.44130238434821</v>
      </c>
      <c r="AA696" s="265">
        <v>0</v>
      </c>
      <c r="AB696" s="265">
        <v>0</v>
      </c>
      <c r="AC696" s="265">
        <v>0</v>
      </c>
      <c r="AD696" s="265">
        <v>0</v>
      </c>
      <c r="AE696" s="265">
        <v>0</v>
      </c>
      <c r="AF696" s="265">
        <v>1024.574397631902</v>
      </c>
      <c r="AG696" s="265">
        <v>13.649200292443808</v>
      </c>
      <c r="AH696" s="265">
        <v>0</v>
      </c>
      <c r="AI696" s="265">
        <v>0</v>
      </c>
      <c r="AJ696" s="265">
        <v>0</v>
      </c>
      <c r="AK696" s="265">
        <v>0</v>
      </c>
      <c r="AL696" s="265">
        <v>47.148604956527869</v>
      </c>
      <c r="AM696" s="265"/>
      <c r="AN696" s="265">
        <v>6.5834520815832587</v>
      </c>
      <c r="AO696" s="265">
        <v>0</v>
      </c>
      <c r="AP696" s="265">
        <v>0</v>
      </c>
      <c r="AQ696" s="265">
        <v>0</v>
      </c>
      <c r="AR696" s="265">
        <v>0</v>
      </c>
      <c r="AS696" s="265">
        <v>0</v>
      </c>
      <c r="AT696" s="265">
        <v>0</v>
      </c>
      <c r="AU696" s="265">
        <v>0</v>
      </c>
      <c r="AV696" s="265">
        <v>0</v>
      </c>
      <c r="AW696" s="265">
        <v>0</v>
      </c>
      <c r="AX696" s="265">
        <v>0</v>
      </c>
      <c r="AY696" s="265">
        <v>0</v>
      </c>
      <c r="AZ696" s="265">
        <v>0</v>
      </c>
      <c r="BA696" s="265"/>
      <c r="BB696" s="265">
        <v>0</v>
      </c>
      <c r="BC696" s="265">
        <v>0</v>
      </c>
      <c r="BD696" s="265">
        <v>0</v>
      </c>
      <c r="BE696" s="265">
        <v>0</v>
      </c>
      <c r="BF696" s="265">
        <v>0</v>
      </c>
      <c r="BG696" s="265">
        <v>75.978555478931739</v>
      </c>
      <c r="BH696" s="265">
        <v>0</v>
      </c>
      <c r="BI696" s="265">
        <v>0</v>
      </c>
      <c r="BJ696" s="265">
        <v>0</v>
      </c>
      <c r="BK696" s="265">
        <v>0</v>
      </c>
      <c r="BL696" s="265">
        <v>0</v>
      </c>
      <c r="BM696" s="265"/>
      <c r="BN696" s="265"/>
      <c r="BO696" s="265"/>
      <c r="BP696" s="265"/>
      <c r="BQ696" s="265"/>
      <c r="BR696" s="265"/>
      <c r="BS696" s="265"/>
      <c r="BT696" s="265"/>
      <c r="BU696" s="265"/>
      <c r="BV696" s="265">
        <v>1100.5529531108336</v>
      </c>
      <c r="BW696" s="265"/>
      <c r="BX696" s="265"/>
      <c r="BY696" s="265"/>
      <c r="BZ696" s="265"/>
      <c r="CA696" s="265"/>
      <c r="CB696" s="265"/>
      <c r="CC696" s="265"/>
      <c r="CD696" s="265"/>
      <c r="CE696" s="265"/>
      <c r="CF696" s="265"/>
      <c r="CG696" s="265"/>
      <c r="CH696" s="265"/>
      <c r="CI696" s="265">
        <v>1550.0991999999999</v>
      </c>
      <c r="CJ696" s="265">
        <v>116.71139999999968</v>
      </c>
      <c r="CK696" s="265"/>
      <c r="CL696" s="265"/>
      <c r="CM696" s="265"/>
      <c r="CN696" s="265"/>
      <c r="CO696" s="265">
        <v>2.9252200000000168</v>
      </c>
      <c r="CP696" s="265">
        <v>113.19113999999992</v>
      </c>
      <c r="CQ696" s="265">
        <v>30</v>
      </c>
      <c r="CR696" s="265">
        <v>116.07770791021767</v>
      </c>
      <c r="CS696" s="265">
        <v>0</v>
      </c>
      <c r="CT696" s="265">
        <v>0</v>
      </c>
      <c r="CU696" s="265">
        <v>0</v>
      </c>
      <c r="CV696" s="265">
        <v>0</v>
      </c>
      <c r="CW696" s="265">
        <v>0</v>
      </c>
      <c r="CX696" s="265">
        <v>0</v>
      </c>
      <c r="CY696" s="265">
        <v>0</v>
      </c>
      <c r="CZ696" s="265">
        <v>0</v>
      </c>
      <c r="DA696" s="265">
        <v>0</v>
      </c>
      <c r="DB696" s="265">
        <v>0</v>
      </c>
      <c r="DC696" s="265">
        <v>113.15685109849278</v>
      </c>
      <c r="DD696" s="265">
        <v>0</v>
      </c>
      <c r="DE696" s="265">
        <v>0</v>
      </c>
      <c r="DF696" s="265">
        <v>0</v>
      </c>
      <c r="DG696" s="265">
        <v>8.391283355195398</v>
      </c>
      <c r="DH696" s="265">
        <v>0</v>
      </c>
      <c r="DI696" s="265">
        <v>-4.6272053886344224</v>
      </c>
      <c r="DJ696" s="265"/>
      <c r="DK696" s="265">
        <v>0</v>
      </c>
      <c r="DL696" s="265">
        <v>0</v>
      </c>
      <c r="DM696" s="265">
        <v>0</v>
      </c>
      <c r="DN696" s="265">
        <v>0</v>
      </c>
      <c r="DO696" s="265">
        <v>-0.69100863698132287</v>
      </c>
      <c r="DP696" s="265">
        <v>-0.15221251785484835</v>
      </c>
      <c r="DQ696" s="265">
        <v>0</v>
      </c>
      <c r="DR696" s="265">
        <v>0</v>
      </c>
      <c r="DS696" s="265"/>
      <c r="DT696" s="265"/>
      <c r="DU696" s="265"/>
      <c r="DV696" s="265">
        <v>0</v>
      </c>
      <c r="DW696" s="265">
        <v>0</v>
      </c>
      <c r="DX696" s="265">
        <v>0</v>
      </c>
      <c r="DY696" s="265">
        <v>2.9252200000000244</v>
      </c>
      <c r="DZ696" s="265">
        <v>113.1911399999999</v>
      </c>
      <c r="EA696" s="265">
        <v>0</v>
      </c>
      <c r="EB696" s="265">
        <v>0</v>
      </c>
      <c r="EC696" s="265">
        <v>0</v>
      </c>
      <c r="ED696" s="265">
        <v>0</v>
      </c>
      <c r="EE696" s="265">
        <v>0</v>
      </c>
      <c r="EF696" s="265">
        <v>0</v>
      </c>
      <c r="EG696" s="265">
        <v>0</v>
      </c>
      <c r="EH696" s="265">
        <v>0</v>
      </c>
      <c r="EI696" s="265">
        <v>0</v>
      </c>
      <c r="EJ696" s="265">
        <v>0</v>
      </c>
      <c r="EK696" s="265">
        <v>0</v>
      </c>
      <c r="EL696" s="265">
        <v>0</v>
      </c>
      <c r="EM696" s="265">
        <v>0</v>
      </c>
      <c r="EN696" s="265">
        <v>0</v>
      </c>
      <c r="EO696" s="265">
        <v>0</v>
      </c>
      <c r="EP696" s="265">
        <v>0</v>
      </c>
      <c r="EQ696" s="265">
        <v>0</v>
      </c>
      <c r="ER696" s="265">
        <v>0</v>
      </c>
      <c r="ES696" s="265">
        <v>0</v>
      </c>
      <c r="ET696" s="265">
        <v>0</v>
      </c>
      <c r="EU696" s="265">
        <v>0</v>
      </c>
      <c r="EV696" s="265">
        <v>238</v>
      </c>
      <c r="EW696" s="265">
        <v>0</v>
      </c>
      <c r="EX696" s="265">
        <v>0</v>
      </c>
      <c r="EY696" s="265">
        <v>0</v>
      </c>
      <c r="EZ696" s="265"/>
      <c r="FA696" s="265">
        <v>0</v>
      </c>
      <c r="FB696" s="265"/>
      <c r="FC696" s="265"/>
      <c r="FD696" s="265"/>
      <c r="FE696" s="265"/>
      <c r="FF696" s="265">
        <v>0</v>
      </c>
      <c r="FG696" s="265">
        <v>0</v>
      </c>
      <c r="FH696" s="265">
        <v>0</v>
      </c>
      <c r="FI696" s="265">
        <v>0</v>
      </c>
    </row>
    <row r="697" spans="1:165">
      <c r="A697" s="265">
        <v>702</v>
      </c>
      <c r="B697" s="265" t="s">
        <v>2255</v>
      </c>
      <c r="C697" s="265" t="s">
        <v>2243</v>
      </c>
      <c r="D697" s="265" t="s">
        <v>597</v>
      </c>
      <c r="E697" s="265" t="s">
        <v>2246</v>
      </c>
      <c r="F697" s="265" t="s">
        <v>1322</v>
      </c>
      <c r="G697" s="265" t="s">
        <v>1322</v>
      </c>
      <c r="H697" s="265" t="s">
        <v>1322</v>
      </c>
      <c r="I697" s="265" t="s">
        <v>1322</v>
      </c>
      <c r="J697" s="265" t="s">
        <v>2236</v>
      </c>
      <c r="K697" s="1639">
        <v>44713</v>
      </c>
      <c r="L697" s="265">
        <v>143</v>
      </c>
      <c r="M697" s="265">
        <v>143</v>
      </c>
      <c r="N697" s="265">
        <v>0</v>
      </c>
      <c r="O697" s="265">
        <v>0</v>
      </c>
      <c r="P697" s="265">
        <v>0</v>
      </c>
      <c r="Q697" s="265">
        <v>0</v>
      </c>
      <c r="R697" s="265">
        <v>44.35</v>
      </c>
      <c r="S697" s="265"/>
      <c r="T697" s="265"/>
      <c r="U697" s="265">
        <v>6342.05</v>
      </c>
      <c r="V697" s="265"/>
      <c r="W697" s="265">
        <v>6342.05</v>
      </c>
      <c r="X697" s="265">
        <v>4142.71</v>
      </c>
      <c r="Y697" s="265">
        <v>0</v>
      </c>
      <c r="Z697" s="265">
        <v>0</v>
      </c>
      <c r="AA697" s="265">
        <v>0</v>
      </c>
      <c r="AB697" s="265">
        <v>0</v>
      </c>
      <c r="AC697" s="265">
        <v>0</v>
      </c>
      <c r="AD697" s="265">
        <v>1876.4551073961979</v>
      </c>
      <c r="AE697" s="265">
        <v>4106.6520188616778</v>
      </c>
      <c r="AF697" s="265"/>
      <c r="AG697" s="265"/>
      <c r="AH697" s="265"/>
      <c r="AI697" s="265">
        <v>0</v>
      </c>
      <c r="AJ697" s="265">
        <v>0</v>
      </c>
      <c r="AK697" s="265">
        <v>0</v>
      </c>
      <c r="AL697" s="265">
        <v>0</v>
      </c>
      <c r="AM697" s="265"/>
      <c r="AN697" s="265">
        <v>0</v>
      </c>
      <c r="AO697" s="265">
        <v>141.81605890751828</v>
      </c>
      <c r="AP697" s="265">
        <v>216.97266925736545</v>
      </c>
      <c r="AQ697" s="265">
        <v>0</v>
      </c>
      <c r="AR697" s="265">
        <v>0</v>
      </c>
      <c r="AS697" s="265"/>
      <c r="AT697" s="265"/>
      <c r="AU697" s="265">
        <v>0</v>
      </c>
      <c r="AV697" s="265">
        <v>0</v>
      </c>
      <c r="AW697" s="265">
        <v>0</v>
      </c>
      <c r="AX697" s="265"/>
      <c r="AY697" s="265"/>
      <c r="AZ697" s="265">
        <v>0</v>
      </c>
      <c r="BA697" s="265"/>
      <c r="BB697" s="265">
        <v>0</v>
      </c>
      <c r="BC697" s="265">
        <v>0</v>
      </c>
      <c r="BD697" s="265">
        <v>0</v>
      </c>
      <c r="BE697" s="265">
        <v>0</v>
      </c>
      <c r="BF697" s="265"/>
      <c r="BG697" s="265">
        <v>0</v>
      </c>
      <c r="BH697" s="265">
        <v>0</v>
      </c>
      <c r="BI697" s="265">
        <v>12.7</v>
      </c>
      <c r="BJ697" s="265">
        <v>58.71</v>
      </c>
      <c r="BK697" s="265">
        <v>1108.55</v>
      </c>
      <c r="BL697" s="265">
        <v>2</v>
      </c>
      <c r="BM697" s="265"/>
      <c r="BN697" s="265"/>
      <c r="BO697" s="265"/>
      <c r="BP697" s="265"/>
      <c r="BQ697" s="265"/>
      <c r="BR697" s="265"/>
      <c r="BS697" s="265"/>
      <c r="BT697" s="265"/>
      <c r="BU697" s="265"/>
      <c r="BV697" s="265">
        <v>0</v>
      </c>
      <c r="BW697" s="265"/>
      <c r="BX697" s="265"/>
      <c r="BY697" s="265"/>
      <c r="BZ697" s="265"/>
      <c r="CA697" s="265"/>
      <c r="CB697" s="265"/>
      <c r="CC697" s="265"/>
      <c r="CD697" s="265"/>
      <c r="CE697" s="265"/>
      <c r="CF697" s="265"/>
      <c r="CG697" s="265"/>
      <c r="CH697" s="265"/>
      <c r="CI697" s="265">
        <v>4142.71</v>
      </c>
      <c r="CJ697" s="265">
        <v>-2199.3700000000008</v>
      </c>
      <c r="CK697" s="265"/>
      <c r="CL697" s="265"/>
      <c r="CM697" s="265"/>
      <c r="CN697" s="265"/>
      <c r="CO697" s="265">
        <v>-2199.34</v>
      </c>
      <c r="CP697" s="265">
        <v>0</v>
      </c>
      <c r="CQ697" s="265">
        <v>30</v>
      </c>
      <c r="CR697" s="265">
        <v>104.83206434614658</v>
      </c>
      <c r="CS697" s="265">
        <v>17.121740749543847</v>
      </c>
      <c r="CT697" s="265">
        <v>26.195550922648238</v>
      </c>
      <c r="CU697" s="265">
        <v>0</v>
      </c>
      <c r="CV697" s="265">
        <v>0</v>
      </c>
      <c r="CW697" s="265"/>
      <c r="CX697" s="265"/>
      <c r="CY697" s="265"/>
      <c r="CZ697" s="265">
        <v>61.514772673954667</v>
      </c>
      <c r="DA697" s="265">
        <v>0</v>
      </c>
      <c r="DB697" s="265">
        <v>0</v>
      </c>
      <c r="DC697" s="265"/>
      <c r="DD697" s="265"/>
      <c r="DE697" s="265">
        <v>0</v>
      </c>
      <c r="DF697" s="265">
        <v>0</v>
      </c>
      <c r="DG697" s="265">
        <v>0</v>
      </c>
      <c r="DH697" s="265">
        <v>0</v>
      </c>
      <c r="DI697" s="265">
        <v>0</v>
      </c>
      <c r="DJ697" s="265"/>
      <c r="DK697" s="265">
        <v>0</v>
      </c>
      <c r="DL697" s="265">
        <v>0</v>
      </c>
      <c r="DM697" s="265"/>
      <c r="DN697" s="265">
        <v>0</v>
      </c>
      <c r="DO697" s="265">
        <v>0</v>
      </c>
      <c r="DP697" s="265">
        <v>0</v>
      </c>
      <c r="DQ697" s="265">
        <v>0</v>
      </c>
      <c r="DR697" s="265">
        <v>0</v>
      </c>
      <c r="DS697" s="265"/>
      <c r="DT697" s="265"/>
      <c r="DU697" s="265">
        <v>4106.6520188616778</v>
      </c>
      <c r="DV697" s="265"/>
      <c r="DW697" s="265">
        <v>0</v>
      </c>
      <c r="DX697" s="265">
        <v>0</v>
      </c>
      <c r="DY697" s="265">
        <v>-2199.34</v>
      </c>
      <c r="DZ697" s="265"/>
      <c r="EA697" s="265">
        <v>0</v>
      </c>
      <c r="EB697" s="265"/>
      <c r="EC697" s="265">
        <v>-2303.7894807610255</v>
      </c>
      <c r="ED697" s="265"/>
      <c r="EE697" s="265">
        <v>0</v>
      </c>
      <c r="EF697" s="265">
        <v>0</v>
      </c>
      <c r="EG697" s="265"/>
      <c r="EH697" s="265">
        <v>0</v>
      </c>
      <c r="EI697" s="265">
        <v>0</v>
      </c>
      <c r="EJ697" s="265">
        <v>0</v>
      </c>
      <c r="EK697" s="265">
        <v>0</v>
      </c>
      <c r="EL697" s="265">
        <v>0</v>
      </c>
      <c r="EM697" s="265"/>
      <c r="EN697" s="265"/>
      <c r="EO697" s="265">
        <v>0</v>
      </c>
      <c r="EP697" s="265">
        <v>0</v>
      </c>
      <c r="EQ697" s="265"/>
      <c r="ER697" s="265">
        <v>0</v>
      </c>
      <c r="ES697" s="265"/>
      <c r="ET697" s="265">
        <v>0</v>
      </c>
      <c r="EU697" s="265"/>
      <c r="EV697" s="265">
        <v>238</v>
      </c>
      <c r="EW697" s="265"/>
      <c r="EX697" s="265"/>
      <c r="EY697" s="265"/>
      <c r="EZ697" s="265"/>
      <c r="FA697" s="265">
        <v>0</v>
      </c>
      <c r="FB697" s="265"/>
      <c r="FC697" s="265"/>
      <c r="FD697" s="265"/>
      <c r="FE697" s="265"/>
      <c r="FF697" s="265">
        <v>0</v>
      </c>
      <c r="FG697" s="265">
        <v>0</v>
      </c>
      <c r="FH697" s="265">
        <v>0</v>
      </c>
      <c r="FI697" s="265">
        <v>0</v>
      </c>
    </row>
    <row r="698" spans="1:165">
      <c r="A698" s="265">
        <v>703</v>
      </c>
      <c r="B698" s="265" t="s">
        <v>2255</v>
      </c>
      <c r="C698" s="265" t="s">
        <v>2235</v>
      </c>
      <c r="D698" s="265" t="s">
        <v>2247</v>
      </c>
      <c r="E698" s="265" t="s">
        <v>2248</v>
      </c>
      <c r="F698" s="265" t="s">
        <v>2249</v>
      </c>
      <c r="G698" s="265" t="s">
        <v>1322</v>
      </c>
      <c r="H698" s="265" t="s">
        <v>1322</v>
      </c>
      <c r="I698" s="265" t="s">
        <v>1322</v>
      </c>
      <c r="J698" s="265" t="s">
        <v>2236</v>
      </c>
      <c r="K698" s="1639">
        <v>44713</v>
      </c>
      <c r="L698" s="265">
        <v>0</v>
      </c>
      <c r="M698" s="265">
        <v>0</v>
      </c>
      <c r="N698" s="265">
        <v>582.70899999999995</v>
      </c>
      <c r="O698" s="265">
        <v>582.70899999999995</v>
      </c>
      <c r="P698" s="265">
        <v>582.70899999999995</v>
      </c>
      <c r="Q698" s="265">
        <v>582.70899999999995</v>
      </c>
      <c r="R698" s="265"/>
      <c r="S698" s="265">
        <v>319.73</v>
      </c>
      <c r="T698" s="265">
        <v>115.17</v>
      </c>
      <c r="U698" s="265"/>
      <c r="V698" s="265">
        <v>253420.14409999998</v>
      </c>
      <c r="W698" s="265">
        <v>253420.14409999998</v>
      </c>
      <c r="X698" s="265">
        <v>193593.41106999997</v>
      </c>
      <c r="Y698" s="265">
        <v>0</v>
      </c>
      <c r="Z698" s="265">
        <v>19722.280890304926</v>
      </c>
      <c r="AA698" s="265">
        <v>0</v>
      </c>
      <c r="AB698" s="265">
        <v>0</v>
      </c>
      <c r="AC698" s="265">
        <v>0</v>
      </c>
      <c r="AD698" s="265">
        <v>23777.516286053364</v>
      </c>
      <c r="AE698" s="265">
        <v>123518.52913729698</v>
      </c>
      <c r="AF698" s="265">
        <v>66229.487186028447</v>
      </c>
      <c r="AG698" s="265">
        <v>882.29760372434055</v>
      </c>
      <c r="AH698" s="265">
        <v>0</v>
      </c>
      <c r="AI698" s="265">
        <v>0</v>
      </c>
      <c r="AJ698" s="265">
        <v>0</v>
      </c>
      <c r="AK698" s="265">
        <v>0</v>
      </c>
      <c r="AL698" s="265">
        <v>3047.7317557659062</v>
      </c>
      <c r="AM698" s="265"/>
      <c r="AN698" s="265">
        <v>584.24174243177958</v>
      </c>
      <c r="AO698" s="265">
        <v>1826.6263086250046</v>
      </c>
      <c r="AP698" s="265">
        <v>2751.4671043846247</v>
      </c>
      <c r="AQ698" s="265">
        <v>0</v>
      </c>
      <c r="AR698" s="265">
        <v>0</v>
      </c>
      <c r="AS698" s="265">
        <v>0</v>
      </c>
      <c r="AT698" s="265">
        <v>0</v>
      </c>
      <c r="AU698" s="265">
        <v>0</v>
      </c>
      <c r="AV698" s="265">
        <v>0</v>
      </c>
      <c r="AW698" s="265">
        <v>0</v>
      </c>
      <c r="AX698" s="265">
        <v>0</v>
      </c>
      <c r="AY698" s="265">
        <v>0</v>
      </c>
      <c r="AZ698" s="265">
        <v>0</v>
      </c>
      <c r="BA698" s="265"/>
      <c r="BB698" s="265">
        <v>0</v>
      </c>
      <c r="BC698" s="265">
        <v>0</v>
      </c>
      <c r="BD698" s="265">
        <v>0</v>
      </c>
      <c r="BE698" s="265">
        <v>0</v>
      </c>
      <c r="BF698" s="265">
        <v>0</v>
      </c>
      <c r="BG698" s="265">
        <v>11080.069396660421</v>
      </c>
      <c r="BH698" s="265">
        <v>0</v>
      </c>
      <c r="BI698" s="265">
        <v>411.88</v>
      </c>
      <c r="BJ698" s="265">
        <v>1903.19</v>
      </c>
      <c r="BK698" s="265">
        <v>49009.82</v>
      </c>
      <c r="BL698" s="265">
        <v>41</v>
      </c>
      <c r="BM698" s="265"/>
      <c r="BN698" s="265"/>
      <c r="BO698" s="265"/>
      <c r="BP698" s="265"/>
      <c r="BQ698" s="265"/>
      <c r="BR698" s="265"/>
      <c r="BS698" s="265"/>
      <c r="BT698" s="265"/>
      <c r="BU698" s="265"/>
      <c r="BV698" s="265">
        <v>77309.556582688863</v>
      </c>
      <c r="BW698" s="265"/>
      <c r="BX698" s="265"/>
      <c r="BY698" s="265"/>
      <c r="BZ698" s="265"/>
      <c r="CA698" s="265"/>
      <c r="CB698" s="265"/>
      <c r="CC698" s="265"/>
      <c r="CD698" s="265"/>
      <c r="CE698" s="265"/>
      <c r="CF698" s="265"/>
      <c r="CG698" s="265"/>
      <c r="CH698" s="265"/>
      <c r="CI698" s="265">
        <v>193593.7433</v>
      </c>
      <c r="CJ698" s="265">
        <v>-59826.430800000002</v>
      </c>
      <c r="CK698" s="265"/>
      <c r="CL698" s="265"/>
      <c r="CM698" s="265"/>
      <c r="CN698" s="265"/>
      <c r="CO698" s="265">
        <v>-67139.730980000008</v>
      </c>
      <c r="CP698" s="265">
        <v>7312.9979499999972</v>
      </c>
      <c r="CQ698" s="265">
        <v>30</v>
      </c>
      <c r="CR698" s="265">
        <v>9468.5136463656381</v>
      </c>
      <c r="CS698" s="265">
        <v>220.53230320671651</v>
      </c>
      <c r="CT698" s="265">
        <v>332.19021036886306</v>
      </c>
      <c r="CU698" s="265">
        <v>0</v>
      </c>
      <c r="CV698" s="265">
        <v>0</v>
      </c>
      <c r="CW698" s="265">
        <v>0</v>
      </c>
      <c r="CX698" s="265">
        <v>0</v>
      </c>
      <c r="CY698" s="265">
        <v>0</v>
      </c>
      <c r="CZ698" s="265">
        <v>779.48494654755996</v>
      </c>
      <c r="DA698" s="265">
        <v>0</v>
      </c>
      <c r="DB698" s="265">
        <v>0</v>
      </c>
      <c r="DC698" s="265">
        <v>7314.5690905029187</v>
      </c>
      <c r="DD698" s="265">
        <v>0</v>
      </c>
      <c r="DE698" s="265">
        <v>0</v>
      </c>
      <c r="DF698" s="265">
        <v>0</v>
      </c>
      <c r="DG698" s="265">
        <v>1223.7137349680761</v>
      </c>
      <c r="DH698" s="265">
        <v>0</v>
      </c>
      <c r="DI698" s="265">
        <v>-343.80122306531484</v>
      </c>
      <c r="DJ698" s="265"/>
      <c r="DK698" s="265">
        <v>0</v>
      </c>
      <c r="DL698" s="265">
        <v>0</v>
      </c>
      <c r="DM698" s="265">
        <v>0</v>
      </c>
      <c r="DN698" s="265">
        <v>0</v>
      </c>
      <c r="DO698" s="265">
        <v>-44.667471463435504</v>
      </c>
      <c r="DP698" s="265">
        <v>-13.50794469974096</v>
      </c>
      <c r="DQ698" s="265">
        <v>0</v>
      </c>
      <c r="DR698" s="265">
        <v>0</v>
      </c>
      <c r="DS698" s="265"/>
      <c r="DT698" s="265"/>
      <c r="DU698" s="265"/>
      <c r="DV698" s="265">
        <v>123518.52913729698</v>
      </c>
      <c r="DW698" s="265">
        <v>0</v>
      </c>
      <c r="DX698" s="265">
        <v>0</v>
      </c>
      <c r="DY698" s="265">
        <v>-67139.730980000008</v>
      </c>
      <c r="DZ698" s="265">
        <v>7312.9979500000045</v>
      </c>
      <c r="EA698" s="265">
        <v>0</v>
      </c>
      <c r="EB698" s="265">
        <v>0</v>
      </c>
      <c r="EC698" s="265">
        <v>-69292.62250577948</v>
      </c>
      <c r="ED698" s="265">
        <v>0</v>
      </c>
      <c r="EE698" s="265">
        <v>0</v>
      </c>
      <c r="EF698" s="265">
        <v>0</v>
      </c>
      <c r="EG698" s="265">
        <v>0</v>
      </c>
      <c r="EH698" s="265">
        <v>0</v>
      </c>
      <c r="EI698" s="265">
        <v>0</v>
      </c>
      <c r="EJ698" s="265">
        <v>0</v>
      </c>
      <c r="EK698" s="265">
        <v>0</v>
      </c>
      <c r="EL698" s="265">
        <v>0</v>
      </c>
      <c r="EM698" s="265">
        <v>0</v>
      </c>
      <c r="EN698" s="265">
        <v>0</v>
      </c>
      <c r="EO698" s="265">
        <v>0</v>
      </c>
      <c r="EP698" s="265">
        <v>0</v>
      </c>
      <c r="EQ698" s="265">
        <v>0</v>
      </c>
      <c r="ER698" s="265">
        <v>0</v>
      </c>
      <c r="ES698" s="265">
        <v>0</v>
      </c>
      <c r="ET698" s="265">
        <v>0</v>
      </c>
      <c r="EU698" s="265">
        <v>0</v>
      </c>
      <c r="EV698" s="265">
        <v>238</v>
      </c>
      <c r="EW698" s="265">
        <v>0</v>
      </c>
      <c r="EX698" s="265">
        <v>0</v>
      </c>
      <c r="EY698" s="265">
        <v>0</v>
      </c>
      <c r="EZ698" s="265"/>
      <c r="FA698" s="265">
        <v>0</v>
      </c>
      <c r="FB698" s="265"/>
      <c r="FC698" s="265"/>
      <c r="FD698" s="265"/>
      <c r="FE698" s="265"/>
      <c r="FF698" s="265">
        <v>0</v>
      </c>
      <c r="FG698" s="265">
        <v>0</v>
      </c>
      <c r="FH698" s="265">
        <v>0</v>
      </c>
      <c r="FI698" s="265">
        <v>0</v>
      </c>
    </row>
    <row r="699" spans="1:165">
      <c r="A699" s="265">
        <v>704</v>
      </c>
      <c r="B699" s="265" t="s">
        <v>2255</v>
      </c>
      <c r="C699" s="265" t="s">
        <v>2235</v>
      </c>
      <c r="D699" s="265" t="s">
        <v>1958</v>
      </c>
      <c r="E699" s="265" t="s">
        <v>1001</v>
      </c>
      <c r="F699" s="265" t="s">
        <v>2250</v>
      </c>
      <c r="G699" s="265" t="s">
        <v>1322</v>
      </c>
      <c r="H699" s="265" t="s">
        <v>1322</v>
      </c>
      <c r="I699" s="265" t="s">
        <v>1322</v>
      </c>
      <c r="J699" s="265" t="s">
        <v>2236</v>
      </c>
      <c r="K699" s="1639">
        <v>44713</v>
      </c>
      <c r="L699" s="265">
        <v>0</v>
      </c>
      <c r="M699" s="265">
        <v>0</v>
      </c>
      <c r="N699" s="265">
        <v>82.465999999999994</v>
      </c>
      <c r="O699" s="265">
        <v>77.518039999999999</v>
      </c>
      <c r="P699" s="265">
        <v>82.465999999999994</v>
      </c>
      <c r="Q699" s="265">
        <v>77.518039999999999</v>
      </c>
      <c r="R699" s="265"/>
      <c r="S699" s="265">
        <v>581.32000000000005</v>
      </c>
      <c r="T699" s="265">
        <v>209.4</v>
      </c>
      <c r="U699" s="265"/>
      <c r="V699" s="265">
        <v>65207.515520000001</v>
      </c>
      <c r="W699" s="265">
        <v>65207.515520000001</v>
      </c>
      <c r="X699" s="265">
        <v>49815.236619999996</v>
      </c>
      <c r="Y699" s="265">
        <v>0</v>
      </c>
      <c r="Z699" s="265">
        <v>5074.7850779716618</v>
      </c>
      <c r="AA699" s="265">
        <v>0</v>
      </c>
      <c r="AB699" s="265">
        <v>0</v>
      </c>
      <c r="AC699" s="265">
        <v>0</v>
      </c>
      <c r="AD699" s="265">
        <v>6118.2469467316378</v>
      </c>
      <c r="AE699" s="265">
        <v>31782.834450304326</v>
      </c>
      <c r="AF699" s="265">
        <v>17041.660402402667</v>
      </c>
      <c r="AG699" s="265">
        <v>227.02600873672264</v>
      </c>
      <c r="AH699" s="265">
        <v>0</v>
      </c>
      <c r="AI699" s="265">
        <v>0</v>
      </c>
      <c r="AJ699" s="265">
        <v>0</v>
      </c>
      <c r="AK699" s="265">
        <v>0</v>
      </c>
      <c r="AL699" s="265">
        <v>784.21880926684685</v>
      </c>
      <c r="AM699" s="265"/>
      <c r="AN699" s="265">
        <v>150.33257526914358</v>
      </c>
      <c r="AO699" s="265">
        <v>470.01338159611447</v>
      </c>
      <c r="AP699" s="265">
        <v>707.98627610688675</v>
      </c>
      <c r="AQ699" s="265">
        <v>0</v>
      </c>
      <c r="AR699" s="265">
        <v>0</v>
      </c>
      <c r="AS699" s="265">
        <v>0</v>
      </c>
      <c r="AT699" s="265">
        <v>0</v>
      </c>
      <c r="AU699" s="265">
        <v>0</v>
      </c>
      <c r="AV699" s="265">
        <v>0</v>
      </c>
      <c r="AW699" s="265">
        <v>0</v>
      </c>
      <c r="AX699" s="265">
        <v>0</v>
      </c>
      <c r="AY699" s="265">
        <v>0</v>
      </c>
      <c r="AZ699" s="265">
        <v>0</v>
      </c>
      <c r="BA699" s="265"/>
      <c r="BB699" s="265">
        <v>0</v>
      </c>
      <c r="BC699" s="265">
        <v>0</v>
      </c>
      <c r="BD699" s="265">
        <v>0</v>
      </c>
      <c r="BE699" s="265">
        <v>0</v>
      </c>
      <c r="BF699" s="265">
        <v>0</v>
      </c>
      <c r="BG699" s="265">
        <v>2851.0379276011563</v>
      </c>
      <c r="BH699" s="265">
        <v>0</v>
      </c>
      <c r="BI699" s="265">
        <v>100.12</v>
      </c>
      <c r="BJ699" s="265">
        <v>462.85</v>
      </c>
      <c r="BK699" s="265">
        <v>16888.900000000001</v>
      </c>
      <c r="BL699" s="265">
        <v>21</v>
      </c>
      <c r="BM699" s="265"/>
      <c r="BN699" s="265"/>
      <c r="BO699" s="265"/>
      <c r="BP699" s="265"/>
      <c r="BQ699" s="265">
        <v>2988.914197199997</v>
      </c>
      <c r="BR699" s="265"/>
      <c r="BS699" s="265"/>
      <c r="BT699" s="265"/>
      <c r="BU699" s="265"/>
      <c r="BV699" s="265">
        <v>19892.698330003823</v>
      </c>
      <c r="BW699" s="265"/>
      <c r="BX699" s="265"/>
      <c r="BY699" s="265"/>
      <c r="BZ699" s="265"/>
      <c r="CA699" s="265"/>
      <c r="CB699" s="265"/>
      <c r="CC699" s="265"/>
      <c r="CD699" s="265"/>
      <c r="CE699" s="265"/>
      <c r="CF699" s="265"/>
      <c r="CG699" s="265"/>
      <c r="CH699" s="265"/>
      <c r="CI699" s="265">
        <v>46827.506399999998</v>
      </c>
      <c r="CJ699" s="265">
        <v>-14467.588188800015</v>
      </c>
      <c r="CK699" s="265"/>
      <c r="CL699" s="265"/>
      <c r="CM699" s="265"/>
      <c r="CN699" s="265"/>
      <c r="CO699" s="265">
        <v>-17274.977680000004</v>
      </c>
      <c r="CP699" s="265">
        <v>1882.6987799999986</v>
      </c>
      <c r="CQ699" s="265">
        <v>30</v>
      </c>
      <c r="CR699" s="265">
        <v>2436.3648418965822</v>
      </c>
      <c r="CS699" s="265">
        <v>56.745669922707123</v>
      </c>
      <c r="CT699" s="265">
        <v>85.47662068117495</v>
      </c>
      <c r="CU699" s="265">
        <v>0</v>
      </c>
      <c r="CV699" s="265">
        <v>0</v>
      </c>
      <c r="CW699" s="265">
        <v>0</v>
      </c>
      <c r="CX699" s="265">
        <v>0</v>
      </c>
      <c r="CY699" s="265">
        <v>0</v>
      </c>
      <c r="CZ699" s="265">
        <v>200.57104942602473</v>
      </c>
      <c r="DA699" s="265">
        <v>0</v>
      </c>
      <c r="DB699" s="265">
        <v>0</v>
      </c>
      <c r="DC699" s="265">
        <v>1882.1284555644015</v>
      </c>
      <c r="DD699" s="265">
        <v>0</v>
      </c>
      <c r="DE699" s="265">
        <v>0</v>
      </c>
      <c r="DF699" s="265">
        <v>0</v>
      </c>
      <c r="DG699" s="265">
        <v>314.876572160465</v>
      </c>
      <c r="DH699" s="265">
        <v>0</v>
      </c>
      <c r="DI699" s="265">
        <v>-88.464276840196362</v>
      </c>
      <c r="DJ699" s="265"/>
      <c r="DK699" s="265">
        <v>0</v>
      </c>
      <c r="DL699" s="265">
        <v>0</v>
      </c>
      <c r="DM699" s="265">
        <v>0</v>
      </c>
      <c r="DN699" s="265">
        <v>0</v>
      </c>
      <c r="DO699" s="265">
        <v>-11.493488958713556</v>
      </c>
      <c r="DP699" s="265">
        <v>-3.4757600592744211</v>
      </c>
      <c r="DQ699" s="265">
        <v>0</v>
      </c>
      <c r="DR699" s="265">
        <v>0</v>
      </c>
      <c r="DS699" s="265"/>
      <c r="DT699" s="265"/>
      <c r="DU699" s="265"/>
      <c r="DV699" s="265">
        <v>31782.834450304326</v>
      </c>
      <c r="DW699" s="265">
        <v>0</v>
      </c>
      <c r="DX699" s="265">
        <v>0</v>
      </c>
      <c r="DY699" s="265">
        <v>-17274.977680000004</v>
      </c>
      <c r="DZ699" s="265">
        <v>1882.6987799999988</v>
      </c>
      <c r="EA699" s="265">
        <v>0</v>
      </c>
      <c r="EB699" s="265">
        <v>0</v>
      </c>
      <c r="EC699" s="265">
        <v>-17829.842737850551</v>
      </c>
      <c r="ED699" s="265">
        <v>0</v>
      </c>
      <c r="EE699" s="265">
        <v>0</v>
      </c>
      <c r="EF699" s="265">
        <v>0</v>
      </c>
      <c r="EG699" s="265">
        <v>0</v>
      </c>
      <c r="EH699" s="265">
        <v>0</v>
      </c>
      <c r="EI699" s="265">
        <v>0</v>
      </c>
      <c r="EJ699" s="265">
        <v>0</v>
      </c>
      <c r="EK699" s="265">
        <v>0</v>
      </c>
      <c r="EL699" s="265">
        <v>0</v>
      </c>
      <c r="EM699" s="265">
        <v>0</v>
      </c>
      <c r="EN699" s="265">
        <v>0</v>
      </c>
      <c r="EO699" s="265">
        <v>0</v>
      </c>
      <c r="EP699" s="265">
        <v>0</v>
      </c>
      <c r="EQ699" s="265">
        <v>0</v>
      </c>
      <c r="ER699" s="265">
        <v>0</v>
      </c>
      <c r="ES699" s="265">
        <v>0</v>
      </c>
      <c r="ET699" s="265">
        <v>0</v>
      </c>
      <c r="EU699" s="265">
        <v>0</v>
      </c>
      <c r="EV699" s="265">
        <v>238</v>
      </c>
      <c r="EW699" s="265">
        <v>0</v>
      </c>
      <c r="EX699" s="265">
        <v>0</v>
      </c>
      <c r="EY699" s="265">
        <v>0</v>
      </c>
      <c r="EZ699" s="265"/>
      <c r="FA699" s="265">
        <v>0</v>
      </c>
      <c r="FB699" s="265"/>
      <c r="FC699" s="265"/>
      <c r="FD699" s="265"/>
      <c r="FE699" s="265"/>
      <c r="FF699" s="265">
        <v>0</v>
      </c>
      <c r="FG699" s="265">
        <v>0</v>
      </c>
      <c r="FH699" s="265">
        <v>0</v>
      </c>
      <c r="FI699" s="265">
        <v>0</v>
      </c>
    </row>
    <row r="700" spans="1:165">
      <c r="A700" s="265">
        <v>705</v>
      </c>
      <c r="B700" s="265" t="s">
        <v>2255</v>
      </c>
      <c r="C700" s="265" t="s">
        <v>2235</v>
      </c>
      <c r="D700" s="265" t="s">
        <v>1958</v>
      </c>
      <c r="E700" s="265" t="s">
        <v>2251</v>
      </c>
      <c r="F700" s="265" t="s">
        <v>1322</v>
      </c>
      <c r="G700" s="265" t="s">
        <v>1322</v>
      </c>
      <c r="H700" s="265" t="s">
        <v>1322</v>
      </c>
      <c r="I700" s="265" t="s">
        <v>1322</v>
      </c>
      <c r="J700" s="265" t="s">
        <v>2236</v>
      </c>
      <c r="K700" s="1639">
        <v>44713</v>
      </c>
      <c r="L700" s="265">
        <v>0</v>
      </c>
      <c r="M700" s="265">
        <v>0</v>
      </c>
      <c r="N700" s="265">
        <v>25.890999999999998</v>
      </c>
      <c r="O700" s="265">
        <v>25.890999999999998</v>
      </c>
      <c r="P700" s="265">
        <v>25.890999999999998</v>
      </c>
      <c r="Q700" s="265">
        <v>25.890999999999998</v>
      </c>
      <c r="R700" s="265"/>
      <c r="S700" s="265">
        <v>581.32000000000005</v>
      </c>
      <c r="T700" s="265">
        <v>209.4</v>
      </c>
      <c r="U700" s="265"/>
      <c r="V700" s="265">
        <v>20472.53152</v>
      </c>
      <c r="W700" s="265">
        <v>20472.53152</v>
      </c>
      <c r="X700" s="265">
        <v>15639.976369999998</v>
      </c>
      <c r="Y700" s="265">
        <v>0</v>
      </c>
      <c r="Z700" s="265">
        <v>1593.2779624786492</v>
      </c>
      <c r="AA700" s="265">
        <v>0</v>
      </c>
      <c r="AB700" s="265">
        <v>0</v>
      </c>
      <c r="AC700" s="265">
        <v>0</v>
      </c>
      <c r="AD700" s="265">
        <v>1920.882929908433</v>
      </c>
      <c r="AE700" s="265">
        <v>9978.5289301388366</v>
      </c>
      <c r="AF700" s="265">
        <v>5350.3944592754278</v>
      </c>
      <c r="AG700" s="265">
        <v>71.277015887789958</v>
      </c>
      <c r="AH700" s="265">
        <v>0</v>
      </c>
      <c r="AI700" s="265">
        <v>0</v>
      </c>
      <c r="AJ700" s="265">
        <v>0</v>
      </c>
      <c r="AK700" s="265">
        <v>0</v>
      </c>
      <c r="AL700" s="265">
        <v>246.21309619392153</v>
      </c>
      <c r="AM700" s="265"/>
      <c r="AN700" s="265">
        <v>47.198369101125266</v>
      </c>
      <c r="AO700" s="265">
        <v>147.56525674708362</v>
      </c>
      <c r="AP700" s="265">
        <v>222.27915352610052</v>
      </c>
      <c r="AQ700" s="265">
        <v>0</v>
      </c>
      <c r="AR700" s="265">
        <v>0</v>
      </c>
      <c r="AS700" s="265">
        <v>0</v>
      </c>
      <c r="AT700" s="265">
        <v>0</v>
      </c>
      <c r="AU700" s="265">
        <v>0</v>
      </c>
      <c r="AV700" s="265">
        <v>0</v>
      </c>
      <c r="AW700" s="265">
        <v>0</v>
      </c>
      <c r="AX700" s="265">
        <v>0</v>
      </c>
      <c r="AY700" s="265">
        <v>0</v>
      </c>
      <c r="AZ700" s="265">
        <v>0</v>
      </c>
      <c r="BA700" s="265"/>
      <c r="BB700" s="265">
        <v>0</v>
      </c>
      <c r="BC700" s="265">
        <v>0</v>
      </c>
      <c r="BD700" s="265">
        <v>0</v>
      </c>
      <c r="BE700" s="265">
        <v>0</v>
      </c>
      <c r="BF700" s="265">
        <v>0</v>
      </c>
      <c r="BG700" s="265">
        <v>895.11099099655053</v>
      </c>
      <c r="BH700" s="265">
        <v>0</v>
      </c>
      <c r="BI700" s="265">
        <v>33.369999999999997</v>
      </c>
      <c r="BJ700" s="265">
        <v>154.62</v>
      </c>
      <c r="BK700" s="265">
        <v>5312.94</v>
      </c>
      <c r="BL700" s="265">
        <v>18</v>
      </c>
      <c r="BM700" s="265"/>
      <c r="BN700" s="265"/>
      <c r="BO700" s="265"/>
      <c r="BP700" s="265"/>
      <c r="BQ700" s="265"/>
      <c r="BR700" s="265"/>
      <c r="BS700" s="265"/>
      <c r="BT700" s="265"/>
      <c r="BU700" s="265"/>
      <c r="BV700" s="265">
        <v>6245.5054502719786</v>
      </c>
      <c r="BW700" s="265"/>
      <c r="BX700" s="265"/>
      <c r="BY700" s="265"/>
      <c r="BZ700" s="265"/>
      <c r="CA700" s="265"/>
      <c r="CB700" s="265"/>
      <c r="CC700" s="265"/>
      <c r="CD700" s="265"/>
      <c r="CE700" s="265"/>
      <c r="CF700" s="265"/>
      <c r="CG700" s="265"/>
      <c r="CH700" s="265"/>
      <c r="CI700" s="265">
        <v>15639.372299999999</v>
      </c>
      <c r="CJ700" s="265">
        <v>-4833.1892200000002</v>
      </c>
      <c r="CK700" s="265"/>
      <c r="CL700" s="265"/>
      <c r="CM700" s="265"/>
      <c r="CN700" s="265"/>
      <c r="CO700" s="265">
        <v>-5423.6466800000017</v>
      </c>
      <c r="CP700" s="265">
        <v>591.09152999999958</v>
      </c>
      <c r="CQ700" s="265">
        <v>30</v>
      </c>
      <c r="CR700" s="265">
        <v>764.92035652929371</v>
      </c>
      <c r="CS700" s="265">
        <v>17.815853078466432</v>
      </c>
      <c r="CT700" s="265">
        <v>26.836213543233583</v>
      </c>
      <c r="CU700" s="265">
        <v>0</v>
      </c>
      <c r="CV700" s="265">
        <v>0</v>
      </c>
      <c r="CW700" s="265">
        <v>0</v>
      </c>
      <c r="CX700" s="265">
        <v>0</v>
      </c>
      <c r="CY700" s="265">
        <v>0</v>
      </c>
      <c r="CZ700" s="265">
        <v>62.971224998050275</v>
      </c>
      <c r="DA700" s="265">
        <v>0</v>
      </c>
      <c r="DB700" s="265">
        <v>0</v>
      </c>
      <c r="DC700" s="265">
        <v>590.91247111558641</v>
      </c>
      <c r="DD700" s="265">
        <v>0</v>
      </c>
      <c r="DE700" s="265">
        <v>0</v>
      </c>
      <c r="DF700" s="265">
        <v>0</v>
      </c>
      <c r="DG700" s="265">
        <v>98.858551764443632</v>
      </c>
      <c r="DH700" s="265">
        <v>0</v>
      </c>
      <c r="DI700" s="265">
        <v>-27.774217152153597</v>
      </c>
      <c r="DJ700" s="265"/>
      <c r="DK700" s="265">
        <v>0</v>
      </c>
      <c r="DL700" s="265">
        <v>0</v>
      </c>
      <c r="DM700" s="265">
        <v>0</v>
      </c>
      <c r="DN700" s="265">
        <v>0</v>
      </c>
      <c r="DO700" s="265">
        <v>-3.6084922589922428</v>
      </c>
      <c r="DP700" s="265">
        <v>-1.0912485593417145</v>
      </c>
      <c r="DQ700" s="265">
        <v>0</v>
      </c>
      <c r="DR700" s="265">
        <v>0</v>
      </c>
      <c r="DS700" s="265"/>
      <c r="DT700" s="265"/>
      <c r="DU700" s="265"/>
      <c r="DV700" s="265">
        <v>9978.5289301388366</v>
      </c>
      <c r="DW700" s="265">
        <v>0</v>
      </c>
      <c r="DX700" s="265">
        <v>0</v>
      </c>
      <c r="DY700" s="265">
        <v>-5423.6466800000017</v>
      </c>
      <c r="DZ700" s="265">
        <v>591.09152999999969</v>
      </c>
      <c r="EA700" s="265">
        <v>0</v>
      </c>
      <c r="EB700" s="265">
        <v>0</v>
      </c>
      <c r="EC700" s="265">
        <v>-5597.8519429302814</v>
      </c>
      <c r="ED700" s="265">
        <v>0</v>
      </c>
      <c r="EE700" s="265">
        <v>0</v>
      </c>
      <c r="EF700" s="265">
        <v>0</v>
      </c>
      <c r="EG700" s="265">
        <v>0</v>
      </c>
      <c r="EH700" s="265">
        <v>0</v>
      </c>
      <c r="EI700" s="265">
        <v>0</v>
      </c>
      <c r="EJ700" s="265">
        <v>0</v>
      </c>
      <c r="EK700" s="265">
        <v>0</v>
      </c>
      <c r="EL700" s="265">
        <v>0</v>
      </c>
      <c r="EM700" s="265">
        <v>0</v>
      </c>
      <c r="EN700" s="265">
        <v>0</v>
      </c>
      <c r="EO700" s="265">
        <v>0</v>
      </c>
      <c r="EP700" s="265">
        <v>0</v>
      </c>
      <c r="EQ700" s="265">
        <v>0</v>
      </c>
      <c r="ER700" s="265">
        <v>0</v>
      </c>
      <c r="ES700" s="265">
        <v>0</v>
      </c>
      <c r="ET700" s="265">
        <v>0</v>
      </c>
      <c r="EU700" s="265">
        <v>0</v>
      </c>
      <c r="EV700" s="265">
        <v>238</v>
      </c>
      <c r="EW700" s="265">
        <v>0</v>
      </c>
      <c r="EX700" s="265">
        <v>0</v>
      </c>
      <c r="EY700" s="265">
        <v>0</v>
      </c>
      <c r="EZ700" s="265"/>
      <c r="FA700" s="265">
        <v>0</v>
      </c>
      <c r="FB700" s="265"/>
      <c r="FC700" s="265"/>
      <c r="FD700" s="265"/>
      <c r="FE700" s="265"/>
      <c r="FF700" s="265">
        <v>0</v>
      </c>
      <c r="FG700" s="265">
        <v>0</v>
      </c>
      <c r="FH700" s="265">
        <v>0</v>
      </c>
      <c r="FI700" s="265">
        <v>0</v>
      </c>
    </row>
    <row r="701" spans="1:165">
      <c r="A701" s="265">
        <v>706</v>
      </c>
      <c r="B701" s="265" t="s">
        <v>2255</v>
      </c>
      <c r="C701" s="265" t="s">
        <v>2235</v>
      </c>
      <c r="D701" s="265" t="s">
        <v>2245</v>
      </c>
      <c r="E701" s="265" t="s">
        <v>974</v>
      </c>
      <c r="F701" s="265" t="s">
        <v>2252</v>
      </c>
      <c r="G701" s="265" t="s">
        <v>2253</v>
      </c>
      <c r="H701" s="265" t="s">
        <v>1322</v>
      </c>
      <c r="I701" s="265" t="s">
        <v>1322</v>
      </c>
      <c r="J701" s="265" t="s">
        <v>2236</v>
      </c>
      <c r="K701" s="1639">
        <v>44713</v>
      </c>
      <c r="L701" s="265">
        <v>0</v>
      </c>
      <c r="M701" s="265">
        <v>0</v>
      </c>
      <c r="N701" s="265">
        <v>0</v>
      </c>
      <c r="O701" s="265">
        <v>0</v>
      </c>
      <c r="P701" s="265">
        <v>0</v>
      </c>
      <c r="Q701" s="265">
        <v>0</v>
      </c>
      <c r="R701" s="265"/>
      <c r="S701" s="265"/>
      <c r="T701" s="265"/>
      <c r="U701" s="265"/>
      <c r="V701" s="265"/>
      <c r="W701" s="265"/>
      <c r="X701" s="265"/>
      <c r="Y701" s="265"/>
      <c r="Z701" s="265"/>
      <c r="AA701" s="265">
        <v>0</v>
      </c>
      <c r="AB701" s="265"/>
      <c r="AC701" s="265"/>
      <c r="AD701" s="265"/>
      <c r="AE701" s="265"/>
      <c r="AF701" s="265"/>
      <c r="AG701" s="265"/>
      <c r="AH701" s="265"/>
      <c r="AI701" s="265"/>
      <c r="AJ701" s="265"/>
      <c r="AK701" s="265"/>
      <c r="AL701" s="265"/>
      <c r="AM701" s="265"/>
      <c r="AN701" s="265"/>
      <c r="AO701" s="265"/>
      <c r="AP701" s="265"/>
      <c r="AQ701" s="265"/>
      <c r="AR701" s="265"/>
      <c r="AS701" s="265"/>
      <c r="AT701" s="265"/>
      <c r="AU701" s="265"/>
      <c r="AV701" s="265"/>
      <c r="AW701" s="265"/>
      <c r="AX701" s="265"/>
      <c r="AY701" s="265"/>
      <c r="AZ701" s="265">
        <v>0</v>
      </c>
      <c r="BA701" s="265"/>
      <c r="BB701" s="265"/>
      <c r="BC701" s="265"/>
      <c r="BD701" s="265"/>
      <c r="BE701" s="265"/>
      <c r="BF701" s="265"/>
      <c r="BG701" s="265"/>
      <c r="BH701" s="265"/>
      <c r="BI701" s="265">
        <v>66.53</v>
      </c>
      <c r="BJ701" s="265">
        <v>309.60000000000002</v>
      </c>
      <c r="BK701" s="265">
        <v>1047.52</v>
      </c>
      <c r="BL701" s="265">
        <v>139</v>
      </c>
      <c r="BM701" s="265"/>
      <c r="BN701" s="265"/>
      <c r="BO701" s="265"/>
      <c r="BP701" s="265"/>
      <c r="BQ701" s="265"/>
      <c r="BR701" s="265"/>
      <c r="BS701" s="265"/>
      <c r="BT701" s="265"/>
      <c r="BU701" s="265"/>
      <c r="BV701" s="265"/>
      <c r="BW701" s="265"/>
      <c r="BX701" s="265"/>
      <c r="BY701" s="265"/>
      <c r="BZ701" s="265"/>
      <c r="CA701" s="265"/>
      <c r="CB701" s="265"/>
      <c r="CC701" s="265"/>
      <c r="CD701" s="265"/>
      <c r="CE701" s="265"/>
      <c r="CF701" s="265"/>
      <c r="CG701" s="265"/>
      <c r="CH701" s="265"/>
      <c r="CI701" s="265"/>
      <c r="CJ701" s="265">
        <v>-0.03</v>
      </c>
      <c r="CK701" s="265"/>
      <c r="CL701" s="265"/>
      <c r="CM701" s="265"/>
      <c r="CN701" s="265"/>
      <c r="CO701" s="265">
        <v>0</v>
      </c>
      <c r="CP701" s="265">
        <v>0</v>
      </c>
      <c r="CQ701" s="265">
        <v>30</v>
      </c>
      <c r="CR701" s="265"/>
      <c r="CS701" s="265"/>
      <c r="CT701" s="265"/>
      <c r="CU701" s="265"/>
      <c r="CV701" s="265"/>
      <c r="CW701" s="265"/>
      <c r="CX701" s="265"/>
      <c r="CY701" s="265"/>
      <c r="CZ701" s="265"/>
      <c r="DA701" s="265"/>
      <c r="DB701" s="265"/>
      <c r="DC701" s="265"/>
      <c r="DD701" s="265"/>
      <c r="DE701" s="265"/>
      <c r="DF701" s="265"/>
      <c r="DG701" s="265"/>
      <c r="DH701" s="265"/>
      <c r="DI701" s="265"/>
      <c r="DJ701" s="265"/>
      <c r="DK701" s="265">
        <v>0</v>
      </c>
      <c r="DL701" s="265"/>
      <c r="DM701" s="265"/>
      <c r="DN701" s="265"/>
      <c r="DO701" s="265"/>
      <c r="DP701" s="265"/>
      <c r="DQ701" s="265"/>
      <c r="DR701" s="265"/>
      <c r="DS701" s="265"/>
      <c r="DT701" s="265"/>
      <c r="DU701" s="265"/>
      <c r="DV701" s="265"/>
      <c r="DW701" s="265"/>
      <c r="DX701" s="265"/>
      <c r="DY701" s="265"/>
      <c r="DZ701" s="265"/>
      <c r="EA701" s="265"/>
      <c r="EB701" s="265"/>
      <c r="EC701" s="265"/>
      <c r="ED701" s="265"/>
      <c r="EE701" s="265"/>
      <c r="EF701" s="265"/>
      <c r="EG701" s="265"/>
      <c r="EH701" s="265"/>
      <c r="EI701" s="265"/>
      <c r="EJ701" s="265"/>
      <c r="EK701" s="265"/>
      <c r="EL701" s="265"/>
      <c r="EM701" s="265"/>
      <c r="EN701" s="265"/>
      <c r="EO701" s="265"/>
      <c r="EP701" s="265"/>
      <c r="EQ701" s="265"/>
      <c r="ER701" s="265"/>
      <c r="ES701" s="265"/>
      <c r="ET701" s="265"/>
      <c r="EU701" s="265"/>
      <c r="EV701" s="265">
        <v>238</v>
      </c>
      <c r="EW701" s="265"/>
      <c r="EX701" s="265"/>
      <c r="EY701" s="265"/>
      <c r="EZ701" s="265"/>
      <c r="FA701" s="265">
        <v>0</v>
      </c>
      <c r="FB701" s="265"/>
      <c r="FC701" s="265"/>
      <c r="FD701" s="265"/>
      <c r="FE701" s="265"/>
      <c r="FF701" s="265">
        <v>0</v>
      </c>
      <c r="FG701" s="265">
        <v>0</v>
      </c>
      <c r="FH701" s="265">
        <v>0</v>
      </c>
      <c r="FI701" s="265">
        <v>0</v>
      </c>
    </row>
    <row r="702" spans="1:165">
      <c r="A702" s="265">
        <v>707</v>
      </c>
      <c r="B702" s="265" t="s">
        <v>2255</v>
      </c>
      <c r="C702" s="265" t="s">
        <v>2235</v>
      </c>
      <c r="D702" s="265" t="s">
        <v>2245</v>
      </c>
      <c r="E702" s="265" t="s">
        <v>974</v>
      </c>
      <c r="F702" s="265" t="s">
        <v>2252</v>
      </c>
      <c r="G702" s="265" t="s">
        <v>2253</v>
      </c>
      <c r="H702" s="265" t="s">
        <v>1322</v>
      </c>
      <c r="I702" s="265" t="s">
        <v>1322</v>
      </c>
      <c r="J702" s="265" t="s">
        <v>2236</v>
      </c>
      <c r="K702" s="1639">
        <v>44713</v>
      </c>
      <c r="L702" s="265">
        <v>0</v>
      </c>
      <c r="M702" s="265">
        <v>0</v>
      </c>
      <c r="N702" s="265">
        <v>0</v>
      </c>
      <c r="O702" s="265">
        <v>0</v>
      </c>
      <c r="P702" s="265">
        <v>0</v>
      </c>
      <c r="Q702" s="265">
        <v>0</v>
      </c>
      <c r="R702" s="265"/>
      <c r="S702" s="265"/>
      <c r="T702" s="265"/>
      <c r="U702" s="265"/>
      <c r="V702" s="265"/>
      <c r="W702" s="265"/>
      <c r="X702" s="265"/>
      <c r="Y702" s="265"/>
      <c r="Z702" s="265"/>
      <c r="AA702" s="265">
        <v>0</v>
      </c>
      <c r="AB702" s="265"/>
      <c r="AC702" s="265"/>
      <c r="AD702" s="265"/>
      <c r="AE702" s="265"/>
      <c r="AF702" s="265"/>
      <c r="AG702" s="265"/>
      <c r="AH702" s="265"/>
      <c r="AI702" s="265"/>
      <c r="AJ702" s="265"/>
      <c r="AK702" s="265"/>
      <c r="AL702" s="265"/>
      <c r="AM702" s="265"/>
      <c r="AN702" s="265"/>
      <c r="AO702" s="265"/>
      <c r="AP702" s="265"/>
      <c r="AQ702" s="265"/>
      <c r="AR702" s="265"/>
      <c r="AS702" s="265"/>
      <c r="AT702" s="265"/>
      <c r="AU702" s="265"/>
      <c r="AV702" s="265"/>
      <c r="AW702" s="265"/>
      <c r="AX702" s="265"/>
      <c r="AY702" s="265"/>
      <c r="AZ702" s="265">
        <v>0</v>
      </c>
      <c r="BA702" s="265"/>
      <c r="BB702" s="265"/>
      <c r="BC702" s="265"/>
      <c r="BD702" s="265"/>
      <c r="BE702" s="265"/>
      <c r="BF702" s="265"/>
      <c r="BG702" s="265"/>
      <c r="BH702" s="265"/>
      <c r="BI702" s="265">
        <v>4.83</v>
      </c>
      <c r="BJ702" s="265">
        <v>22.78</v>
      </c>
      <c r="BK702" s="265">
        <v>177.5</v>
      </c>
      <c r="BL702" s="265">
        <v>23</v>
      </c>
      <c r="BM702" s="265"/>
      <c r="BN702" s="265"/>
      <c r="BO702" s="265"/>
      <c r="BP702" s="265"/>
      <c r="BQ702" s="265"/>
      <c r="BR702" s="265"/>
      <c r="BS702" s="265"/>
      <c r="BT702" s="265"/>
      <c r="BU702" s="265"/>
      <c r="BV702" s="265"/>
      <c r="BW702" s="265"/>
      <c r="BX702" s="265"/>
      <c r="BY702" s="265"/>
      <c r="BZ702" s="265"/>
      <c r="CA702" s="265"/>
      <c r="CB702" s="265"/>
      <c r="CC702" s="265"/>
      <c r="CD702" s="265"/>
      <c r="CE702" s="265"/>
      <c r="CF702" s="265"/>
      <c r="CG702" s="265"/>
      <c r="CH702" s="265"/>
      <c r="CI702" s="265"/>
      <c r="CJ702" s="265">
        <v>-0.03</v>
      </c>
      <c r="CK702" s="265"/>
      <c r="CL702" s="265"/>
      <c r="CM702" s="265"/>
      <c r="CN702" s="265"/>
      <c r="CO702" s="265">
        <v>0</v>
      </c>
      <c r="CP702" s="265">
        <v>0</v>
      </c>
      <c r="CQ702" s="265">
        <v>30</v>
      </c>
      <c r="CR702" s="265"/>
      <c r="CS702" s="265"/>
      <c r="CT702" s="265"/>
      <c r="CU702" s="265"/>
      <c r="CV702" s="265"/>
      <c r="CW702" s="265"/>
      <c r="CX702" s="265"/>
      <c r="CY702" s="265"/>
      <c r="CZ702" s="265"/>
      <c r="DA702" s="265"/>
      <c r="DB702" s="265"/>
      <c r="DC702" s="265"/>
      <c r="DD702" s="265"/>
      <c r="DE702" s="265"/>
      <c r="DF702" s="265"/>
      <c r="DG702" s="265"/>
      <c r="DH702" s="265"/>
      <c r="DI702" s="265"/>
      <c r="DJ702" s="265"/>
      <c r="DK702" s="265">
        <v>0</v>
      </c>
      <c r="DL702" s="265"/>
      <c r="DM702" s="265"/>
      <c r="DN702" s="265"/>
      <c r="DO702" s="265"/>
      <c r="DP702" s="265"/>
      <c r="DQ702" s="265"/>
      <c r="DR702" s="265"/>
      <c r="DS702" s="265"/>
      <c r="DT702" s="265"/>
      <c r="DU702" s="265"/>
      <c r="DV702" s="265"/>
      <c r="DW702" s="265"/>
      <c r="DX702" s="265"/>
      <c r="DY702" s="265"/>
      <c r="DZ702" s="265"/>
      <c r="EA702" s="265"/>
      <c r="EB702" s="265"/>
      <c r="EC702" s="265"/>
      <c r="ED702" s="265"/>
      <c r="EE702" s="265"/>
      <c r="EF702" s="265"/>
      <c r="EG702" s="265"/>
      <c r="EH702" s="265"/>
      <c r="EI702" s="265"/>
      <c r="EJ702" s="265"/>
      <c r="EK702" s="265"/>
      <c r="EL702" s="265"/>
      <c r="EM702" s="265"/>
      <c r="EN702" s="265"/>
      <c r="EO702" s="265"/>
      <c r="EP702" s="265"/>
      <c r="EQ702" s="265"/>
      <c r="ER702" s="265"/>
      <c r="ES702" s="265"/>
      <c r="ET702" s="265"/>
      <c r="EU702" s="265"/>
      <c r="EV702" s="265">
        <v>238</v>
      </c>
      <c r="EW702" s="265"/>
      <c r="EX702" s="265"/>
      <c r="EY702" s="265"/>
      <c r="EZ702" s="265"/>
      <c r="FA702" s="265">
        <v>0</v>
      </c>
      <c r="FB702" s="265"/>
      <c r="FC702" s="265"/>
      <c r="FD702" s="265"/>
      <c r="FE702" s="265"/>
      <c r="FF702" s="265">
        <v>0</v>
      </c>
      <c r="FG702" s="265">
        <v>0</v>
      </c>
      <c r="FH702" s="265">
        <v>0</v>
      </c>
      <c r="FI702" s="265">
        <v>0</v>
      </c>
    </row>
    <row r="703" spans="1:165">
      <c r="A703" s="265">
        <v>708</v>
      </c>
      <c r="B703" s="265" t="s">
        <v>2255</v>
      </c>
      <c r="C703" s="265" t="s">
        <v>2235</v>
      </c>
      <c r="D703" s="265" t="s">
        <v>2245</v>
      </c>
      <c r="E703" s="265" t="s">
        <v>974</v>
      </c>
      <c r="F703" s="265" t="s">
        <v>2252</v>
      </c>
      <c r="G703" s="265" t="s">
        <v>2253</v>
      </c>
      <c r="H703" s="265" t="s">
        <v>1322</v>
      </c>
      <c r="I703" s="265" t="s">
        <v>1322</v>
      </c>
      <c r="J703" s="265" t="s">
        <v>2236</v>
      </c>
      <c r="K703" s="1639">
        <v>44713</v>
      </c>
      <c r="L703" s="265">
        <v>0</v>
      </c>
      <c r="M703" s="265">
        <v>0</v>
      </c>
      <c r="N703" s="265">
        <v>48.018999999999998</v>
      </c>
      <c r="O703" s="265">
        <v>48.018999999999998</v>
      </c>
      <c r="P703" s="265">
        <v>48.018999999999998</v>
      </c>
      <c r="Q703" s="265">
        <v>48.018999999999998</v>
      </c>
      <c r="R703" s="265"/>
      <c r="S703" s="265">
        <v>581.32000000000005</v>
      </c>
      <c r="T703" s="265">
        <v>209.4</v>
      </c>
      <c r="U703" s="265"/>
      <c r="V703" s="265">
        <v>37969.583679999996</v>
      </c>
      <c r="W703" s="265">
        <v>37969.583679999996</v>
      </c>
      <c r="X703" s="265">
        <v>29006.837329999998</v>
      </c>
      <c r="Y703" s="265">
        <v>0</v>
      </c>
      <c r="Z703" s="265">
        <v>2954.9887791225624</v>
      </c>
      <c r="AA703" s="265">
        <v>0</v>
      </c>
      <c r="AB703" s="265">
        <v>0</v>
      </c>
      <c r="AC703" s="265">
        <v>0</v>
      </c>
      <c r="AD703" s="265">
        <v>3562.584581950216</v>
      </c>
      <c r="AE703" s="265">
        <v>18506.777671636355</v>
      </c>
      <c r="AF703" s="265">
        <v>9923.1621621392296</v>
      </c>
      <c r="AG703" s="265">
        <v>132.1946246153407</v>
      </c>
      <c r="AH703" s="265">
        <v>0</v>
      </c>
      <c r="AI703" s="265">
        <v>0</v>
      </c>
      <c r="AJ703" s="265">
        <v>0</v>
      </c>
      <c r="AK703" s="265">
        <v>0</v>
      </c>
      <c r="AL703" s="265">
        <v>456.64156139723912</v>
      </c>
      <c r="AM703" s="265"/>
      <c r="AN703" s="265">
        <v>87.536923481786502</v>
      </c>
      <c r="AO703" s="265">
        <v>273.68336733761578</v>
      </c>
      <c r="AP703" s="265">
        <v>412.25223719322622</v>
      </c>
      <c r="AQ703" s="265">
        <v>0</v>
      </c>
      <c r="AR703" s="265">
        <v>0</v>
      </c>
      <c r="AS703" s="265">
        <v>0</v>
      </c>
      <c r="AT703" s="265">
        <v>0</v>
      </c>
      <c r="AU703" s="265">
        <v>0</v>
      </c>
      <c r="AV703" s="265">
        <v>0</v>
      </c>
      <c r="AW703" s="265">
        <v>0</v>
      </c>
      <c r="AX703" s="265">
        <v>0</v>
      </c>
      <c r="AY703" s="265">
        <v>0</v>
      </c>
      <c r="AZ703" s="265">
        <v>0</v>
      </c>
      <c r="BA703" s="265"/>
      <c r="BB703" s="265">
        <v>0</v>
      </c>
      <c r="BC703" s="265">
        <v>0</v>
      </c>
      <c r="BD703" s="265">
        <v>0</v>
      </c>
      <c r="BE703" s="265">
        <v>0</v>
      </c>
      <c r="BF703" s="265">
        <v>0</v>
      </c>
      <c r="BG703" s="265">
        <v>1660.1264793427586</v>
      </c>
      <c r="BH703" s="265">
        <v>0</v>
      </c>
      <c r="BI703" s="265">
        <v>0</v>
      </c>
      <c r="BJ703" s="265">
        <v>0</v>
      </c>
      <c r="BK703" s="265">
        <v>0</v>
      </c>
      <c r="BL703" s="265">
        <v>0</v>
      </c>
      <c r="BM703" s="265"/>
      <c r="BN703" s="265"/>
      <c r="BO703" s="265"/>
      <c r="BP703" s="265"/>
      <c r="BQ703" s="265"/>
      <c r="BR703" s="265">
        <v>3480.8973099999967</v>
      </c>
      <c r="BS703" s="265"/>
      <c r="BT703" s="265"/>
      <c r="BU703" s="265"/>
      <c r="BV703" s="265">
        <v>11583.288641481988</v>
      </c>
      <c r="BW703" s="265"/>
      <c r="BX703" s="265"/>
      <c r="BY703" s="265"/>
      <c r="BZ703" s="265"/>
      <c r="CA703" s="265"/>
      <c r="CB703" s="265"/>
      <c r="CC703" s="265"/>
      <c r="CD703" s="265"/>
      <c r="CE703" s="265"/>
      <c r="CF703" s="265"/>
      <c r="CG703" s="265"/>
      <c r="CH703" s="265"/>
      <c r="CI703" s="265">
        <v>25526.471600000004</v>
      </c>
      <c r="CJ703" s="265">
        <v>-7887.5795499999949</v>
      </c>
      <c r="CK703" s="265"/>
      <c r="CL703" s="265"/>
      <c r="CM703" s="265"/>
      <c r="CN703" s="265"/>
      <c r="CO703" s="265">
        <v>-10059.020120000003</v>
      </c>
      <c r="CP703" s="265">
        <v>1096.2737699999991</v>
      </c>
      <c r="CQ703" s="265">
        <v>30</v>
      </c>
      <c r="CR703" s="265">
        <v>1418.6671275802473</v>
      </c>
      <c r="CS703" s="265">
        <v>33.042348653002136</v>
      </c>
      <c r="CT703" s="265">
        <v>49.772049674888365</v>
      </c>
      <c r="CU703" s="265">
        <v>0</v>
      </c>
      <c r="CV703" s="265">
        <v>0</v>
      </c>
      <c r="CW703" s="265">
        <v>0</v>
      </c>
      <c r="CX703" s="265">
        <v>0</v>
      </c>
      <c r="CY703" s="265">
        <v>0</v>
      </c>
      <c r="CZ703" s="265">
        <v>116.79020714462104</v>
      </c>
      <c r="DA703" s="265">
        <v>0</v>
      </c>
      <c r="DB703" s="265">
        <v>0</v>
      </c>
      <c r="DC703" s="265">
        <v>1095.9416766636805</v>
      </c>
      <c r="DD703" s="265">
        <v>0</v>
      </c>
      <c r="DE703" s="265">
        <v>0</v>
      </c>
      <c r="DF703" s="265">
        <v>0</v>
      </c>
      <c r="DG703" s="265">
        <v>183.34899374982888</v>
      </c>
      <c r="DH703" s="265">
        <v>0</v>
      </c>
      <c r="DI703" s="265">
        <v>-51.511727373576377</v>
      </c>
      <c r="DJ703" s="265"/>
      <c r="DK703" s="265">
        <v>0</v>
      </c>
      <c r="DL703" s="265">
        <v>0</v>
      </c>
      <c r="DM703" s="265">
        <v>0</v>
      </c>
      <c r="DN703" s="265">
        <v>0</v>
      </c>
      <c r="DO703" s="265">
        <v>-6.6925259659552694</v>
      </c>
      <c r="DP703" s="265">
        <v>-2.0238949662442565</v>
      </c>
      <c r="DQ703" s="265">
        <v>0</v>
      </c>
      <c r="DR703" s="265">
        <v>0</v>
      </c>
      <c r="DS703" s="265"/>
      <c r="DT703" s="265"/>
      <c r="DU703" s="265"/>
      <c r="DV703" s="265">
        <v>18506.777671636355</v>
      </c>
      <c r="DW703" s="265">
        <v>0</v>
      </c>
      <c r="DX703" s="265">
        <v>0</v>
      </c>
      <c r="DY703" s="265">
        <v>-10059.020120000001</v>
      </c>
      <c r="DZ703" s="265">
        <v>1096.2737699999998</v>
      </c>
      <c r="EA703" s="265">
        <v>0</v>
      </c>
      <c r="EB703" s="265">
        <v>0</v>
      </c>
      <c r="EC703" s="265">
        <v>-10382.111639085753</v>
      </c>
      <c r="ED703" s="265">
        <v>0</v>
      </c>
      <c r="EE703" s="265">
        <v>0</v>
      </c>
      <c r="EF703" s="265">
        <v>0</v>
      </c>
      <c r="EG703" s="265">
        <v>0</v>
      </c>
      <c r="EH703" s="265">
        <v>0</v>
      </c>
      <c r="EI703" s="265">
        <v>0</v>
      </c>
      <c r="EJ703" s="265">
        <v>0</v>
      </c>
      <c r="EK703" s="265">
        <v>0</v>
      </c>
      <c r="EL703" s="265">
        <v>0</v>
      </c>
      <c r="EM703" s="265">
        <v>0</v>
      </c>
      <c r="EN703" s="265">
        <v>0</v>
      </c>
      <c r="EO703" s="265">
        <v>0</v>
      </c>
      <c r="EP703" s="265">
        <v>0</v>
      </c>
      <c r="EQ703" s="265">
        <v>0</v>
      </c>
      <c r="ER703" s="265">
        <v>0</v>
      </c>
      <c r="ES703" s="265">
        <v>0</v>
      </c>
      <c r="ET703" s="265">
        <v>0</v>
      </c>
      <c r="EU703" s="265">
        <v>0</v>
      </c>
      <c r="EV703" s="265">
        <v>238</v>
      </c>
      <c r="EW703" s="265">
        <v>0</v>
      </c>
      <c r="EX703" s="265">
        <v>0</v>
      </c>
      <c r="EY703" s="265">
        <v>0</v>
      </c>
      <c r="EZ703" s="265"/>
      <c r="FA703" s="265">
        <v>0</v>
      </c>
      <c r="FB703" s="265"/>
      <c r="FC703" s="265"/>
      <c r="FD703" s="265"/>
      <c r="FE703" s="265"/>
      <c r="FF703" s="265">
        <v>0</v>
      </c>
      <c r="FG703" s="265">
        <v>0</v>
      </c>
      <c r="FH703" s="265">
        <v>0</v>
      </c>
      <c r="FI703" s="265">
        <v>0</v>
      </c>
    </row>
    <row r="704" spans="1:165">
      <c r="A704" s="265">
        <v>709</v>
      </c>
      <c r="B704" s="265" t="s">
        <v>2255</v>
      </c>
      <c r="C704" s="265" t="s">
        <v>2235</v>
      </c>
      <c r="D704" s="265" t="s">
        <v>2245</v>
      </c>
      <c r="E704" s="265" t="s">
        <v>974</v>
      </c>
      <c r="F704" s="265" t="s">
        <v>2252</v>
      </c>
      <c r="G704" s="265" t="s">
        <v>2253</v>
      </c>
      <c r="H704" s="265" t="s">
        <v>1322</v>
      </c>
      <c r="I704" s="265" t="s">
        <v>1322</v>
      </c>
      <c r="J704" s="265" t="s">
        <v>2236</v>
      </c>
      <c r="K704" s="1639">
        <v>44713</v>
      </c>
      <c r="L704" s="265">
        <v>0</v>
      </c>
      <c r="M704" s="265">
        <v>0</v>
      </c>
      <c r="N704" s="265">
        <v>1.952</v>
      </c>
      <c r="O704" s="265">
        <v>1.952</v>
      </c>
      <c r="P704" s="265">
        <v>1.952</v>
      </c>
      <c r="Q704" s="265">
        <v>1.952</v>
      </c>
      <c r="R704" s="265"/>
      <c r="S704" s="265">
        <v>581.32000000000005</v>
      </c>
      <c r="T704" s="265">
        <v>209.4</v>
      </c>
      <c r="U704" s="265"/>
      <c r="V704" s="265">
        <v>1543.4854400000002</v>
      </c>
      <c r="W704" s="265">
        <v>1543.4854400000002</v>
      </c>
      <c r="X704" s="265">
        <v>1179.14464</v>
      </c>
      <c r="Y704" s="265">
        <v>0</v>
      </c>
      <c r="Z704" s="265">
        <v>120.12199539447388</v>
      </c>
      <c r="AA704" s="265">
        <v>0</v>
      </c>
      <c r="AB704" s="265">
        <v>0</v>
      </c>
      <c r="AC704" s="265">
        <v>0</v>
      </c>
      <c r="AD704" s="265">
        <v>144.82111464142989</v>
      </c>
      <c r="AE704" s="265">
        <v>752.31116880889158</v>
      </c>
      <c r="AF704" s="265">
        <v>403.38225578408077</v>
      </c>
      <c r="AG704" s="265">
        <v>5.3737876100948592</v>
      </c>
      <c r="AH704" s="265">
        <v>0</v>
      </c>
      <c r="AI704" s="265">
        <v>0</v>
      </c>
      <c r="AJ704" s="265">
        <v>0</v>
      </c>
      <c r="AK704" s="265">
        <v>0</v>
      </c>
      <c r="AL704" s="265">
        <v>18.56274241128326</v>
      </c>
      <c r="AM704" s="265"/>
      <c r="AN704" s="265">
        <v>3.558426344497954</v>
      </c>
      <c r="AO704" s="265">
        <v>11.12538647291751</v>
      </c>
      <c r="AP704" s="265">
        <v>16.758290822407332</v>
      </c>
      <c r="AQ704" s="265">
        <v>0</v>
      </c>
      <c r="AR704" s="265">
        <v>0</v>
      </c>
      <c r="AS704" s="265">
        <v>0</v>
      </c>
      <c r="AT704" s="265">
        <v>0</v>
      </c>
      <c r="AU704" s="265">
        <v>0</v>
      </c>
      <c r="AV704" s="265">
        <v>0</v>
      </c>
      <c r="AW704" s="265">
        <v>0</v>
      </c>
      <c r="AX704" s="265">
        <v>0</v>
      </c>
      <c r="AY704" s="265">
        <v>0</v>
      </c>
      <c r="AZ704" s="265">
        <v>0</v>
      </c>
      <c r="BA704" s="265"/>
      <c r="BB704" s="265">
        <v>0</v>
      </c>
      <c r="BC704" s="265">
        <v>0</v>
      </c>
      <c r="BD704" s="265">
        <v>0</v>
      </c>
      <c r="BE704" s="265">
        <v>0</v>
      </c>
      <c r="BF704" s="265">
        <v>0</v>
      </c>
      <c r="BG704" s="265">
        <v>67.485097308920729</v>
      </c>
      <c r="BH704" s="265">
        <v>0</v>
      </c>
      <c r="BI704" s="265">
        <v>0</v>
      </c>
      <c r="BJ704" s="265">
        <v>0</v>
      </c>
      <c r="BK704" s="265">
        <v>0</v>
      </c>
      <c r="BL704" s="265">
        <v>0</v>
      </c>
      <c r="BM704" s="265"/>
      <c r="BN704" s="265"/>
      <c r="BO704" s="265"/>
      <c r="BP704" s="265"/>
      <c r="BQ704" s="265"/>
      <c r="BR704" s="265">
        <v>141.50047999999984</v>
      </c>
      <c r="BS704" s="265"/>
      <c r="BT704" s="265"/>
      <c r="BU704" s="265"/>
      <c r="BV704" s="265">
        <v>470.8673530930015</v>
      </c>
      <c r="BW704" s="265"/>
      <c r="BX704" s="265"/>
      <c r="BY704" s="265"/>
      <c r="BZ704" s="265"/>
      <c r="CA704" s="265"/>
      <c r="CB704" s="265"/>
      <c r="CC704" s="265"/>
      <c r="CD704" s="265"/>
      <c r="CE704" s="265"/>
      <c r="CF704" s="265"/>
      <c r="CG704" s="265"/>
      <c r="CH704" s="265"/>
      <c r="CI704" s="265">
        <v>1036.5810000000001</v>
      </c>
      <c r="CJ704" s="265">
        <v>-321.74819999999977</v>
      </c>
      <c r="CK704" s="265"/>
      <c r="CL704" s="265"/>
      <c r="CM704" s="265"/>
      <c r="CN704" s="265"/>
      <c r="CO704" s="265">
        <v>-408.90496000000013</v>
      </c>
      <c r="CP704" s="265">
        <v>44.564159999999966</v>
      </c>
      <c r="CQ704" s="265">
        <v>30</v>
      </c>
      <c r="CR704" s="265">
        <v>57.669635624162311</v>
      </c>
      <c r="CS704" s="265">
        <v>1.3431904989829064</v>
      </c>
      <c r="CT704" s="265">
        <v>2.023262478714301</v>
      </c>
      <c r="CU704" s="265">
        <v>0</v>
      </c>
      <c r="CV704" s="265">
        <v>0</v>
      </c>
      <c r="CW704" s="265">
        <v>0</v>
      </c>
      <c r="CX704" s="265">
        <v>0</v>
      </c>
      <c r="CY704" s="265">
        <v>0</v>
      </c>
      <c r="CZ704" s="265">
        <v>4.7475891698348676</v>
      </c>
      <c r="DA704" s="265">
        <v>0</v>
      </c>
      <c r="DB704" s="265">
        <v>0</v>
      </c>
      <c r="DC704" s="265">
        <v>44.550660214654727</v>
      </c>
      <c r="DD704" s="265">
        <v>0</v>
      </c>
      <c r="DE704" s="265">
        <v>0</v>
      </c>
      <c r="DF704" s="265">
        <v>0</v>
      </c>
      <c r="DG704" s="265">
        <v>7.4532421708004364</v>
      </c>
      <c r="DH704" s="265">
        <v>0</v>
      </c>
      <c r="DI704" s="265">
        <v>-2.093981378896288</v>
      </c>
      <c r="DJ704" s="265"/>
      <c r="DK704" s="265">
        <v>0</v>
      </c>
      <c r="DL704" s="265">
        <v>0</v>
      </c>
      <c r="DM704" s="265">
        <v>0</v>
      </c>
      <c r="DN704" s="265">
        <v>0</v>
      </c>
      <c r="DO704" s="265">
        <v>-0.27205503416449162</v>
      </c>
      <c r="DP704" s="265">
        <v>-8.2272495764359466E-2</v>
      </c>
      <c r="DQ704" s="265">
        <v>0</v>
      </c>
      <c r="DR704" s="265">
        <v>0</v>
      </c>
      <c r="DS704" s="265"/>
      <c r="DT704" s="265"/>
      <c r="DU704" s="265"/>
      <c r="DV704" s="265">
        <v>752.31116880889158</v>
      </c>
      <c r="DW704" s="265">
        <v>0</v>
      </c>
      <c r="DX704" s="265">
        <v>0</v>
      </c>
      <c r="DY704" s="265">
        <v>-408.90496000000019</v>
      </c>
      <c r="DZ704" s="265">
        <v>44.564159999999958</v>
      </c>
      <c r="EA704" s="265">
        <v>0</v>
      </c>
      <c r="EB704" s="265">
        <v>0</v>
      </c>
      <c r="EC704" s="265">
        <v>-422.03881629137197</v>
      </c>
      <c r="ED704" s="265">
        <v>0</v>
      </c>
      <c r="EE704" s="265">
        <v>0</v>
      </c>
      <c r="EF704" s="265">
        <v>0</v>
      </c>
      <c r="EG704" s="265">
        <v>0</v>
      </c>
      <c r="EH704" s="265">
        <v>0</v>
      </c>
      <c r="EI704" s="265">
        <v>0</v>
      </c>
      <c r="EJ704" s="265">
        <v>0</v>
      </c>
      <c r="EK704" s="265">
        <v>0</v>
      </c>
      <c r="EL704" s="265">
        <v>0</v>
      </c>
      <c r="EM704" s="265">
        <v>0</v>
      </c>
      <c r="EN704" s="265">
        <v>0</v>
      </c>
      <c r="EO704" s="265">
        <v>0</v>
      </c>
      <c r="EP704" s="265">
        <v>0</v>
      </c>
      <c r="EQ704" s="265">
        <v>0</v>
      </c>
      <c r="ER704" s="265">
        <v>0</v>
      </c>
      <c r="ES704" s="265">
        <v>0</v>
      </c>
      <c r="ET704" s="265">
        <v>0</v>
      </c>
      <c r="EU704" s="265">
        <v>0</v>
      </c>
      <c r="EV704" s="265">
        <v>238</v>
      </c>
      <c r="EW704" s="265">
        <v>0</v>
      </c>
      <c r="EX704" s="265">
        <v>0</v>
      </c>
      <c r="EY704" s="265">
        <v>0</v>
      </c>
      <c r="EZ704" s="265"/>
      <c r="FA704" s="265">
        <v>0</v>
      </c>
      <c r="FB704" s="265"/>
      <c r="FC704" s="265"/>
      <c r="FD704" s="265"/>
      <c r="FE704" s="265"/>
      <c r="FF704" s="265">
        <v>0</v>
      </c>
      <c r="FG704" s="265">
        <v>0</v>
      </c>
      <c r="FH704" s="265">
        <v>0</v>
      </c>
      <c r="FI704" s="265">
        <v>0</v>
      </c>
    </row>
    <row r="705" spans="1:165">
      <c r="A705" s="265">
        <v>710</v>
      </c>
      <c r="B705" s="265" t="s">
        <v>2255</v>
      </c>
      <c r="C705" s="265" t="s">
        <v>2235</v>
      </c>
      <c r="D705" s="265" t="s">
        <v>2245</v>
      </c>
      <c r="E705" s="265" t="s">
        <v>974</v>
      </c>
      <c r="F705" s="265" t="s">
        <v>2252</v>
      </c>
      <c r="G705" s="265" t="s">
        <v>2254</v>
      </c>
      <c r="H705" s="265" t="s">
        <v>1322</v>
      </c>
      <c r="I705" s="265" t="s">
        <v>1322</v>
      </c>
      <c r="J705" s="265" t="s">
        <v>2236</v>
      </c>
      <c r="K705" s="1639">
        <v>44713</v>
      </c>
      <c r="L705" s="265">
        <v>0</v>
      </c>
      <c r="M705" s="265">
        <v>0</v>
      </c>
      <c r="N705" s="265">
        <v>28.355</v>
      </c>
      <c r="O705" s="265">
        <v>11.342000000000001</v>
      </c>
      <c r="P705" s="265">
        <v>28.355</v>
      </c>
      <c r="Q705" s="265">
        <v>11.342000000000001</v>
      </c>
      <c r="R705" s="265"/>
      <c r="S705" s="265">
        <v>581.32000000000005</v>
      </c>
      <c r="T705" s="265">
        <v>209.4</v>
      </c>
      <c r="U705" s="265"/>
      <c r="V705" s="265">
        <v>22420.865600000001</v>
      </c>
      <c r="W705" s="265">
        <v>22420.865600000001</v>
      </c>
      <c r="X705" s="265">
        <v>17128.404849999999</v>
      </c>
      <c r="Y705" s="265">
        <v>0</v>
      </c>
      <c r="Z705" s="265">
        <v>1744.907366501182</v>
      </c>
      <c r="AA705" s="265">
        <v>0</v>
      </c>
      <c r="AB705" s="265">
        <v>0</v>
      </c>
      <c r="AC705" s="265">
        <v>0</v>
      </c>
      <c r="AD705" s="265">
        <v>2103.6899106853202</v>
      </c>
      <c r="AE705" s="265">
        <v>10928.167618635307</v>
      </c>
      <c r="AF705" s="265">
        <v>5859.581896904514</v>
      </c>
      <c r="AG705" s="265">
        <v>78.060321559549038</v>
      </c>
      <c r="AH705" s="265">
        <v>0</v>
      </c>
      <c r="AI705" s="265">
        <v>0</v>
      </c>
      <c r="AJ705" s="265">
        <v>0</v>
      </c>
      <c r="AK705" s="265">
        <v>0</v>
      </c>
      <c r="AL705" s="265">
        <v>269.64475464750859</v>
      </c>
      <c r="AM705" s="265"/>
      <c r="AN705" s="265">
        <v>51.690153175327609</v>
      </c>
      <c r="AO705" s="265">
        <v>161.60877737683199</v>
      </c>
      <c r="AP705" s="265">
        <v>243.43306161340158</v>
      </c>
      <c r="AQ705" s="265">
        <v>0</v>
      </c>
      <c r="AR705" s="265">
        <v>0</v>
      </c>
      <c r="AS705" s="265">
        <v>0</v>
      </c>
      <c r="AT705" s="265">
        <v>0</v>
      </c>
      <c r="AU705" s="265">
        <v>0</v>
      </c>
      <c r="AV705" s="265">
        <v>0</v>
      </c>
      <c r="AW705" s="265">
        <v>0</v>
      </c>
      <c r="AX705" s="265">
        <v>0</v>
      </c>
      <c r="AY705" s="265">
        <v>0</v>
      </c>
      <c r="AZ705" s="265">
        <v>0</v>
      </c>
      <c r="BA705" s="265"/>
      <c r="BB705" s="265">
        <v>0</v>
      </c>
      <c r="BC705" s="265">
        <v>0</v>
      </c>
      <c r="BD705" s="265">
        <v>0</v>
      </c>
      <c r="BE705" s="265">
        <v>0</v>
      </c>
      <c r="BF705" s="265">
        <v>0</v>
      </c>
      <c r="BG705" s="265">
        <v>980.29709743568003</v>
      </c>
      <c r="BH705" s="265">
        <v>0</v>
      </c>
      <c r="BI705" s="265">
        <v>0</v>
      </c>
      <c r="BJ705" s="265">
        <v>0</v>
      </c>
      <c r="BK705" s="265">
        <v>0</v>
      </c>
      <c r="BL705" s="265">
        <v>0</v>
      </c>
      <c r="BM705" s="265"/>
      <c r="BN705" s="265"/>
      <c r="BO705" s="265"/>
      <c r="BP705" s="265"/>
      <c r="BQ705" s="265"/>
      <c r="BR705" s="265"/>
      <c r="BS705" s="265">
        <v>11099.224489999997</v>
      </c>
      <c r="BT705" s="265"/>
      <c r="BU705" s="265"/>
      <c r="BV705" s="265">
        <v>6839.8789943401944</v>
      </c>
      <c r="BW705" s="265"/>
      <c r="BX705" s="265"/>
      <c r="BY705" s="265"/>
      <c r="BZ705" s="265"/>
      <c r="CA705" s="265"/>
      <c r="CB705" s="265"/>
      <c r="CC705" s="265"/>
      <c r="CD705" s="265"/>
      <c r="CE705" s="265"/>
      <c r="CF705" s="265"/>
      <c r="CG705" s="265"/>
      <c r="CH705" s="265"/>
      <c r="CI705" s="265">
        <v>6028.1172000000006</v>
      </c>
      <c r="CJ705" s="265">
        <v>-1864.2435000000005</v>
      </c>
      <c r="CK705" s="265"/>
      <c r="CL705" s="265"/>
      <c r="CM705" s="265"/>
      <c r="CN705" s="265"/>
      <c r="CO705" s="265">
        <v>-5939.805400000002</v>
      </c>
      <c r="CP705" s="265">
        <v>647.34464999999955</v>
      </c>
      <c r="CQ705" s="265">
        <v>30</v>
      </c>
      <c r="CR705" s="265">
        <v>837.71645395651467</v>
      </c>
      <c r="CS705" s="265">
        <v>19.511355839477602</v>
      </c>
      <c r="CT705" s="265">
        <v>29.390167819643494</v>
      </c>
      <c r="CU705" s="265">
        <v>0</v>
      </c>
      <c r="CV705" s="265">
        <v>0</v>
      </c>
      <c r="CW705" s="265">
        <v>0</v>
      </c>
      <c r="CX705" s="265">
        <v>0</v>
      </c>
      <c r="CY705" s="265">
        <v>0</v>
      </c>
      <c r="CZ705" s="265">
        <v>68.964083458333334</v>
      </c>
      <c r="DA705" s="265">
        <v>0</v>
      </c>
      <c r="DB705" s="265">
        <v>0</v>
      </c>
      <c r="DC705" s="265">
        <v>647.14855040293787</v>
      </c>
      <c r="DD705" s="265">
        <v>0</v>
      </c>
      <c r="DE705" s="265">
        <v>0</v>
      </c>
      <c r="DF705" s="265">
        <v>0</v>
      </c>
      <c r="DG705" s="265">
        <v>108.26674270135561</v>
      </c>
      <c r="DH705" s="265">
        <v>0</v>
      </c>
      <c r="DI705" s="265">
        <v>-30.417439548465381</v>
      </c>
      <c r="DJ705" s="265"/>
      <c r="DK705" s="265">
        <v>0</v>
      </c>
      <c r="DL705" s="265">
        <v>0</v>
      </c>
      <c r="DM705" s="265">
        <v>0</v>
      </c>
      <c r="DN705" s="265">
        <v>0</v>
      </c>
      <c r="DO705" s="265">
        <v>-3.9519059906424445</v>
      </c>
      <c r="DP705" s="265">
        <v>-1.1951007261262419</v>
      </c>
      <c r="DQ705" s="265">
        <v>0</v>
      </c>
      <c r="DR705" s="265">
        <v>0</v>
      </c>
      <c r="DS705" s="265"/>
      <c r="DT705" s="265"/>
      <c r="DU705" s="265"/>
      <c r="DV705" s="265">
        <v>10928.167618635307</v>
      </c>
      <c r="DW705" s="265">
        <v>0</v>
      </c>
      <c r="DX705" s="265">
        <v>0</v>
      </c>
      <c r="DY705" s="265">
        <v>-5939.8054000000011</v>
      </c>
      <c r="DZ705" s="265">
        <v>647.34465</v>
      </c>
      <c r="EA705" s="265">
        <v>0</v>
      </c>
      <c r="EB705" s="265">
        <v>0</v>
      </c>
      <c r="EC705" s="265">
        <v>-6130.589465134145</v>
      </c>
      <c r="ED705" s="265">
        <v>0</v>
      </c>
      <c r="EE705" s="265">
        <v>0</v>
      </c>
      <c r="EF705" s="265">
        <v>0</v>
      </c>
      <c r="EG705" s="265">
        <v>0</v>
      </c>
      <c r="EH705" s="265">
        <v>0</v>
      </c>
      <c r="EI705" s="265">
        <v>0</v>
      </c>
      <c r="EJ705" s="265">
        <v>0</v>
      </c>
      <c r="EK705" s="265">
        <v>0</v>
      </c>
      <c r="EL705" s="265">
        <v>0</v>
      </c>
      <c r="EM705" s="265">
        <v>0</v>
      </c>
      <c r="EN705" s="265">
        <v>0</v>
      </c>
      <c r="EO705" s="265">
        <v>0</v>
      </c>
      <c r="EP705" s="265">
        <v>0</v>
      </c>
      <c r="EQ705" s="265">
        <v>0</v>
      </c>
      <c r="ER705" s="265">
        <v>0</v>
      </c>
      <c r="ES705" s="265">
        <v>0</v>
      </c>
      <c r="ET705" s="265">
        <v>0</v>
      </c>
      <c r="EU705" s="265">
        <v>0</v>
      </c>
      <c r="EV705" s="265">
        <v>238</v>
      </c>
      <c r="EW705" s="265">
        <v>0</v>
      </c>
      <c r="EX705" s="265">
        <v>0</v>
      </c>
      <c r="EY705" s="265">
        <v>0</v>
      </c>
      <c r="EZ705" s="265"/>
      <c r="FA705" s="265">
        <v>0</v>
      </c>
      <c r="FB705" s="265"/>
      <c r="FC705" s="265"/>
      <c r="FD705" s="265"/>
      <c r="FE705" s="265"/>
      <c r="FF705" s="265">
        <v>0</v>
      </c>
      <c r="FG705" s="265">
        <v>0</v>
      </c>
      <c r="FH705" s="265">
        <v>0</v>
      </c>
      <c r="FI705" s="265">
        <v>0</v>
      </c>
    </row>
    <row r="706" spans="1:165">
      <c r="A706" s="265">
        <v>711</v>
      </c>
      <c r="B706" s="265" t="s">
        <v>2255</v>
      </c>
      <c r="C706" s="265" t="s">
        <v>2235</v>
      </c>
      <c r="D706" s="265" t="s">
        <v>2245</v>
      </c>
      <c r="E706" s="265" t="s">
        <v>974</v>
      </c>
      <c r="F706" s="265" t="s">
        <v>2252</v>
      </c>
      <c r="G706" s="265" t="s">
        <v>2254</v>
      </c>
      <c r="H706" s="265" t="s">
        <v>1322</v>
      </c>
      <c r="I706" s="265" t="s">
        <v>1322</v>
      </c>
      <c r="J706" s="265" t="s">
        <v>2236</v>
      </c>
      <c r="K706" s="1639">
        <v>44713</v>
      </c>
      <c r="L706" s="265">
        <v>0</v>
      </c>
      <c r="M706" s="265">
        <v>0</v>
      </c>
      <c r="N706" s="265">
        <v>0.29299999999999998</v>
      </c>
      <c r="O706" s="265">
        <v>0.1172</v>
      </c>
      <c r="P706" s="265">
        <v>0.29299999999999998</v>
      </c>
      <c r="Q706" s="265">
        <v>0.1172</v>
      </c>
      <c r="R706" s="265"/>
      <c r="S706" s="265">
        <v>581.32000000000005</v>
      </c>
      <c r="T706" s="265">
        <v>209.4</v>
      </c>
      <c r="U706" s="265"/>
      <c r="V706" s="265">
        <v>231.68096</v>
      </c>
      <c r="W706" s="265">
        <v>231.68096</v>
      </c>
      <c r="X706" s="265">
        <v>176.99250999999998</v>
      </c>
      <c r="Y706" s="265">
        <v>0</v>
      </c>
      <c r="Z706" s="265">
        <v>18.030606890666419</v>
      </c>
      <c r="AA706" s="265">
        <v>0</v>
      </c>
      <c r="AB706" s="265">
        <v>0</v>
      </c>
      <c r="AC706" s="265">
        <v>0</v>
      </c>
      <c r="AD706" s="265">
        <v>21.738005425173647</v>
      </c>
      <c r="AE706" s="265">
        <v>112.92375638371169</v>
      </c>
      <c r="AF706" s="265">
        <v>60.54866851677032</v>
      </c>
      <c r="AG706" s="265">
        <v>0.80661873450706645</v>
      </c>
      <c r="AH706" s="265">
        <v>0</v>
      </c>
      <c r="AI706" s="265">
        <v>0</v>
      </c>
      <c r="AJ706" s="265">
        <v>0</v>
      </c>
      <c r="AK706" s="265">
        <v>0</v>
      </c>
      <c r="AL706" s="265">
        <v>2.7863132820215135</v>
      </c>
      <c r="AM706" s="265"/>
      <c r="AN706" s="265">
        <v>0.53412854453785885</v>
      </c>
      <c r="AO706" s="265">
        <v>1.6699478670926386</v>
      </c>
      <c r="AP706" s="265">
        <v>2.5154606613551986</v>
      </c>
      <c r="AQ706" s="265">
        <v>0</v>
      </c>
      <c r="AR706" s="265">
        <v>0</v>
      </c>
      <c r="AS706" s="265">
        <v>0</v>
      </c>
      <c r="AT706" s="265">
        <v>0</v>
      </c>
      <c r="AU706" s="265">
        <v>0</v>
      </c>
      <c r="AV706" s="265">
        <v>0</v>
      </c>
      <c r="AW706" s="265">
        <v>0</v>
      </c>
      <c r="AX706" s="265">
        <v>0</v>
      </c>
      <c r="AY706" s="265">
        <v>0</v>
      </c>
      <c r="AZ706" s="265">
        <v>0</v>
      </c>
      <c r="BA706" s="265"/>
      <c r="BB706" s="265">
        <v>0</v>
      </c>
      <c r="BC706" s="265">
        <v>0</v>
      </c>
      <c r="BD706" s="265">
        <v>0</v>
      </c>
      <c r="BE706" s="265">
        <v>0</v>
      </c>
      <c r="BF706" s="265">
        <v>0</v>
      </c>
      <c r="BG706" s="265">
        <v>10.129679053029596</v>
      </c>
      <c r="BH706" s="265">
        <v>0</v>
      </c>
      <c r="BI706" s="265">
        <v>0</v>
      </c>
      <c r="BJ706" s="265">
        <v>0</v>
      </c>
      <c r="BK706" s="265">
        <v>0</v>
      </c>
      <c r="BL706" s="265">
        <v>0</v>
      </c>
      <c r="BM706" s="265"/>
      <c r="BN706" s="265"/>
      <c r="BO706" s="265"/>
      <c r="BP706" s="265"/>
      <c r="BQ706" s="265"/>
      <c r="BR706" s="265"/>
      <c r="BS706" s="265">
        <v>114.69133399999998</v>
      </c>
      <c r="BT706" s="265"/>
      <c r="BU706" s="265"/>
      <c r="BV706" s="265">
        <v>70.678347569799911</v>
      </c>
      <c r="BW706" s="265"/>
      <c r="BX706" s="265"/>
      <c r="BY706" s="265"/>
      <c r="BZ706" s="265"/>
      <c r="CA706" s="265"/>
      <c r="CB706" s="265"/>
      <c r="CC706" s="265"/>
      <c r="CD706" s="265"/>
      <c r="CE706" s="265"/>
      <c r="CF706" s="265"/>
      <c r="CG706" s="265"/>
      <c r="CH706" s="265"/>
      <c r="CI706" s="265">
        <v>63.789600000000007</v>
      </c>
      <c r="CJ706" s="265">
        <v>-17.794019999999989</v>
      </c>
      <c r="CK706" s="265"/>
      <c r="CL706" s="265"/>
      <c r="CM706" s="265"/>
      <c r="CN706" s="265"/>
      <c r="CO706" s="265">
        <v>-61.377640000000021</v>
      </c>
      <c r="CP706" s="265">
        <v>6.6891899999999946</v>
      </c>
      <c r="CQ706" s="265">
        <v>30</v>
      </c>
      <c r="CR706" s="265">
        <v>8.6563541177661421</v>
      </c>
      <c r="CS706" s="265">
        <v>0.20161619682479071</v>
      </c>
      <c r="CT706" s="265">
        <v>0.30369667329062011</v>
      </c>
      <c r="CU706" s="265">
        <v>0</v>
      </c>
      <c r="CV706" s="265">
        <v>0</v>
      </c>
      <c r="CW706" s="265">
        <v>0</v>
      </c>
      <c r="CX706" s="265">
        <v>0</v>
      </c>
      <c r="CY706" s="265">
        <v>0</v>
      </c>
      <c r="CZ706" s="265">
        <v>0.71262480879180856</v>
      </c>
      <c r="DA706" s="265">
        <v>0</v>
      </c>
      <c r="DB706" s="265">
        <v>0</v>
      </c>
      <c r="DC706" s="265">
        <v>6.6871636490234749</v>
      </c>
      <c r="DD706" s="265">
        <v>0</v>
      </c>
      <c r="DE706" s="265">
        <v>0</v>
      </c>
      <c r="DF706" s="265">
        <v>0</v>
      </c>
      <c r="DG706" s="265">
        <v>1.1187499774818281</v>
      </c>
      <c r="DH706" s="265">
        <v>0</v>
      </c>
      <c r="DI706" s="265">
        <v>-0.31431175410687473</v>
      </c>
      <c r="DJ706" s="265"/>
      <c r="DK706" s="265">
        <v>0</v>
      </c>
      <c r="DL706" s="265">
        <v>0</v>
      </c>
      <c r="DM706" s="265">
        <v>0</v>
      </c>
      <c r="DN706" s="265">
        <v>0</v>
      </c>
      <c r="DO706" s="265">
        <v>-4.0836129615879013E-2</v>
      </c>
      <c r="DP706" s="265">
        <v>-1.2349303923646193E-2</v>
      </c>
      <c r="DQ706" s="265">
        <v>0</v>
      </c>
      <c r="DR706" s="265">
        <v>0</v>
      </c>
      <c r="DS706" s="265"/>
      <c r="DT706" s="265"/>
      <c r="DU706" s="265"/>
      <c r="DV706" s="265">
        <v>112.92375638371169</v>
      </c>
      <c r="DW706" s="265">
        <v>0</v>
      </c>
      <c r="DX706" s="265">
        <v>0</v>
      </c>
      <c r="DY706" s="265">
        <v>-61.377640000000028</v>
      </c>
      <c r="DZ706" s="265">
        <v>6.6891899999999893</v>
      </c>
      <c r="EA706" s="265">
        <v>0</v>
      </c>
      <c r="EB706" s="265">
        <v>0</v>
      </c>
      <c r="EC706" s="265">
        <v>-63.34906412570286</v>
      </c>
      <c r="ED706" s="265">
        <v>0</v>
      </c>
      <c r="EE706" s="265">
        <v>0</v>
      </c>
      <c r="EF706" s="265">
        <v>0</v>
      </c>
      <c r="EG706" s="265">
        <v>0</v>
      </c>
      <c r="EH706" s="265">
        <v>0</v>
      </c>
      <c r="EI706" s="265">
        <v>0</v>
      </c>
      <c r="EJ706" s="265">
        <v>0</v>
      </c>
      <c r="EK706" s="265">
        <v>0</v>
      </c>
      <c r="EL706" s="265">
        <v>0</v>
      </c>
      <c r="EM706" s="265">
        <v>0</v>
      </c>
      <c r="EN706" s="265">
        <v>0</v>
      </c>
      <c r="EO706" s="265">
        <v>0</v>
      </c>
      <c r="EP706" s="265">
        <v>0</v>
      </c>
      <c r="EQ706" s="265">
        <v>0</v>
      </c>
      <c r="ER706" s="265">
        <v>0</v>
      </c>
      <c r="ES706" s="265">
        <v>0</v>
      </c>
      <c r="ET706" s="265">
        <v>0</v>
      </c>
      <c r="EU706" s="265">
        <v>0</v>
      </c>
      <c r="EV706" s="265">
        <v>238</v>
      </c>
      <c r="EW706" s="265">
        <v>0</v>
      </c>
      <c r="EX706" s="265">
        <v>0</v>
      </c>
      <c r="EY706" s="265">
        <v>0</v>
      </c>
      <c r="EZ706" s="265"/>
      <c r="FA706" s="265">
        <v>0</v>
      </c>
      <c r="FB706" s="265"/>
      <c r="FC706" s="265"/>
      <c r="FD706" s="265"/>
      <c r="FE706" s="265"/>
      <c r="FF706" s="265">
        <v>0</v>
      </c>
      <c r="FG706" s="265">
        <v>0</v>
      </c>
      <c r="FH706" s="265">
        <v>0</v>
      </c>
      <c r="FI706" s="265">
        <v>0</v>
      </c>
    </row>
    <row r="707" spans="1:165">
      <c r="A707" s="265">
        <v>712</v>
      </c>
      <c r="B707" s="265" t="s">
        <v>2255</v>
      </c>
      <c r="C707" s="265" t="s">
        <v>2243</v>
      </c>
      <c r="D707" s="265" t="s">
        <v>597</v>
      </c>
      <c r="E707" s="265" t="s">
        <v>974</v>
      </c>
      <c r="F707" s="265" t="s">
        <v>2252</v>
      </c>
      <c r="G707" s="265" t="s">
        <v>1322</v>
      </c>
      <c r="H707" s="265" t="s">
        <v>1322</v>
      </c>
      <c r="I707" s="265" t="s">
        <v>973</v>
      </c>
      <c r="J707" s="265" t="s">
        <v>2236</v>
      </c>
      <c r="K707" s="1639">
        <v>44713</v>
      </c>
      <c r="L707" s="265">
        <v>0</v>
      </c>
      <c r="M707" s="265">
        <v>0</v>
      </c>
      <c r="N707" s="265">
        <v>13.318</v>
      </c>
      <c r="O707" s="265">
        <v>12.78528</v>
      </c>
      <c r="P707" s="265">
        <v>13.318</v>
      </c>
      <c r="Q707" s="265">
        <v>12.78528</v>
      </c>
      <c r="R707" s="265"/>
      <c r="S707" s="265">
        <v>1614.19</v>
      </c>
      <c r="T707" s="265">
        <v>209.4</v>
      </c>
      <c r="U707" s="265"/>
      <c r="V707" s="265">
        <v>24286.571619999999</v>
      </c>
      <c r="W707" s="265">
        <v>24286.571619999999</v>
      </c>
      <c r="X707" s="265">
        <v>16143.413699999999</v>
      </c>
      <c r="Y707" s="265">
        <v>0</v>
      </c>
      <c r="Z707" s="265">
        <v>713.01881104371705</v>
      </c>
      <c r="AA707" s="265">
        <v>0</v>
      </c>
      <c r="AB707" s="265">
        <v>0</v>
      </c>
      <c r="AC707" s="265">
        <v>0</v>
      </c>
      <c r="AD707" s="265">
        <v>4147.4647954013526</v>
      </c>
      <c r="AE707" s="265">
        <v>15486.658053783951</v>
      </c>
      <c r="AF707" s="265">
        <v>2752.1746324448709</v>
      </c>
      <c r="AG707" s="265">
        <v>36.663987393054988</v>
      </c>
      <c r="AH707" s="265">
        <v>0</v>
      </c>
      <c r="AI707" s="265">
        <v>0</v>
      </c>
      <c r="AJ707" s="265">
        <v>0</v>
      </c>
      <c r="AK707" s="265">
        <v>0</v>
      </c>
      <c r="AL707" s="265">
        <v>126.64887470976969</v>
      </c>
      <c r="AM707" s="265"/>
      <c r="AN707" s="265">
        <v>17.684230500711141</v>
      </c>
      <c r="AO707" s="265">
        <v>322.22801611446164</v>
      </c>
      <c r="AP707" s="265">
        <v>479.96345766568413</v>
      </c>
      <c r="AQ707" s="265">
        <v>0</v>
      </c>
      <c r="AR707" s="265">
        <v>0</v>
      </c>
      <c r="AS707" s="265">
        <v>0</v>
      </c>
      <c r="AT707" s="265">
        <v>0</v>
      </c>
      <c r="AU707" s="265">
        <v>0</v>
      </c>
      <c r="AV707" s="265">
        <v>0</v>
      </c>
      <c r="AW707" s="265">
        <v>0</v>
      </c>
      <c r="AX707" s="265">
        <v>0</v>
      </c>
      <c r="AY707" s="265">
        <v>0</v>
      </c>
      <c r="AZ707" s="265">
        <v>0</v>
      </c>
      <c r="BA707" s="265"/>
      <c r="BB707" s="265">
        <v>0</v>
      </c>
      <c r="BC707" s="265">
        <v>0</v>
      </c>
      <c r="BD707" s="265">
        <v>0</v>
      </c>
      <c r="BE707" s="265">
        <v>0</v>
      </c>
      <c r="BF707" s="265">
        <v>0</v>
      </c>
      <c r="BG707" s="265">
        <v>204.09084345873595</v>
      </c>
      <c r="BH707" s="265">
        <v>0</v>
      </c>
      <c r="BI707" s="265">
        <v>0</v>
      </c>
      <c r="BJ707" s="265">
        <v>0</v>
      </c>
      <c r="BK707" s="265">
        <v>0</v>
      </c>
      <c r="BL707" s="265">
        <v>0</v>
      </c>
      <c r="BM707" s="265"/>
      <c r="BN707" s="265"/>
      <c r="BO707" s="265"/>
      <c r="BP707" s="265"/>
      <c r="BQ707" s="265"/>
      <c r="BR707" s="265">
        <v>645.73654799999917</v>
      </c>
      <c r="BS707" s="265"/>
      <c r="BT707" s="265"/>
      <c r="BU707" s="265"/>
      <c r="BV707" s="265">
        <v>2956.2654759036068</v>
      </c>
      <c r="BW707" s="265"/>
      <c r="BX707" s="265"/>
      <c r="BY707" s="265"/>
      <c r="BZ707" s="265"/>
      <c r="CA707" s="265"/>
      <c r="CB707" s="265"/>
      <c r="CC707" s="265"/>
      <c r="CD707" s="265"/>
      <c r="CE707" s="265"/>
      <c r="CF707" s="265"/>
      <c r="CG707" s="265"/>
      <c r="CH707" s="265"/>
      <c r="CI707" s="265">
        <v>15503.398499999999</v>
      </c>
      <c r="CJ707" s="265">
        <v>-7811.7402551999985</v>
      </c>
      <c r="CK707" s="265"/>
      <c r="CL707" s="265"/>
      <c r="CM707" s="265"/>
      <c r="CN707" s="265"/>
      <c r="CO707" s="265">
        <v>-8447.2078600000004</v>
      </c>
      <c r="CP707" s="265">
        <v>304.04993999999976</v>
      </c>
      <c r="CQ707" s="265">
        <v>30</v>
      </c>
      <c r="CR707" s="265">
        <v>544.61794594651474</v>
      </c>
      <c r="CS707" s="265">
        <v>38.90324266978422</v>
      </c>
      <c r="CT707" s="265">
        <v>57.946962810225045</v>
      </c>
      <c r="CU707" s="265">
        <v>0</v>
      </c>
      <c r="CV707" s="265">
        <v>0</v>
      </c>
      <c r="CW707" s="265">
        <v>0</v>
      </c>
      <c r="CX707" s="265">
        <v>0</v>
      </c>
      <c r="CY707" s="265">
        <v>0</v>
      </c>
      <c r="CZ707" s="265">
        <v>135.96400630993594</v>
      </c>
      <c r="DA707" s="265">
        <v>0</v>
      </c>
      <c r="DB707" s="265">
        <v>0</v>
      </c>
      <c r="DC707" s="265">
        <v>303.9578343948624</v>
      </c>
      <c r="DD707" s="265">
        <v>0</v>
      </c>
      <c r="DE707" s="265">
        <v>0</v>
      </c>
      <c r="DF707" s="265">
        <v>0</v>
      </c>
      <c r="DG707" s="265">
        <v>22.540361380494602</v>
      </c>
      <c r="DH707" s="265">
        <v>0</v>
      </c>
      <c r="DI707" s="265">
        <v>-12.429431497747714</v>
      </c>
      <c r="DJ707" s="265"/>
      <c r="DK707" s="265">
        <v>0</v>
      </c>
      <c r="DL707" s="265">
        <v>0</v>
      </c>
      <c r="DM707" s="265">
        <v>0</v>
      </c>
      <c r="DN707" s="265">
        <v>0</v>
      </c>
      <c r="DO707" s="265">
        <v>-1.8561623693661318</v>
      </c>
      <c r="DP707" s="265">
        <v>-0.40886775167222211</v>
      </c>
      <c r="DQ707" s="265">
        <v>0</v>
      </c>
      <c r="DR707" s="265">
        <v>0</v>
      </c>
      <c r="DS707" s="265"/>
      <c r="DT707" s="265"/>
      <c r="DU707" s="265"/>
      <c r="DV707" s="265">
        <v>15486.658053783951</v>
      </c>
      <c r="DW707" s="265">
        <v>0</v>
      </c>
      <c r="DX707" s="265">
        <v>0</v>
      </c>
      <c r="DY707" s="265">
        <v>-8447.2078600000004</v>
      </c>
      <c r="DZ707" s="265">
        <v>304.04993999999942</v>
      </c>
      <c r="EA707" s="265">
        <v>0</v>
      </c>
      <c r="EB707" s="265">
        <v>0</v>
      </c>
      <c r="EC707" s="265">
        <v>-8687.8556431329143</v>
      </c>
      <c r="ED707" s="265">
        <v>0</v>
      </c>
      <c r="EE707" s="265">
        <v>0</v>
      </c>
      <c r="EF707" s="265">
        <v>0</v>
      </c>
      <c r="EG707" s="265">
        <v>0</v>
      </c>
      <c r="EH707" s="265">
        <v>0</v>
      </c>
      <c r="EI707" s="265">
        <v>0</v>
      </c>
      <c r="EJ707" s="265">
        <v>0</v>
      </c>
      <c r="EK707" s="265">
        <v>0</v>
      </c>
      <c r="EL707" s="265">
        <v>0</v>
      </c>
      <c r="EM707" s="265">
        <v>0</v>
      </c>
      <c r="EN707" s="265">
        <v>0</v>
      </c>
      <c r="EO707" s="265">
        <v>0</v>
      </c>
      <c r="EP707" s="265">
        <v>0</v>
      </c>
      <c r="EQ707" s="265">
        <v>0</v>
      </c>
      <c r="ER707" s="265">
        <v>0</v>
      </c>
      <c r="ES707" s="265">
        <v>0</v>
      </c>
      <c r="ET707" s="265">
        <v>0</v>
      </c>
      <c r="EU707" s="265">
        <v>0</v>
      </c>
      <c r="EV707" s="265">
        <v>238</v>
      </c>
      <c r="EW707" s="265">
        <v>0</v>
      </c>
      <c r="EX707" s="265">
        <v>0</v>
      </c>
      <c r="EY707" s="265">
        <v>0</v>
      </c>
      <c r="EZ707" s="265"/>
      <c r="FA707" s="265">
        <v>0</v>
      </c>
      <c r="FB707" s="265"/>
      <c r="FC707" s="265"/>
      <c r="FD707" s="265"/>
      <c r="FE707" s="265"/>
      <c r="FF707" s="265">
        <v>0</v>
      </c>
      <c r="FG707" s="265">
        <v>0</v>
      </c>
      <c r="FH707" s="265">
        <v>0</v>
      </c>
      <c r="FI707" s="265">
        <v>0</v>
      </c>
    </row>
    <row r="708" spans="1:165">
      <c r="A708" s="265">
        <v>713</v>
      </c>
      <c r="B708" s="265" t="s">
        <v>2255</v>
      </c>
      <c r="C708" s="265" t="s">
        <v>2243</v>
      </c>
      <c r="D708" s="265" t="s">
        <v>597</v>
      </c>
      <c r="E708" s="265" t="s">
        <v>974</v>
      </c>
      <c r="F708" s="265" t="s">
        <v>2252</v>
      </c>
      <c r="G708" s="265" t="s">
        <v>1322</v>
      </c>
      <c r="H708" s="265" t="s">
        <v>1322</v>
      </c>
      <c r="I708" s="265" t="s">
        <v>973</v>
      </c>
      <c r="J708" s="265" t="s">
        <v>2236</v>
      </c>
      <c r="K708" s="1639">
        <v>44713</v>
      </c>
      <c r="L708" s="265">
        <v>0</v>
      </c>
      <c r="M708" s="265">
        <v>0</v>
      </c>
      <c r="N708" s="265">
        <v>6.0999999999999999E-2</v>
      </c>
      <c r="O708" s="265">
        <v>5.8560000000000001E-2</v>
      </c>
      <c r="P708" s="265">
        <v>6.0999999999999999E-2</v>
      </c>
      <c r="Q708" s="265">
        <v>5.8560000000000001E-2</v>
      </c>
      <c r="R708" s="265"/>
      <c r="S708" s="265">
        <v>1614.19</v>
      </c>
      <c r="T708" s="265">
        <v>209.4</v>
      </c>
      <c r="U708" s="265"/>
      <c r="V708" s="265">
        <v>111.23899</v>
      </c>
      <c r="W708" s="265">
        <v>111.23899</v>
      </c>
      <c r="X708" s="265">
        <v>73.941149999999993</v>
      </c>
      <c r="Y708" s="265">
        <v>0</v>
      </c>
      <c r="Z708" s="265">
        <v>3.2658167497872612</v>
      </c>
      <c r="AA708" s="265">
        <v>0</v>
      </c>
      <c r="AB708" s="265">
        <v>0</v>
      </c>
      <c r="AC708" s="265">
        <v>0</v>
      </c>
      <c r="AD708" s="265">
        <v>18.996497410983817</v>
      </c>
      <c r="AE708" s="265">
        <v>70.933033584683969</v>
      </c>
      <c r="AF708" s="265">
        <v>12.605695493252524</v>
      </c>
      <c r="AG708" s="265">
        <v>0.16793086281546435</v>
      </c>
      <c r="AH708" s="265">
        <v>0</v>
      </c>
      <c r="AI708" s="265">
        <v>0</v>
      </c>
      <c r="AJ708" s="265">
        <v>0</v>
      </c>
      <c r="AK708" s="265">
        <v>0</v>
      </c>
      <c r="AL708" s="265">
        <v>0.58008570035260187</v>
      </c>
      <c r="AM708" s="265"/>
      <c r="AN708" s="265">
        <v>8.0998502818995316E-2</v>
      </c>
      <c r="AO708" s="265">
        <v>1.4758904477385613</v>
      </c>
      <c r="AP708" s="265">
        <v>2.1983609338944836</v>
      </c>
      <c r="AQ708" s="265">
        <v>0</v>
      </c>
      <c r="AR708" s="265">
        <v>0</v>
      </c>
      <c r="AS708" s="265">
        <v>0</v>
      </c>
      <c r="AT708" s="265">
        <v>0</v>
      </c>
      <c r="AU708" s="265">
        <v>0</v>
      </c>
      <c r="AV708" s="265">
        <v>0</v>
      </c>
      <c r="AW708" s="265">
        <v>0</v>
      </c>
      <c r="AX708" s="265">
        <v>0</v>
      </c>
      <c r="AY708" s="265">
        <v>0</v>
      </c>
      <c r="AZ708" s="265">
        <v>0</v>
      </c>
      <c r="BA708" s="265"/>
      <c r="BB708" s="265">
        <v>0</v>
      </c>
      <c r="BC708" s="265">
        <v>0</v>
      </c>
      <c r="BD708" s="265">
        <v>0</v>
      </c>
      <c r="BE708" s="265">
        <v>0</v>
      </c>
      <c r="BF708" s="265">
        <v>0</v>
      </c>
      <c r="BG708" s="265">
        <v>0.93479061803445662</v>
      </c>
      <c r="BH708" s="265">
        <v>0</v>
      </c>
      <c r="BI708" s="265">
        <v>0</v>
      </c>
      <c r="BJ708" s="265">
        <v>0</v>
      </c>
      <c r="BK708" s="265">
        <v>0</v>
      </c>
      <c r="BL708" s="265">
        <v>0</v>
      </c>
      <c r="BM708" s="265"/>
      <c r="BN708" s="265"/>
      <c r="BO708" s="265"/>
      <c r="BP708" s="265"/>
      <c r="BQ708" s="265"/>
      <c r="BR708" s="265">
        <v>2.9576459999999969</v>
      </c>
      <c r="BS708" s="265"/>
      <c r="BT708" s="265"/>
      <c r="BU708" s="265"/>
      <c r="BV708" s="265">
        <v>13.540486111286981</v>
      </c>
      <c r="BW708" s="265"/>
      <c r="BX708" s="265"/>
      <c r="BY708" s="265"/>
      <c r="BZ708" s="265"/>
      <c r="CA708" s="265"/>
      <c r="CB708" s="265"/>
      <c r="CC708" s="265"/>
      <c r="CD708" s="265"/>
      <c r="CE708" s="265"/>
      <c r="CF708" s="265"/>
      <c r="CG708" s="265"/>
      <c r="CH708" s="265"/>
      <c r="CI708" s="265">
        <v>72.728999999999999</v>
      </c>
      <c r="CJ708" s="265">
        <v>-34.090430400000031</v>
      </c>
      <c r="CK708" s="265"/>
      <c r="CL708" s="265"/>
      <c r="CM708" s="265"/>
      <c r="CN708" s="265"/>
      <c r="CO708" s="265">
        <v>-38.690470000000005</v>
      </c>
      <c r="CP708" s="265">
        <v>1.3926299999999989</v>
      </c>
      <c r="CQ708" s="265">
        <v>30</v>
      </c>
      <c r="CR708" s="265">
        <v>2.4944957728440826</v>
      </c>
      <c r="CS708" s="265">
        <v>0.17818725055239804</v>
      </c>
      <c r="CT708" s="265">
        <v>0.26541257932300111</v>
      </c>
      <c r="CU708" s="265">
        <v>0</v>
      </c>
      <c r="CV708" s="265">
        <v>0</v>
      </c>
      <c r="CW708" s="265">
        <v>0</v>
      </c>
      <c r="CX708" s="265">
        <v>0</v>
      </c>
      <c r="CY708" s="265">
        <v>0</v>
      </c>
      <c r="CZ708" s="265">
        <v>0.62275149308500488</v>
      </c>
      <c r="DA708" s="265">
        <v>0</v>
      </c>
      <c r="DB708" s="265">
        <v>0</v>
      </c>
      <c r="DC708" s="265">
        <v>1.3922081317079602</v>
      </c>
      <c r="DD708" s="265">
        <v>0</v>
      </c>
      <c r="DE708" s="265">
        <v>0</v>
      </c>
      <c r="DF708" s="265">
        <v>0</v>
      </c>
      <c r="DG708" s="265">
        <v>0.10324088032814027</v>
      </c>
      <c r="DH708" s="265">
        <v>0</v>
      </c>
      <c r="DI708" s="265">
        <v>-5.6930118738745428E-2</v>
      </c>
      <c r="DJ708" s="265"/>
      <c r="DK708" s="265">
        <v>0</v>
      </c>
      <c r="DL708" s="265">
        <v>0</v>
      </c>
      <c r="DM708" s="265">
        <v>0</v>
      </c>
      <c r="DN708" s="265">
        <v>0</v>
      </c>
      <c r="DO708" s="265">
        <v>-8.501719817640363E-3</v>
      </c>
      <c r="DP708" s="265">
        <v>-1.8727235960358662E-3</v>
      </c>
      <c r="DQ708" s="265">
        <v>0</v>
      </c>
      <c r="DR708" s="265">
        <v>0</v>
      </c>
      <c r="DS708" s="265"/>
      <c r="DT708" s="265"/>
      <c r="DU708" s="265"/>
      <c r="DV708" s="265">
        <v>70.933033584683969</v>
      </c>
      <c r="DW708" s="265">
        <v>0</v>
      </c>
      <c r="DX708" s="265">
        <v>0</v>
      </c>
      <c r="DY708" s="265">
        <v>-38.690470000000012</v>
      </c>
      <c r="DZ708" s="265">
        <v>1.3926299999999987</v>
      </c>
      <c r="EA708" s="265">
        <v>0</v>
      </c>
      <c r="EB708" s="265">
        <v>0</v>
      </c>
      <c r="EC708" s="265">
        <v>-39.792701173682829</v>
      </c>
      <c r="ED708" s="265">
        <v>0</v>
      </c>
      <c r="EE708" s="265">
        <v>0</v>
      </c>
      <c r="EF708" s="265">
        <v>0</v>
      </c>
      <c r="EG708" s="265">
        <v>0</v>
      </c>
      <c r="EH708" s="265">
        <v>0</v>
      </c>
      <c r="EI708" s="265">
        <v>0</v>
      </c>
      <c r="EJ708" s="265">
        <v>0</v>
      </c>
      <c r="EK708" s="265">
        <v>0</v>
      </c>
      <c r="EL708" s="265">
        <v>0</v>
      </c>
      <c r="EM708" s="265">
        <v>0</v>
      </c>
      <c r="EN708" s="265">
        <v>0</v>
      </c>
      <c r="EO708" s="265">
        <v>0</v>
      </c>
      <c r="EP708" s="265">
        <v>0</v>
      </c>
      <c r="EQ708" s="265">
        <v>0</v>
      </c>
      <c r="ER708" s="265">
        <v>0</v>
      </c>
      <c r="ES708" s="265">
        <v>0</v>
      </c>
      <c r="ET708" s="265">
        <v>0</v>
      </c>
      <c r="EU708" s="265">
        <v>0</v>
      </c>
      <c r="EV708" s="265">
        <v>238</v>
      </c>
      <c r="EW708" s="265">
        <v>0</v>
      </c>
      <c r="EX708" s="265">
        <v>0</v>
      </c>
      <c r="EY708" s="265">
        <v>0</v>
      </c>
      <c r="EZ708" s="265"/>
      <c r="FA708" s="265">
        <v>0</v>
      </c>
      <c r="FB708" s="265"/>
      <c r="FC708" s="265"/>
      <c r="FD708" s="265"/>
      <c r="FE708" s="265"/>
      <c r="FF708" s="265">
        <v>0</v>
      </c>
      <c r="FG708" s="265">
        <v>0</v>
      </c>
      <c r="FH708" s="265">
        <v>0</v>
      </c>
      <c r="FI708" s="265">
        <v>0</v>
      </c>
    </row>
    <row r="709" spans="1:165">
      <c r="A709" s="265">
        <v>714</v>
      </c>
      <c r="B709" s="265" t="s">
        <v>2255</v>
      </c>
      <c r="C709" s="265" t="s">
        <v>2243</v>
      </c>
      <c r="D709" s="265" t="s">
        <v>597</v>
      </c>
      <c r="E709" s="265" t="s">
        <v>974</v>
      </c>
      <c r="F709" s="265" t="s">
        <v>2252</v>
      </c>
      <c r="G709" s="265" t="s">
        <v>1322</v>
      </c>
      <c r="H709" s="265" t="s">
        <v>1322</v>
      </c>
      <c r="I709" s="265" t="s">
        <v>2244</v>
      </c>
      <c r="J709" s="265" t="s">
        <v>2236</v>
      </c>
      <c r="K709" s="1639">
        <v>44713</v>
      </c>
      <c r="L709" s="265">
        <v>0</v>
      </c>
      <c r="M709" s="265">
        <v>0</v>
      </c>
      <c r="N709" s="265">
        <v>116.556</v>
      </c>
      <c r="O709" s="265">
        <v>111.89376</v>
      </c>
      <c r="P709" s="265">
        <v>116.556</v>
      </c>
      <c r="Q709" s="265">
        <v>111.89376</v>
      </c>
      <c r="R709" s="265"/>
      <c r="S709" s="265">
        <v>79.7</v>
      </c>
      <c r="T709" s="265">
        <v>209.4</v>
      </c>
      <c r="U709" s="265"/>
      <c r="V709" s="265">
        <v>33696.339599999999</v>
      </c>
      <c r="W709" s="265">
        <v>33696.339599999999</v>
      </c>
      <c r="X709" s="265">
        <v>36426.081120000003</v>
      </c>
      <c r="Y709" s="265">
        <v>0</v>
      </c>
      <c r="Z709" s="265">
        <v>6240.1727391508848</v>
      </c>
      <c r="AA709" s="265">
        <v>0</v>
      </c>
      <c r="AB709" s="265">
        <v>0</v>
      </c>
      <c r="AC709" s="265">
        <v>0</v>
      </c>
      <c r="AD709" s="265">
        <v>0</v>
      </c>
      <c r="AE709" s="265">
        <v>0</v>
      </c>
      <c r="AF709" s="265">
        <v>24086.384326418709</v>
      </c>
      <c r="AG709" s="265">
        <v>320.87458436588952</v>
      </c>
      <c r="AH709" s="265">
        <v>0</v>
      </c>
      <c r="AI709" s="265">
        <v>0</v>
      </c>
      <c r="AJ709" s="265">
        <v>0</v>
      </c>
      <c r="AK709" s="265">
        <v>0</v>
      </c>
      <c r="AL709" s="265">
        <v>1108.4011293491453</v>
      </c>
      <c r="AM709" s="265"/>
      <c r="AN709" s="265">
        <v>154.76822122247242</v>
      </c>
      <c r="AO709" s="265">
        <v>0</v>
      </c>
      <c r="AP709" s="265">
        <v>0</v>
      </c>
      <c r="AQ709" s="265">
        <v>0</v>
      </c>
      <c r="AR709" s="265">
        <v>0</v>
      </c>
      <c r="AS709" s="265">
        <v>0</v>
      </c>
      <c r="AT709" s="265">
        <v>0</v>
      </c>
      <c r="AU709" s="265">
        <v>0</v>
      </c>
      <c r="AV709" s="265">
        <v>0</v>
      </c>
      <c r="AW709" s="265">
        <v>0</v>
      </c>
      <c r="AX709" s="265">
        <v>0</v>
      </c>
      <c r="AY709" s="265">
        <v>0</v>
      </c>
      <c r="AZ709" s="265">
        <v>0</v>
      </c>
      <c r="BA709" s="265"/>
      <c r="BB709" s="265">
        <v>0</v>
      </c>
      <c r="BC709" s="265">
        <v>0</v>
      </c>
      <c r="BD709" s="265">
        <v>0</v>
      </c>
      <c r="BE709" s="265">
        <v>0</v>
      </c>
      <c r="BF709" s="265">
        <v>0</v>
      </c>
      <c r="BG709" s="265">
        <v>1786.1550045184283</v>
      </c>
      <c r="BH709" s="265">
        <v>0</v>
      </c>
      <c r="BI709" s="265">
        <v>0</v>
      </c>
      <c r="BJ709" s="265">
        <v>0</v>
      </c>
      <c r="BK709" s="265">
        <v>0</v>
      </c>
      <c r="BL709" s="265">
        <v>0</v>
      </c>
      <c r="BM709" s="265"/>
      <c r="BN709" s="265"/>
      <c r="BO709" s="265"/>
      <c r="BP709" s="265"/>
      <c r="BQ709" s="265"/>
      <c r="BR709" s="265">
        <v>1457.0432447999992</v>
      </c>
      <c r="BS709" s="265"/>
      <c r="BT709" s="265"/>
      <c r="BU709" s="265"/>
      <c r="BV709" s="265">
        <v>25872.539330937136</v>
      </c>
      <c r="BW709" s="265"/>
      <c r="BX709" s="265"/>
      <c r="BY709" s="265"/>
      <c r="BZ709" s="265"/>
      <c r="CA709" s="265"/>
      <c r="CB709" s="265"/>
      <c r="CC709" s="265"/>
      <c r="CD709" s="265"/>
      <c r="CE709" s="265"/>
      <c r="CF709" s="265"/>
      <c r="CG709" s="265"/>
      <c r="CH709" s="265"/>
      <c r="CI709" s="265">
        <v>34967.862800000003</v>
      </c>
      <c r="CJ709" s="265">
        <v>2619.3467840000048</v>
      </c>
      <c r="CK709" s="265"/>
      <c r="CL709" s="265"/>
      <c r="CM709" s="265"/>
      <c r="CN709" s="265"/>
      <c r="CO709" s="265">
        <v>68.768040000000397</v>
      </c>
      <c r="CP709" s="265">
        <v>2660.9734799999983</v>
      </c>
      <c r="CQ709" s="265">
        <v>30</v>
      </c>
      <c r="CR709" s="265">
        <v>2728.832860666269</v>
      </c>
      <c r="CS709" s="265">
        <v>0</v>
      </c>
      <c r="CT709" s="265">
        <v>0</v>
      </c>
      <c r="CU709" s="265">
        <v>0</v>
      </c>
      <c r="CV709" s="265">
        <v>0</v>
      </c>
      <c r="CW709" s="265">
        <v>0</v>
      </c>
      <c r="CX709" s="265">
        <v>0</v>
      </c>
      <c r="CY709" s="265">
        <v>0</v>
      </c>
      <c r="CZ709" s="265">
        <v>0</v>
      </c>
      <c r="DA709" s="265">
        <v>0</v>
      </c>
      <c r="DB709" s="265">
        <v>0</v>
      </c>
      <c r="DC709" s="265">
        <v>2660.167393432017</v>
      </c>
      <c r="DD709" s="265">
        <v>0</v>
      </c>
      <c r="DE709" s="265">
        <v>0</v>
      </c>
      <c r="DF709" s="265">
        <v>0</v>
      </c>
      <c r="DG709" s="265">
        <v>197.2679352053558</v>
      </c>
      <c r="DH709" s="265">
        <v>0</v>
      </c>
      <c r="DI709" s="265">
        <v>-108.77945770021597</v>
      </c>
      <c r="DJ709" s="265"/>
      <c r="DK709" s="265">
        <v>0</v>
      </c>
      <c r="DL709" s="265">
        <v>0</v>
      </c>
      <c r="DM709" s="265">
        <v>0</v>
      </c>
      <c r="DN709" s="265">
        <v>0</v>
      </c>
      <c r="DO709" s="265">
        <v>-16.244695984670443</v>
      </c>
      <c r="DP709" s="265">
        <v>-3.5783142862222235</v>
      </c>
      <c r="DQ709" s="265">
        <v>0</v>
      </c>
      <c r="DR709" s="265">
        <v>0</v>
      </c>
      <c r="DS709" s="265"/>
      <c r="DT709" s="265"/>
      <c r="DU709" s="265"/>
      <c r="DV709" s="265">
        <v>0</v>
      </c>
      <c r="DW709" s="265">
        <v>0</v>
      </c>
      <c r="DX709" s="265">
        <v>0</v>
      </c>
      <c r="DY709" s="265">
        <v>68.768040000000838</v>
      </c>
      <c r="DZ709" s="265">
        <v>2660.9734799999969</v>
      </c>
      <c r="EA709" s="265">
        <v>0</v>
      </c>
      <c r="EB709" s="265">
        <v>0</v>
      </c>
      <c r="EC709" s="265">
        <v>0</v>
      </c>
      <c r="ED709" s="265">
        <v>0</v>
      </c>
      <c r="EE709" s="265">
        <v>0</v>
      </c>
      <c r="EF709" s="265">
        <v>0</v>
      </c>
      <c r="EG709" s="265">
        <v>0</v>
      </c>
      <c r="EH709" s="265">
        <v>0</v>
      </c>
      <c r="EI709" s="265">
        <v>0</v>
      </c>
      <c r="EJ709" s="265">
        <v>0</v>
      </c>
      <c r="EK709" s="265">
        <v>0</v>
      </c>
      <c r="EL709" s="265">
        <v>0</v>
      </c>
      <c r="EM709" s="265">
        <v>0</v>
      </c>
      <c r="EN709" s="265">
        <v>0</v>
      </c>
      <c r="EO709" s="265">
        <v>0</v>
      </c>
      <c r="EP709" s="265">
        <v>0</v>
      </c>
      <c r="EQ709" s="265">
        <v>0</v>
      </c>
      <c r="ER709" s="265">
        <v>0</v>
      </c>
      <c r="ES709" s="265">
        <v>0</v>
      </c>
      <c r="ET709" s="265">
        <v>0</v>
      </c>
      <c r="EU709" s="265">
        <v>0</v>
      </c>
      <c r="EV709" s="265">
        <v>238</v>
      </c>
      <c r="EW709" s="265">
        <v>0</v>
      </c>
      <c r="EX709" s="265">
        <v>0</v>
      </c>
      <c r="EY709" s="265">
        <v>0</v>
      </c>
      <c r="EZ709" s="265"/>
      <c r="FA709" s="265">
        <v>0</v>
      </c>
      <c r="FB709" s="265"/>
      <c r="FC709" s="265"/>
      <c r="FD709" s="265"/>
      <c r="FE709" s="265"/>
      <c r="FF709" s="265">
        <v>0</v>
      </c>
      <c r="FG709" s="265">
        <v>0</v>
      </c>
      <c r="FH709" s="265">
        <v>0</v>
      </c>
      <c r="FI709" s="265">
        <v>0</v>
      </c>
    </row>
    <row r="710" spans="1:165">
      <c r="A710" s="265">
        <v>715</v>
      </c>
      <c r="B710" s="265" t="s">
        <v>2255</v>
      </c>
      <c r="C710" s="265" t="s">
        <v>2243</v>
      </c>
      <c r="D710" s="265" t="s">
        <v>597</v>
      </c>
      <c r="E710" s="265" t="s">
        <v>974</v>
      </c>
      <c r="F710" s="265" t="s">
        <v>2252</v>
      </c>
      <c r="G710" s="265" t="s">
        <v>1322</v>
      </c>
      <c r="H710" s="265" t="s">
        <v>1322</v>
      </c>
      <c r="I710" s="265" t="s">
        <v>2244</v>
      </c>
      <c r="J710" s="265" t="s">
        <v>2236</v>
      </c>
      <c r="K710" s="1639">
        <v>44713</v>
      </c>
      <c r="L710" s="265">
        <v>0</v>
      </c>
      <c r="M710" s="265">
        <v>0</v>
      </c>
      <c r="N710" s="265">
        <v>0.64100000000000001</v>
      </c>
      <c r="O710" s="265">
        <v>0.61536000000000002</v>
      </c>
      <c r="P710" s="265">
        <v>0.64100000000000001</v>
      </c>
      <c r="Q710" s="265">
        <v>0.61536000000000002</v>
      </c>
      <c r="R710" s="265"/>
      <c r="S710" s="265">
        <v>79.7</v>
      </c>
      <c r="T710" s="265">
        <v>209.4</v>
      </c>
      <c r="U710" s="265"/>
      <c r="V710" s="265">
        <v>185.31310000000002</v>
      </c>
      <c r="W710" s="265">
        <v>185.31310000000002</v>
      </c>
      <c r="X710" s="265">
        <v>200.32532</v>
      </c>
      <c r="Y710" s="265">
        <v>0</v>
      </c>
      <c r="Z710" s="265">
        <v>34.317844862518598</v>
      </c>
      <c r="AA710" s="265">
        <v>0</v>
      </c>
      <c r="AB710" s="265">
        <v>0</v>
      </c>
      <c r="AC710" s="265">
        <v>0</v>
      </c>
      <c r="AD710" s="265">
        <v>0</v>
      </c>
      <c r="AE710" s="265">
        <v>0</v>
      </c>
      <c r="AF710" s="265">
        <v>132.46312805204704</v>
      </c>
      <c r="AG710" s="265">
        <v>1.7646505420444696</v>
      </c>
      <c r="AH710" s="265">
        <v>0</v>
      </c>
      <c r="AI710" s="265">
        <v>0</v>
      </c>
      <c r="AJ710" s="265">
        <v>0</v>
      </c>
      <c r="AK710" s="265">
        <v>0</v>
      </c>
      <c r="AL710" s="265">
        <v>6.095654654524882</v>
      </c>
      <c r="AM710" s="265"/>
      <c r="AN710" s="265">
        <v>0.85114820175370487</v>
      </c>
      <c r="AO710" s="265">
        <v>0</v>
      </c>
      <c r="AP710" s="265">
        <v>0</v>
      </c>
      <c r="AQ710" s="265">
        <v>0</v>
      </c>
      <c r="AR710" s="265">
        <v>0</v>
      </c>
      <c r="AS710" s="265">
        <v>0</v>
      </c>
      <c r="AT710" s="265">
        <v>0</v>
      </c>
      <c r="AU710" s="265">
        <v>0</v>
      </c>
      <c r="AV710" s="265">
        <v>0</v>
      </c>
      <c r="AW710" s="265">
        <v>0</v>
      </c>
      <c r="AX710" s="265">
        <v>0</v>
      </c>
      <c r="AY710" s="265">
        <v>0</v>
      </c>
      <c r="AZ710" s="265">
        <v>0</v>
      </c>
      <c r="BA710" s="265"/>
      <c r="BB710" s="265">
        <v>0</v>
      </c>
      <c r="BC710" s="265">
        <v>0</v>
      </c>
      <c r="BD710" s="265">
        <v>0</v>
      </c>
      <c r="BE710" s="265">
        <v>0</v>
      </c>
      <c r="BF710" s="265">
        <v>0</v>
      </c>
      <c r="BG710" s="265">
        <v>9.8229637075424048</v>
      </c>
      <c r="BH710" s="265">
        <v>0</v>
      </c>
      <c r="BI710" s="265">
        <v>0</v>
      </c>
      <c r="BJ710" s="265">
        <v>0</v>
      </c>
      <c r="BK710" s="265">
        <v>0</v>
      </c>
      <c r="BL710" s="265">
        <v>0</v>
      </c>
      <c r="BM710" s="265"/>
      <c r="BN710" s="265"/>
      <c r="BO710" s="265"/>
      <c r="BP710" s="265"/>
      <c r="BQ710" s="265"/>
      <c r="BR710" s="265">
        <v>8.0130127999999985</v>
      </c>
      <c r="BS710" s="265"/>
      <c r="BT710" s="265"/>
      <c r="BU710" s="265"/>
      <c r="BV710" s="265">
        <v>142.28609175958945</v>
      </c>
      <c r="BW710" s="265"/>
      <c r="BX710" s="265"/>
      <c r="BY710" s="265"/>
      <c r="BZ710" s="265"/>
      <c r="CA710" s="265"/>
      <c r="CB710" s="265"/>
      <c r="CC710" s="265"/>
      <c r="CD710" s="265"/>
      <c r="CE710" s="265"/>
      <c r="CF710" s="265"/>
      <c r="CG710" s="265"/>
      <c r="CH710" s="265"/>
      <c r="CI710" s="265">
        <v>193.76239999999999</v>
      </c>
      <c r="CJ710" s="265">
        <v>15.831823999999983</v>
      </c>
      <c r="CK710" s="265"/>
      <c r="CL710" s="265"/>
      <c r="CM710" s="265"/>
      <c r="CN710" s="265"/>
      <c r="CO710" s="265">
        <v>0.37819000000000219</v>
      </c>
      <c r="CP710" s="265">
        <v>14.63402999999999</v>
      </c>
      <c r="CQ710" s="265">
        <v>30</v>
      </c>
      <c r="CR710" s="265">
        <v>15.007222825826801</v>
      </c>
      <c r="CS710" s="265">
        <v>0</v>
      </c>
      <c r="CT710" s="265">
        <v>0</v>
      </c>
      <c r="CU710" s="265">
        <v>0</v>
      </c>
      <c r="CV710" s="265">
        <v>0</v>
      </c>
      <c r="CW710" s="265">
        <v>0</v>
      </c>
      <c r="CX710" s="265">
        <v>0</v>
      </c>
      <c r="CY710" s="265">
        <v>0</v>
      </c>
      <c r="CZ710" s="265">
        <v>0</v>
      </c>
      <c r="DA710" s="265">
        <v>0</v>
      </c>
      <c r="DB710" s="265">
        <v>0</v>
      </c>
      <c r="DC710" s="265">
        <v>14.629596924996747</v>
      </c>
      <c r="DD710" s="265">
        <v>0</v>
      </c>
      <c r="DE710" s="265">
        <v>0</v>
      </c>
      <c r="DF710" s="265">
        <v>0</v>
      </c>
      <c r="DG710" s="265">
        <v>1.0848754801694742</v>
      </c>
      <c r="DH710" s="265">
        <v>0</v>
      </c>
      <c r="DI710" s="265">
        <v>-0.59823288707436006</v>
      </c>
      <c r="DJ710" s="265"/>
      <c r="DK710" s="265">
        <v>0</v>
      </c>
      <c r="DL710" s="265">
        <v>0</v>
      </c>
      <c r="DM710" s="265">
        <v>0</v>
      </c>
      <c r="DN710" s="265">
        <v>0</v>
      </c>
      <c r="DO710" s="265">
        <v>-8.9337744313237266E-2</v>
      </c>
      <c r="DP710" s="265">
        <v>-1.9678947951786596E-2</v>
      </c>
      <c r="DQ710" s="265">
        <v>0</v>
      </c>
      <c r="DR710" s="265">
        <v>0</v>
      </c>
      <c r="DS710" s="265"/>
      <c r="DT710" s="265"/>
      <c r="DU710" s="265"/>
      <c r="DV710" s="265">
        <v>0</v>
      </c>
      <c r="DW710" s="265">
        <v>0</v>
      </c>
      <c r="DX710" s="265">
        <v>0</v>
      </c>
      <c r="DY710" s="265">
        <v>0.37818999999999647</v>
      </c>
      <c r="DZ710" s="265">
        <v>14.634029999999996</v>
      </c>
      <c r="EA710" s="265">
        <v>0</v>
      </c>
      <c r="EB710" s="265">
        <v>0</v>
      </c>
      <c r="EC710" s="265">
        <v>0</v>
      </c>
      <c r="ED710" s="265">
        <v>0</v>
      </c>
      <c r="EE710" s="265">
        <v>0</v>
      </c>
      <c r="EF710" s="265">
        <v>0</v>
      </c>
      <c r="EG710" s="265">
        <v>0</v>
      </c>
      <c r="EH710" s="265">
        <v>0</v>
      </c>
      <c r="EI710" s="265">
        <v>0</v>
      </c>
      <c r="EJ710" s="265">
        <v>0</v>
      </c>
      <c r="EK710" s="265">
        <v>0</v>
      </c>
      <c r="EL710" s="265">
        <v>0</v>
      </c>
      <c r="EM710" s="265">
        <v>0</v>
      </c>
      <c r="EN710" s="265">
        <v>0</v>
      </c>
      <c r="EO710" s="265">
        <v>0</v>
      </c>
      <c r="EP710" s="265">
        <v>0</v>
      </c>
      <c r="EQ710" s="265">
        <v>0</v>
      </c>
      <c r="ER710" s="265">
        <v>0</v>
      </c>
      <c r="ES710" s="265">
        <v>0</v>
      </c>
      <c r="ET710" s="265">
        <v>0</v>
      </c>
      <c r="EU710" s="265">
        <v>0</v>
      </c>
      <c r="EV710" s="265">
        <v>238</v>
      </c>
      <c r="EW710" s="265">
        <v>0</v>
      </c>
      <c r="EX710" s="265">
        <v>0</v>
      </c>
      <c r="EY710" s="265">
        <v>0</v>
      </c>
      <c r="EZ710" s="265"/>
      <c r="FA710" s="265">
        <v>0</v>
      </c>
      <c r="FB710" s="265"/>
      <c r="FC710" s="265"/>
      <c r="FD710" s="265"/>
      <c r="FE710" s="265"/>
      <c r="FF710" s="265">
        <v>0</v>
      </c>
      <c r="FG710" s="265">
        <v>0</v>
      </c>
      <c r="FH710" s="265">
        <v>0</v>
      </c>
      <c r="FI710" s="265">
        <v>0</v>
      </c>
    </row>
    <row r="711" spans="1:165">
      <c r="A711" s="265">
        <v>716</v>
      </c>
      <c r="B711" s="265" t="s">
        <v>2255</v>
      </c>
      <c r="C711" s="265" t="s">
        <v>2243</v>
      </c>
      <c r="D711" s="265" t="s">
        <v>597</v>
      </c>
      <c r="E711" s="265" t="s">
        <v>974</v>
      </c>
      <c r="F711" s="265" t="s">
        <v>2252</v>
      </c>
      <c r="G711" s="265" t="s">
        <v>1322</v>
      </c>
      <c r="H711" s="265" t="s">
        <v>1322</v>
      </c>
      <c r="I711" s="265" t="s">
        <v>1322</v>
      </c>
      <c r="J711" s="265" t="s">
        <v>2236</v>
      </c>
      <c r="K711" s="1639">
        <v>44713</v>
      </c>
      <c r="L711" s="265">
        <v>5096</v>
      </c>
      <c r="M711" s="265">
        <v>4892.16</v>
      </c>
      <c r="N711" s="265">
        <v>0</v>
      </c>
      <c r="O711" s="265">
        <v>0</v>
      </c>
      <c r="P711" s="265">
        <v>0</v>
      </c>
      <c r="Q711" s="265">
        <v>0</v>
      </c>
      <c r="R711" s="265">
        <v>44.35</v>
      </c>
      <c r="S711" s="265"/>
      <c r="T711" s="265"/>
      <c r="U711" s="265">
        <v>226007.6</v>
      </c>
      <c r="V711" s="265"/>
      <c r="W711" s="265">
        <v>226007.6</v>
      </c>
      <c r="X711" s="265">
        <v>147631.12</v>
      </c>
      <c r="Y711" s="265">
        <v>0</v>
      </c>
      <c r="Z711" s="265">
        <v>0</v>
      </c>
      <c r="AA711" s="265">
        <v>0</v>
      </c>
      <c r="AB711" s="265">
        <v>0</v>
      </c>
      <c r="AC711" s="265">
        <v>0</v>
      </c>
      <c r="AD711" s="265">
        <v>66870.036554482693</v>
      </c>
      <c r="AE711" s="265">
        <v>146346.14467216161</v>
      </c>
      <c r="AF711" s="265"/>
      <c r="AG711" s="265"/>
      <c r="AH711" s="265"/>
      <c r="AI711" s="265">
        <v>0</v>
      </c>
      <c r="AJ711" s="265">
        <v>0</v>
      </c>
      <c r="AK711" s="265">
        <v>0</v>
      </c>
      <c r="AL711" s="265">
        <v>0</v>
      </c>
      <c r="AM711" s="265"/>
      <c r="AN711" s="265">
        <v>0</v>
      </c>
      <c r="AO711" s="265">
        <v>5053.8086447042879</v>
      </c>
      <c r="AP711" s="265">
        <v>7732.1169408079322</v>
      </c>
      <c r="AQ711" s="265">
        <v>0</v>
      </c>
      <c r="AR711" s="265">
        <v>0</v>
      </c>
      <c r="AS711" s="265"/>
      <c r="AT711" s="265"/>
      <c r="AU711" s="265">
        <v>0</v>
      </c>
      <c r="AV711" s="265">
        <v>0</v>
      </c>
      <c r="AW711" s="265">
        <v>0</v>
      </c>
      <c r="AX711" s="265"/>
      <c r="AY711" s="265"/>
      <c r="AZ711" s="265">
        <v>0</v>
      </c>
      <c r="BA711" s="265"/>
      <c r="BB711" s="265">
        <v>0</v>
      </c>
      <c r="BC711" s="265">
        <v>0</v>
      </c>
      <c r="BD711" s="265">
        <v>0</v>
      </c>
      <c r="BE711" s="265">
        <v>0</v>
      </c>
      <c r="BF711" s="265"/>
      <c r="BG711" s="265">
        <v>0</v>
      </c>
      <c r="BH711" s="265">
        <v>0</v>
      </c>
      <c r="BI711" s="265">
        <v>423.87</v>
      </c>
      <c r="BJ711" s="265">
        <v>1960.18</v>
      </c>
      <c r="BK711" s="265">
        <v>598.22</v>
      </c>
      <c r="BL711" s="265">
        <v>129</v>
      </c>
      <c r="BM711" s="265"/>
      <c r="BN711" s="265"/>
      <c r="BO711" s="265"/>
      <c r="BP711" s="265"/>
      <c r="BQ711" s="265"/>
      <c r="BR711" s="265">
        <v>5905.244800000004</v>
      </c>
      <c r="BS711" s="265"/>
      <c r="BT711" s="265"/>
      <c r="BU711" s="265"/>
      <c r="BV711" s="265">
        <v>0</v>
      </c>
      <c r="BW711" s="265"/>
      <c r="BX711" s="265"/>
      <c r="BY711" s="265"/>
      <c r="BZ711" s="265"/>
      <c r="CA711" s="265"/>
      <c r="CB711" s="265"/>
      <c r="CC711" s="265"/>
      <c r="CD711" s="265"/>
      <c r="CE711" s="265"/>
      <c r="CF711" s="265"/>
      <c r="CG711" s="265"/>
      <c r="CH711" s="265"/>
      <c r="CI711" s="265">
        <v>141725.87519999998</v>
      </c>
      <c r="CJ711" s="265">
        <v>-75241.45080000005</v>
      </c>
      <c r="CK711" s="265"/>
      <c r="CL711" s="265"/>
      <c r="CM711" s="265"/>
      <c r="CN711" s="265"/>
      <c r="CO711" s="265">
        <v>-78376.48000000001</v>
      </c>
      <c r="CP711" s="265">
        <v>0</v>
      </c>
      <c r="CQ711" s="265">
        <v>30</v>
      </c>
      <c r="CR711" s="265">
        <v>3735.8335657899588</v>
      </c>
      <c r="CS711" s="265">
        <v>610.15657943829046</v>
      </c>
      <c r="CT711" s="265">
        <v>933.51417833437426</v>
      </c>
      <c r="CU711" s="265">
        <v>0</v>
      </c>
      <c r="CV711" s="265">
        <v>0</v>
      </c>
      <c r="CW711" s="265"/>
      <c r="CX711" s="265"/>
      <c r="CY711" s="265"/>
      <c r="CZ711" s="265">
        <v>2192.1628080172959</v>
      </c>
      <c r="DA711" s="265">
        <v>0</v>
      </c>
      <c r="DB711" s="265">
        <v>0</v>
      </c>
      <c r="DC711" s="265"/>
      <c r="DD711" s="265"/>
      <c r="DE711" s="265">
        <v>0</v>
      </c>
      <c r="DF711" s="265">
        <v>0</v>
      </c>
      <c r="DG711" s="265">
        <v>0</v>
      </c>
      <c r="DH711" s="265">
        <v>0</v>
      </c>
      <c r="DI711" s="265">
        <v>0</v>
      </c>
      <c r="DJ711" s="265"/>
      <c r="DK711" s="265">
        <v>0</v>
      </c>
      <c r="DL711" s="265">
        <v>0</v>
      </c>
      <c r="DM711" s="265"/>
      <c r="DN711" s="265">
        <v>0</v>
      </c>
      <c r="DO711" s="265">
        <v>0</v>
      </c>
      <c r="DP711" s="265">
        <v>0</v>
      </c>
      <c r="DQ711" s="265">
        <v>0</v>
      </c>
      <c r="DR711" s="265">
        <v>0</v>
      </c>
      <c r="DS711" s="265"/>
      <c r="DT711" s="265"/>
      <c r="DU711" s="265">
        <v>146346.14467216161</v>
      </c>
      <c r="DV711" s="265"/>
      <c r="DW711" s="265">
        <v>0</v>
      </c>
      <c r="DX711" s="265">
        <v>0</v>
      </c>
      <c r="DY711" s="265">
        <v>-78376.48000000001</v>
      </c>
      <c r="DZ711" s="265"/>
      <c r="EA711" s="265">
        <v>0</v>
      </c>
      <c r="EB711" s="265"/>
      <c r="EC711" s="265">
        <v>-82098.679678029264</v>
      </c>
      <c r="ED711" s="265"/>
      <c r="EE711" s="265">
        <v>0</v>
      </c>
      <c r="EF711" s="265">
        <v>0</v>
      </c>
      <c r="EG711" s="265"/>
      <c r="EH711" s="265">
        <v>0</v>
      </c>
      <c r="EI711" s="265">
        <v>0</v>
      </c>
      <c r="EJ711" s="265">
        <v>0</v>
      </c>
      <c r="EK711" s="265">
        <v>0</v>
      </c>
      <c r="EL711" s="265">
        <v>0</v>
      </c>
      <c r="EM711" s="265"/>
      <c r="EN711" s="265"/>
      <c r="EO711" s="265">
        <v>0</v>
      </c>
      <c r="EP711" s="265">
        <v>0</v>
      </c>
      <c r="EQ711" s="265"/>
      <c r="ER711" s="265">
        <v>0</v>
      </c>
      <c r="ES711" s="265"/>
      <c r="ET711" s="265">
        <v>0</v>
      </c>
      <c r="EU711" s="265"/>
      <c r="EV711" s="265">
        <v>238</v>
      </c>
      <c r="EW711" s="265"/>
      <c r="EX711" s="265"/>
      <c r="EY711" s="265"/>
      <c r="EZ711" s="265"/>
      <c r="FA711" s="265">
        <v>0</v>
      </c>
      <c r="FB711" s="265"/>
      <c r="FC711" s="265"/>
      <c r="FD711" s="265"/>
      <c r="FE711" s="265"/>
      <c r="FF711" s="265">
        <v>0</v>
      </c>
      <c r="FG711" s="265">
        <v>0</v>
      </c>
      <c r="FH711" s="265">
        <v>0</v>
      </c>
      <c r="FI711" s="265">
        <v>0</v>
      </c>
    </row>
    <row r="712" spans="1:165">
      <c r="A712" s="265">
        <v>717</v>
      </c>
      <c r="B712" s="265" t="s">
        <v>2255</v>
      </c>
      <c r="C712" s="265" t="s">
        <v>2243</v>
      </c>
      <c r="D712" s="265" t="s">
        <v>597</v>
      </c>
      <c r="E712" s="265" t="s">
        <v>974</v>
      </c>
      <c r="F712" s="265" t="s">
        <v>2252</v>
      </c>
      <c r="G712" s="265" t="s">
        <v>1322</v>
      </c>
      <c r="H712" s="265" t="s">
        <v>1322</v>
      </c>
      <c r="I712" s="265" t="s">
        <v>1322</v>
      </c>
      <c r="J712" s="265" t="s">
        <v>2236</v>
      </c>
      <c r="K712" s="1639">
        <v>44713</v>
      </c>
      <c r="L712" s="265">
        <v>846</v>
      </c>
      <c r="M712" s="265">
        <v>812.16</v>
      </c>
      <c r="N712" s="265">
        <v>0</v>
      </c>
      <c r="O712" s="265">
        <v>0</v>
      </c>
      <c r="P712" s="265">
        <v>0</v>
      </c>
      <c r="Q712" s="265">
        <v>0</v>
      </c>
      <c r="R712" s="265">
        <v>44.35</v>
      </c>
      <c r="S712" s="265"/>
      <c r="T712" s="265"/>
      <c r="U712" s="265">
        <v>37520.1</v>
      </c>
      <c r="V712" s="265"/>
      <c r="W712" s="265">
        <v>37520.1</v>
      </c>
      <c r="X712" s="265">
        <v>24508.62</v>
      </c>
      <c r="Y712" s="265">
        <v>0</v>
      </c>
      <c r="Z712" s="265">
        <v>0</v>
      </c>
      <c r="AA712" s="265">
        <v>0</v>
      </c>
      <c r="AB712" s="265">
        <v>0</v>
      </c>
      <c r="AC712" s="265">
        <v>0</v>
      </c>
      <c r="AD712" s="265">
        <v>11101.265880120163</v>
      </c>
      <c r="AE712" s="265">
        <v>24295.297957741117</v>
      </c>
      <c r="AF712" s="265"/>
      <c r="AG712" s="265"/>
      <c r="AH712" s="265"/>
      <c r="AI712" s="265">
        <v>0</v>
      </c>
      <c r="AJ712" s="265">
        <v>0</v>
      </c>
      <c r="AK712" s="265">
        <v>0</v>
      </c>
      <c r="AL712" s="265">
        <v>0</v>
      </c>
      <c r="AM712" s="265"/>
      <c r="AN712" s="265">
        <v>0</v>
      </c>
      <c r="AO712" s="265">
        <v>838.99570514517802</v>
      </c>
      <c r="AP712" s="265">
        <v>1283.6285188232948</v>
      </c>
      <c r="AQ712" s="265">
        <v>0</v>
      </c>
      <c r="AR712" s="265">
        <v>0</v>
      </c>
      <c r="AS712" s="265"/>
      <c r="AT712" s="265"/>
      <c r="AU712" s="265">
        <v>0</v>
      </c>
      <c r="AV712" s="265">
        <v>0</v>
      </c>
      <c r="AW712" s="265">
        <v>0</v>
      </c>
      <c r="AX712" s="265"/>
      <c r="AY712" s="265"/>
      <c r="AZ712" s="265">
        <v>0</v>
      </c>
      <c r="BA712" s="265"/>
      <c r="BB712" s="265">
        <v>0</v>
      </c>
      <c r="BC712" s="265">
        <v>0</v>
      </c>
      <c r="BD712" s="265">
        <v>0</v>
      </c>
      <c r="BE712" s="265">
        <v>0</v>
      </c>
      <c r="BF712" s="265"/>
      <c r="BG712" s="265">
        <v>0</v>
      </c>
      <c r="BH712" s="265">
        <v>0</v>
      </c>
      <c r="BI712" s="265">
        <v>63.63</v>
      </c>
      <c r="BJ712" s="265">
        <v>294.38</v>
      </c>
      <c r="BK712" s="265">
        <v>41.8</v>
      </c>
      <c r="BL712" s="265">
        <v>19</v>
      </c>
      <c r="BM712" s="265"/>
      <c r="BN712" s="265"/>
      <c r="BO712" s="265"/>
      <c r="BP712" s="265"/>
      <c r="BQ712" s="265"/>
      <c r="BR712" s="265">
        <v>980.34480000000087</v>
      </c>
      <c r="BS712" s="265"/>
      <c r="BT712" s="265"/>
      <c r="BU712" s="265"/>
      <c r="BV712" s="265">
        <v>0</v>
      </c>
      <c r="BW712" s="265"/>
      <c r="BX712" s="265"/>
      <c r="BY712" s="265"/>
      <c r="BZ712" s="265"/>
      <c r="CA712" s="265"/>
      <c r="CB712" s="265"/>
      <c r="CC712" s="265"/>
      <c r="CD712" s="265"/>
      <c r="CE712" s="265"/>
      <c r="CF712" s="265"/>
      <c r="CG712" s="265"/>
      <c r="CH712" s="265"/>
      <c r="CI712" s="265">
        <v>23528.275199999996</v>
      </c>
      <c r="CJ712" s="265">
        <v>-12491.050800000012</v>
      </c>
      <c r="CK712" s="265"/>
      <c r="CL712" s="265"/>
      <c r="CM712" s="265"/>
      <c r="CN712" s="265"/>
      <c r="CO712" s="265">
        <v>-13011.480000000001</v>
      </c>
      <c r="CP712" s="265">
        <v>0</v>
      </c>
      <c r="CQ712" s="265">
        <v>30</v>
      </c>
      <c r="CR712" s="265">
        <v>620.19528976811489</v>
      </c>
      <c r="CS712" s="265">
        <v>101.29365506373506</v>
      </c>
      <c r="CT712" s="265">
        <v>154.97507748643648</v>
      </c>
      <c r="CU712" s="265">
        <v>0</v>
      </c>
      <c r="CV712" s="265">
        <v>0</v>
      </c>
      <c r="CW712" s="265"/>
      <c r="CX712" s="265"/>
      <c r="CY712" s="265"/>
      <c r="CZ712" s="265">
        <v>363.9265572179429</v>
      </c>
      <c r="DA712" s="265">
        <v>0</v>
      </c>
      <c r="DB712" s="265">
        <v>0</v>
      </c>
      <c r="DC712" s="265"/>
      <c r="DD712" s="265"/>
      <c r="DE712" s="265">
        <v>0</v>
      </c>
      <c r="DF712" s="265">
        <v>0</v>
      </c>
      <c r="DG712" s="265">
        <v>0</v>
      </c>
      <c r="DH712" s="265">
        <v>0</v>
      </c>
      <c r="DI712" s="265">
        <v>0</v>
      </c>
      <c r="DJ712" s="265"/>
      <c r="DK712" s="265">
        <v>0</v>
      </c>
      <c r="DL712" s="265">
        <v>0</v>
      </c>
      <c r="DM712" s="265"/>
      <c r="DN712" s="265">
        <v>0</v>
      </c>
      <c r="DO712" s="265">
        <v>0</v>
      </c>
      <c r="DP712" s="265">
        <v>0</v>
      </c>
      <c r="DQ712" s="265">
        <v>0</v>
      </c>
      <c r="DR712" s="265">
        <v>0</v>
      </c>
      <c r="DS712" s="265"/>
      <c r="DT712" s="265"/>
      <c r="DU712" s="265">
        <v>24295.297957741117</v>
      </c>
      <c r="DV712" s="265"/>
      <c r="DW712" s="265">
        <v>0</v>
      </c>
      <c r="DX712" s="265">
        <v>0</v>
      </c>
      <c r="DY712" s="265">
        <v>-13011.48</v>
      </c>
      <c r="DZ712" s="265"/>
      <c r="EA712" s="265">
        <v>0</v>
      </c>
      <c r="EB712" s="265"/>
      <c r="EC712" s="265">
        <v>-13629.411893173619</v>
      </c>
      <c r="ED712" s="265"/>
      <c r="EE712" s="265">
        <v>0</v>
      </c>
      <c r="EF712" s="265">
        <v>0</v>
      </c>
      <c r="EG712" s="265"/>
      <c r="EH712" s="265">
        <v>0</v>
      </c>
      <c r="EI712" s="265">
        <v>0</v>
      </c>
      <c r="EJ712" s="265">
        <v>0</v>
      </c>
      <c r="EK712" s="265">
        <v>0</v>
      </c>
      <c r="EL712" s="265">
        <v>0</v>
      </c>
      <c r="EM712" s="265"/>
      <c r="EN712" s="265"/>
      <c r="EO712" s="265">
        <v>0</v>
      </c>
      <c r="EP712" s="265">
        <v>0</v>
      </c>
      <c r="EQ712" s="265"/>
      <c r="ER712" s="265">
        <v>0</v>
      </c>
      <c r="ES712" s="265"/>
      <c r="ET712" s="265">
        <v>0</v>
      </c>
      <c r="EU712" s="265"/>
      <c r="EV712" s="265">
        <v>238</v>
      </c>
      <c r="EW712" s="265"/>
      <c r="EX712" s="265"/>
      <c r="EY712" s="265"/>
      <c r="EZ712" s="265"/>
      <c r="FA712" s="265">
        <v>0</v>
      </c>
      <c r="FB712" s="265"/>
      <c r="FC712" s="265"/>
      <c r="FD712" s="265"/>
      <c r="FE712" s="265"/>
      <c r="FF712" s="265">
        <v>0</v>
      </c>
      <c r="FG712" s="265">
        <v>0</v>
      </c>
      <c r="FH712" s="265">
        <v>0</v>
      </c>
      <c r="FI712" s="265">
        <v>0</v>
      </c>
    </row>
    <row r="713" spans="1:165">
      <c r="A713" s="265">
        <v>718</v>
      </c>
      <c r="B713" s="265" t="s">
        <v>2255</v>
      </c>
      <c r="C713" s="265" t="s">
        <v>2243</v>
      </c>
      <c r="D713" s="265" t="s">
        <v>597</v>
      </c>
      <c r="E713" s="265" t="s">
        <v>974</v>
      </c>
      <c r="F713" s="265" t="s">
        <v>2252</v>
      </c>
      <c r="G713" s="265" t="s">
        <v>2254</v>
      </c>
      <c r="H713" s="265" t="s">
        <v>1322</v>
      </c>
      <c r="I713" s="265" t="s">
        <v>2244</v>
      </c>
      <c r="J713" s="265" t="s">
        <v>2236</v>
      </c>
      <c r="K713" s="1639">
        <v>44713</v>
      </c>
      <c r="L713" s="265">
        <v>0</v>
      </c>
      <c r="M713" s="265">
        <v>0</v>
      </c>
      <c r="N713" s="265">
        <v>80.194000000000003</v>
      </c>
      <c r="O713" s="265">
        <v>24.058199999999999</v>
      </c>
      <c r="P713" s="265">
        <v>80.194000000000003</v>
      </c>
      <c r="Q713" s="265">
        <v>24.058199999999999</v>
      </c>
      <c r="R713" s="265"/>
      <c r="S713" s="265">
        <v>79.7</v>
      </c>
      <c r="T713" s="265">
        <v>209.4</v>
      </c>
      <c r="U713" s="265"/>
      <c r="V713" s="265">
        <v>23184.085400000004</v>
      </c>
      <c r="W713" s="265">
        <v>23184.085400000004</v>
      </c>
      <c r="X713" s="265">
        <v>25062.228880000002</v>
      </c>
      <c r="Y713" s="265">
        <v>0</v>
      </c>
      <c r="Z713" s="265">
        <v>4293.4247284006497</v>
      </c>
      <c r="AA713" s="265">
        <v>0</v>
      </c>
      <c r="AB713" s="265">
        <v>0</v>
      </c>
      <c r="AC713" s="265">
        <v>0</v>
      </c>
      <c r="AD713" s="265">
        <v>0</v>
      </c>
      <c r="AE713" s="265">
        <v>0</v>
      </c>
      <c r="AF713" s="265">
        <v>16572.14990796546</v>
      </c>
      <c r="AG713" s="265">
        <v>220.77127233808767</v>
      </c>
      <c r="AH713" s="265">
        <v>0</v>
      </c>
      <c r="AI713" s="265">
        <v>0</v>
      </c>
      <c r="AJ713" s="265">
        <v>0</v>
      </c>
      <c r="AK713" s="265">
        <v>0</v>
      </c>
      <c r="AL713" s="265">
        <v>762.61299432912381</v>
      </c>
      <c r="AM713" s="265"/>
      <c r="AN713" s="265">
        <v>106.48514647650018</v>
      </c>
      <c r="AO713" s="265">
        <v>0</v>
      </c>
      <c r="AP713" s="265">
        <v>0</v>
      </c>
      <c r="AQ713" s="265">
        <v>0</v>
      </c>
      <c r="AR713" s="265">
        <v>0</v>
      </c>
      <c r="AS713" s="265">
        <v>0</v>
      </c>
      <c r="AT713" s="265">
        <v>0</v>
      </c>
      <c r="AU713" s="265">
        <v>0</v>
      </c>
      <c r="AV713" s="265">
        <v>0</v>
      </c>
      <c r="AW713" s="265">
        <v>0</v>
      </c>
      <c r="AX713" s="265">
        <v>0</v>
      </c>
      <c r="AY713" s="265">
        <v>0</v>
      </c>
      <c r="AZ713" s="265">
        <v>0</v>
      </c>
      <c r="BA713" s="265"/>
      <c r="BB713" s="265">
        <v>0</v>
      </c>
      <c r="BC713" s="265">
        <v>0</v>
      </c>
      <c r="BD713" s="265">
        <v>0</v>
      </c>
      <c r="BE713" s="265">
        <v>0</v>
      </c>
      <c r="BF713" s="265">
        <v>0</v>
      </c>
      <c r="BG713" s="265">
        <v>1228.9278495517249</v>
      </c>
      <c r="BH713" s="265">
        <v>0</v>
      </c>
      <c r="BI713" s="265">
        <v>0</v>
      </c>
      <c r="BJ713" s="265">
        <v>0</v>
      </c>
      <c r="BK713" s="265">
        <v>0</v>
      </c>
      <c r="BL713" s="265">
        <v>0</v>
      </c>
      <c r="BM713" s="265"/>
      <c r="BN713" s="265"/>
      <c r="BO713" s="265"/>
      <c r="BP713" s="265"/>
      <c r="BQ713" s="265"/>
      <c r="BR713" s="265"/>
      <c r="BS713" s="265">
        <v>17543.560215999998</v>
      </c>
      <c r="BT713" s="265"/>
      <c r="BU713" s="265"/>
      <c r="BV713" s="265">
        <v>17801.077757517185</v>
      </c>
      <c r="BW713" s="265"/>
      <c r="BX713" s="265"/>
      <c r="BY713" s="265"/>
      <c r="BZ713" s="265"/>
      <c r="CA713" s="265"/>
      <c r="CB713" s="265"/>
      <c r="CC713" s="265"/>
      <c r="CD713" s="265"/>
      <c r="CE713" s="265"/>
      <c r="CF713" s="265"/>
      <c r="CG713" s="265"/>
      <c r="CH713" s="265"/>
      <c r="CI713" s="265">
        <v>7519.2311999999993</v>
      </c>
      <c r="CJ713" s="265">
        <v>563.97557999999935</v>
      </c>
      <c r="CK713" s="265"/>
      <c r="CL713" s="265"/>
      <c r="CM713" s="265"/>
      <c r="CN713" s="265"/>
      <c r="CO713" s="265">
        <v>47.314460000000274</v>
      </c>
      <c r="CP713" s="265">
        <v>1830.8290199999988</v>
      </c>
      <c r="CQ713" s="265">
        <v>30</v>
      </c>
      <c r="CR713" s="265">
        <v>1877.5182953110125</v>
      </c>
      <c r="CS713" s="265">
        <v>0</v>
      </c>
      <c r="CT713" s="265">
        <v>0</v>
      </c>
      <c r="CU713" s="265">
        <v>0</v>
      </c>
      <c r="CV713" s="265">
        <v>0</v>
      </c>
      <c r="CW713" s="265">
        <v>0</v>
      </c>
      <c r="CX713" s="265">
        <v>0</v>
      </c>
      <c r="CY713" s="265">
        <v>0</v>
      </c>
      <c r="CZ713" s="265">
        <v>0</v>
      </c>
      <c r="DA713" s="265">
        <v>0</v>
      </c>
      <c r="DB713" s="265">
        <v>0</v>
      </c>
      <c r="DC713" s="265">
        <v>1830.2744084293117</v>
      </c>
      <c r="DD713" s="265">
        <v>0</v>
      </c>
      <c r="DE713" s="265">
        <v>0</v>
      </c>
      <c r="DF713" s="265">
        <v>0</v>
      </c>
      <c r="DG713" s="265">
        <v>135.72621568909631</v>
      </c>
      <c r="DH713" s="265">
        <v>0</v>
      </c>
      <c r="DI713" s="265">
        <v>-74.843507248114292</v>
      </c>
      <c r="DJ713" s="265"/>
      <c r="DK713" s="265">
        <v>0</v>
      </c>
      <c r="DL713" s="265">
        <v>0</v>
      </c>
      <c r="DM713" s="265">
        <v>0</v>
      </c>
      <c r="DN713" s="265">
        <v>0</v>
      </c>
      <c r="DO713" s="265">
        <v>-11.176834738620414</v>
      </c>
      <c r="DP713" s="265">
        <v>-2.4619868206639239</v>
      </c>
      <c r="DQ713" s="265">
        <v>0</v>
      </c>
      <c r="DR713" s="265">
        <v>0</v>
      </c>
      <c r="DS713" s="265"/>
      <c r="DT713" s="265"/>
      <c r="DU713" s="265"/>
      <c r="DV713" s="265">
        <v>0</v>
      </c>
      <c r="DW713" s="265">
        <v>0</v>
      </c>
      <c r="DX713" s="265">
        <v>0</v>
      </c>
      <c r="DY713" s="265">
        <v>47.314460000000508</v>
      </c>
      <c r="DZ713" s="265">
        <v>1830.8290199999974</v>
      </c>
      <c r="EA713" s="265">
        <v>0</v>
      </c>
      <c r="EB713" s="265">
        <v>0</v>
      </c>
      <c r="EC713" s="265">
        <v>0</v>
      </c>
      <c r="ED713" s="265">
        <v>0</v>
      </c>
      <c r="EE713" s="265">
        <v>0</v>
      </c>
      <c r="EF713" s="265">
        <v>0</v>
      </c>
      <c r="EG713" s="265">
        <v>0</v>
      </c>
      <c r="EH713" s="265">
        <v>0</v>
      </c>
      <c r="EI713" s="265">
        <v>0</v>
      </c>
      <c r="EJ713" s="265">
        <v>0</v>
      </c>
      <c r="EK713" s="265">
        <v>0</v>
      </c>
      <c r="EL713" s="265">
        <v>0</v>
      </c>
      <c r="EM713" s="265">
        <v>0</v>
      </c>
      <c r="EN713" s="265">
        <v>0</v>
      </c>
      <c r="EO713" s="265">
        <v>0</v>
      </c>
      <c r="EP713" s="265">
        <v>0</v>
      </c>
      <c r="EQ713" s="265">
        <v>0</v>
      </c>
      <c r="ER713" s="265">
        <v>0</v>
      </c>
      <c r="ES713" s="265">
        <v>0</v>
      </c>
      <c r="ET713" s="265">
        <v>0</v>
      </c>
      <c r="EU713" s="265">
        <v>0</v>
      </c>
      <c r="EV713" s="265">
        <v>238</v>
      </c>
      <c r="EW713" s="265">
        <v>0</v>
      </c>
      <c r="EX713" s="265">
        <v>0</v>
      </c>
      <c r="EY713" s="265">
        <v>0</v>
      </c>
      <c r="EZ713" s="265"/>
      <c r="FA713" s="265">
        <v>0</v>
      </c>
      <c r="FB713" s="265"/>
      <c r="FC713" s="265"/>
      <c r="FD713" s="265"/>
      <c r="FE713" s="265"/>
      <c r="FF713" s="265">
        <v>0</v>
      </c>
      <c r="FG713" s="265">
        <v>0</v>
      </c>
      <c r="FH713" s="265">
        <v>0</v>
      </c>
      <c r="FI713" s="265">
        <v>0</v>
      </c>
    </row>
    <row r="714" spans="1:165">
      <c r="A714" s="408">
        <v>722</v>
      </c>
      <c r="B714" s="408" t="s">
        <v>1036</v>
      </c>
      <c r="C714" s="408" t="s">
        <v>2243</v>
      </c>
      <c r="D714" s="408" t="s">
        <v>597</v>
      </c>
      <c r="E714" s="408" t="s">
        <v>970</v>
      </c>
      <c r="F714" s="408" t="s">
        <v>1322</v>
      </c>
      <c r="G714" s="408" t="s">
        <v>2323</v>
      </c>
      <c r="H714" s="408" t="s">
        <v>1322</v>
      </c>
      <c r="I714" s="408" t="s">
        <v>1322</v>
      </c>
      <c r="J714" s="408" t="s">
        <v>2324</v>
      </c>
      <c r="K714" s="824">
        <v>44378</v>
      </c>
      <c r="L714" s="408">
        <v>1709</v>
      </c>
      <c r="M714" s="408">
        <v>860.88947247999999</v>
      </c>
      <c r="N714" s="408">
        <v>0</v>
      </c>
      <c r="O714" s="408">
        <v>0</v>
      </c>
      <c r="P714" s="408">
        <v>0</v>
      </c>
      <c r="Q714" s="408">
        <v>0</v>
      </c>
      <c r="R714" s="408">
        <v>44.35</v>
      </c>
      <c r="S714" s="408"/>
      <c r="T714" s="408"/>
      <c r="U714" s="408">
        <v>75794.150000000009</v>
      </c>
      <c r="V714" s="408"/>
      <c r="W714" s="408">
        <v>75794.150000000009</v>
      </c>
      <c r="X714" s="408">
        <v>49509.729999999996</v>
      </c>
      <c r="Y714" s="408">
        <v>0</v>
      </c>
      <c r="Z714" s="408">
        <v>0</v>
      </c>
      <c r="AA714" s="408">
        <v>0</v>
      </c>
      <c r="AB714" s="408">
        <v>0</v>
      </c>
      <c r="AC714" s="408">
        <v>0</v>
      </c>
      <c r="AD714" s="408">
        <v>22425.606842937777</v>
      </c>
      <c r="AE714" s="408">
        <v>49078.79930233991</v>
      </c>
      <c r="AF714" s="408"/>
      <c r="AG714" s="408"/>
      <c r="AH714" s="408"/>
      <c r="AI714" s="408">
        <v>0</v>
      </c>
      <c r="AJ714" s="408">
        <v>0</v>
      </c>
      <c r="AK714" s="408">
        <v>0</v>
      </c>
      <c r="AL714" s="408">
        <v>0</v>
      </c>
      <c r="AM714" s="408"/>
      <c r="AN714" s="408">
        <v>0</v>
      </c>
      <c r="AO714" s="408">
        <v>1694.8506620485925</v>
      </c>
      <c r="AP714" s="408">
        <v>2593.0509913345281</v>
      </c>
      <c r="AQ714" s="408">
        <v>0</v>
      </c>
      <c r="AR714" s="408">
        <v>0</v>
      </c>
      <c r="AS714" s="408"/>
      <c r="AT714" s="408"/>
      <c r="AU714" s="408">
        <v>0</v>
      </c>
      <c r="AV714" s="408">
        <v>0</v>
      </c>
      <c r="AW714" s="408">
        <v>0</v>
      </c>
      <c r="AX714" s="408"/>
      <c r="AY714" s="408"/>
      <c r="AZ714" s="408">
        <v>0</v>
      </c>
      <c r="BA714" s="408"/>
      <c r="BB714" s="408">
        <v>0</v>
      </c>
      <c r="BC714" s="408">
        <v>0</v>
      </c>
      <c r="BD714" s="408">
        <v>0</v>
      </c>
      <c r="BE714" s="408">
        <v>0</v>
      </c>
      <c r="BF714" s="408"/>
      <c r="BG714" s="408">
        <v>0</v>
      </c>
      <c r="BH714" s="408">
        <v>0</v>
      </c>
      <c r="BI714" s="408">
        <v>301.54000000000002</v>
      </c>
      <c r="BJ714" s="408">
        <v>0</v>
      </c>
      <c r="BK714" s="408">
        <v>9594.5499999999993</v>
      </c>
      <c r="BL714" s="408">
        <v>1</v>
      </c>
      <c r="BM714" s="408"/>
      <c r="BN714" s="408">
        <v>24569.7619822544</v>
      </c>
      <c r="BO714" s="408"/>
      <c r="BP714" s="408"/>
      <c r="BQ714" s="408"/>
      <c r="BR714" s="408"/>
      <c r="BS714" s="408"/>
      <c r="BT714" s="408"/>
      <c r="BU714" s="408"/>
      <c r="BV714" s="408">
        <v>0</v>
      </c>
      <c r="BW714" s="408"/>
      <c r="BX714" s="408"/>
      <c r="BY714" s="408"/>
      <c r="BZ714" s="408"/>
      <c r="CA714" s="408"/>
      <c r="CB714" s="408"/>
      <c r="CC714" s="408"/>
      <c r="CD714" s="408"/>
      <c r="CE714" s="408"/>
      <c r="CF714" s="408"/>
      <c r="CG714" s="408"/>
      <c r="CH714" s="408"/>
      <c r="CI714" s="408">
        <v>24939.9833</v>
      </c>
      <c r="CJ714" s="408">
        <v>-13240.494804488008</v>
      </c>
      <c r="CK714" s="408"/>
      <c r="CL714" s="408"/>
      <c r="CM714" s="408"/>
      <c r="CN714" s="408"/>
      <c r="CO714" s="408">
        <v>-26284.420000000006</v>
      </c>
      <c r="CP714" s="408">
        <v>0</v>
      </c>
      <c r="CQ714" s="408">
        <v>31</v>
      </c>
      <c r="CR714" s="408">
        <v>1252.8531326403172</v>
      </c>
      <c r="CS714" s="408">
        <v>204.62276182496839</v>
      </c>
      <c r="CT714" s="408">
        <v>313.06431137626487</v>
      </c>
      <c r="CU714" s="408">
        <v>0</v>
      </c>
      <c r="CV714" s="408">
        <v>0</v>
      </c>
      <c r="CW714" s="408"/>
      <c r="CX714" s="408"/>
      <c r="CY714" s="408"/>
      <c r="CZ714" s="408">
        <v>735.16605943908144</v>
      </c>
      <c r="DA714" s="408">
        <v>0</v>
      </c>
      <c r="DB714" s="408">
        <v>0</v>
      </c>
      <c r="DC714" s="408"/>
      <c r="DD714" s="408"/>
      <c r="DE714" s="408">
        <v>0</v>
      </c>
      <c r="DF714" s="408">
        <v>0</v>
      </c>
      <c r="DG714" s="408">
        <v>0</v>
      </c>
      <c r="DH714" s="408">
        <v>0</v>
      </c>
      <c r="DI714" s="408">
        <v>0</v>
      </c>
      <c r="DJ714" s="408"/>
      <c r="DK714" s="408">
        <v>0</v>
      </c>
      <c r="DL714" s="408">
        <v>0</v>
      </c>
      <c r="DM714" s="408"/>
      <c r="DN714" s="408">
        <v>0</v>
      </c>
      <c r="DO714" s="408">
        <v>0</v>
      </c>
      <c r="DP714" s="408">
        <v>0</v>
      </c>
      <c r="DQ714" s="408">
        <v>0</v>
      </c>
      <c r="DR714" s="408">
        <v>0</v>
      </c>
      <c r="DS714" s="408"/>
      <c r="DT714" s="408"/>
      <c r="DU714" s="408">
        <v>49078.79930233991</v>
      </c>
      <c r="DV714" s="408"/>
      <c r="DW714" s="408">
        <v>0</v>
      </c>
      <c r="DX714" s="408">
        <v>0</v>
      </c>
      <c r="DY714" s="408">
        <v>-26284.420000000013</v>
      </c>
      <c r="DZ714" s="408"/>
      <c r="EA714" s="408">
        <v>0</v>
      </c>
      <c r="EB714" s="408"/>
      <c r="EC714" s="408">
        <v>-27532.700857486656</v>
      </c>
      <c r="ED714" s="408"/>
      <c r="EE714" s="408">
        <v>0</v>
      </c>
      <c r="EF714" s="408">
        <v>0</v>
      </c>
      <c r="EG714" s="408"/>
      <c r="EH714" s="408">
        <v>0</v>
      </c>
      <c r="EI714" s="408">
        <v>0</v>
      </c>
      <c r="EJ714" s="408">
        <v>0</v>
      </c>
      <c r="EK714" s="408">
        <v>0</v>
      </c>
      <c r="EL714" s="408">
        <v>0</v>
      </c>
      <c r="EM714" s="408"/>
      <c r="EN714" s="408"/>
      <c r="EO714" s="408">
        <v>0</v>
      </c>
      <c r="EP714" s="408">
        <v>0</v>
      </c>
      <c r="EQ714" s="408"/>
      <c r="ER714" s="408">
        <v>0</v>
      </c>
      <c r="ES714" s="408"/>
      <c r="ET714" s="408">
        <v>0</v>
      </c>
      <c r="EU714" s="408"/>
      <c r="EV714" s="408">
        <v>238</v>
      </c>
      <c r="EW714" s="408"/>
      <c r="EX714" s="408"/>
      <c r="EY714" s="408"/>
      <c r="EZ714" s="408"/>
      <c r="FA714" s="408">
        <v>0</v>
      </c>
      <c r="FB714" s="408"/>
      <c r="FC714" s="408"/>
      <c r="FD714" s="408"/>
      <c r="FE714" s="408"/>
      <c r="FF714" s="408">
        <v>0</v>
      </c>
      <c r="FG714" s="408">
        <v>0</v>
      </c>
      <c r="FH714" s="408">
        <v>0</v>
      </c>
      <c r="FI714" s="408">
        <v>0</v>
      </c>
    </row>
    <row r="715" spans="1:165">
      <c r="A715" s="408">
        <v>725</v>
      </c>
      <c r="B715" s="408" t="s">
        <v>1036</v>
      </c>
      <c r="C715" s="408" t="s">
        <v>2243</v>
      </c>
      <c r="D715" s="408" t="s">
        <v>597</v>
      </c>
      <c r="E715" s="408" t="s">
        <v>970</v>
      </c>
      <c r="F715" s="408" t="s">
        <v>1322</v>
      </c>
      <c r="G715" s="408" t="s">
        <v>2323</v>
      </c>
      <c r="H715" s="408" t="s">
        <v>1322</v>
      </c>
      <c r="I715" s="408" t="s">
        <v>1322</v>
      </c>
      <c r="J715" s="408" t="s">
        <v>2324</v>
      </c>
      <c r="K715" s="824">
        <v>44409</v>
      </c>
      <c r="L715" s="408">
        <v>1709</v>
      </c>
      <c r="M715" s="408">
        <v>865.20215107000001</v>
      </c>
      <c r="N715" s="408">
        <v>0</v>
      </c>
      <c r="O715" s="408">
        <v>0</v>
      </c>
      <c r="P715" s="408">
        <v>0</v>
      </c>
      <c r="Q715" s="408">
        <v>0</v>
      </c>
      <c r="R715" s="408">
        <v>44.35</v>
      </c>
      <c r="S715" s="408"/>
      <c r="T715" s="408"/>
      <c r="U715" s="408">
        <v>75794.150000000009</v>
      </c>
      <c r="V715" s="408"/>
      <c r="W715" s="408">
        <v>75794.150000000009</v>
      </c>
      <c r="X715" s="408">
        <v>49509.729999999996</v>
      </c>
      <c r="Y715" s="408">
        <v>0</v>
      </c>
      <c r="Z715" s="408">
        <v>0</v>
      </c>
      <c r="AA715" s="408">
        <v>0</v>
      </c>
      <c r="AB715" s="408">
        <v>0</v>
      </c>
      <c r="AC715" s="408">
        <v>0</v>
      </c>
      <c r="AD715" s="408">
        <v>22425.606842937777</v>
      </c>
      <c r="AE715" s="408">
        <v>49078.79930233991</v>
      </c>
      <c r="AF715" s="408"/>
      <c r="AG715" s="408"/>
      <c r="AH715" s="408"/>
      <c r="AI715" s="408">
        <v>0</v>
      </c>
      <c r="AJ715" s="408">
        <v>0</v>
      </c>
      <c r="AK715" s="408">
        <v>0</v>
      </c>
      <c r="AL715" s="408">
        <v>0</v>
      </c>
      <c r="AM715" s="408"/>
      <c r="AN715" s="408">
        <v>0</v>
      </c>
      <c r="AO715" s="408">
        <v>1694.8506620485925</v>
      </c>
      <c r="AP715" s="408">
        <v>2593.0509913345281</v>
      </c>
      <c r="AQ715" s="408">
        <v>0</v>
      </c>
      <c r="AR715" s="408">
        <v>0</v>
      </c>
      <c r="AS715" s="408"/>
      <c r="AT715" s="408"/>
      <c r="AU715" s="408">
        <v>0</v>
      </c>
      <c r="AV715" s="408">
        <v>0</v>
      </c>
      <c r="AW715" s="408">
        <v>0</v>
      </c>
      <c r="AX715" s="408"/>
      <c r="AY715" s="408"/>
      <c r="AZ715" s="408">
        <v>0</v>
      </c>
      <c r="BA715" s="408"/>
      <c r="BB715" s="408">
        <v>0</v>
      </c>
      <c r="BC715" s="408">
        <v>0</v>
      </c>
      <c r="BD715" s="408">
        <v>0</v>
      </c>
      <c r="BE715" s="408">
        <v>0</v>
      </c>
      <c r="BF715" s="408"/>
      <c r="BG715" s="408">
        <v>0</v>
      </c>
      <c r="BH715" s="408">
        <v>0</v>
      </c>
      <c r="BI715" s="408">
        <v>0</v>
      </c>
      <c r="BJ715" s="408">
        <v>0</v>
      </c>
      <c r="BK715" s="408">
        <v>376.06</v>
      </c>
      <c r="BL715" s="408">
        <v>1</v>
      </c>
      <c r="BM715" s="408"/>
      <c r="BN715" s="408">
        <v>24444.823683502098</v>
      </c>
      <c r="BO715" s="408"/>
      <c r="BP715" s="408"/>
      <c r="BQ715" s="408"/>
      <c r="BR715" s="408"/>
      <c r="BS715" s="408"/>
      <c r="BT715" s="408"/>
      <c r="BU715" s="408"/>
      <c r="BV715" s="408">
        <v>0</v>
      </c>
      <c r="BW715" s="408"/>
      <c r="BX715" s="408"/>
      <c r="BY715" s="408"/>
      <c r="BZ715" s="408"/>
      <c r="CA715" s="408"/>
      <c r="CB715" s="408"/>
      <c r="CC715" s="408"/>
      <c r="CD715" s="408"/>
      <c r="CE715" s="408"/>
      <c r="CF715" s="408"/>
      <c r="CG715" s="408"/>
      <c r="CH715" s="408"/>
      <c r="CI715" s="408">
        <v>25064.844000000001</v>
      </c>
      <c r="CJ715" s="408">
        <v>-13306.90139995451</v>
      </c>
      <c r="CK715" s="408"/>
      <c r="CL715" s="408"/>
      <c r="CM715" s="408"/>
      <c r="CN715" s="408"/>
      <c r="CO715" s="408">
        <v>-26284.420000000006</v>
      </c>
      <c r="CP715" s="408">
        <v>0</v>
      </c>
      <c r="CQ715" s="408">
        <v>31</v>
      </c>
      <c r="CR715" s="408">
        <v>1252.8531326403172</v>
      </c>
      <c r="CS715" s="408">
        <v>204.62276182496839</v>
      </c>
      <c r="CT715" s="408">
        <v>313.06431137626487</v>
      </c>
      <c r="CU715" s="408">
        <v>0</v>
      </c>
      <c r="CV715" s="408">
        <v>0</v>
      </c>
      <c r="CW715" s="408"/>
      <c r="CX715" s="408"/>
      <c r="CY715" s="408"/>
      <c r="CZ715" s="408">
        <v>735.16605943908144</v>
      </c>
      <c r="DA715" s="408">
        <v>0</v>
      </c>
      <c r="DB715" s="408">
        <v>0</v>
      </c>
      <c r="DC715" s="408"/>
      <c r="DD715" s="408"/>
      <c r="DE715" s="408">
        <v>0</v>
      </c>
      <c r="DF715" s="408">
        <v>0</v>
      </c>
      <c r="DG715" s="408">
        <v>0</v>
      </c>
      <c r="DH715" s="408">
        <v>0</v>
      </c>
      <c r="DI715" s="408">
        <v>0</v>
      </c>
      <c r="DJ715" s="408"/>
      <c r="DK715" s="408">
        <v>0</v>
      </c>
      <c r="DL715" s="408">
        <v>0</v>
      </c>
      <c r="DM715" s="408"/>
      <c r="DN715" s="408">
        <v>0</v>
      </c>
      <c r="DO715" s="408">
        <v>0</v>
      </c>
      <c r="DP715" s="408">
        <v>0</v>
      </c>
      <c r="DQ715" s="408">
        <v>0</v>
      </c>
      <c r="DR715" s="408">
        <v>0</v>
      </c>
      <c r="DS715" s="408"/>
      <c r="DT715" s="408"/>
      <c r="DU715" s="408">
        <v>49078.79930233991</v>
      </c>
      <c r="DV715" s="408"/>
      <c r="DW715" s="408">
        <v>0</v>
      </c>
      <c r="DX715" s="408">
        <v>0</v>
      </c>
      <c r="DY715" s="408">
        <v>-26284.420000000013</v>
      </c>
      <c r="DZ715" s="408"/>
      <c r="EA715" s="408">
        <v>0</v>
      </c>
      <c r="EB715" s="408"/>
      <c r="EC715" s="408">
        <v>-27532.700857486656</v>
      </c>
      <c r="ED715" s="408"/>
      <c r="EE715" s="408">
        <v>0</v>
      </c>
      <c r="EF715" s="408">
        <v>0</v>
      </c>
      <c r="EG715" s="408"/>
      <c r="EH715" s="408">
        <v>0</v>
      </c>
      <c r="EI715" s="408">
        <v>0</v>
      </c>
      <c r="EJ715" s="408">
        <v>0</v>
      </c>
      <c r="EK715" s="408">
        <v>0</v>
      </c>
      <c r="EL715" s="408">
        <v>0</v>
      </c>
      <c r="EM715" s="408"/>
      <c r="EN715" s="408"/>
      <c r="EO715" s="408">
        <v>0</v>
      </c>
      <c r="EP715" s="408">
        <v>0</v>
      </c>
      <c r="EQ715" s="408"/>
      <c r="ER715" s="408">
        <v>0</v>
      </c>
      <c r="ES715" s="408"/>
      <c r="ET715" s="408">
        <v>0</v>
      </c>
      <c r="EU715" s="408"/>
      <c r="EV715" s="408">
        <v>238</v>
      </c>
      <c r="EW715" s="408"/>
      <c r="EX715" s="408"/>
      <c r="EY715" s="408"/>
      <c r="EZ715" s="408"/>
      <c r="FA715" s="408">
        <v>0</v>
      </c>
      <c r="FB715" s="408"/>
      <c r="FC715" s="408"/>
      <c r="FD715" s="408"/>
      <c r="FE715" s="408"/>
      <c r="FF715" s="408">
        <v>0</v>
      </c>
      <c r="FG715" s="408">
        <v>0</v>
      </c>
      <c r="FH715" s="408">
        <v>0</v>
      </c>
      <c r="FI715" s="408">
        <v>0</v>
      </c>
    </row>
    <row r="716" spans="1:165">
      <c r="A716" s="408">
        <v>728</v>
      </c>
      <c r="B716" s="408" t="s">
        <v>1036</v>
      </c>
      <c r="C716" s="408" t="s">
        <v>2243</v>
      </c>
      <c r="D716" s="408" t="s">
        <v>597</v>
      </c>
      <c r="E716" s="408" t="s">
        <v>970</v>
      </c>
      <c r="F716" s="408" t="s">
        <v>1322</v>
      </c>
      <c r="G716" s="408" t="s">
        <v>2323</v>
      </c>
      <c r="H716" s="408" t="s">
        <v>1322</v>
      </c>
      <c r="I716" s="408" t="s">
        <v>1322</v>
      </c>
      <c r="J716" s="408" t="s">
        <v>2324</v>
      </c>
      <c r="K716" s="824">
        <v>44440</v>
      </c>
      <c r="L716" s="408">
        <v>1709</v>
      </c>
      <c r="M716" s="408">
        <v>13.325568610000101</v>
      </c>
      <c r="N716" s="408">
        <v>0</v>
      </c>
      <c r="O716" s="408">
        <v>0</v>
      </c>
      <c r="P716" s="408">
        <v>0</v>
      </c>
      <c r="Q716" s="408">
        <v>0</v>
      </c>
      <c r="R716" s="408">
        <v>44.35</v>
      </c>
      <c r="S716" s="408"/>
      <c r="T716" s="408"/>
      <c r="U716" s="408">
        <v>75794.150000000009</v>
      </c>
      <c r="V716" s="408"/>
      <c r="W716" s="408">
        <v>75794.150000000009</v>
      </c>
      <c r="X716" s="408">
        <v>49509.729999999996</v>
      </c>
      <c r="Y716" s="408">
        <v>0</v>
      </c>
      <c r="Z716" s="408">
        <v>0</v>
      </c>
      <c r="AA716" s="408">
        <v>0</v>
      </c>
      <c r="AB716" s="408">
        <v>0</v>
      </c>
      <c r="AC716" s="408">
        <v>0</v>
      </c>
      <c r="AD716" s="408">
        <v>22425.606842937777</v>
      </c>
      <c r="AE716" s="408">
        <v>49078.79930233991</v>
      </c>
      <c r="AF716" s="408"/>
      <c r="AG716" s="408"/>
      <c r="AH716" s="408"/>
      <c r="AI716" s="408">
        <v>0</v>
      </c>
      <c r="AJ716" s="408">
        <v>0</v>
      </c>
      <c r="AK716" s="408">
        <v>0</v>
      </c>
      <c r="AL716" s="408">
        <v>0</v>
      </c>
      <c r="AM716" s="408"/>
      <c r="AN716" s="408">
        <v>0</v>
      </c>
      <c r="AO716" s="408">
        <v>1694.8506620485925</v>
      </c>
      <c r="AP716" s="408">
        <v>2593.0509913345281</v>
      </c>
      <c r="AQ716" s="408">
        <v>0</v>
      </c>
      <c r="AR716" s="408">
        <v>0</v>
      </c>
      <c r="AS716" s="408"/>
      <c r="AT716" s="408"/>
      <c r="AU716" s="408">
        <v>0</v>
      </c>
      <c r="AV716" s="408">
        <v>0</v>
      </c>
      <c r="AW716" s="408">
        <v>0</v>
      </c>
      <c r="AX716" s="408"/>
      <c r="AY716" s="408"/>
      <c r="AZ716" s="408">
        <v>0</v>
      </c>
      <c r="BA716" s="408"/>
      <c r="BB716" s="408">
        <v>0</v>
      </c>
      <c r="BC716" s="408">
        <v>0</v>
      </c>
      <c r="BD716" s="408">
        <v>0</v>
      </c>
      <c r="BE716" s="408">
        <v>0</v>
      </c>
      <c r="BF716" s="408"/>
      <c r="BG716" s="408">
        <v>0</v>
      </c>
      <c r="BH716" s="408">
        <v>0</v>
      </c>
      <c r="BI716" s="408">
        <v>546.09</v>
      </c>
      <c r="BJ716" s="408">
        <v>0</v>
      </c>
      <c r="BK716" s="408">
        <v>10501.75</v>
      </c>
      <c r="BL716" s="408">
        <v>1</v>
      </c>
      <c r="BM716" s="408"/>
      <c r="BN716" s="408">
        <v>49123.688277368296</v>
      </c>
      <c r="BO716" s="408"/>
      <c r="BP716" s="408"/>
      <c r="BQ716" s="408"/>
      <c r="BR716" s="408"/>
      <c r="BS716" s="408"/>
      <c r="BT716" s="408"/>
      <c r="BU716" s="408"/>
      <c r="BV716" s="408">
        <v>0</v>
      </c>
      <c r="BW716" s="408"/>
      <c r="BX716" s="408"/>
      <c r="BY716" s="408"/>
      <c r="BZ716" s="408"/>
      <c r="CA716" s="408"/>
      <c r="CB716" s="408"/>
      <c r="CC716" s="408"/>
      <c r="CD716" s="408"/>
      <c r="CE716" s="408"/>
      <c r="CF716" s="408"/>
      <c r="CG716" s="408"/>
      <c r="CH716" s="408"/>
      <c r="CI716" s="408">
        <v>386.17009999999999</v>
      </c>
      <c r="CJ716" s="408">
        <v>-204.84886785350449</v>
      </c>
      <c r="CK716" s="408"/>
      <c r="CL716" s="408"/>
      <c r="CM716" s="408"/>
      <c r="CN716" s="408"/>
      <c r="CO716" s="408">
        <v>-26284.420000000006</v>
      </c>
      <c r="CP716" s="408">
        <v>0</v>
      </c>
      <c r="CQ716" s="408">
        <v>30</v>
      </c>
      <c r="CR716" s="408">
        <v>1252.8531326403172</v>
      </c>
      <c r="CS716" s="408">
        <v>204.62276182496839</v>
      </c>
      <c r="CT716" s="408">
        <v>313.06431137626487</v>
      </c>
      <c r="CU716" s="408">
        <v>0</v>
      </c>
      <c r="CV716" s="408">
        <v>0</v>
      </c>
      <c r="CW716" s="408"/>
      <c r="CX716" s="408"/>
      <c r="CY716" s="408"/>
      <c r="CZ716" s="408">
        <v>735.16605943908144</v>
      </c>
      <c r="DA716" s="408">
        <v>0</v>
      </c>
      <c r="DB716" s="408">
        <v>0</v>
      </c>
      <c r="DC716" s="408"/>
      <c r="DD716" s="408"/>
      <c r="DE716" s="408">
        <v>0</v>
      </c>
      <c r="DF716" s="408">
        <v>0</v>
      </c>
      <c r="DG716" s="408">
        <v>0</v>
      </c>
      <c r="DH716" s="408">
        <v>0</v>
      </c>
      <c r="DI716" s="408">
        <v>0</v>
      </c>
      <c r="DJ716" s="408"/>
      <c r="DK716" s="408">
        <v>0</v>
      </c>
      <c r="DL716" s="408">
        <v>0</v>
      </c>
      <c r="DM716" s="408"/>
      <c r="DN716" s="408">
        <v>0</v>
      </c>
      <c r="DO716" s="408">
        <v>0</v>
      </c>
      <c r="DP716" s="408">
        <v>0</v>
      </c>
      <c r="DQ716" s="408">
        <v>0</v>
      </c>
      <c r="DR716" s="408">
        <v>0</v>
      </c>
      <c r="DS716" s="408"/>
      <c r="DT716" s="408"/>
      <c r="DU716" s="408">
        <v>49078.79930233991</v>
      </c>
      <c r="DV716" s="408"/>
      <c r="DW716" s="408">
        <v>0</v>
      </c>
      <c r="DX716" s="408">
        <v>0</v>
      </c>
      <c r="DY716" s="408">
        <v>-26284.420000000013</v>
      </c>
      <c r="DZ716" s="408"/>
      <c r="EA716" s="408">
        <v>0</v>
      </c>
      <c r="EB716" s="408"/>
      <c r="EC716" s="408">
        <v>-27532.700857486656</v>
      </c>
      <c r="ED716" s="408"/>
      <c r="EE716" s="408">
        <v>0</v>
      </c>
      <c r="EF716" s="408">
        <v>0</v>
      </c>
      <c r="EG716" s="408"/>
      <c r="EH716" s="408">
        <v>0</v>
      </c>
      <c r="EI716" s="408">
        <v>0</v>
      </c>
      <c r="EJ716" s="408">
        <v>0</v>
      </c>
      <c r="EK716" s="408">
        <v>0</v>
      </c>
      <c r="EL716" s="408">
        <v>0</v>
      </c>
      <c r="EM716" s="408"/>
      <c r="EN716" s="408"/>
      <c r="EO716" s="408">
        <v>0</v>
      </c>
      <c r="EP716" s="408">
        <v>0</v>
      </c>
      <c r="EQ716" s="408"/>
      <c r="ER716" s="408">
        <v>0</v>
      </c>
      <c r="ES716" s="408"/>
      <c r="ET716" s="408">
        <v>0</v>
      </c>
      <c r="EU716" s="408"/>
      <c r="EV716" s="408">
        <v>238</v>
      </c>
      <c r="EW716" s="408"/>
      <c r="EX716" s="408"/>
      <c r="EY716" s="408"/>
      <c r="EZ716" s="408"/>
      <c r="FA716" s="408">
        <v>0</v>
      </c>
      <c r="FB716" s="408"/>
      <c r="FC716" s="408"/>
      <c r="FD716" s="408"/>
      <c r="FE716" s="408"/>
      <c r="FF716" s="408">
        <v>0</v>
      </c>
      <c r="FG716" s="408">
        <v>0</v>
      </c>
      <c r="FH716" s="408">
        <v>0</v>
      </c>
      <c r="FI716" s="408">
        <v>0</v>
      </c>
    </row>
    <row r="717" spans="1:165">
      <c r="A717" s="408">
        <v>731</v>
      </c>
      <c r="B717" s="408" t="s">
        <v>1036</v>
      </c>
      <c r="C717" s="408" t="s">
        <v>2243</v>
      </c>
      <c r="D717" s="408" t="s">
        <v>597</v>
      </c>
      <c r="E717" s="408" t="s">
        <v>970</v>
      </c>
      <c r="F717" s="408" t="s">
        <v>1322</v>
      </c>
      <c r="G717" s="408" t="s">
        <v>2323</v>
      </c>
      <c r="H717" s="408" t="s">
        <v>1322</v>
      </c>
      <c r="I717" s="408" t="s">
        <v>1322</v>
      </c>
      <c r="J717" s="408" t="s">
        <v>2324</v>
      </c>
      <c r="K717" s="824">
        <v>44470</v>
      </c>
      <c r="L717" s="408">
        <v>1709</v>
      </c>
      <c r="M717" s="408">
        <v>14.182358670000101</v>
      </c>
      <c r="N717" s="408">
        <v>0</v>
      </c>
      <c r="O717" s="408">
        <v>0</v>
      </c>
      <c r="P717" s="408">
        <v>0</v>
      </c>
      <c r="Q717" s="408">
        <v>0</v>
      </c>
      <c r="R717" s="408">
        <v>44.35</v>
      </c>
      <c r="S717" s="408"/>
      <c r="T717" s="408"/>
      <c r="U717" s="408">
        <v>75794.150000000009</v>
      </c>
      <c r="V717" s="408"/>
      <c r="W717" s="408">
        <v>75794.150000000009</v>
      </c>
      <c r="X717" s="408">
        <v>49509.729999999996</v>
      </c>
      <c r="Y717" s="408">
        <v>0</v>
      </c>
      <c r="Z717" s="408">
        <v>0</v>
      </c>
      <c r="AA717" s="408">
        <v>0</v>
      </c>
      <c r="AB717" s="408">
        <v>0</v>
      </c>
      <c r="AC717" s="408">
        <v>0</v>
      </c>
      <c r="AD717" s="408">
        <v>22425.606842937777</v>
      </c>
      <c r="AE717" s="408">
        <v>49078.79930233991</v>
      </c>
      <c r="AF717" s="408"/>
      <c r="AG717" s="408"/>
      <c r="AH717" s="408"/>
      <c r="AI717" s="408">
        <v>0</v>
      </c>
      <c r="AJ717" s="408">
        <v>0</v>
      </c>
      <c r="AK717" s="408">
        <v>0</v>
      </c>
      <c r="AL717" s="408">
        <v>0</v>
      </c>
      <c r="AM717" s="408"/>
      <c r="AN717" s="408">
        <v>0</v>
      </c>
      <c r="AO717" s="408">
        <v>1694.8506620485925</v>
      </c>
      <c r="AP717" s="408">
        <v>2593.0509913345281</v>
      </c>
      <c r="AQ717" s="408">
        <v>0</v>
      </c>
      <c r="AR717" s="408">
        <v>0</v>
      </c>
      <c r="AS717" s="408"/>
      <c r="AT717" s="408"/>
      <c r="AU717" s="408">
        <v>0</v>
      </c>
      <c r="AV717" s="408">
        <v>0</v>
      </c>
      <c r="AW717" s="408">
        <v>0</v>
      </c>
      <c r="AX717" s="408"/>
      <c r="AY717" s="408"/>
      <c r="AZ717" s="408">
        <v>0</v>
      </c>
      <c r="BA717" s="408"/>
      <c r="BB717" s="408">
        <v>0</v>
      </c>
      <c r="BC717" s="408">
        <v>0</v>
      </c>
      <c r="BD717" s="408">
        <v>0</v>
      </c>
      <c r="BE717" s="408">
        <v>0</v>
      </c>
      <c r="BF717" s="408"/>
      <c r="BG717" s="408">
        <v>0</v>
      </c>
      <c r="BH717" s="408">
        <v>0</v>
      </c>
      <c r="BI717" s="408">
        <v>998.62</v>
      </c>
      <c r="BJ717" s="408">
        <v>0</v>
      </c>
      <c r="BK717" s="408">
        <v>10160.41</v>
      </c>
      <c r="BL717" s="408">
        <v>1</v>
      </c>
      <c r="BM717" s="408"/>
      <c r="BN717" s="408">
        <v>49098.867069330096</v>
      </c>
      <c r="BO717" s="408"/>
      <c r="BP717" s="408"/>
      <c r="BQ717" s="408"/>
      <c r="BR717" s="408"/>
      <c r="BS717" s="408"/>
      <c r="BT717" s="408"/>
      <c r="BU717" s="408"/>
      <c r="BV717" s="408">
        <v>0</v>
      </c>
      <c r="BW717" s="408"/>
      <c r="BX717" s="408"/>
      <c r="BY717" s="408"/>
      <c r="BZ717" s="408"/>
      <c r="CA717" s="408"/>
      <c r="CB717" s="408"/>
      <c r="CC717" s="408"/>
      <c r="CD717" s="408"/>
      <c r="CE717" s="408"/>
      <c r="CF717" s="408"/>
      <c r="CG717" s="408"/>
      <c r="CH717" s="408"/>
      <c r="CI717" s="408">
        <v>410.7946</v>
      </c>
      <c r="CJ717" s="408">
        <v>-218.2230070145045</v>
      </c>
      <c r="CK717" s="408"/>
      <c r="CL717" s="408"/>
      <c r="CM717" s="408"/>
      <c r="CN717" s="408"/>
      <c r="CO717" s="408">
        <v>-26284.420000000006</v>
      </c>
      <c r="CP717" s="408">
        <v>0</v>
      </c>
      <c r="CQ717" s="408">
        <v>31</v>
      </c>
      <c r="CR717" s="408">
        <v>1252.8531326403172</v>
      </c>
      <c r="CS717" s="408">
        <v>204.62276182496839</v>
      </c>
      <c r="CT717" s="408">
        <v>313.06431137626487</v>
      </c>
      <c r="CU717" s="408">
        <v>0</v>
      </c>
      <c r="CV717" s="408">
        <v>0</v>
      </c>
      <c r="CW717" s="408"/>
      <c r="CX717" s="408"/>
      <c r="CY717" s="408"/>
      <c r="CZ717" s="408">
        <v>735.16605943908144</v>
      </c>
      <c r="DA717" s="408">
        <v>0</v>
      </c>
      <c r="DB717" s="408">
        <v>0</v>
      </c>
      <c r="DC717" s="408"/>
      <c r="DD717" s="408"/>
      <c r="DE717" s="408">
        <v>0</v>
      </c>
      <c r="DF717" s="408">
        <v>0</v>
      </c>
      <c r="DG717" s="408">
        <v>0</v>
      </c>
      <c r="DH717" s="408">
        <v>0</v>
      </c>
      <c r="DI717" s="408">
        <v>0</v>
      </c>
      <c r="DJ717" s="408"/>
      <c r="DK717" s="408">
        <v>0</v>
      </c>
      <c r="DL717" s="408">
        <v>0</v>
      </c>
      <c r="DM717" s="408"/>
      <c r="DN717" s="408">
        <v>0</v>
      </c>
      <c r="DO717" s="408">
        <v>0</v>
      </c>
      <c r="DP717" s="408">
        <v>0</v>
      </c>
      <c r="DQ717" s="408">
        <v>0</v>
      </c>
      <c r="DR717" s="408">
        <v>0</v>
      </c>
      <c r="DS717" s="408"/>
      <c r="DT717" s="408"/>
      <c r="DU717" s="408">
        <v>49078.79930233991</v>
      </c>
      <c r="DV717" s="408"/>
      <c r="DW717" s="408">
        <v>0</v>
      </c>
      <c r="DX717" s="408">
        <v>0</v>
      </c>
      <c r="DY717" s="408">
        <v>-26284.420000000013</v>
      </c>
      <c r="DZ717" s="408"/>
      <c r="EA717" s="408">
        <v>0</v>
      </c>
      <c r="EB717" s="408"/>
      <c r="EC717" s="408">
        <v>-27532.700857486656</v>
      </c>
      <c r="ED717" s="408"/>
      <c r="EE717" s="408">
        <v>0</v>
      </c>
      <c r="EF717" s="408">
        <v>0</v>
      </c>
      <c r="EG717" s="408"/>
      <c r="EH717" s="408">
        <v>0</v>
      </c>
      <c r="EI717" s="408">
        <v>0</v>
      </c>
      <c r="EJ717" s="408">
        <v>0</v>
      </c>
      <c r="EK717" s="408">
        <v>0</v>
      </c>
      <c r="EL717" s="408">
        <v>0</v>
      </c>
      <c r="EM717" s="408"/>
      <c r="EN717" s="408"/>
      <c r="EO717" s="408">
        <v>0</v>
      </c>
      <c r="EP717" s="408">
        <v>0</v>
      </c>
      <c r="EQ717" s="408"/>
      <c r="ER717" s="408">
        <v>0</v>
      </c>
      <c r="ES717" s="408"/>
      <c r="ET717" s="408">
        <v>0</v>
      </c>
      <c r="EU717" s="408"/>
      <c r="EV717" s="408">
        <v>238</v>
      </c>
      <c r="EW717" s="408"/>
      <c r="EX717" s="408"/>
      <c r="EY717" s="408"/>
      <c r="EZ717" s="408"/>
      <c r="FA717" s="408">
        <v>0</v>
      </c>
      <c r="FB717" s="408"/>
      <c r="FC717" s="408"/>
      <c r="FD717" s="408"/>
      <c r="FE717" s="408"/>
      <c r="FF717" s="408">
        <v>0</v>
      </c>
      <c r="FG717" s="408">
        <v>0</v>
      </c>
      <c r="FH717" s="408">
        <v>0</v>
      </c>
      <c r="FI717" s="408">
        <v>0</v>
      </c>
    </row>
    <row r="718" spans="1:165">
      <c r="A718" s="408">
        <v>734</v>
      </c>
      <c r="B718" s="408" t="s">
        <v>1036</v>
      </c>
      <c r="C718" s="408" t="s">
        <v>2243</v>
      </c>
      <c r="D718" s="408" t="s">
        <v>597</v>
      </c>
      <c r="E718" s="408" t="s">
        <v>970</v>
      </c>
      <c r="F718" s="408" t="s">
        <v>1322</v>
      </c>
      <c r="G718" s="408" t="s">
        <v>2323</v>
      </c>
      <c r="H718" s="408" t="s">
        <v>1322</v>
      </c>
      <c r="I718" s="408" t="s">
        <v>1322</v>
      </c>
      <c r="J718" s="408" t="s">
        <v>2324</v>
      </c>
      <c r="K718" s="824">
        <v>44501</v>
      </c>
      <c r="L718" s="408">
        <v>1709</v>
      </c>
      <c r="M718" s="408">
        <v>7.5780136200001103</v>
      </c>
      <c r="N718" s="408">
        <v>0</v>
      </c>
      <c r="O718" s="408">
        <v>0</v>
      </c>
      <c r="P718" s="408">
        <v>0</v>
      </c>
      <c r="Q718" s="408">
        <v>0</v>
      </c>
      <c r="R718" s="408">
        <v>44.35</v>
      </c>
      <c r="S718" s="408"/>
      <c r="T718" s="408"/>
      <c r="U718" s="408">
        <v>75794.150000000009</v>
      </c>
      <c r="V718" s="408"/>
      <c r="W718" s="408">
        <v>75794.150000000009</v>
      </c>
      <c r="X718" s="408">
        <v>49509.729999999996</v>
      </c>
      <c r="Y718" s="408">
        <v>0</v>
      </c>
      <c r="Z718" s="408">
        <v>0</v>
      </c>
      <c r="AA718" s="408">
        <v>0</v>
      </c>
      <c r="AB718" s="408">
        <v>0</v>
      </c>
      <c r="AC718" s="408">
        <v>0</v>
      </c>
      <c r="AD718" s="408">
        <v>22425.606842937777</v>
      </c>
      <c r="AE718" s="408">
        <v>49078.79930233991</v>
      </c>
      <c r="AF718" s="408"/>
      <c r="AG718" s="408"/>
      <c r="AH718" s="408"/>
      <c r="AI718" s="408">
        <v>0</v>
      </c>
      <c r="AJ718" s="408">
        <v>0</v>
      </c>
      <c r="AK718" s="408">
        <v>0</v>
      </c>
      <c r="AL718" s="408">
        <v>0</v>
      </c>
      <c r="AM718" s="408"/>
      <c r="AN718" s="408">
        <v>0</v>
      </c>
      <c r="AO718" s="408">
        <v>1694.8506620485925</v>
      </c>
      <c r="AP718" s="408">
        <v>2593.0509913345281</v>
      </c>
      <c r="AQ718" s="408">
        <v>0</v>
      </c>
      <c r="AR718" s="408">
        <v>0</v>
      </c>
      <c r="AS718" s="408"/>
      <c r="AT718" s="408"/>
      <c r="AU718" s="408">
        <v>0</v>
      </c>
      <c r="AV718" s="408">
        <v>0</v>
      </c>
      <c r="AW718" s="408">
        <v>0</v>
      </c>
      <c r="AX718" s="408"/>
      <c r="AY718" s="408"/>
      <c r="AZ718" s="408">
        <v>0</v>
      </c>
      <c r="BA718" s="408"/>
      <c r="BB718" s="408">
        <v>0</v>
      </c>
      <c r="BC718" s="408">
        <v>0</v>
      </c>
      <c r="BD718" s="408">
        <v>0</v>
      </c>
      <c r="BE718" s="408">
        <v>0</v>
      </c>
      <c r="BF718" s="408"/>
      <c r="BG718" s="408">
        <v>0</v>
      </c>
      <c r="BH718" s="408">
        <v>0</v>
      </c>
      <c r="BI718" s="408">
        <v>863.01</v>
      </c>
      <c r="BJ718" s="408">
        <v>0</v>
      </c>
      <c r="BK718" s="408">
        <v>11513.4</v>
      </c>
      <c r="BL718" s="408">
        <v>1</v>
      </c>
      <c r="BM718" s="408"/>
      <c r="BN718" s="408">
        <v>49290.194945428593</v>
      </c>
      <c r="BO718" s="408"/>
      <c r="BP718" s="408"/>
      <c r="BQ718" s="408"/>
      <c r="BR718" s="408"/>
      <c r="BS718" s="408"/>
      <c r="BT718" s="408"/>
      <c r="BU718" s="408"/>
      <c r="BV718" s="408">
        <v>0</v>
      </c>
      <c r="BW718" s="408"/>
      <c r="BX718" s="408"/>
      <c r="BY718" s="408"/>
      <c r="BZ718" s="408"/>
      <c r="CA718" s="408"/>
      <c r="CB718" s="408"/>
      <c r="CC718" s="408"/>
      <c r="CD718" s="408"/>
      <c r="CE718" s="408"/>
      <c r="CF718" s="408"/>
      <c r="CG718" s="408"/>
      <c r="CH718" s="408"/>
      <c r="CI718" s="408">
        <v>219.5926</v>
      </c>
      <c r="CJ718" s="408">
        <v>-116.52230404700487</v>
      </c>
      <c r="CK718" s="408"/>
      <c r="CL718" s="408"/>
      <c r="CM718" s="408"/>
      <c r="CN718" s="408"/>
      <c r="CO718" s="408">
        <v>-26284.420000000006</v>
      </c>
      <c r="CP718" s="408">
        <v>0</v>
      </c>
      <c r="CQ718" s="408">
        <v>30</v>
      </c>
      <c r="CR718" s="408">
        <v>1252.8531326403172</v>
      </c>
      <c r="CS718" s="408">
        <v>204.62276182496839</v>
      </c>
      <c r="CT718" s="408">
        <v>313.06431137626487</v>
      </c>
      <c r="CU718" s="408">
        <v>0</v>
      </c>
      <c r="CV718" s="408">
        <v>0</v>
      </c>
      <c r="CW718" s="408"/>
      <c r="CX718" s="408"/>
      <c r="CY718" s="408"/>
      <c r="CZ718" s="408">
        <v>735.16605943908144</v>
      </c>
      <c r="DA718" s="408">
        <v>0</v>
      </c>
      <c r="DB718" s="408">
        <v>0</v>
      </c>
      <c r="DC718" s="408"/>
      <c r="DD718" s="408"/>
      <c r="DE718" s="408">
        <v>0</v>
      </c>
      <c r="DF718" s="408">
        <v>0</v>
      </c>
      <c r="DG718" s="408">
        <v>0</v>
      </c>
      <c r="DH718" s="408">
        <v>0</v>
      </c>
      <c r="DI718" s="408">
        <v>0</v>
      </c>
      <c r="DJ718" s="408"/>
      <c r="DK718" s="408">
        <v>0</v>
      </c>
      <c r="DL718" s="408">
        <v>0</v>
      </c>
      <c r="DM718" s="408"/>
      <c r="DN718" s="408">
        <v>0</v>
      </c>
      <c r="DO718" s="408">
        <v>0</v>
      </c>
      <c r="DP718" s="408">
        <v>0</v>
      </c>
      <c r="DQ718" s="408">
        <v>0</v>
      </c>
      <c r="DR718" s="408">
        <v>0</v>
      </c>
      <c r="DS718" s="408"/>
      <c r="DT718" s="408"/>
      <c r="DU718" s="408">
        <v>49078.79930233991</v>
      </c>
      <c r="DV718" s="408"/>
      <c r="DW718" s="408">
        <v>0</v>
      </c>
      <c r="DX718" s="408">
        <v>0</v>
      </c>
      <c r="DY718" s="408">
        <v>-26284.420000000013</v>
      </c>
      <c r="DZ718" s="408"/>
      <c r="EA718" s="408">
        <v>0</v>
      </c>
      <c r="EB718" s="408"/>
      <c r="EC718" s="408">
        <v>-27532.700857486656</v>
      </c>
      <c r="ED718" s="408"/>
      <c r="EE718" s="408">
        <v>0</v>
      </c>
      <c r="EF718" s="408">
        <v>0</v>
      </c>
      <c r="EG718" s="408"/>
      <c r="EH718" s="408">
        <v>0</v>
      </c>
      <c r="EI718" s="408">
        <v>0</v>
      </c>
      <c r="EJ718" s="408">
        <v>0</v>
      </c>
      <c r="EK718" s="408">
        <v>0</v>
      </c>
      <c r="EL718" s="408">
        <v>0</v>
      </c>
      <c r="EM718" s="408"/>
      <c r="EN718" s="408"/>
      <c r="EO718" s="408">
        <v>0</v>
      </c>
      <c r="EP718" s="408">
        <v>0</v>
      </c>
      <c r="EQ718" s="408"/>
      <c r="ER718" s="408">
        <v>0</v>
      </c>
      <c r="ES718" s="408"/>
      <c r="ET718" s="408">
        <v>0</v>
      </c>
      <c r="EU718" s="408"/>
      <c r="EV718" s="408">
        <v>238</v>
      </c>
      <c r="EW718" s="408"/>
      <c r="EX718" s="408"/>
      <c r="EY718" s="408"/>
      <c r="EZ718" s="408"/>
      <c r="FA718" s="408">
        <v>0</v>
      </c>
      <c r="FB718" s="408"/>
      <c r="FC718" s="408"/>
      <c r="FD718" s="408"/>
      <c r="FE718" s="408"/>
      <c r="FF718" s="408">
        <v>0</v>
      </c>
      <c r="FG718" s="408">
        <v>0</v>
      </c>
      <c r="FH718" s="408">
        <v>0</v>
      </c>
      <c r="FI718" s="408">
        <v>0</v>
      </c>
    </row>
    <row r="719" spans="1:165">
      <c r="A719" s="408">
        <v>737</v>
      </c>
      <c r="B719" s="408" t="s">
        <v>1036</v>
      </c>
      <c r="C719" s="408" t="s">
        <v>2243</v>
      </c>
      <c r="D719" s="408" t="s">
        <v>597</v>
      </c>
      <c r="E719" s="408" t="s">
        <v>970</v>
      </c>
      <c r="F719" s="408" t="s">
        <v>1322</v>
      </c>
      <c r="G719" s="408" t="s">
        <v>2323</v>
      </c>
      <c r="H719" s="408" t="s">
        <v>1322</v>
      </c>
      <c r="I719" s="408" t="s">
        <v>1322</v>
      </c>
      <c r="J719" s="408" t="s">
        <v>2324</v>
      </c>
      <c r="K719" s="824">
        <v>44531</v>
      </c>
      <c r="L719" s="408">
        <v>1704</v>
      </c>
      <c r="M719" s="408">
        <v>11.058721440000101</v>
      </c>
      <c r="N719" s="408">
        <v>0</v>
      </c>
      <c r="O719" s="408">
        <v>0</v>
      </c>
      <c r="P719" s="408">
        <v>0</v>
      </c>
      <c r="Q719" s="408">
        <v>0</v>
      </c>
      <c r="R719" s="408">
        <v>44.35</v>
      </c>
      <c r="S719" s="408"/>
      <c r="T719" s="408"/>
      <c r="U719" s="408">
        <v>75572.400000000009</v>
      </c>
      <c r="V719" s="408"/>
      <c r="W719" s="408">
        <v>75572.400000000009</v>
      </c>
      <c r="X719" s="408">
        <v>49364.88</v>
      </c>
      <c r="Y719" s="408">
        <v>0</v>
      </c>
      <c r="Z719" s="408">
        <v>0</v>
      </c>
      <c r="AA719" s="408">
        <v>0</v>
      </c>
      <c r="AB719" s="408">
        <v>0</v>
      </c>
      <c r="AC719" s="408">
        <v>0</v>
      </c>
      <c r="AD719" s="408">
        <v>22359.99652449735</v>
      </c>
      <c r="AE719" s="408">
        <v>48935.210070911184</v>
      </c>
      <c r="AF719" s="408"/>
      <c r="AG719" s="408"/>
      <c r="AH719" s="408"/>
      <c r="AI719" s="408">
        <v>0</v>
      </c>
      <c r="AJ719" s="408">
        <v>0</v>
      </c>
      <c r="AK719" s="408">
        <v>0</v>
      </c>
      <c r="AL719" s="408">
        <v>0</v>
      </c>
      <c r="AM719" s="408"/>
      <c r="AN719" s="408">
        <v>0</v>
      </c>
      <c r="AO719" s="408">
        <v>1689.8920585902877</v>
      </c>
      <c r="AP719" s="408">
        <v>2585.4645343674874</v>
      </c>
      <c r="AQ719" s="408">
        <v>0</v>
      </c>
      <c r="AR719" s="408">
        <v>0</v>
      </c>
      <c r="AS719" s="408"/>
      <c r="AT719" s="408"/>
      <c r="AU719" s="408">
        <v>0</v>
      </c>
      <c r="AV719" s="408">
        <v>0</v>
      </c>
      <c r="AW719" s="408">
        <v>0</v>
      </c>
      <c r="AX719" s="408"/>
      <c r="AY719" s="408"/>
      <c r="AZ719" s="408">
        <v>0</v>
      </c>
      <c r="BA719" s="408"/>
      <c r="BB719" s="408">
        <v>0</v>
      </c>
      <c r="BC719" s="408">
        <v>0</v>
      </c>
      <c r="BD719" s="408">
        <v>0</v>
      </c>
      <c r="BE719" s="408">
        <v>0</v>
      </c>
      <c r="BF719" s="408"/>
      <c r="BG719" s="408">
        <v>0</v>
      </c>
      <c r="BH719" s="408">
        <v>0</v>
      </c>
      <c r="BI719" s="408">
        <v>992.75</v>
      </c>
      <c r="BJ719" s="408">
        <v>0</v>
      </c>
      <c r="BK719" s="408">
        <v>15041.69</v>
      </c>
      <c r="BL719" s="408">
        <v>1</v>
      </c>
      <c r="BM719" s="408"/>
      <c r="BN719" s="408">
        <v>49044.508839883201</v>
      </c>
      <c r="BO719" s="408"/>
      <c r="BP719" s="408"/>
      <c r="BQ719" s="408"/>
      <c r="BR719" s="408"/>
      <c r="BS719" s="408"/>
      <c r="BT719" s="408"/>
      <c r="BU719" s="408"/>
      <c r="BV719" s="408">
        <v>0</v>
      </c>
      <c r="BW719" s="408"/>
      <c r="BX719" s="408"/>
      <c r="BY719" s="408"/>
      <c r="BZ719" s="408"/>
      <c r="CA719" s="408"/>
      <c r="CB719" s="408"/>
      <c r="CC719" s="408"/>
      <c r="CD719" s="408"/>
      <c r="CE719" s="408"/>
      <c r="CF719" s="408"/>
      <c r="CG719" s="408"/>
      <c r="CH719" s="408"/>
      <c r="CI719" s="408">
        <v>320.40820000000002</v>
      </c>
      <c r="CJ719" s="408">
        <v>-170.0760958640044</v>
      </c>
      <c r="CK719" s="408"/>
      <c r="CL719" s="408"/>
      <c r="CM719" s="408"/>
      <c r="CN719" s="408"/>
      <c r="CO719" s="408">
        <v>-26207.520000000004</v>
      </c>
      <c r="CP719" s="408">
        <v>0</v>
      </c>
      <c r="CQ719" s="408"/>
      <c r="CR719" s="408">
        <v>1249.1876758449944</v>
      </c>
      <c r="CS719" s="408">
        <v>204.02409956099837</v>
      </c>
      <c r="CT719" s="408">
        <v>312.14838302232602</v>
      </c>
      <c r="CU719" s="408">
        <v>0</v>
      </c>
      <c r="CV719" s="408">
        <v>0</v>
      </c>
      <c r="CW719" s="408"/>
      <c r="CX719" s="408"/>
      <c r="CY719" s="408"/>
      <c r="CZ719" s="408">
        <v>733.01519326167181</v>
      </c>
      <c r="DA719" s="408">
        <v>0</v>
      </c>
      <c r="DB719" s="408">
        <v>0</v>
      </c>
      <c r="DC719" s="408"/>
      <c r="DD719" s="408"/>
      <c r="DE719" s="408">
        <v>0</v>
      </c>
      <c r="DF719" s="408">
        <v>0</v>
      </c>
      <c r="DG719" s="408">
        <v>0</v>
      </c>
      <c r="DH719" s="408">
        <v>0</v>
      </c>
      <c r="DI719" s="408">
        <v>0</v>
      </c>
      <c r="DJ719" s="408"/>
      <c r="DK719" s="408">
        <v>0</v>
      </c>
      <c r="DL719" s="408">
        <v>0</v>
      </c>
      <c r="DM719" s="408"/>
      <c r="DN719" s="408">
        <v>0</v>
      </c>
      <c r="DO719" s="408">
        <v>0</v>
      </c>
      <c r="DP719" s="408">
        <v>0</v>
      </c>
      <c r="DQ719" s="408">
        <v>0</v>
      </c>
      <c r="DR719" s="408">
        <v>0</v>
      </c>
      <c r="DS719" s="408"/>
      <c r="DT719" s="408"/>
      <c r="DU719" s="408">
        <v>48935.210070911184</v>
      </c>
      <c r="DV719" s="408"/>
      <c r="DW719" s="408">
        <v>0</v>
      </c>
      <c r="DX719" s="408">
        <v>0</v>
      </c>
      <c r="DY719" s="408">
        <v>-26207.520000000011</v>
      </c>
      <c r="DZ719" s="408"/>
      <c r="EA719" s="408">
        <v>0</v>
      </c>
      <c r="EB719" s="408"/>
      <c r="EC719" s="408">
        <v>-27452.148777739771</v>
      </c>
      <c r="ED719" s="408"/>
      <c r="EE719" s="408">
        <v>0</v>
      </c>
      <c r="EF719" s="408">
        <v>0</v>
      </c>
      <c r="EG719" s="408"/>
      <c r="EH719" s="408">
        <v>0</v>
      </c>
      <c r="EI719" s="408">
        <v>0</v>
      </c>
      <c r="EJ719" s="408">
        <v>0</v>
      </c>
      <c r="EK719" s="408">
        <v>0</v>
      </c>
      <c r="EL719" s="408">
        <v>0</v>
      </c>
      <c r="EM719" s="408"/>
      <c r="EN719" s="408"/>
      <c r="EO719" s="408">
        <v>0</v>
      </c>
      <c r="EP719" s="408">
        <v>0</v>
      </c>
      <c r="EQ719" s="408"/>
      <c r="ER719" s="408">
        <v>0</v>
      </c>
      <c r="ES719" s="408"/>
      <c r="ET719" s="408">
        <v>0</v>
      </c>
      <c r="EU719" s="408"/>
      <c r="EV719" s="408">
        <v>238</v>
      </c>
      <c r="EW719" s="408"/>
      <c r="EX719" s="408"/>
      <c r="EY719" s="408"/>
      <c r="EZ719" s="408"/>
      <c r="FA719" s="408">
        <v>0</v>
      </c>
      <c r="FB719" s="408"/>
      <c r="FC719" s="408"/>
      <c r="FD719" s="408"/>
      <c r="FE719" s="408"/>
      <c r="FF719" s="408">
        <v>0</v>
      </c>
      <c r="FG719" s="408">
        <v>0</v>
      </c>
      <c r="FH719" s="408">
        <v>0</v>
      </c>
      <c r="FI719" s="408">
        <v>0</v>
      </c>
    </row>
    <row r="720" spans="1:165">
      <c r="A720" s="408">
        <v>740</v>
      </c>
      <c r="B720" s="408" t="s">
        <v>1036</v>
      </c>
      <c r="C720" s="408" t="s">
        <v>2243</v>
      </c>
      <c r="D720" s="408" t="s">
        <v>597</v>
      </c>
      <c r="E720" s="408" t="s">
        <v>970</v>
      </c>
      <c r="F720" s="408" t="s">
        <v>1322</v>
      </c>
      <c r="G720" s="408" t="s">
        <v>2323</v>
      </c>
      <c r="H720" s="408" t="s">
        <v>1322</v>
      </c>
      <c r="I720" s="408" t="s">
        <v>1322</v>
      </c>
      <c r="J720" s="408" t="s">
        <v>2324</v>
      </c>
      <c r="K720" s="824">
        <v>44562</v>
      </c>
      <c r="L720" s="408">
        <v>1709</v>
      </c>
      <c r="M720" s="408">
        <v>8.1847940700001498</v>
      </c>
      <c r="N720" s="408">
        <v>0</v>
      </c>
      <c r="O720" s="408">
        <v>0</v>
      </c>
      <c r="P720" s="408">
        <v>0</v>
      </c>
      <c r="Q720" s="408">
        <v>0</v>
      </c>
      <c r="R720" s="408">
        <v>44.35</v>
      </c>
      <c r="S720" s="408"/>
      <c r="T720" s="408"/>
      <c r="U720" s="408">
        <v>75794.150000000009</v>
      </c>
      <c r="V720" s="408"/>
      <c r="W720" s="408">
        <v>75794.150000000009</v>
      </c>
      <c r="X720" s="408">
        <v>49509.729999999996</v>
      </c>
      <c r="Y720" s="408">
        <v>0</v>
      </c>
      <c r="Z720" s="408">
        <v>0</v>
      </c>
      <c r="AA720" s="408">
        <v>0</v>
      </c>
      <c r="AB720" s="408">
        <v>0</v>
      </c>
      <c r="AC720" s="408">
        <v>0</v>
      </c>
      <c r="AD720" s="408">
        <v>22425.606842937777</v>
      </c>
      <c r="AE720" s="408">
        <v>49078.79930233991</v>
      </c>
      <c r="AF720" s="408"/>
      <c r="AG720" s="408"/>
      <c r="AH720" s="408"/>
      <c r="AI720" s="408">
        <v>0</v>
      </c>
      <c r="AJ720" s="408">
        <v>0</v>
      </c>
      <c r="AK720" s="408">
        <v>0</v>
      </c>
      <c r="AL720" s="408">
        <v>0</v>
      </c>
      <c r="AM720" s="408"/>
      <c r="AN720" s="408">
        <v>0</v>
      </c>
      <c r="AO720" s="408">
        <v>1694.8506620485925</v>
      </c>
      <c r="AP720" s="408">
        <v>2593.0509913345281</v>
      </c>
      <c r="AQ720" s="408">
        <v>0</v>
      </c>
      <c r="AR720" s="408">
        <v>0</v>
      </c>
      <c r="AS720" s="408"/>
      <c r="AT720" s="408"/>
      <c r="AU720" s="408">
        <v>0</v>
      </c>
      <c r="AV720" s="408">
        <v>0</v>
      </c>
      <c r="AW720" s="408">
        <v>0</v>
      </c>
      <c r="AX720" s="408"/>
      <c r="AY720" s="408"/>
      <c r="AZ720" s="408">
        <v>0</v>
      </c>
      <c r="BA720" s="408"/>
      <c r="BB720" s="408">
        <v>0</v>
      </c>
      <c r="BC720" s="408">
        <v>0</v>
      </c>
      <c r="BD720" s="408">
        <v>0</v>
      </c>
      <c r="BE720" s="408">
        <v>0</v>
      </c>
      <c r="BF720" s="408"/>
      <c r="BG720" s="408">
        <v>0</v>
      </c>
      <c r="BH720" s="408">
        <v>0</v>
      </c>
      <c r="BI720" s="408">
        <v>313</v>
      </c>
      <c r="BJ720" s="408">
        <v>0</v>
      </c>
      <c r="BK720" s="408">
        <v>3033.05</v>
      </c>
      <c r="BL720" s="408">
        <v>1</v>
      </c>
      <c r="BM720" s="408"/>
      <c r="BN720" s="408">
        <v>49272.616515792091</v>
      </c>
      <c r="BO720" s="408"/>
      <c r="BP720" s="408"/>
      <c r="BQ720" s="408"/>
      <c r="BR720" s="408"/>
      <c r="BS720" s="408"/>
      <c r="BT720" s="408"/>
      <c r="BU720" s="408"/>
      <c r="BV720" s="408">
        <v>0</v>
      </c>
      <c r="BW720" s="408"/>
      <c r="BX720" s="408"/>
      <c r="BY720" s="408"/>
      <c r="BZ720" s="408"/>
      <c r="CA720" s="408"/>
      <c r="CB720" s="408"/>
      <c r="CC720" s="408"/>
      <c r="CD720" s="408"/>
      <c r="CE720" s="408"/>
      <c r="CF720" s="408"/>
      <c r="CG720" s="408"/>
      <c r="CH720" s="408"/>
      <c r="CI720" s="408">
        <v>236.97459999999998</v>
      </c>
      <c r="CJ720" s="408">
        <v>-126.05101700450663</v>
      </c>
      <c r="CK720" s="408"/>
      <c r="CL720" s="408"/>
      <c r="CM720" s="408"/>
      <c r="CN720" s="408"/>
      <c r="CO720" s="408">
        <v>-26284.420000000006</v>
      </c>
      <c r="CP720" s="408">
        <v>0</v>
      </c>
      <c r="CQ720" s="408">
        <v>31</v>
      </c>
      <c r="CR720" s="408">
        <v>1252.8531326403172</v>
      </c>
      <c r="CS720" s="408">
        <v>204.62276182496839</v>
      </c>
      <c r="CT720" s="408">
        <v>313.06431137626487</v>
      </c>
      <c r="CU720" s="408">
        <v>0</v>
      </c>
      <c r="CV720" s="408">
        <v>0</v>
      </c>
      <c r="CW720" s="408"/>
      <c r="CX720" s="408"/>
      <c r="CY720" s="408"/>
      <c r="CZ720" s="408">
        <v>735.16605943908144</v>
      </c>
      <c r="DA720" s="408">
        <v>0</v>
      </c>
      <c r="DB720" s="408">
        <v>0</v>
      </c>
      <c r="DC720" s="408"/>
      <c r="DD720" s="408"/>
      <c r="DE720" s="408">
        <v>0</v>
      </c>
      <c r="DF720" s="408">
        <v>0</v>
      </c>
      <c r="DG720" s="408">
        <v>0</v>
      </c>
      <c r="DH720" s="408">
        <v>0</v>
      </c>
      <c r="DI720" s="408">
        <v>0</v>
      </c>
      <c r="DJ720" s="408"/>
      <c r="DK720" s="408">
        <v>0</v>
      </c>
      <c r="DL720" s="408">
        <v>0</v>
      </c>
      <c r="DM720" s="408"/>
      <c r="DN720" s="408">
        <v>0</v>
      </c>
      <c r="DO720" s="408">
        <v>0</v>
      </c>
      <c r="DP720" s="408">
        <v>0</v>
      </c>
      <c r="DQ720" s="408">
        <v>0</v>
      </c>
      <c r="DR720" s="408">
        <v>0</v>
      </c>
      <c r="DS720" s="408"/>
      <c r="DT720" s="408"/>
      <c r="DU720" s="408">
        <v>49078.79930233991</v>
      </c>
      <c r="DV720" s="408"/>
      <c r="DW720" s="408">
        <v>0</v>
      </c>
      <c r="DX720" s="408">
        <v>0</v>
      </c>
      <c r="DY720" s="408">
        <v>-26284.420000000013</v>
      </c>
      <c r="DZ720" s="408"/>
      <c r="EA720" s="408">
        <v>0</v>
      </c>
      <c r="EB720" s="408"/>
      <c r="EC720" s="408">
        <v>-27532.700857486656</v>
      </c>
      <c r="ED720" s="408"/>
      <c r="EE720" s="408">
        <v>0</v>
      </c>
      <c r="EF720" s="408">
        <v>0</v>
      </c>
      <c r="EG720" s="408"/>
      <c r="EH720" s="408">
        <v>0</v>
      </c>
      <c r="EI720" s="408">
        <v>0</v>
      </c>
      <c r="EJ720" s="408">
        <v>0</v>
      </c>
      <c r="EK720" s="408">
        <v>0</v>
      </c>
      <c r="EL720" s="408">
        <v>0</v>
      </c>
      <c r="EM720" s="408"/>
      <c r="EN720" s="408"/>
      <c r="EO720" s="408">
        <v>0</v>
      </c>
      <c r="EP720" s="408">
        <v>0</v>
      </c>
      <c r="EQ720" s="408"/>
      <c r="ER720" s="408">
        <v>0</v>
      </c>
      <c r="ES720" s="408"/>
      <c r="ET720" s="408">
        <v>0</v>
      </c>
      <c r="EU720" s="408"/>
      <c r="EV720" s="408">
        <v>238</v>
      </c>
      <c r="EW720" s="408"/>
      <c r="EX720" s="408"/>
      <c r="EY720" s="408"/>
      <c r="EZ720" s="408"/>
      <c r="FA720" s="408">
        <v>0</v>
      </c>
      <c r="FB720" s="408"/>
      <c r="FC720" s="408"/>
      <c r="FD720" s="408"/>
      <c r="FE720" s="408"/>
      <c r="FF720" s="408">
        <v>0</v>
      </c>
      <c r="FG720" s="408">
        <v>0</v>
      </c>
      <c r="FH720" s="408">
        <v>0</v>
      </c>
      <c r="FI720" s="408">
        <v>0</v>
      </c>
    </row>
    <row r="721" spans="1:165">
      <c r="A721" s="408">
        <v>743</v>
      </c>
      <c r="B721" s="408" t="s">
        <v>1036</v>
      </c>
      <c r="C721" s="408" t="s">
        <v>2243</v>
      </c>
      <c r="D721" s="408" t="s">
        <v>597</v>
      </c>
      <c r="E721" s="408" t="s">
        <v>970</v>
      </c>
      <c r="F721" s="408" t="s">
        <v>1322</v>
      </c>
      <c r="G721" s="408" t="s">
        <v>2323</v>
      </c>
      <c r="H721" s="408" t="s">
        <v>1322</v>
      </c>
      <c r="I721" s="408" t="s">
        <v>1322</v>
      </c>
      <c r="J721" s="408" t="s">
        <v>2324</v>
      </c>
      <c r="K721" s="824">
        <v>44593</v>
      </c>
      <c r="L721" s="408">
        <v>1704</v>
      </c>
      <c r="M721" s="408">
        <v>3.5111260800000199</v>
      </c>
      <c r="N721" s="408">
        <v>0</v>
      </c>
      <c r="O721" s="408">
        <v>0</v>
      </c>
      <c r="P721" s="408">
        <v>0</v>
      </c>
      <c r="Q721" s="408">
        <v>0</v>
      </c>
      <c r="R721" s="408">
        <v>44.35</v>
      </c>
      <c r="S721" s="408"/>
      <c r="T721" s="408"/>
      <c r="U721" s="408">
        <v>75572.400000000009</v>
      </c>
      <c r="V721" s="408"/>
      <c r="W721" s="408">
        <v>75572.400000000009</v>
      </c>
      <c r="X721" s="408">
        <v>49364.88</v>
      </c>
      <c r="Y721" s="408">
        <v>0</v>
      </c>
      <c r="Z721" s="408">
        <v>0</v>
      </c>
      <c r="AA721" s="408">
        <v>0</v>
      </c>
      <c r="AB721" s="408">
        <v>0</v>
      </c>
      <c r="AC721" s="408">
        <v>0</v>
      </c>
      <c r="AD721" s="408">
        <v>22359.99652449735</v>
      </c>
      <c r="AE721" s="408">
        <v>48935.210070911184</v>
      </c>
      <c r="AF721" s="408"/>
      <c r="AG721" s="408"/>
      <c r="AH721" s="408"/>
      <c r="AI721" s="408">
        <v>0</v>
      </c>
      <c r="AJ721" s="408">
        <v>0</v>
      </c>
      <c r="AK721" s="408">
        <v>0</v>
      </c>
      <c r="AL721" s="408">
        <v>0</v>
      </c>
      <c r="AM721" s="408"/>
      <c r="AN721" s="408">
        <v>0</v>
      </c>
      <c r="AO721" s="408">
        <v>1689.8920585902877</v>
      </c>
      <c r="AP721" s="408">
        <v>2585.4645343674874</v>
      </c>
      <c r="AQ721" s="408">
        <v>0</v>
      </c>
      <c r="AR721" s="408">
        <v>0</v>
      </c>
      <c r="AS721" s="408"/>
      <c r="AT721" s="408"/>
      <c r="AU721" s="408">
        <v>0</v>
      </c>
      <c r="AV721" s="408">
        <v>0</v>
      </c>
      <c r="AW721" s="408">
        <v>0</v>
      </c>
      <c r="AX721" s="408"/>
      <c r="AY721" s="408"/>
      <c r="AZ721" s="408">
        <v>0</v>
      </c>
      <c r="BA721" s="408"/>
      <c r="BB721" s="408">
        <v>0</v>
      </c>
      <c r="BC721" s="408">
        <v>0</v>
      </c>
      <c r="BD721" s="408">
        <v>0</v>
      </c>
      <c r="BE721" s="408">
        <v>0</v>
      </c>
      <c r="BF721" s="408"/>
      <c r="BG721" s="408">
        <v>0</v>
      </c>
      <c r="BH721" s="408">
        <v>0</v>
      </c>
      <c r="BI721" s="408">
        <v>683.09</v>
      </c>
      <c r="BJ721" s="408">
        <v>0</v>
      </c>
      <c r="BK721" s="408">
        <v>9993.6</v>
      </c>
      <c r="BL721" s="408">
        <v>1</v>
      </c>
      <c r="BM721" s="408"/>
      <c r="BN721" s="408">
        <v>49263.162677462402</v>
      </c>
      <c r="BO721" s="408"/>
      <c r="BP721" s="408"/>
      <c r="BQ721" s="408"/>
      <c r="BR721" s="408"/>
      <c r="BS721" s="408"/>
      <c r="BT721" s="408"/>
      <c r="BU721" s="408"/>
      <c r="BV721" s="408">
        <v>0</v>
      </c>
      <c r="BW721" s="408"/>
      <c r="BX721" s="408"/>
      <c r="BY721" s="408"/>
      <c r="BZ721" s="408"/>
      <c r="CA721" s="408"/>
      <c r="CB721" s="408"/>
      <c r="CC721" s="408"/>
      <c r="CD721" s="408"/>
      <c r="CE721" s="408"/>
      <c r="CF721" s="408"/>
      <c r="CG721" s="408"/>
      <c r="CH721" s="408"/>
      <c r="CI721" s="408">
        <v>101.68469999999999</v>
      </c>
      <c r="CJ721" s="408">
        <v>-54.063741648000871</v>
      </c>
      <c r="CK721" s="408"/>
      <c r="CL721" s="408"/>
      <c r="CM721" s="408"/>
      <c r="CN721" s="408"/>
      <c r="CO721" s="408">
        <v>-26207.520000000004</v>
      </c>
      <c r="CP721" s="408">
        <v>0</v>
      </c>
      <c r="CQ721" s="408">
        <v>29</v>
      </c>
      <c r="CR721" s="408">
        <v>1249.1876758449944</v>
      </c>
      <c r="CS721" s="408">
        <v>204.02409956099837</v>
      </c>
      <c r="CT721" s="408">
        <v>312.14838302232602</v>
      </c>
      <c r="CU721" s="408">
        <v>0</v>
      </c>
      <c r="CV721" s="408">
        <v>0</v>
      </c>
      <c r="CW721" s="408"/>
      <c r="CX721" s="408"/>
      <c r="CY721" s="408"/>
      <c r="CZ721" s="408">
        <v>733.01519326167181</v>
      </c>
      <c r="DA721" s="408">
        <v>0</v>
      </c>
      <c r="DB721" s="408">
        <v>0</v>
      </c>
      <c r="DC721" s="408"/>
      <c r="DD721" s="408"/>
      <c r="DE721" s="408">
        <v>0</v>
      </c>
      <c r="DF721" s="408">
        <v>0</v>
      </c>
      <c r="DG721" s="408">
        <v>0</v>
      </c>
      <c r="DH721" s="408">
        <v>0</v>
      </c>
      <c r="DI721" s="408">
        <v>0</v>
      </c>
      <c r="DJ721" s="408"/>
      <c r="DK721" s="408">
        <v>0</v>
      </c>
      <c r="DL721" s="408">
        <v>0</v>
      </c>
      <c r="DM721" s="408"/>
      <c r="DN721" s="408">
        <v>0</v>
      </c>
      <c r="DO721" s="408">
        <v>0</v>
      </c>
      <c r="DP721" s="408">
        <v>0</v>
      </c>
      <c r="DQ721" s="408">
        <v>0</v>
      </c>
      <c r="DR721" s="408">
        <v>0</v>
      </c>
      <c r="DS721" s="408"/>
      <c r="DT721" s="408"/>
      <c r="DU721" s="408">
        <v>48935.210070911184</v>
      </c>
      <c r="DV721" s="408"/>
      <c r="DW721" s="408">
        <v>0</v>
      </c>
      <c r="DX721" s="408">
        <v>0</v>
      </c>
      <c r="DY721" s="408">
        <v>-26207.520000000011</v>
      </c>
      <c r="DZ721" s="408"/>
      <c r="EA721" s="408">
        <v>0</v>
      </c>
      <c r="EB721" s="408"/>
      <c r="EC721" s="408">
        <v>-27452.148777739771</v>
      </c>
      <c r="ED721" s="408"/>
      <c r="EE721" s="408">
        <v>0</v>
      </c>
      <c r="EF721" s="408">
        <v>0</v>
      </c>
      <c r="EG721" s="408"/>
      <c r="EH721" s="408">
        <v>0</v>
      </c>
      <c r="EI721" s="408">
        <v>0</v>
      </c>
      <c r="EJ721" s="408">
        <v>0</v>
      </c>
      <c r="EK721" s="408">
        <v>0</v>
      </c>
      <c r="EL721" s="408">
        <v>0</v>
      </c>
      <c r="EM721" s="408"/>
      <c r="EN721" s="408"/>
      <c r="EO721" s="408">
        <v>0</v>
      </c>
      <c r="EP721" s="408">
        <v>0</v>
      </c>
      <c r="EQ721" s="408"/>
      <c r="ER721" s="408">
        <v>0</v>
      </c>
      <c r="ES721" s="408"/>
      <c r="ET721" s="408">
        <v>0</v>
      </c>
      <c r="EU721" s="408"/>
      <c r="EV721" s="408">
        <v>238</v>
      </c>
      <c r="EW721" s="408"/>
      <c r="EX721" s="408"/>
      <c r="EY721" s="408"/>
      <c r="EZ721" s="408"/>
      <c r="FA721" s="408">
        <v>0</v>
      </c>
      <c r="FB721" s="408"/>
      <c r="FC721" s="408"/>
      <c r="FD721" s="408"/>
      <c r="FE721" s="408"/>
      <c r="FF721" s="408">
        <v>0</v>
      </c>
      <c r="FG721" s="408">
        <v>0</v>
      </c>
      <c r="FH721" s="408">
        <v>0</v>
      </c>
      <c r="FI721" s="408">
        <v>0</v>
      </c>
    </row>
    <row r="722" spans="1:165">
      <c r="A722" s="408">
        <v>746</v>
      </c>
      <c r="B722" s="408" t="s">
        <v>1036</v>
      </c>
      <c r="C722" s="408" t="s">
        <v>2243</v>
      </c>
      <c r="D722" s="408" t="s">
        <v>597</v>
      </c>
      <c r="E722" s="408" t="s">
        <v>970</v>
      </c>
      <c r="F722" s="408" t="s">
        <v>1322</v>
      </c>
      <c r="G722" s="408" t="s">
        <v>2323</v>
      </c>
      <c r="H722" s="408" t="s">
        <v>1322</v>
      </c>
      <c r="I722" s="408" t="s">
        <v>1322</v>
      </c>
      <c r="J722" s="408" t="s">
        <v>2324</v>
      </c>
      <c r="K722" s="824">
        <v>44621</v>
      </c>
      <c r="L722" s="408">
        <v>1702</v>
      </c>
      <c r="M722" s="408">
        <v>3.2286940000000599</v>
      </c>
      <c r="N722" s="408">
        <v>0</v>
      </c>
      <c r="O722" s="408">
        <v>0</v>
      </c>
      <c r="P722" s="408">
        <v>0</v>
      </c>
      <c r="Q722" s="408">
        <v>0</v>
      </c>
      <c r="R722" s="408">
        <v>44.35</v>
      </c>
      <c r="S722" s="408"/>
      <c r="T722" s="408"/>
      <c r="U722" s="408">
        <v>75483.7</v>
      </c>
      <c r="V722" s="408"/>
      <c r="W722" s="408">
        <v>75483.7</v>
      </c>
      <c r="X722" s="408">
        <v>49306.939999999995</v>
      </c>
      <c r="Y722" s="408">
        <v>0</v>
      </c>
      <c r="Z722" s="408">
        <v>0</v>
      </c>
      <c r="AA722" s="408">
        <v>0</v>
      </c>
      <c r="AB722" s="408">
        <v>0</v>
      </c>
      <c r="AC722" s="408">
        <v>0</v>
      </c>
      <c r="AD722" s="408">
        <v>22333.752397121181</v>
      </c>
      <c r="AE722" s="408">
        <v>48877.774378339687</v>
      </c>
      <c r="AF722" s="408"/>
      <c r="AG722" s="408"/>
      <c r="AH722" s="408"/>
      <c r="AI722" s="408">
        <v>0</v>
      </c>
      <c r="AJ722" s="408">
        <v>0</v>
      </c>
      <c r="AK722" s="408">
        <v>0</v>
      </c>
      <c r="AL722" s="408">
        <v>0</v>
      </c>
      <c r="AM722" s="408"/>
      <c r="AN722" s="408">
        <v>0</v>
      </c>
      <c r="AO722" s="408">
        <v>1687.9086172069658</v>
      </c>
      <c r="AP722" s="408">
        <v>2582.4299515806715</v>
      </c>
      <c r="AQ722" s="408">
        <v>0</v>
      </c>
      <c r="AR722" s="408">
        <v>0</v>
      </c>
      <c r="AS722" s="408"/>
      <c r="AT722" s="408"/>
      <c r="AU722" s="408">
        <v>0</v>
      </c>
      <c r="AV722" s="408">
        <v>0</v>
      </c>
      <c r="AW722" s="408">
        <v>0</v>
      </c>
      <c r="AX722" s="408"/>
      <c r="AY722" s="408"/>
      <c r="AZ722" s="408">
        <v>0</v>
      </c>
      <c r="BA722" s="408"/>
      <c r="BB722" s="408">
        <v>0</v>
      </c>
      <c r="BC722" s="408">
        <v>0</v>
      </c>
      <c r="BD722" s="408">
        <v>0</v>
      </c>
      <c r="BE722" s="408">
        <v>0</v>
      </c>
      <c r="BF722" s="408"/>
      <c r="BG722" s="408">
        <v>0</v>
      </c>
      <c r="BH722" s="408">
        <v>0</v>
      </c>
      <c r="BI722" s="408">
        <v>157.01</v>
      </c>
      <c r="BJ722" s="408">
        <v>0</v>
      </c>
      <c r="BK722" s="408">
        <v>10475.25</v>
      </c>
      <c r="BL722" s="408">
        <v>1</v>
      </c>
      <c r="BM722" s="408"/>
      <c r="BN722" s="408">
        <v>49213.404734819997</v>
      </c>
      <c r="BO722" s="408"/>
      <c r="BP722" s="408"/>
      <c r="BQ722" s="408"/>
      <c r="BR722" s="408"/>
      <c r="BS722" s="408"/>
      <c r="BT722" s="408"/>
      <c r="BU722" s="408"/>
      <c r="BV722" s="408">
        <v>0</v>
      </c>
      <c r="BW722" s="408"/>
      <c r="BX722" s="408"/>
      <c r="BY722" s="408"/>
      <c r="BZ722" s="408"/>
      <c r="CA722" s="408"/>
      <c r="CB722" s="408"/>
      <c r="CC722" s="408"/>
      <c r="CD722" s="408"/>
      <c r="CE722" s="408"/>
      <c r="CF722" s="408"/>
      <c r="CG722" s="408"/>
      <c r="CH722" s="408"/>
      <c r="CI722" s="408">
        <v>93.573099999999997</v>
      </c>
      <c r="CJ722" s="408">
        <v>-49.649478900002649</v>
      </c>
      <c r="CK722" s="408"/>
      <c r="CL722" s="408"/>
      <c r="CM722" s="408"/>
      <c r="CN722" s="408"/>
      <c r="CO722" s="408">
        <v>-26176.760000000006</v>
      </c>
      <c r="CP722" s="408">
        <v>0</v>
      </c>
      <c r="CQ722" s="408">
        <v>31</v>
      </c>
      <c r="CR722" s="408">
        <v>1247.7214931268682</v>
      </c>
      <c r="CS722" s="408">
        <v>203.78463465541017</v>
      </c>
      <c r="CT722" s="408">
        <v>311.7820116807502</v>
      </c>
      <c r="CU722" s="408">
        <v>0</v>
      </c>
      <c r="CV722" s="408">
        <v>0</v>
      </c>
      <c r="CW722" s="408"/>
      <c r="CX722" s="408"/>
      <c r="CY722" s="408"/>
      <c r="CZ722" s="408">
        <v>732.15484679070505</v>
      </c>
      <c r="DA722" s="408">
        <v>0</v>
      </c>
      <c r="DB722" s="408">
        <v>0</v>
      </c>
      <c r="DC722" s="408"/>
      <c r="DD722" s="408"/>
      <c r="DE722" s="408">
        <v>0</v>
      </c>
      <c r="DF722" s="408">
        <v>0</v>
      </c>
      <c r="DG722" s="408">
        <v>0</v>
      </c>
      <c r="DH722" s="408">
        <v>0</v>
      </c>
      <c r="DI722" s="408">
        <v>0</v>
      </c>
      <c r="DJ722" s="408"/>
      <c r="DK722" s="408">
        <v>0</v>
      </c>
      <c r="DL722" s="408">
        <v>0</v>
      </c>
      <c r="DM722" s="408"/>
      <c r="DN722" s="408">
        <v>0</v>
      </c>
      <c r="DO722" s="408">
        <v>0</v>
      </c>
      <c r="DP722" s="408">
        <v>0</v>
      </c>
      <c r="DQ722" s="408">
        <v>0</v>
      </c>
      <c r="DR722" s="408">
        <v>0</v>
      </c>
      <c r="DS722" s="408"/>
      <c r="DT722" s="408"/>
      <c r="DU722" s="408">
        <v>48877.774378339687</v>
      </c>
      <c r="DV722" s="408"/>
      <c r="DW722" s="408">
        <v>0</v>
      </c>
      <c r="DX722" s="408">
        <v>0</v>
      </c>
      <c r="DY722" s="408">
        <v>-26176.760000000002</v>
      </c>
      <c r="DZ722" s="408"/>
      <c r="EA722" s="408">
        <v>0</v>
      </c>
      <c r="EB722" s="408"/>
      <c r="EC722" s="408">
        <v>-27419.927945841013</v>
      </c>
      <c r="ED722" s="408"/>
      <c r="EE722" s="408">
        <v>0</v>
      </c>
      <c r="EF722" s="408">
        <v>0</v>
      </c>
      <c r="EG722" s="408"/>
      <c r="EH722" s="408">
        <v>0</v>
      </c>
      <c r="EI722" s="408">
        <v>0</v>
      </c>
      <c r="EJ722" s="408">
        <v>0</v>
      </c>
      <c r="EK722" s="408">
        <v>0</v>
      </c>
      <c r="EL722" s="408">
        <v>0</v>
      </c>
      <c r="EM722" s="408"/>
      <c r="EN722" s="408"/>
      <c r="EO722" s="408">
        <v>0</v>
      </c>
      <c r="EP722" s="408">
        <v>0</v>
      </c>
      <c r="EQ722" s="408"/>
      <c r="ER722" s="408">
        <v>0</v>
      </c>
      <c r="ES722" s="408"/>
      <c r="ET722" s="408">
        <v>0</v>
      </c>
      <c r="EU722" s="408"/>
      <c r="EV722" s="408">
        <v>238</v>
      </c>
      <c r="EW722" s="408"/>
      <c r="EX722" s="408"/>
      <c r="EY722" s="408"/>
      <c r="EZ722" s="408"/>
      <c r="FA722" s="408">
        <v>0</v>
      </c>
      <c r="FB722" s="408"/>
      <c r="FC722" s="408"/>
      <c r="FD722" s="408"/>
      <c r="FE722" s="408"/>
      <c r="FF722" s="408">
        <v>0</v>
      </c>
      <c r="FG722" s="408">
        <v>0</v>
      </c>
      <c r="FH722" s="408">
        <v>0</v>
      </c>
      <c r="FI722" s="408">
        <v>0</v>
      </c>
    </row>
    <row r="723" spans="1:165">
      <c r="A723" s="408">
        <v>749</v>
      </c>
      <c r="B723" s="408" t="s">
        <v>1036</v>
      </c>
      <c r="C723" s="408" t="s">
        <v>2243</v>
      </c>
      <c r="D723" s="408" t="s">
        <v>597</v>
      </c>
      <c r="E723" s="408" t="s">
        <v>970</v>
      </c>
      <c r="F723" s="408" t="s">
        <v>1322</v>
      </c>
      <c r="G723" s="408" t="s">
        <v>2323</v>
      </c>
      <c r="H723" s="408" t="s">
        <v>1322</v>
      </c>
      <c r="I723" s="408" t="s">
        <v>1322</v>
      </c>
      <c r="J723" s="408" t="s">
        <v>2324</v>
      </c>
      <c r="K723" s="824">
        <v>44652</v>
      </c>
      <c r="L723" s="408">
        <v>1704</v>
      </c>
      <c r="M723" s="408">
        <v>852</v>
      </c>
      <c r="N723" s="408">
        <v>0</v>
      </c>
      <c r="O723" s="408">
        <v>0</v>
      </c>
      <c r="P723" s="408">
        <v>0</v>
      </c>
      <c r="Q723" s="408">
        <v>0</v>
      </c>
      <c r="R723" s="408">
        <v>44.35</v>
      </c>
      <c r="S723" s="408"/>
      <c r="T723" s="408"/>
      <c r="U723" s="408">
        <v>75572.400000000009</v>
      </c>
      <c r="V723" s="408"/>
      <c r="W723" s="408">
        <v>75572.400000000009</v>
      </c>
      <c r="X723" s="408">
        <v>49364.88</v>
      </c>
      <c r="Y723" s="408">
        <v>0</v>
      </c>
      <c r="Z723" s="408">
        <v>0</v>
      </c>
      <c r="AA723" s="408">
        <v>0</v>
      </c>
      <c r="AB723" s="408">
        <v>0</v>
      </c>
      <c r="AC723" s="408">
        <v>0</v>
      </c>
      <c r="AD723" s="408">
        <v>22359.99652449735</v>
      </c>
      <c r="AE723" s="408">
        <v>48935.210070911184</v>
      </c>
      <c r="AF723" s="408"/>
      <c r="AG723" s="408"/>
      <c r="AH723" s="408"/>
      <c r="AI723" s="408">
        <v>0</v>
      </c>
      <c r="AJ723" s="408">
        <v>0</v>
      </c>
      <c r="AK723" s="408">
        <v>0</v>
      </c>
      <c r="AL723" s="408">
        <v>0</v>
      </c>
      <c r="AM723" s="408"/>
      <c r="AN723" s="408">
        <v>0</v>
      </c>
      <c r="AO723" s="408">
        <v>1689.8920585902877</v>
      </c>
      <c r="AP723" s="408">
        <v>2585.4645343674874</v>
      </c>
      <c r="AQ723" s="408">
        <v>0</v>
      </c>
      <c r="AR723" s="408">
        <v>0</v>
      </c>
      <c r="AS723" s="408"/>
      <c r="AT723" s="408"/>
      <c r="AU723" s="408">
        <v>0</v>
      </c>
      <c r="AV723" s="408">
        <v>0</v>
      </c>
      <c r="AW723" s="408">
        <v>0</v>
      </c>
      <c r="AX723" s="408"/>
      <c r="AY723" s="408"/>
      <c r="AZ723" s="408">
        <v>0</v>
      </c>
      <c r="BA723" s="408"/>
      <c r="BB723" s="408">
        <v>0</v>
      </c>
      <c r="BC723" s="408">
        <v>0</v>
      </c>
      <c r="BD723" s="408">
        <v>0</v>
      </c>
      <c r="BE723" s="408">
        <v>0</v>
      </c>
      <c r="BF723" s="408"/>
      <c r="BG723" s="408">
        <v>0</v>
      </c>
      <c r="BH723" s="408">
        <v>0</v>
      </c>
      <c r="BI723" s="408">
        <v>682.98</v>
      </c>
      <c r="BJ723" s="408">
        <v>0</v>
      </c>
      <c r="BK723" s="408">
        <v>9851.31</v>
      </c>
      <c r="BL723" s="408">
        <v>1</v>
      </c>
      <c r="BM723" s="408"/>
      <c r="BN723" s="408">
        <v>24682.44</v>
      </c>
      <c r="BO723" s="408"/>
      <c r="BP723" s="408"/>
      <c r="BQ723" s="408"/>
      <c r="BR723" s="408"/>
      <c r="BS723" s="408"/>
      <c r="BT723" s="408"/>
      <c r="BU723" s="408"/>
      <c r="BV723" s="408">
        <v>0</v>
      </c>
      <c r="BW723" s="408"/>
      <c r="BX723" s="408"/>
      <c r="BY723" s="408"/>
      <c r="BZ723" s="408"/>
      <c r="CA723" s="408"/>
      <c r="CB723" s="408"/>
      <c r="CC723" s="408"/>
      <c r="CD723" s="408"/>
      <c r="CE723" s="408"/>
      <c r="CF723" s="408"/>
      <c r="CG723" s="408"/>
      <c r="CH723" s="408"/>
      <c r="CI723" s="408">
        <v>24682.44</v>
      </c>
      <c r="CJ723" s="408">
        <v>-13103.790000000012</v>
      </c>
      <c r="CK723" s="408"/>
      <c r="CL723" s="408"/>
      <c r="CM723" s="408"/>
      <c r="CN723" s="408"/>
      <c r="CO723" s="408">
        <v>-26207.520000000004</v>
      </c>
      <c r="CP723" s="408">
        <v>0</v>
      </c>
      <c r="CQ723" s="408">
        <v>30</v>
      </c>
      <c r="CR723" s="408">
        <v>1249.1876758449944</v>
      </c>
      <c r="CS723" s="408">
        <v>204.02409956099837</v>
      </c>
      <c r="CT723" s="408">
        <v>312.14838302232602</v>
      </c>
      <c r="CU723" s="408">
        <v>0</v>
      </c>
      <c r="CV723" s="408">
        <v>0</v>
      </c>
      <c r="CW723" s="408"/>
      <c r="CX723" s="408"/>
      <c r="CY723" s="408"/>
      <c r="CZ723" s="408">
        <v>733.01519326167181</v>
      </c>
      <c r="DA723" s="408">
        <v>0</v>
      </c>
      <c r="DB723" s="408">
        <v>0</v>
      </c>
      <c r="DC723" s="408"/>
      <c r="DD723" s="408"/>
      <c r="DE723" s="408">
        <v>0</v>
      </c>
      <c r="DF723" s="408">
        <v>0</v>
      </c>
      <c r="DG723" s="408">
        <v>0</v>
      </c>
      <c r="DH723" s="408">
        <v>0</v>
      </c>
      <c r="DI723" s="408">
        <v>0</v>
      </c>
      <c r="DJ723" s="408"/>
      <c r="DK723" s="408">
        <v>0</v>
      </c>
      <c r="DL723" s="408">
        <v>0</v>
      </c>
      <c r="DM723" s="408"/>
      <c r="DN723" s="408">
        <v>0</v>
      </c>
      <c r="DO723" s="408">
        <v>0</v>
      </c>
      <c r="DP723" s="408">
        <v>0</v>
      </c>
      <c r="DQ723" s="408">
        <v>0</v>
      </c>
      <c r="DR723" s="408">
        <v>0</v>
      </c>
      <c r="DS723" s="408"/>
      <c r="DT723" s="408"/>
      <c r="DU723" s="408">
        <v>48935.210070911184</v>
      </c>
      <c r="DV723" s="408"/>
      <c r="DW723" s="408">
        <v>0</v>
      </c>
      <c r="DX723" s="408">
        <v>0</v>
      </c>
      <c r="DY723" s="408">
        <v>-26207.520000000011</v>
      </c>
      <c r="DZ723" s="408"/>
      <c r="EA723" s="408">
        <v>0</v>
      </c>
      <c r="EB723" s="408"/>
      <c r="EC723" s="408">
        <v>-27452.148777739771</v>
      </c>
      <c r="ED723" s="408"/>
      <c r="EE723" s="408">
        <v>0</v>
      </c>
      <c r="EF723" s="408">
        <v>0</v>
      </c>
      <c r="EG723" s="408"/>
      <c r="EH723" s="408">
        <v>0</v>
      </c>
      <c r="EI723" s="408">
        <v>0</v>
      </c>
      <c r="EJ723" s="408">
        <v>0</v>
      </c>
      <c r="EK723" s="408">
        <v>0</v>
      </c>
      <c r="EL723" s="408">
        <v>0</v>
      </c>
      <c r="EM723" s="408"/>
      <c r="EN723" s="408"/>
      <c r="EO723" s="408">
        <v>0</v>
      </c>
      <c r="EP723" s="408">
        <v>0</v>
      </c>
      <c r="EQ723" s="408"/>
      <c r="ER723" s="408">
        <v>0</v>
      </c>
      <c r="ES723" s="408"/>
      <c r="ET723" s="408">
        <v>0</v>
      </c>
      <c r="EU723" s="408"/>
      <c r="EV723" s="408">
        <v>238</v>
      </c>
      <c r="EW723" s="408"/>
      <c r="EX723" s="408"/>
      <c r="EY723" s="408"/>
      <c r="EZ723" s="408"/>
      <c r="FA723" s="408">
        <v>0</v>
      </c>
      <c r="FB723" s="408"/>
      <c r="FC723" s="408"/>
      <c r="FD723" s="408"/>
      <c r="FE723" s="408"/>
      <c r="FF723" s="408">
        <v>0</v>
      </c>
      <c r="FG723" s="408">
        <v>0</v>
      </c>
      <c r="FH723" s="408">
        <v>0</v>
      </c>
      <c r="FI723" s="408">
        <v>0</v>
      </c>
    </row>
    <row r="724" spans="1:165">
      <c r="A724" s="408">
        <v>752</v>
      </c>
      <c r="B724" s="408" t="s">
        <v>1036</v>
      </c>
      <c r="C724" s="408" t="s">
        <v>2243</v>
      </c>
      <c r="D724" s="408" t="s">
        <v>597</v>
      </c>
      <c r="E724" s="408" t="s">
        <v>970</v>
      </c>
      <c r="F724" s="408" t="s">
        <v>1322</v>
      </c>
      <c r="G724" s="408" t="s">
        <v>2323</v>
      </c>
      <c r="H724" s="408" t="s">
        <v>1322</v>
      </c>
      <c r="I724" s="408" t="s">
        <v>1322</v>
      </c>
      <c r="J724" s="408" t="s">
        <v>2324</v>
      </c>
      <c r="K724" s="824">
        <v>44682</v>
      </c>
      <c r="L724" s="408">
        <v>1709</v>
      </c>
      <c r="M724" s="408">
        <v>854.5</v>
      </c>
      <c r="N724" s="408">
        <v>0</v>
      </c>
      <c r="O724" s="408">
        <v>0</v>
      </c>
      <c r="P724" s="408">
        <v>0</v>
      </c>
      <c r="Q724" s="408">
        <v>0</v>
      </c>
      <c r="R724" s="408">
        <v>44.35</v>
      </c>
      <c r="S724" s="408"/>
      <c r="T724" s="408"/>
      <c r="U724" s="408">
        <v>75794.150000000009</v>
      </c>
      <c r="V724" s="408"/>
      <c r="W724" s="408">
        <v>75794.150000000009</v>
      </c>
      <c r="X724" s="408">
        <v>49509.729999999996</v>
      </c>
      <c r="Y724" s="408">
        <v>0</v>
      </c>
      <c r="Z724" s="408">
        <v>0</v>
      </c>
      <c r="AA724" s="408">
        <v>0</v>
      </c>
      <c r="AB724" s="408">
        <v>0</v>
      </c>
      <c r="AC724" s="408">
        <v>0</v>
      </c>
      <c r="AD724" s="408">
        <v>22425.606842937777</v>
      </c>
      <c r="AE724" s="408">
        <v>49078.79930233991</v>
      </c>
      <c r="AF724" s="408"/>
      <c r="AG724" s="408"/>
      <c r="AH724" s="408"/>
      <c r="AI724" s="408">
        <v>0</v>
      </c>
      <c r="AJ724" s="408">
        <v>0</v>
      </c>
      <c r="AK724" s="408">
        <v>0</v>
      </c>
      <c r="AL724" s="408">
        <v>0</v>
      </c>
      <c r="AM724" s="408"/>
      <c r="AN724" s="408">
        <v>0</v>
      </c>
      <c r="AO724" s="408">
        <v>1694.8506620485925</v>
      </c>
      <c r="AP724" s="408">
        <v>2593.0509913345281</v>
      </c>
      <c r="AQ724" s="408">
        <v>0</v>
      </c>
      <c r="AR724" s="408">
        <v>0</v>
      </c>
      <c r="AS724" s="408"/>
      <c r="AT724" s="408"/>
      <c r="AU724" s="408">
        <v>0</v>
      </c>
      <c r="AV724" s="408">
        <v>0</v>
      </c>
      <c r="AW724" s="408">
        <v>0</v>
      </c>
      <c r="AX724" s="408"/>
      <c r="AY724" s="408"/>
      <c r="AZ724" s="408">
        <v>0</v>
      </c>
      <c r="BA724" s="408"/>
      <c r="BB724" s="408">
        <v>0</v>
      </c>
      <c r="BC724" s="408">
        <v>0</v>
      </c>
      <c r="BD724" s="408">
        <v>0</v>
      </c>
      <c r="BE724" s="408">
        <v>0</v>
      </c>
      <c r="BF724" s="408"/>
      <c r="BG724" s="408">
        <v>0</v>
      </c>
      <c r="BH724" s="408">
        <v>0</v>
      </c>
      <c r="BI724" s="408">
        <v>606.03</v>
      </c>
      <c r="BJ724" s="408">
        <v>0</v>
      </c>
      <c r="BK724" s="408">
        <v>10519.2</v>
      </c>
      <c r="BL724" s="408">
        <v>1</v>
      </c>
      <c r="BM724" s="408"/>
      <c r="BN724" s="408">
        <v>24754.864999999998</v>
      </c>
      <c r="BO724" s="408"/>
      <c r="BP724" s="408"/>
      <c r="BQ724" s="408"/>
      <c r="BR724" s="408"/>
      <c r="BS724" s="408"/>
      <c r="BT724" s="408"/>
      <c r="BU724" s="408"/>
      <c r="BV724" s="408">
        <v>0</v>
      </c>
      <c r="BW724" s="408"/>
      <c r="BX724" s="408"/>
      <c r="BY724" s="408"/>
      <c r="BZ724" s="408"/>
      <c r="CA724" s="408"/>
      <c r="CB724" s="408"/>
      <c r="CC724" s="408"/>
      <c r="CD724" s="408"/>
      <c r="CE724" s="408"/>
      <c r="CF724" s="408"/>
      <c r="CG724" s="408"/>
      <c r="CH724" s="408"/>
      <c r="CI724" s="408">
        <v>24754.864999999998</v>
      </c>
      <c r="CJ724" s="408">
        <v>-13142.240000000013</v>
      </c>
      <c r="CK724" s="408"/>
      <c r="CL724" s="408"/>
      <c r="CM724" s="408"/>
      <c r="CN724" s="408"/>
      <c r="CO724" s="408">
        <v>-26284.420000000006</v>
      </c>
      <c r="CP724" s="408">
        <v>0</v>
      </c>
      <c r="CQ724" s="408">
        <v>31</v>
      </c>
      <c r="CR724" s="408">
        <v>1252.8531326403172</v>
      </c>
      <c r="CS724" s="408">
        <v>204.62276182496839</v>
      </c>
      <c r="CT724" s="408">
        <v>313.06431137626487</v>
      </c>
      <c r="CU724" s="408">
        <v>0</v>
      </c>
      <c r="CV724" s="408">
        <v>0</v>
      </c>
      <c r="CW724" s="408"/>
      <c r="CX724" s="408"/>
      <c r="CY724" s="408"/>
      <c r="CZ724" s="408">
        <v>735.16605943908144</v>
      </c>
      <c r="DA724" s="408">
        <v>0</v>
      </c>
      <c r="DB724" s="408">
        <v>0</v>
      </c>
      <c r="DC724" s="408"/>
      <c r="DD724" s="408"/>
      <c r="DE724" s="408">
        <v>0</v>
      </c>
      <c r="DF724" s="408">
        <v>0</v>
      </c>
      <c r="DG724" s="408">
        <v>0</v>
      </c>
      <c r="DH724" s="408">
        <v>0</v>
      </c>
      <c r="DI724" s="408">
        <v>0</v>
      </c>
      <c r="DJ724" s="408"/>
      <c r="DK724" s="408">
        <v>0</v>
      </c>
      <c r="DL724" s="408">
        <v>0</v>
      </c>
      <c r="DM724" s="408"/>
      <c r="DN724" s="408">
        <v>0</v>
      </c>
      <c r="DO724" s="408">
        <v>0</v>
      </c>
      <c r="DP724" s="408">
        <v>0</v>
      </c>
      <c r="DQ724" s="408">
        <v>0</v>
      </c>
      <c r="DR724" s="408">
        <v>0</v>
      </c>
      <c r="DS724" s="408"/>
      <c r="DT724" s="408"/>
      <c r="DU724" s="408">
        <v>49078.79930233991</v>
      </c>
      <c r="DV724" s="408"/>
      <c r="DW724" s="408">
        <v>0</v>
      </c>
      <c r="DX724" s="408">
        <v>0</v>
      </c>
      <c r="DY724" s="408">
        <v>-26284.420000000013</v>
      </c>
      <c r="DZ724" s="408"/>
      <c r="EA724" s="408">
        <v>0</v>
      </c>
      <c r="EB724" s="408"/>
      <c r="EC724" s="408">
        <v>-27532.700857486656</v>
      </c>
      <c r="ED724" s="408"/>
      <c r="EE724" s="408">
        <v>0</v>
      </c>
      <c r="EF724" s="408">
        <v>0</v>
      </c>
      <c r="EG724" s="408"/>
      <c r="EH724" s="408">
        <v>0</v>
      </c>
      <c r="EI724" s="408">
        <v>0</v>
      </c>
      <c r="EJ724" s="408">
        <v>0</v>
      </c>
      <c r="EK724" s="408">
        <v>0</v>
      </c>
      <c r="EL724" s="408">
        <v>0</v>
      </c>
      <c r="EM724" s="408"/>
      <c r="EN724" s="408"/>
      <c r="EO724" s="408">
        <v>0</v>
      </c>
      <c r="EP724" s="408">
        <v>0</v>
      </c>
      <c r="EQ724" s="408"/>
      <c r="ER724" s="408">
        <v>0</v>
      </c>
      <c r="ES724" s="408"/>
      <c r="ET724" s="408">
        <v>0</v>
      </c>
      <c r="EU724" s="408"/>
      <c r="EV724" s="408">
        <v>238</v>
      </c>
      <c r="EW724" s="408"/>
      <c r="EX724" s="408"/>
      <c r="EY724" s="408"/>
      <c r="EZ724" s="408"/>
      <c r="FA724" s="408">
        <v>0</v>
      </c>
      <c r="FB724" s="408"/>
      <c r="FC724" s="408"/>
      <c r="FD724" s="408"/>
      <c r="FE724" s="408"/>
      <c r="FF724" s="408">
        <v>0</v>
      </c>
      <c r="FG724" s="408">
        <v>0</v>
      </c>
      <c r="FH724" s="408">
        <v>0</v>
      </c>
      <c r="FI724" s="408">
        <v>0</v>
      </c>
    </row>
    <row r="725" spans="1:165">
      <c r="A725" s="265">
        <v>755</v>
      </c>
      <c r="B725" s="265" t="s">
        <v>2255</v>
      </c>
      <c r="C725" s="265" t="s">
        <v>2243</v>
      </c>
      <c r="D725" s="265" t="s">
        <v>597</v>
      </c>
      <c r="E725" s="265" t="s">
        <v>970</v>
      </c>
      <c r="F725" s="265" t="s">
        <v>1322</v>
      </c>
      <c r="G725" s="265" t="s">
        <v>2323</v>
      </c>
      <c r="H725" s="265" t="s">
        <v>1322</v>
      </c>
      <c r="I725" s="265" t="s">
        <v>1322</v>
      </c>
      <c r="J725" s="265" t="s">
        <v>2324</v>
      </c>
      <c r="K725" s="1639">
        <v>44713</v>
      </c>
      <c r="L725" s="265">
        <v>1709</v>
      </c>
      <c r="M725" s="265">
        <v>854.5</v>
      </c>
      <c r="N725" s="265">
        <v>0</v>
      </c>
      <c r="O725" s="265">
        <v>0</v>
      </c>
      <c r="P725" s="265">
        <v>0</v>
      </c>
      <c r="Q725" s="265">
        <v>0</v>
      </c>
      <c r="R725" s="265">
        <v>44.35</v>
      </c>
      <c r="S725" s="265"/>
      <c r="T725" s="265"/>
      <c r="U725" s="265">
        <v>75794.150000000009</v>
      </c>
      <c r="V725" s="265"/>
      <c r="W725" s="265">
        <v>75794.150000000009</v>
      </c>
      <c r="X725" s="265">
        <v>49509.729999999996</v>
      </c>
      <c r="Y725" s="265">
        <v>0</v>
      </c>
      <c r="Z725" s="265">
        <v>0</v>
      </c>
      <c r="AA725" s="265">
        <v>0</v>
      </c>
      <c r="AB725" s="265">
        <v>0</v>
      </c>
      <c r="AC725" s="265">
        <v>0</v>
      </c>
      <c r="AD725" s="265">
        <v>22425.606842937777</v>
      </c>
      <c r="AE725" s="265">
        <v>49078.79930233991</v>
      </c>
      <c r="AF725" s="265"/>
      <c r="AG725" s="265"/>
      <c r="AH725" s="265"/>
      <c r="AI725" s="265">
        <v>0</v>
      </c>
      <c r="AJ725" s="265">
        <v>0</v>
      </c>
      <c r="AK725" s="265">
        <v>0</v>
      </c>
      <c r="AL725" s="265">
        <v>0</v>
      </c>
      <c r="AM725" s="265"/>
      <c r="AN725" s="265">
        <v>0</v>
      </c>
      <c r="AO725" s="265">
        <v>1694.8506620485925</v>
      </c>
      <c r="AP725" s="265">
        <v>2593.0509913345281</v>
      </c>
      <c r="AQ725" s="265">
        <v>0</v>
      </c>
      <c r="AR725" s="265">
        <v>0</v>
      </c>
      <c r="AS725" s="265"/>
      <c r="AT725" s="265"/>
      <c r="AU725" s="265">
        <v>0</v>
      </c>
      <c r="AV725" s="265">
        <v>0</v>
      </c>
      <c r="AW725" s="265">
        <v>0</v>
      </c>
      <c r="AX725" s="265"/>
      <c r="AY725" s="265"/>
      <c r="AZ725" s="265">
        <v>0</v>
      </c>
      <c r="BA725" s="265"/>
      <c r="BB725" s="265">
        <v>0</v>
      </c>
      <c r="BC725" s="265">
        <v>0</v>
      </c>
      <c r="BD725" s="265">
        <v>0</v>
      </c>
      <c r="BE725" s="265">
        <v>0</v>
      </c>
      <c r="BF725" s="265"/>
      <c r="BG725" s="265">
        <v>0</v>
      </c>
      <c r="BH725" s="265">
        <v>0</v>
      </c>
      <c r="BI725" s="265">
        <v>606.03</v>
      </c>
      <c r="BJ725" s="265">
        <v>0</v>
      </c>
      <c r="BK725" s="265">
        <v>10519.2</v>
      </c>
      <c r="BL725" s="265">
        <v>1</v>
      </c>
      <c r="BM725" s="265"/>
      <c r="BN725" s="265">
        <v>24754.864999999998</v>
      </c>
      <c r="BO725" s="265"/>
      <c r="BP725" s="265"/>
      <c r="BQ725" s="265"/>
      <c r="BR725" s="265"/>
      <c r="BS725" s="265"/>
      <c r="BT725" s="265"/>
      <c r="BU725" s="265"/>
      <c r="BV725" s="265">
        <v>0</v>
      </c>
      <c r="BW725" s="265"/>
      <c r="BX725" s="265"/>
      <c r="BY725" s="265"/>
      <c r="BZ725" s="265"/>
      <c r="CA725" s="265"/>
      <c r="CB725" s="265"/>
      <c r="CC725" s="265"/>
      <c r="CD725" s="265"/>
      <c r="CE725" s="265"/>
      <c r="CF725" s="265"/>
      <c r="CG725" s="265"/>
      <c r="CH725" s="265"/>
      <c r="CI725" s="265">
        <v>24754.864999999998</v>
      </c>
      <c r="CJ725" s="265">
        <v>-13142.240000000013</v>
      </c>
      <c r="CK725" s="265"/>
      <c r="CL725" s="265"/>
      <c r="CM725" s="265"/>
      <c r="CN725" s="265"/>
      <c r="CO725" s="265">
        <v>-26284.420000000006</v>
      </c>
      <c r="CP725" s="265">
        <v>0</v>
      </c>
      <c r="CQ725" s="265">
        <v>30</v>
      </c>
      <c r="CR725" s="265">
        <v>1252.8531326403172</v>
      </c>
      <c r="CS725" s="265">
        <v>204.62276182496839</v>
      </c>
      <c r="CT725" s="265">
        <v>313.06431137626487</v>
      </c>
      <c r="CU725" s="265">
        <v>0</v>
      </c>
      <c r="CV725" s="265">
        <v>0</v>
      </c>
      <c r="CW725" s="265"/>
      <c r="CX725" s="265"/>
      <c r="CY725" s="265"/>
      <c r="CZ725" s="265">
        <v>735.16605943908144</v>
      </c>
      <c r="DA725" s="265">
        <v>0</v>
      </c>
      <c r="DB725" s="265">
        <v>0</v>
      </c>
      <c r="DC725" s="265"/>
      <c r="DD725" s="265"/>
      <c r="DE725" s="265">
        <v>0</v>
      </c>
      <c r="DF725" s="265">
        <v>0</v>
      </c>
      <c r="DG725" s="265">
        <v>0</v>
      </c>
      <c r="DH725" s="265">
        <v>0</v>
      </c>
      <c r="DI725" s="265">
        <v>0</v>
      </c>
      <c r="DJ725" s="265"/>
      <c r="DK725" s="265">
        <v>0</v>
      </c>
      <c r="DL725" s="265">
        <v>0</v>
      </c>
      <c r="DM725" s="265"/>
      <c r="DN725" s="265">
        <v>0</v>
      </c>
      <c r="DO725" s="265">
        <v>0</v>
      </c>
      <c r="DP725" s="265">
        <v>0</v>
      </c>
      <c r="DQ725" s="265">
        <v>0</v>
      </c>
      <c r="DR725" s="265">
        <v>0</v>
      </c>
      <c r="DS725" s="265"/>
      <c r="DT725" s="265"/>
      <c r="DU725" s="265">
        <v>49078.79930233991</v>
      </c>
      <c r="DV725" s="265"/>
      <c r="DW725" s="265">
        <v>0</v>
      </c>
      <c r="DX725" s="265">
        <v>0</v>
      </c>
      <c r="DY725" s="265">
        <v>-26284.420000000013</v>
      </c>
      <c r="DZ725" s="265"/>
      <c r="EA725" s="265">
        <v>0</v>
      </c>
      <c r="EB725" s="265"/>
      <c r="EC725" s="265">
        <v>-27532.700857486656</v>
      </c>
      <c r="ED725" s="265"/>
      <c r="EE725" s="265">
        <v>0</v>
      </c>
      <c r="EF725" s="265">
        <v>0</v>
      </c>
      <c r="EG725" s="265"/>
      <c r="EH725" s="265">
        <v>0</v>
      </c>
      <c r="EI725" s="265">
        <v>0</v>
      </c>
      <c r="EJ725" s="265">
        <v>0</v>
      </c>
      <c r="EK725" s="265">
        <v>0</v>
      </c>
      <c r="EL725" s="265">
        <v>0</v>
      </c>
      <c r="EM725" s="265"/>
      <c r="EN725" s="265"/>
      <c r="EO725" s="265">
        <v>0</v>
      </c>
      <c r="EP725" s="265">
        <v>0</v>
      </c>
      <c r="EQ725" s="265"/>
      <c r="ER725" s="265">
        <v>0</v>
      </c>
      <c r="ES725" s="265"/>
      <c r="ET725" s="265">
        <v>0</v>
      </c>
      <c r="EU725" s="265"/>
      <c r="EV725" s="265">
        <v>238</v>
      </c>
      <c r="EW725" s="265"/>
      <c r="EX725" s="265"/>
      <c r="EY725" s="265"/>
      <c r="EZ725" s="265"/>
      <c r="FA725" s="265">
        <v>0</v>
      </c>
      <c r="FB725" s="265"/>
      <c r="FC725" s="265"/>
      <c r="FD725" s="265"/>
      <c r="FE725" s="265"/>
      <c r="FF725" s="265">
        <v>0</v>
      </c>
      <c r="FG725" s="265">
        <v>0</v>
      </c>
      <c r="FH725" s="265">
        <v>0</v>
      </c>
      <c r="FI725" s="265">
        <v>0</v>
      </c>
    </row>
    <row r="726" spans="1:165">
      <c r="K726" s="266"/>
      <c r="L726" s="266"/>
      <c r="M726" s="266"/>
      <c r="N726" s="266"/>
      <c r="O726" s="266"/>
      <c r="P726" s="266"/>
      <c r="Q726" s="266"/>
      <c r="BR726" s="266"/>
      <c r="BS726" s="266"/>
      <c r="BT726" s="266"/>
      <c r="BU726" s="266"/>
      <c r="BV726" s="266"/>
      <c r="CJ726" s="266"/>
      <c r="CO726" s="266"/>
      <c r="CP726" s="266"/>
      <c r="CQ726" s="266"/>
      <c r="CR726" s="266"/>
      <c r="CS726" s="266"/>
      <c r="CT726" s="266"/>
      <c r="CU726" s="266"/>
      <c r="CV726" s="266"/>
      <c r="CW726" s="266"/>
      <c r="CX726" s="266"/>
      <c r="CY726" s="266"/>
      <c r="CZ726" s="266"/>
      <c r="DA726" s="266"/>
      <c r="DB726" s="266"/>
      <c r="DC726" s="266"/>
      <c r="DD726" s="266"/>
      <c r="DE726" s="266"/>
      <c r="DF726" s="266"/>
      <c r="DG726" s="266"/>
      <c r="DH726" s="266"/>
      <c r="DI726" s="266"/>
      <c r="DJ726" s="266"/>
      <c r="DK726" s="266"/>
      <c r="DL726" s="266"/>
      <c r="DM726" s="266"/>
      <c r="DN726" s="266"/>
      <c r="DO726" s="266"/>
      <c r="DP726" s="266"/>
      <c r="DQ726" s="266"/>
      <c r="DR726" s="266"/>
      <c r="DS726" s="266"/>
      <c r="DY726" s="266"/>
      <c r="EC726" s="266"/>
      <c r="EP726" s="266"/>
    </row>
    <row r="727" spans="1:165">
      <c r="K727" s="266"/>
      <c r="L727" s="266"/>
      <c r="M727" s="266"/>
      <c r="N727" s="266"/>
      <c r="O727" s="266"/>
      <c r="P727" s="266"/>
      <c r="Q727" s="266"/>
      <c r="BR727" s="266"/>
      <c r="BS727" s="266"/>
      <c r="BT727" s="266"/>
      <c r="BU727" s="266"/>
      <c r="BV727" s="266"/>
      <c r="CJ727" s="266"/>
      <c r="CO727" s="266"/>
      <c r="CP727" s="266"/>
      <c r="CQ727" s="266"/>
      <c r="CR727" s="266"/>
      <c r="CS727" s="266"/>
      <c r="CT727" s="266"/>
      <c r="CU727" s="266"/>
      <c r="CV727" s="266"/>
      <c r="CW727" s="266"/>
      <c r="CX727" s="266"/>
      <c r="CY727" s="266"/>
      <c r="CZ727" s="266"/>
      <c r="DA727" s="266"/>
      <c r="DB727" s="266"/>
      <c r="DC727" s="266"/>
      <c r="DD727" s="266"/>
      <c r="DE727" s="266"/>
      <c r="DF727" s="266"/>
      <c r="DG727" s="266"/>
      <c r="DH727" s="266"/>
      <c r="DI727" s="266"/>
      <c r="DJ727" s="266"/>
      <c r="DK727" s="266"/>
      <c r="DL727" s="266"/>
      <c r="DM727" s="266"/>
      <c r="DN727" s="266"/>
      <c r="DO727" s="266"/>
      <c r="DP727" s="266"/>
      <c r="DQ727" s="266"/>
      <c r="DR727" s="266"/>
      <c r="DS727" s="266"/>
      <c r="DY727" s="266"/>
      <c r="EC727" s="266"/>
      <c r="EP727" s="266"/>
    </row>
    <row r="728" spans="1:165">
      <c r="K728" s="266"/>
      <c r="L728" s="266"/>
      <c r="M728" s="266"/>
      <c r="N728" s="266"/>
      <c r="O728" s="266"/>
      <c r="P728" s="266"/>
      <c r="Q728" s="266"/>
      <c r="BR728" s="266"/>
      <c r="BS728" s="266"/>
      <c r="BT728" s="266"/>
      <c r="BU728" s="266"/>
      <c r="BV728" s="266"/>
      <c r="CJ728" s="266"/>
      <c r="CO728" s="266"/>
      <c r="CP728" s="266"/>
      <c r="CQ728" s="266"/>
      <c r="CR728" s="266"/>
      <c r="CS728" s="266"/>
      <c r="CT728" s="266"/>
      <c r="CU728" s="266"/>
      <c r="CV728" s="266"/>
      <c r="CW728" s="266"/>
      <c r="CX728" s="266"/>
      <c r="CY728" s="266"/>
      <c r="CZ728" s="266"/>
      <c r="DA728" s="266"/>
      <c r="DB728" s="266"/>
      <c r="DC728" s="266"/>
      <c r="DD728" s="266"/>
      <c r="DE728" s="266"/>
      <c r="DF728" s="266"/>
      <c r="DG728" s="266"/>
      <c r="DH728" s="266"/>
      <c r="DI728" s="266"/>
      <c r="DJ728" s="266"/>
      <c r="DK728" s="266"/>
      <c r="DL728" s="266"/>
      <c r="DM728" s="266"/>
      <c r="DN728" s="266"/>
      <c r="DO728" s="266"/>
      <c r="DP728" s="266"/>
      <c r="DQ728" s="266"/>
      <c r="DR728" s="266"/>
      <c r="DS728" s="266"/>
      <c r="DY728" s="266"/>
      <c r="EC728" s="266"/>
      <c r="EP728" s="266"/>
    </row>
    <row r="729" spans="1:165">
      <c r="K729" s="266"/>
      <c r="L729" s="266"/>
      <c r="M729" s="266"/>
      <c r="N729" s="266"/>
      <c r="O729" s="266"/>
      <c r="P729" s="266"/>
      <c r="Q729" s="266"/>
      <c r="BR729" s="266"/>
      <c r="BS729" s="266"/>
      <c r="BT729" s="266"/>
      <c r="BU729" s="266"/>
      <c r="BV729" s="266"/>
      <c r="CJ729" s="266"/>
      <c r="CO729" s="266"/>
      <c r="CP729" s="266"/>
      <c r="CQ729" s="266"/>
      <c r="CR729" s="266"/>
      <c r="CS729" s="266"/>
      <c r="CT729" s="266"/>
      <c r="CU729" s="266"/>
      <c r="CV729" s="266"/>
      <c r="CW729" s="266"/>
      <c r="CX729" s="266"/>
      <c r="CY729" s="266"/>
      <c r="CZ729" s="266"/>
      <c r="DA729" s="266"/>
      <c r="DB729" s="266"/>
      <c r="DC729" s="266"/>
      <c r="DD729" s="266"/>
      <c r="DE729" s="266"/>
      <c r="DF729" s="266"/>
      <c r="DG729" s="266"/>
      <c r="DH729" s="266"/>
      <c r="DI729" s="266"/>
      <c r="DJ729" s="266"/>
      <c r="DK729" s="266"/>
      <c r="DL729" s="266"/>
      <c r="DM729" s="266"/>
      <c r="DN729" s="266"/>
      <c r="DO729" s="266"/>
      <c r="DP729" s="266"/>
      <c r="DQ729" s="266"/>
      <c r="DR729" s="266"/>
      <c r="DS729" s="266"/>
      <c r="DY729" s="266"/>
      <c r="EC729" s="266"/>
      <c r="EP729" s="266"/>
    </row>
    <row r="730" spans="1:165">
      <c r="K730" s="266"/>
      <c r="L730" s="266"/>
      <c r="M730" s="266"/>
      <c r="N730" s="266"/>
      <c r="O730" s="266"/>
      <c r="P730" s="266"/>
      <c r="Q730" s="266"/>
      <c r="BR730" s="266"/>
      <c r="BS730" s="266"/>
      <c r="BT730" s="266"/>
      <c r="BU730" s="266"/>
      <c r="BV730" s="266"/>
      <c r="CJ730" s="266"/>
      <c r="CO730" s="266"/>
      <c r="CP730" s="266"/>
      <c r="CQ730" s="266"/>
      <c r="CR730" s="266"/>
      <c r="CS730" s="266"/>
      <c r="CT730" s="266"/>
      <c r="CU730" s="266"/>
      <c r="CV730" s="266"/>
      <c r="CW730" s="266"/>
      <c r="CX730" s="266"/>
      <c r="CY730" s="266"/>
      <c r="CZ730" s="266"/>
      <c r="DA730" s="266"/>
      <c r="DB730" s="266"/>
      <c r="DC730" s="266"/>
      <c r="DD730" s="266"/>
      <c r="DE730" s="266"/>
      <c r="DF730" s="266"/>
      <c r="DG730" s="266"/>
      <c r="DH730" s="266"/>
      <c r="DI730" s="266"/>
      <c r="DJ730" s="266"/>
      <c r="DK730" s="266"/>
      <c r="DL730" s="266"/>
      <c r="DM730" s="266"/>
      <c r="DN730" s="266"/>
      <c r="DO730" s="266"/>
      <c r="DP730" s="266"/>
      <c r="DQ730" s="266"/>
      <c r="DR730" s="266"/>
      <c r="DS730" s="266"/>
      <c r="DY730" s="266"/>
      <c r="EC730" s="266"/>
      <c r="EP730" s="266"/>
    </row>
    <row r="731" spans="1:165">
      <c r="K731" s="266"/>
      <c r="L731" s="266"/>
      <c r="M731" s="266"/>
      <c r="N731" s="266"/>
      <c r="O731" s="266"/>
      <c r="P731" s="266"/>
      <c r="Q731" s="266"/>
      <c r="BR731" s="266"/>
      <c r="BS731" s="266"/>
      <c r="BT731" s="266"/>
      <c r="BU731" s="266"/>
      <c r="BV731" s="266"/>
      <c r="CJ731" s="266"/>
      <c r="CO731" s="266"/>
      <c r="CP731" s="266"/>
      <c r="CQ731" s="266"/>
      <c r="CR731" s="266"/>
      <c r="CS731" s="266"/>
      <c r="CT731" s="266"/>
      <c r="CU731" s="266"/>
      <c r="CV731" s="266"/>
      <c r="CW731" s="266"/>
      <c r="CX731" s="266"/>
      <c r="CY731" s="266"/>
      <c r="CZ731" s="266"/>
      <c r="DA731" s="266"/>
      <c r="DB731" s="266"/>
      <c r="DC731" s="266"/>
      <c r="DD731" s="266"/>
      <c r="DE731" s="266"/>
      <c r="DF731" s="266"/>
      <c r="DG731" s="266"/>
      <c r="DH731" s="266"/>
      <c r="DI731" s="266"/>
      <c r="DJ731" s="266"/>
      <c r="DK731" s="266"/>
      <c r="DL731" s="266"/>
      <c r="DM731" s="266"/>
      <c r="DN731" s="266"/>
      <c r="DO731" s="266"/>
      <c r="DP731" s="266"/>
      <c r="DQ731" s="266"/>
      <c r="DR731" s="266"/>
      <c r="DS731" s="266"/>
      <c r="DY731" s="266"/>
      <c r="EC731" s="266"/>
      <c r="EP731" s="266"/>
    </row>
    <row r="732" spans="1:165">
      <c r="K732" s="266"/>
      <c r="L732" s="266"/>
      <c r="M732" s="266"/>
      <c r="N732" s="266"/>
      <c r="O732" s="266"/>
      <c r="P732" s="266"/>
      <c r="Q732" s="266"/>
      <c r="BR732" s="266"/>
      <c r="BS732" s="266"/>
      <c r="BT732" s="266"/>
      <c r="BU732" s="266"/>
      <c r="BV732" s="266"/>
      <c r="CJ732" s="266"/>
      <c r="CO732" s="266"/>
      <c r="CP732" s="266"/>
      <c r="CQ732" s="266"/>
      <c r="CR732" s="266"/>
      <c r="CS732" s="266"/>
      <c r="CT732" s="266"/>
      <c r="CU732" s="266"/>
      <c r="CV732" s="266"/>
      <c r="CW732" s="266"/>
      <c r="CX732" s="266"/>
      <c r="CY732" s="266"/>
      <c r="CZ732" s="266"/>
      <c r="DA732" s="266"/>
      <c r="DB732" s="266"/>
      <c r="DC732" s="266"/>
      <c r="DD732" s="266"/>
      <c r="DE732" s="266"/>
      <c r="DF732" s="266"/>
      <c r="DG732" s="266"/>
      <c r="DH732" s="266"/>
      <c r="DI732" s="266"/>
      <c r="DJ732" s="266"/>
      <c r="DK732" s="266"/>
      <c r="DL732" s="266"/>
      <c r="DM732" s="266"/>
      <c r="DN732" s="266"/>
      <c r="DO732" s="266"/>
      <c r="DP732" s="266"/>
      <c r="DQ732" s="266"/>
      <c r="DR732" s="266"/>
      <c r="DS732" s="266"/>
      <c r="DY732" s="266"/>
      <c r="EC732" s="266"/>
      <c r="EP732" s="266"/>
    </row>
    <row r="733" spans="1:165">
      <c r="K733" s="266"/>
      <c r="L733" s="266"/>
      <c r="M733" s="266"/>
      <c r="N733" s="266"/>
      <c r="O733" s="266"/>
      <c r="P733" s="266"/>
      <c r="Q733" s="266"/>
      <c r="BR733" s="266"/>
      <c r="BS733" s="266"/>
      <c r="BT733" s="266"/>
      <c r="BU733" s="266"/>
      <c r="BV733" s="266"/>
      <c r="CJ733" s="266"/>
      <c r="CO733" s="266"/>
      <c r="CP733" s="266"/>
      <c r="CQ733" s="266"/>
      <c r="CR733" s="266"/>
      <c r="CS733" s="266"/>
      <c r="CT733" s="266"/>
      <c r="CU733" s="266"/>
      <c r="CV733" s="266"/>
      <c r="CW733" s="266"/>
      <c r="CX733" s="266"/>
      <c r="CY733" s="266"/>
      <c r="CZ733" s="266"/>
      <c r="DA733" s="266"/>
      <c r="DB733" s="266"/>
      <c r="DC733" s="266"/>
      <c r="DD733" s="266"/>
      <c r="DE733" s="266"/>
      <c r="DF733" s="266"/>
      <c r="DG733" s="266"/>
      <c r="DH733" s="266"/>
      <c r="DI733" s="266"/>
      <c r="DJ733" s="266"/>
      <c r="DK733" s="266"/>
      <c r="DL733" s="266"/>
      <c r="DM733" s="266"/>
      <c r="DN733" s="266"/>
      <c r="DO733" s="266"/>
      <c r="DP733" s="266"/>
      <c r="DQ733" s="266"/>
      <c r="DR733" s="266"/>
      <c r="DS733" s="266"/>
      <c r="DY733" s="266"/>
      <c r="EC733" s="266"/>
      <c r="EP733" s="266"/>
    </row>
    <row r="734" spans="1:165">
      <c r="K734" s="266"/>
      <c r="L734" s="266"/>
      <c r="M734" s="266"/>
      <c r="N734" s="266"/>
      <c r="O734" s="266"/>
      <c r="P734" s="266"/>
      <c r="Q734" s="266"/>
      <c r="BR734" s="266"/>
      <c r="BS734" s="266"/>
      <c r="BT734" s="266"/>
      <c r="BU734" s="266"/>
      <c r="BV734" s="266"/>
      <c r="CJ734" s="266"/>
      <c r="CO734" s="266"/>
      <c r="CP734" s="266"/>
      <c r="CQ734" s="266"/>
      <c r="CR734" s="266"/>
      <c r="CS734" s="266"/>
      <c r="CT734" s="266"/>
      <c r="CU734" s="266"/>
      <c r="CV734" s="266"/>
      <c r="CW734" s="266"/>
      <c r="CX734" s="266"/>
      <c r="CY734" s="266"/>
      <c r="CZ734" s="266"/>
      <c r="DA734" s="266"/>
      <c r="DB734" s="266"/>
      <c r="DC734" s="266"/>
      <c r="DD734" s="266"/>
      <c r="DE734" s="266"/>
      <c r="DF734" s="266"/>
      <c r="DG734" s="266"/>
      <c r="DH734" s="266"/>
      <c r="DI734" s="266"/>
      <c r="DJ734" s="266"/>
      <c r="DK734" s="266"/>
      <c r="DL734" s="266"/>
      <c r="DM734" s="266"/>
      <c r="DN734" s="266"/>
      <c r="DO734" s="266"/>
      <c r="DP734" s="266"/>
      <c r="DQ734" s="266"/>
      <c r="DR734" s="266"/>
      <c r="DS734" s="266"/>
      <c r="DY734" s="266"/>
      <c r="EC734" s="266"/>
      <c r="EP734" s="266"/>
    </row>
    <row r="735" spans="1:165">
      <c r="K735" s="266"/>
      <c r="L735" s="266"/>
      <c r="M735" s="266"/>
      <c r="N735" s="266"/>
      <c r="O735" s="266"/>
      <c r="P735" s="266"/>
      <c r="Q735" s="266"/>
      <c r="BR735" s="266"/>
      <c r="BS735" s="266"/>
      <c r="BT735" s="266"/>
      <c r="BU735" s="266"/>
      <c r="BV735" s="266"/>
      <c r="CJ735" s="266"/>
      <c r="CO735" s="266"/>
      <c r="CP735" s="266"/>
      <c r="CQ735" s="266"/>
      <c r="CR735" s="266"/>
      <c r="CS735" s="266"/>
      <c r="CT735" s="266"/>
      <c r="CU735" s="266"/>
      <c r="CV735" s="266"/>
      <c r="CW735" s="266"/>
      <c r="CX735" s="266"/>
      <c r="CY735" s="266"/>
      <c r="CZ735" s="266"/>
      <c r="DA735" s="266"/>
      <c r="DB735" s="266"/>
      <c r="DC735" s="266"/>
      <c r="DD735" s="266"/>
      <c r="DE735" s="266"/>
      <c r="DF735" s="266"/>
      <c r="DG735" s="266"/>
      <c r="DH735" s="266"/>
      <c r="DI735" s="266"/>
      <c r="DJ735" s="266"/>
      <c r="DK735" s="266"/>
      <c r="DL735" s="266"/>
      <c r="DM735" s="266"/>
      <c r="DN735" s="266"/>
      <c r="DO735" s="266"/>
      <c r="DP735" s="266"/>
      <c r="DQ735" s="266"/>
      <c r="DR735" s="266"/>
      <c r="DS735" s="266"/>
      <c r="DY735" s="266"/>
      <c r="EC735" s="266"/>
      <c r="EP735" s="266"/>
    </row>
    <row r="736" spans="1:165">
      <c r="K736" s="266"/>
      <c r="L736" s="266"/>
      <c r="M736" s="266"/>
      <c r="N736" s="266"/>
      <c r="O736" s="266"/>
      <c r="P736" s="266"/>
      <c r="Q736" s="266"/>
      <c r="BR736" s="266"/>
      <c r="BS736" s="266"/>
      <c r="BT736" s="266"/>
      <c r="BU736" s="266"/>
      <c r="BV736" s="266"/>
      <c r="CJ736" s="266"/>
      <c r="CO736" s="266"/>
      <c r="CP736" s="266"/>
      <c r="CQ736" s="266"/>
      <c r="CR736" s="266"/>
      <c r="CS736" s="266"/>
      <c r="CT736" s="266"/>
      <c r="CU736" s="266"/>
      <c r="CV736" s="266"/>
      <c r="CW736" s="266"/>
      <c r="CX736" s="266"/>
      <c r="CY736" s="266"/>
      <c r="CZ736" s="266"/>
      <c r="DA736" s="266"/>
      <c r="DB736" s="266"/>
      <c r="DC736" s="266"/>
      <c r="DD736" s="266"/>
      <c r="DE736" s="266"/>
      <c r="DF736" s="266"/>
      <c r="DG736" s="266"/>
      <c r="DH736" s="266"/>
      <c r="DI736" s="266"/>
      <c r="DJ736" s="266"/>
      <c r="DK736" s="266"/>
      <c r="DL736" s="266"/>
      <c r="DM736" s="266"/>
      <c r="DN736" s="266"/>
      <c r="DO736" s="266"/>
      <c r="DP736" s="266"/>
      <c r="DQ736" s="266"/>
      <c r="DR736" s="266"/>
      <c r="DS736" s="266"/>
      <c r="DY736" s="266"/>
      <c r="EC736" s="266"/>
      <c r="EP736" s="266"/>
    </row>
    <row r="737" s="266" customFormat="1"/>
    <row r="738" s="266" customFormat="1"/>
    <row r="739" s="266" customFormat="1"/>
    <row r="740" s="266" customFormat="1"/>
    <row r="741" s="266" customFormat="1"/>
    <row r="742" s="266" customFormat="1"/>
    <row r="743" s="266" customFormat="1"/>
    <row r="744" s="266" customFormat="1"/>
    <row r="745" s="266" customFormat="1"/>
    <row r="746" s="266" customFormat="1"/>
    <row r="747" s="266" customFormat="1"/>
    <row r="748" s="266" customFormat="1"/>
    <row r="749" s="266" customFormat="1"/>
    <row r="750" s="266" customFormat="1"/>
    <row r="751" s="266" customFormat="1"/>
    <row r="752" s="266" customFormat="1"/>
    <row r="753" s="266" customFormat="1"/>
    <row r="754" s="266" customFormat="1"/>
    <row r="755" s="266" customFormat="1"/>
    <row r="756" s="266" customFormat="1"/>
    <row r="757" s="266" customFormat="1"/>
    <row r="758" s="266" customFormat="1"/>
    <row r="759" s="266" customFormat="1"/>
    <row r="760" s="266" customFormat="1"/>
    <row r="761" s="266" customFormat="1"/>
    <row r="762" s="266" customFormat="1"/>
    <row r="763" s="266" customFormat="1"/>
    <row r="764" s="266" customFormat="1"/>
    <row r="765" s="266" customFormat="1"/>
    <row r="766" s="266" customFormat="1"/>
    <row r="767" s="266" customFormat="1"/>
    <row r="768" s="266" customFormat="1"/>
    <row r="769" s="266" customFormat="1"/>
    <row r="770" s="266" customFormat="1"/>
    <row r="771" s="266" customFormat="1"/>
    <row r="772" s="266" customFormat="1"/>
    <row r="773" s="266" customFormat="1"/>
    <row r="774" s="266" customFormat="1"/>
    <row r="775" s="266" customFormat="1"/>
    <row r="776" s="266" customFormat="1"/>
    <row r="777" s="266" customFormat="1"/>
    <row r="778" s="266" customFormat="1"/>
    <row r="779" s="266" customFormat="1"/>
    <row r="780" s="266" customFormat="1"/>
    <row r="781" s="266" customFormat="1"/>
    <row r="782" s="266" customFormat="1"/>
    <row r="783" s="266" customFormat="1"/>
    <row r="784" s="266" customFormat="1"/>
    <row r="785" s="266" customFormat="1"/>
    <row r="786" s="266" customFormat="1"/>
    <row r="787" s="266" customFormat="1"/>
    <row r="788" s="266" customFormat="1"/>
    <row r="789" s="266" customFormat="1"/>
    <row r="790" s="266" customFormat="1"/>
    <row r="791" s="266" customFormat="1"/>
    <row r="792" s="266" customFormat="1"/>
    <row r="793" s="266" customFormat="1"/>
    <row r="794" s="266" customFormat="1"/>
    <row r="795" s="266" customFormat="1"/>
    <row r="796" s="266" customFormat="1"/>
    <row r="797" s="266" customFormat="1"/>
    <row r="798" s="266" customFormat="1"/>
    <row r="799" s="266" customFormat="1"/>
    <row r="800" s="266" customFormat="1"/>
    <row r="801" s="266" customFormat="1"/>
    <row r="802" s="266" customFormat="1"/>
    <row r="803" s="266" customFormat="1"/>
    <row r="804" s="266" customFormat="1"/>
    <row r="805" s="266" customFormat="1"/>
    <row r="806" s="266" customFormat="1"/>
    <row r="807" s="266" customFormat="1"/>
    <row r="808" s="266" customFormat="1"/>
    <row r="809" s="266" customFormat="1"/>
    <row r="810" s="266" customFormat="1"/>
    <row r="811" s="266" customFormat="1"/>
    <row r="812" s="266" customFormat="1"/>
    <row r="813" s="266" customFormat="1"/>
    <row r="814" s="266" customFormat="1"/>
    <row r="815" s="266" customFormat="1"/>
    <row r="816" s="266" customFormat="1"/>
    <row r="817" s="266" customFormat="1"/>
    <row r="818" s="266" customFormat="1"/>
    <row r="819" s="266" customFormat="1"/>
    <row r="820" s="266" customFormat="1"/>
    <row r="821" s="266" customFormat="1"/>
    <row r="822" s="266" customFormat="1"/>
    <row r="823" s="266" customFormat="1"/>
    <row r="824" s="266" customFormat="1"/>
    <row r="825" s="266" customFormat="1"/>
    <row r="826" s="266" customFormat="1"/>
    <row r="827" s="266" customFormat="1"/>
    <row r="828" s="266" customFormat="1"/>
    <row r="829" s="266" customFormat="1"/>
    <row r="830" s="266" customFormat="1"/>
    <row r="831" s="266" customFormat="1"/>
    <row r="832" s="266" customFormat="1"/>
    <row r="833" s="266" customFormat="1"/>
    <row r="834" s="266" customFormat="1"/>
    <row r="835" s="266" customFormat="1"/>
    <row r="836" s="266" customFormat="1"/>
    <row r="837" s="266" customFormat="1"/>
    <row r="838" s="266" customFormat="1"/>
    <row r="839" s="266" customFormat="1"/>
    <row r="840" s="266" customFormat="1"/>
    <row r="841" s="266" customFormat="1"/>
    <row r="842" s="266" customFormat="1"/>
    <row r="843" s="266" customFormat="1"/>
    <row r="844" s="266" customFormat="1"/>
    <row r="845" s="266" customFormat="1"/>
    <row r="846" s="266" customFormat="1"/>
    <row r="847" s="266" customFormat="1"/>
    <row r="848" s="266" customFormat="1"/>
    <row r="849" s="266" customFormat="1"/>
    <row r="850" s="266" customFormat="1"/>
    <row r="851" s="266" customFormat="1"/>
    <row r="852" s="266" customFormat="1"/>
    <row r="853" s="266" customFormat="1"/>
    <row r="854" s="266" customFormat="1"/>
    <row r="855" s="266" customFormat="1"/>
    <row r="856" s="266" customFormat="1"/>
    <row r="857" s="266" customFormat="1"/>
    <row r="858" s="266" customFormat="1"/>
    <row r="859" s="266" customFormat="1"/>
    <row r="860" s="266" customFormat="1"/>
    <row r="861" s="266" customFormat="1"/>
    <row r="862" s="266" customFormat="1"/>
    <row r="863" s="266" customFormat="1"/>
    <row r="864" s="266" customFormat="1"/>
    <row r="865" spans="11:146">
      <c r="K865" s="266"/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1:146">
      <c r="K866" s="266"/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1:146">
      <c r="K867" s="266"/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1:146">
      <c r="K868" s="266"/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1:146">
      <c r="K869" s="266"/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1:146">
      <c r="K870" s="266"/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1:146">
      <c r="K871" s="266"/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1:146">
      <c r="K872" s="266"/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1:146">
      <c r="K873" s="266"/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1:146">
      <c r="K874" s="266"/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1:146">
      <c r="K875" s="266"/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1:146">
      <c r="K876" s="266"/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1:146">
      <c r="K877" s="266"/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1:146">
      <c r="K878" s="266"/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1:146">
      <c r="K879" s="266"/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1:146">
      <c r="K880" s="266"/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9:146" s="266" customFormat="1">
      <c r="DY881" s="291"/>
      <c r="EC881" s="291"/>
      <c r="EP881" s="291"/>
    </row>
    <row r="882" spans="129:146" s="266" customFormat="1">
      <c r="DY882" s="291"/>
      <c r="EC882" s="291"/>
      <c r="EP882" s="291"/>
    </row>
    <row r="883" spans="129:146" s="266" customFormat="1">
      <c r="DY883" s="291"/>
      <c r="EC883" s="291"/>
      <c r="EP883" s="291"/>
    </row>
    <row r="884" spans="129:146" s="266" customFormat="1">
      <c r="DY884" s="291"/>
      <c r="EC884" s="291"/>
      <c r="EP884" s="291"/>
    </row>
    <row r="885" spans="129:146" s="266" customFormat="1">
      <c r="DY885" s="291"/>
      <c r="EC885" s="291"/>
      <c r="EP885" s="291"/>
    </row>
    <row r="886" spans="129:146" s="266" customFormat="1">
      <c r="DY886" s="291"/>
      <c r="EC886" s="291"/>
      <c r="EP886" s="291"/>
    </row>
    <row r="887" spans="129:146" s="266" customFormat="1">
      <c r="DY887" s="291"/>
      <c r="EC887" s="291"/>
      <c r="EP887" s="291"/>
    </row>
    <row r="888" spans="129:146" s="266" customFormat="1">
      <c r="DY888" s="291"/>
      <c r="EC888" s="291"/>
      <c r="EP888" s="291"/>
    </row>
    <row r="889" spans="129:146" s="266" customFormat="1">
      <c r="DY889" s="291"/>
      <c r="EC889" s="291"/>
      <c r="EP889" s="291"/>
    </row>
    <row r="890" spans="129:146" s="266" customFormat="1">
      <c r="DY890" s="291"/>
      <c r="EC890" s="291"/>
      <c r="EP890" s="291"/>
    </row>
    <row r="891" spans="129:146" s="266" customFormat="1">
      <c r="DY891" s="291"/>
      <c r="EC891" s="291"/>
      <c r="EP891" s="291"/>
    </row>
    <row r="892" spans="129:146" s="266" customFormat="1">
      <c r="DY892" s="291"/>
      <c r="EC892" s="291"/>
      <c r="EP892" s="291"/>
    </row>
    <row r="893" spans="129:146" s="266" customFormat="1">
      <c r="DY893" s="291"/>
      <c r="EC893" s="291"/>
      <c r="EP893" s="291"/>
    </row>
    <row r="894" spans="129:146" s="266" customFormat="1">
      <c r="DY894" s="291"/>
      <c r="EC894" s="291"/>
      <c r="EP894" s="291"/>
    </row>
    <row r="895" spans="129:146" s="266" customFormat="1">
      <c r="DY895" s="291"/>
      <c r="EC895" s="291"/>
      <c r="EP895" s="291"/>
    </row>
    <row r="896" spans="129:146" s="266" customFormat="1">
      <c r="DY896" s="291"/>
      <c r="EC896" s="291"/>
      <c r="EP896" s="291"/>
    </row>
    <row r="897" spans="129:146" s="266" customFormat="1">
      <c r="DY897" s="291"/>
      <c r="EC897" s="291"/>
      <c r="EP897" s="291"/>
    </row>
    <row r="898" spans="129:146" s="266" customFormat="1">
      <c r="DY898" s="291"/>
      <c r="EC898" s="291"/>
      <c r="EP898" s="291"/>
    </row>
    <row r="899" spans="129:146" s="266" customFormat="1">
      <c r="DY899" s="291"/>
      <c r="EC899" s="291"/>
      <c r="EP899" s="291"/>
    </row>
    <row r="900" spans="129:146" s="266" customFormat="1">
      <c r="DY900" s="291"/>
      <c r="EC900" s="291"/>
      <c r="EP900" s="291"/>
    </row>
    <row r="901" spans="129:146" s="266" customFormat="1">
      <c r="DY901" s="291"/>
      <c r="EC901" s="291"/>
      <c r="EP901" s="291"/>
    </row>
    <row r="902" spans="129:146" s="266" customFormat="1">
      <c r="DY902" s="291"/>
      <c r="EC902" s="291"/>
      <c r="EP902" s="291"/>
    </row>
    <row r="903" spans="129:146" s="266" customFormat="1">
      <c r="DY903" s="291"/>
      <c r="EC903" s="291"/>
      <c r="EP903" s="291"/>
    </row>
    <row r="904" spans="129:146" s="266" customFormat="1">
      <c r="DY904" s="291"/>
      <c r="EC904" s="291"/>
      <c r="EP904" s="291"/>
    </row>
    <row r="905" spans="129:146" s="266" customFormat="1">
      <c r="DY905" s="291"/>
      <c r="EC905" s="291"/>
      <c r="EP905" s="291"/>
    </row>
    <row r="906" spans="129:146" s="266" customFormat="1">
      <c r="DY906" s="291"/>
      <c r="EC906" s="291"/>
      <c r="EP906" s="291"/>
    </row>
    <row r="907" spans="129:146" s="266" customFormat="1">
      <c r="DY907" s="291"/>
      <c r="EC907" s="291"/>
      <c r="EP907" s="291"/>
    </row>
    <row r="908" spans="129:146" s="266" customFormat="1">
      <c r="DY908" s="291"/>
      <c r="EC908" s="291"/>
      <c r="EP908" s="291"/>
    </row>
    <row r="909" spans="129:146" s="266" customFormat="1">
      <c r="DY909" s="291"/>
      <c r="EC909" s="291"/>
      <c r="EP909" s="291"/>
    </row>
    <row r="910" spans="129:146" s="266" customFormat="1">
      <c r="DY910" s="291"/>
      <c r="EC910" s="291"/>
      <c r="EP910" s="291"/>
    </row>
    <row r="911" spans="129:146" s="266" customFormat="1">
      <c r="DY911" s="291"/>
      <c r="EC911" s="291"/>
      <c r="EP911" s="291"/>
    </row>
    <row r="912" spans="129:146" s="266" customFormat="1">
      <c r="DY912" s="291"/>
      <c r="EC912" s="291"/>
      <c r="EP912" s="291"/>
    </row>
    <row r="913" spans="129:146" s="266" customFormat="1">
      <c r="DY913" s="291"/>
      <c r="EC913" s="291"/>
      <c r="EP913" s="291"/>
    </row>
    <row r="914" spans="129:146" s="266" customFormat="1">
      <c r="DY914" s="291"/>
      <c r="EC914" s="291"/>
      <c r="EP914" s="291"/>
    </row>
    <row r="915" spans="129:146" s="266" customFormat="1">
      <c r="DY915" s="291"/>
      <c r="EC915" s="291"/>
      <c r="EP915" s="291"/>
    </row>
    <row r="916" spans="129:146" s="266" customFormat="1">
      <c r="DY916" s="291"/>
      <c r="EC916" s="291"/>
      <c r="EP916" s="291"/>
    </row>
    <row r="917" spans="129:146" s="266" customFormat="1">
      <c r="DY917" s="291"/>
      <c r="EC917" s="291"/>
      <c r="EP917" s="291"/>
    </row>
    <row r="918" spans="129:146" s="266" customFormat="1">
      <c r="DY918" s="291"/>
      <c r="EC918" s="291"/>
      <c r="EP918" s="291"/>
    </row>
    <row r="919" spans="129:146" s="266" customFormat="1">
      <c r="DY919" s="291"/>
      <c r="EC919" s="291"/>
      <c r="EP919" s="291"/>
    </row>
    <row r="920" spans="129:146" s="266" customFormat="1">
      <c r="DY920" s="291"/>
      <c r="EC920" s="291"/>
      <c r="EP920" s="291"/>
    </row>
    <row r="921" spans="129:146" s="266" customFormat="1">
      <c r="DY921" s="291"/>
      <c r="EC921" s="291"/>
      <c r="EP921" s="291"/>
    </row>
    <row r="922" spans="129:146" s="266" customFormat="1">
      <c r="DY922" s="291"/>
      <c r="EC922" s="291"/>
      <c r="EP922" s="291"/>
    </row>
    <row r="923" spans="129:146" s="266" customFormat="1">
      <c r="DY923" s="291"/>
      <c r="EC923" s="291"/>
      <c r="EP923" s="291"/>
    </row>
    <row r="924" spans="129:146" s="266" customFormat="1">
      <c r="DY924" s="291"/>
      <c r="EC924" s="291"/>
      <c r="EP924" s="291"/>
    </row>
    <row r="925" spans="129:146" s="266" customFormat="1">
      <c r="DY925" s="291"/>
      <c r="EC925" s="291"/>
      <c r="EP925" s="291"/>
    </row>
    <row r="926" spans="129:146" s="266" customFormat="1">
      <c r="DY926" s="291"/>
      <c r="EC926" s="291"/>
      <c r="EP926" s="291"/>
    </row>
    <row r="927" spans="129:146" s="266" customFormat="1">
      <c r="DY927" s="291"/>
      <c r="EC927" s="291"/>
      <c r="EP927" s="291"/>
    </row>
    <row r="928" spans="129:146" s="266" customFormat="1">
      <c r="DY928" s="291"/>
      <c r="EC928" s="291"/>
      <c r="EP928" s="291"/>
    </row>
    <row r="929" spans="129:146" s="266" customFormat="1">
      <c r="DY929" s="291"/>
      <c r="EC929" s="291"/>
      <c r="EP929" s="291"/>
    </row>
    <row r="930" spans="129:146" s="266" customFormat="1">
      <c r="DY930" s="291"/>
      <c r="EC930" s="291"/>
      <c r="EP930" s="291"/>
    </row>
    <row r="931" spans="129:146" s="266" customFormat="1">
      <c r="DY931" s="291"/>
      <c r="EC931" s="291"/>
      <c r="EP931" s="291"/>
    </row>
    <row r="932" spans="129:146" s="266" customFormat="1">
      <c r="DY932" s="291"/>
      <c r="EC932" s="291"/>
      <c r="EP932" s="291"/>
    </row>
    <row r="933" spans="129:146" s="266" customFormat="1">
      <c r="DY933" s="291"/>
      <c r="EC933" s="291"/>
      <c r="EP933" s="291"/>
    </row>
    <row r="934" spans="129:146" s="266" customFormat="1">
      <c r="DY934" s="291"/>
      <c r="EC934" s="291"/>
      <c r="EP934" s="291"/>
    </row>
    <row r="935" spans="129:146" s="266" customFormat="1">
      <c r="DY935" s="291"/>
      <c r="EC935" s="291"/>
      <c r="EP935" s="291"/>
    </row>
    <row r="936" spans="129:146" s="266" customFormat="1">
      <c r="DY936" s="291"/>
      <c r="EC936" s="291"/>
      <c r="EP936" s="291"/>
    </row>
    <row r="937" spans="129:146" s="266" customFormat="1">
      <c r="DY937" s="291"/>
      <c r="EC937" s="291"/>
      <c r="EP937" s="291"/>
    </row>
    <row r="938" spans="129:146" s="266" customFormat="1">
      <c r="DY938" s="291"/>
      <c r="EC938" s="291"/>
      <c r="EP938" s="291"/>
    </row>
    <row r="939" spans="129:146" s="266" customFormat="1">
      <c r="DY939" s="291"/>
      <c r="EC939" s="291"/>
      <c r="EP939" s="291"/>
    </row>
    <row r="940" spans="129:146" s="266" customFormat="1">
      <c r="DY940" s="291"/>
      <c r="EC940" s="291"/>
      <c r="EP940" s="291"/>
    </row>
    <row r="941" spans="129:146" s="266" customFormat="1">
      <c r="DY941" s="291"/>
      <c r="EC941" s="291"/>
      <c r="EP941" s="291"/>
    </row>
    <row r="942" spans="129:146" s="266" customFormat="1">
      <c r="DY942" s="291"/>
      <c r="EC942" s="291"/>
      <c r="EP942" s="291"/>
    </row>
    <row r="943" spans="129:146" s="266" customFormat="1">
      <c r="DY943" s="291"/>
      <c r="EC943" s="291"/>
      <c r="EP943" s="291"/>
    </row>
    <row r="944" spans="129:146" s="266" customFormat="1">
      <c r="DY944" s="291"/>
      <c r="EC944" s="291"/>
      <c r="EP944" s="291"/>
    </row>
    <row r="945" spans="129:146" s="266" customFormat="1">
      <c r="DY945" s="291"/>
      <c r="EC945" s="291"/>
      <c r="EP945" s="291"/>
    </row>
    <row r="946" spans="129:146" s="266" customFormat="1">
      <c r="DY946" s="291"/>
      <c r="EC946" s="291"/>
      <c r="EP946" s="291"/>
    </row>
    <row r="947" spans="129:146" s="266" customFormat="1">
      <c r="DY947" s="291"/>
      <c r="EC947" s="291"/>
      <c r="EP947" s="291"/>
    </row>
    <row r="948" spans="129:146" s="266" customFormat="1">
      <c r="DY948" s="291"/>
      <c r="EC948" s="291"/>
      <c r="EP948" s="291"/>
    </row>
    <row r="949" spans="129:146" s="266" customFormat="1">
      <c r="DY949" s="291"/>
      <c r="EC949" s="291"/>
      <c r="EP949" s="291"/>
    </row>
    <row r="950" spans="129:146" s="266" customFormat="1">
      <c r="DY950" s="291"/>
      <c r="EC950" s="291"/>
      <c r="EP950" s="291"/>
    </row>
    <row r="951" spans="129:146" s="266" customFormat="1">
      <c r="DY951" s="291"/>
      <c r="EC951" s="291"/>
      <c r="EP951" s="291"/>
    </row>
    <row r="952" spans="129:146" s="266" customFormat="1">
      <c r="DY952" s="291"/>
      <c r="EC952" s="291"/>
      <c r="EP952" s="291"/>
    </row>
    <row r="953" spans="129:146" s="266" customFormat="1">
      <c r="DY953" s="291"/>
      <c r="EC953" s="291"/>
      <c r="EP953" s="291"/>
    </row>
    <row r="954" spans="129:146" s="266" customFormat="1">
      <c r="DY954" s="291"/>
      <c r="EC954" s="291"/>
      <c r="EP954" s="291"/>
    </row>
    <row r="955" spans="129:146" s="266" customFormat="1">
      <c r="DY955" s="291"/>
      <c r="EC955" s="291"/>
      <c r="EP955" s="291"/>
    </row>
    <row r="956" spans="129:146" s="266" customFormat="1">
      <c r="DY956" s="291"/>
      <c r="EC956" s="291"/>
      <c r="EP956" s="291"/>
    </row>
    <row r="957" spans="129:146" s="266" customFormat="1">
      <c r="DY957" s="291"/>
      <c r="EC957" s="291"/>
      <c r="EP957" s="291"/>
    </row>
    <row r="958" spans="129:146" s="266" customFormat="1">
      <c r="DY958" s="291"/>
      <c r="EC958" s="291"/>
      <c r="EP958" s="291"/>
    </row>
    <row r="959" spans="129:146" s="266" customFormat="1">
      <c r="DY959" s="291"/>
      <c r="EC959" s="291"/>
      <c r="EP959" s="291"/>
    </row>
    <row r="960" spans="129:146" s="266" customFormat="1">
      <c r="DY960" s="291"/>
      <c r="EC960" s="291"/>
      <c r="EP960" s="291"/>
    </row>
    <row r="961" spans="129:146" s="266" customFormat="1">
      <c r="DY961" s="291"/>
      <c r="EC961" s="291"/>
      <c r="EP961" s="291"/>
    </row>
    <row r="962" spans="129:146" s="266" customFormat="1">
      <c r="DY962" s="291"/>
      <c r="EC962" s="291"/>
      <c r="EP962" s="291"/>
    </row>
    <row r="963" spans="129:146" s="266" customFormat="1">
      <c r="DY963" s="291"/>
      <c r="EC963" s="291"/>
      <c r="EP963" s="291"/>
    </row>
    <row r="964" spans="129:146" s="266" customFormat="1">
      <c r="DY964" s="291"/>
      <c r="EC964" s="291"/>
      <c r="EP964" s="291"/>
    </row>
    <row r="965" spans="129:146" s="266" customFormat="1">
      <c r="DY965" s="291"/>
      <c r="EC965" s="291"/>
      <c r="EP965" s="291"/>
    </row>
    <row r="966" spans="129:146" s="266" customFormat="1">
      <c r="DY966" s="291"/>
      <c r="EC966" s="291"/>
      <c r="EP966" s="291"/>
    </row>
    <row r="967" spans="129:146" s="266" customFormat="1">
      <c r="DY967" s="291"/>
      <c r="EC967" s="291"/>
      <c r="EP967" s="291"/>
    </row>
    <row r="968" spans="129:146" s="266" customFormat="1">
      <c r="DY968" s="291"/>
      <c r="EC968" s="291"/>
      <c r="EP968" s="291"/>
    </row>
    <row r="969" spans="129:146" s="266" customFormat="1">
      <c r="DY969" s="291"/>
      <c r="EC969" s="291"/>
      <c r="EP969" s="291"/>
    </row>
    <row r="970" spans="129:146" s="266" customFormat="1">
      <c r="DY970" s="291"/>
      <c r="EC970" s="291"/>
      <c r="EP970" s="291"/>
    </row>
    <row r="971" spans="129:146" s="266" customFormat="1">
      <c r="DY971" s="291"/>
      <c r="EC971" s="291"/>
      <c r="EP971" s="291"/>
    </row>
    <row r="972" spans="129:146" s="266" customFormat="1">
      <c r="DY972" s="291"/>
      <c r="EC972" s="291"/>
      <c r="EP972" s="291"/>
    </row>
    <row r="973" spans="129:146" s="266" customFormat="1">
      <c r="DY973" s="291"/>
      <c r="EC973" s="291"/>
      <c r="EP973" s="291"/>
    </row>
    <row r="974" spans="129:146" s="266" customFormat="1">
      <c r="DY974" s="291"/>
      <c r="EC974" s="291"/>
      <c r="EP974" s="291"/>
    </row>
    <row r="975" spans="129:146" s="266" customFormat="1">
      <c r="DY975" s="291"/>
      <c r="EC975" s="291"/>
      <c r="EP975" s="291"/>
    </row>
    <row r="976" spans="129:146" s="266" customFormat="1">
      <c r="DY976" s="291"/>
      <c r="EC976" s="291"/>
      <c r="EP976" s="291"/>
    </row>
    <row r="977" spans="129:146" s="266" customFormat="1">
      <c r="DY977" s="291"/>
      <c r="EC977" s="291"/>
      <c r="EP977" s="291"/>
    </row>
    <row r="978" spans="129:146" s="266" customFormat="1">
      <c r="DY978" s="291"/>
      <c r="EC978" s="291"/>
      <c r="EP978" s="291"/>
    </row>
    <row r="979" spans="129:146" s="266" customFormat="1">
      <c r="DY979" s="291"/>
      <c r="EC979" s="291"/>
      <c r="EP979" s="291"/>
    </row>
    <row r="980" spans="129:146" s="266" customFormat="1">
      <c r="DY980" s="291"/>
      <c r="EC980" s="291"/>
      <c r="EP980" s="291"/>
    </row>
    <row r="981" spans="129:146" s="266" customFormat="1">
      <c r="DY981" s="291"/>
      <c r="EC981" s="291"/>
      <c r="EP981" s="291"/>
    </row>
    <row r="982" spans="129:146" s="266" customFormat="1">
      <c r="DY982" s="291"/>
      <c r="EC982" s="291"/>
      <c r="EP982" s="291"/>
    </row>
    <row r="983" spans="129:146" s="266" customFormat="1">
      <c r="DY983" s="291"/>
      <c r="EC983" s="291"/>
      <c r="EP983" s="291"/>
    </row>
    <row r="984" spans="129:146" s="266" customFormat="1">
      <c r="DY984" s="291"/>
      <c r="EC984" s="291"/>
      <c r="EP984" s="291"/>
    </row>
    <row r="985" spans="129:146" s="266" customFormat="1">
      <c r="DY985" s="291"/>
      <c r="EC985" s="291"/>
      <c r="EP985" s="291"/>
    </row>
    <row r="986" spans="129:146" s="266" customFormat="1">
      <c r="DY986" s="291"/>
      <c r="EC986" s="291"/>
      <c r="EP986" s="291"/>
    </row>
    <row r="987" spans="129:146" s="266" customFormat="1">
      <c r="DY987" s="291"/>
      <c r="EC987" s="291"/>
      <c r="EP987" s="291"/>
    </row>
    <row r="988" spans="129:146" s="266" customFormat="1">
      <c r="DY988" s="291"/>
      <c r="EC988" s="291"/>
      <c r="EP988" s="291"/>
    </row>
    <row r="989" spans="129:146" s="266" customFormat="1">
      <c r="DY989" s="291"/>
      <c r="EC989" s="291"/>
      <c r="EP989" s="291"/>
    </row>
    <row r="990" spans="129:146" s="266" customFormat="1">
      <c r="DY990" s="291"/>
      <c r="EC990" s="291"/>
      <c r="EP990" s="291"/>
    </row>
    <row r="991" spans="129:146" s="266" customFormat="1">
      <c r="DY991" s="291"/>
      <c r="EC991" s="291"/>
      <c r="EP991" s="291"/>
    </row>
    <row r="992" spans="129:146" s="266" customFormat="1">
      <c r="DY992" s="291"/>
      <c r="EC992" s="291"/>
      <c r="EP992" s="291"/>
    </row>
    <row r="993" spans="129:146" s="266" customFormat="1">
      <c r="DY993" s="291"/>
      <c r="EC993" s="291"/>
      <c r="EP993" s="291"/>
    </row>
    <row r="994" spans="129:146" s="266" customFormat="1">
      <c r="DY994" s="291"/>
      <c r="EC994" s="291"/>
      <c r="EP994" s="291"/>
    </row>
    <row r="995" spans="129:146" s="266" customFormat="1">
      <c r="DY995" s="291"/>
      <c r="EC995" s="291"/>
      <c r="EP995" s="291"/>
    </row>
    <row r="996" spans="129:146" s="266" customFormat="1">
      <c r="DY996" s="291"/>
      <c r="EC996" s="291"/>
      <c r="EP996" s="291"/>
    </row>
    <row r="997" spans="129:146" s="266" customFormat="1">
      <c r="DY997" s="291"/>
      <c r="EC997" s="291"/>
      <c r="EP997" s="291"/>
    </row>
    <row r="998" spans="129:146" s="266" customFormat="1">
      <c r="DY998" s="291"/>
      <c r="EC998" s="291"/>
      <c r="EP998" s="291"/>
    </row>
    <row r="999" spans="129:146" s="266" customFormat="1">
      <c r="DY999" s="291"/>
      <c r="EC999" s="291"/>
      <c r="EP999" s="291"/>
    </row>
    <row r="1000" spans="129:146" s="266" customFormat="1">
      <c r="DY1000" s="291"/>
      <c r="EC1000" s="291"/>
      <c r="EP1000" s="291"/>
    </row>
    <row r="1001" spans="129:146" s="266" customFormat="1">
      <c r="DY1001" s="291"/>
      <c r="EC1001" s="291"/>
      <c r="EP1001" s="291"/>
    </row>
    <row r="1002" spans="129:146" s="266" customFormat="1">
      <c r="DY1002" s="291"/>
      <c r="EC1002" s="291"/>
      <c r="EP1002" s="291"/>
    </row>
    <row r="1003" spans="129:146" s="266" customFormat="1">
      <c r="DY1003" s="291"/>
      <c r="EC1003" s="291"/>
      <c r="EP1003" s="291"/>
    </row>
    <row r="1004" spans="129:146" s="266" customFormat="1">
      <c r="DY1004" s="291"/>
      <c r="EC1004" s="291"/>
      <c r="EP1004" s="291"/>
    </row>
    <row r="1005" spans="129:146" s="266" customFormat="1">
      <c r="DY1005" s="291"/>
      <c r="EC1005" s="291"/>
      <c r="EP1005" s="291"/>
    </row>
    <row r="1006" spans="129:146" s="266" customFormat="1">
      <c r="DY1006" s="291"/>
      <c r="EC1006" s="291"/>
      <c r="EP1006" s="291"/>
    </row>
    <row r="1007" spans="129:146" s="266" customFormat="1">
      <c r="DY1007" s="291"/>
      <c r="EC1007" s="291"/>
      <c r="EP1007" s="291"/>
    </row>
    <row r="1008" spans="129:146" s="266" customFormat="1">
      <c r="DY1008" s="291"/>
      <c r="EC1008" s="291"/>
      <c r="EP1008" s="291"/>
    </row>
    <row r="1009" spans="129:146" s="266" customFormat="1">
      <c r="DY1009" s="291"/>
      <c r="EC1009" s="291"/>
      <c r="EP1009" s="291"/>
    </row>
    <row r="1010" spans="129:146" s="266" customFormat="1">
      <c r="DY1010" s="291"/>
      <c r="EC1010" s="291"/>
      <c r="EP1010" s="291"/>
    </row>
    <row r="1011" spans="129:146" s="266" customFormat="1">
      <c r="DY1011" s="291"/>
      <c r="EC1011" s="291"/>
      <c r="EP1011" s="291"/>
    </row>
    <row r="1012" spans="129:146" s="266" customFormat="1">
      <c r="DY1012" s="291"/>
      <c r="EC1012" s="291"/>
      <c r="EP1012" s="291"/>
    </row>
    <row r="1013" spans="129:146" s="266" customFormat="1">
      <c r="DY1013" s="291"/>
      <c r="EC1013" s="291"/>
      <c r="EP1013" s="291"/>
    </row>
    <row r="1014" spans="129:146" s="266" customFormat="1">
      <c r="DY1014" s="291"/>
      <c r="EC1014" s="291"/>
      <c r="EP1014" s="291"/>
    </row>
    <row r="1015" spans="129:146" s="266" customFormat="1">
      <c r="DY1015" s="291"/>
      <c r="EC1015" s="291"/>
      <c r="EP1015" s="291"/>
    </row>
    <row r="1016" spans="129:146" s="266" customFormat="1">
      <c r="DY1016" s="291"/>
      <c r="EC1016" s="291"/>
      <c r="EP1016" s="291"/>
    </row>
    <row r="1017" spans="129:146" s="266" customFormat="1">
      <c r="DY1017" s="291"/>
      <c r="EC1017" s="291"/>
      <c r="EP1017" s="291"/>
    </row>
    <row r="1018" spans="129:146" s="266" customFormat="1">
      <c r="DY1018" s="291"/>
      <c r="EC1018" s="291"/>
      <c r="EP1018" s="291"/>
    </row>
    <row r="1019" spans="129:146" s="266" customFormat="1">
      <c r="DY1019" s="291"/>
      <c r="EC1019" s="291"/>
      <c r="EP1019" s="291"/>
    </row>
    <row r="1020" spans="129:146" s="266" customFormat="1">
      <c r="DY1020" s="291"/>
      <c r="EC1020" s="291"/>
      <c r="EP1020" s="291"/>
    </row>
    <row r="1021" spans="129:146" s="266" customFormat="1">
      <c r="DY1021" s="291"/>
      <c r="EC1021" s="291"/>
      <c r="EP1021" s="291"/>
    </row>
    <row r="1022" spans="129:146" s="266" customFormat="1">
      <c r="DY1022" s="291"/>
      <c r="EC1022" s="291"/>
      <c r="EP1022" s="291"/>
    </row>
    <row r="1023" spans="129:146" s="266" customFormat="1">
      <c r="DY1023" s="291"/>
      <c r="EC1023" s="291"/>
      <c r="EP1023" s="291"/>
    </row>
    <row r="1024" spans="129:146" s="266" customFormat="1">
      <c r="DY1024" s="291"/>
      <c r="EC1024" s="291"/>
      <c r="EP1024" s="291"/>
    </row>
    <row r="1025" spans="129:146" s="266" customFormat="1">
      <c r="DY1025" s="291"/>
      <c r="EC1025" s="291"/>
      <c r="EP1025" s="291"/>
    </row>
    <row r="1026" spans="129:146" s="266" customFormat="1">
      <c r="DY1026" s="291"/>
      <c r="EC1026" s="291"/>
      <c r="EP1026" s="291"/>
    </row>
    <row r="1027" spans="129:146" s="266" customFormat="1">
      <c r="DY1027" s="291"/>
      <c r="EC1027" s="291"/>
      <c r="EP1027" s="291"/>
    </row>
    <row r="1028" spans="129:146" s="266" customFormat="1">
      <c r="DY1028" s="291"/>
      <c r="EC1028" s="291"/>
      <c r="EP1028" s="291"/>
    </row>
    <row r="1029" spans="129:146" s="266" customFormat="1">
      <c r="DY1029" s="291"/>
      <c r="EC1029" s="291"/>
      <c r="EP1029" s="291"/>
    </row>
    <row r="1030" spans="129:146" s="266" customFormat="1">
      <c r="DY1030" s="291"/>
      <c r="EC1030" s="291"/>
      <c r="EP1030" s="291"/>
    </row>
    <row r="1031" spans="129:146" s="266" customFormat="1">
      <c r="DY1031" s="291"/>
      <c r="EC1031" s="291"/>
      <c r="EP1031" s="291"/>
    </row>
    <row r="1032" spans="129:146" s="266" customFormat="1">
      <c r="DY1032" s="291"/>
      <c r="EC1032" s="291"/>
      <c r="EP1032" s="291"/>
    </row>
    <row r="1033" spans="129:146" s="266" customFormat="1">
      <c r="DY1033" s="291"/>
      <c r="EC1033" s="291"/>
      <c r="EP1033" s="291"/>
    </row>
    <row r="1034" spans="129:146" s="266" customFormat="1">
      <c r="DY1034" s="291"/>
      <c r="EC1034" s="291"/>
      <c r="EP1034" s="291"/>
    </row>
    <row r="1035" spans="129:146" s="266" customFormat="1">
      <c r="DY1035" s="291"/>
      <c r="EC1035" s="291"/>
      <c r="EP1035" s="291"/>
    </row>
    <row r="1036" spans="129:146" s="266" customFormat="1">
      <c r="DY1036" s="291"/>
      <c r="EC1036" s="291"/>
      <c r="EP1036" s="291"/>
    </row>
    <row r="1037" spans="129:146" s="266" customFormat="1">
      <c r="DY1037" s="291"/>
      <c r="EC1037" s="291"/>
      <c r="EP1037" s="291"/>
    </row>
    <row r="1038" spans="129:146" s="266" customFormat="1">
      <c r="DY1038" s="291"/>
      <c r="EC1038" s="291"/>
      <c r="EP1038" s="291"/>
    </row>
    <row r="1039" spans="129:146" s="266" customFormat="1">
      <c r="DY1039" s="291"/>
      <c r="EC1039" s="291"/>
      <c r="EP1039" s="291"/>
    </row>
    <row r="1040" spans="129:146" s="266" customFormat="1">
      <c r="DY1040" s="291"/>
      <c r="EC1040" s="291"/>
      <c r="EP1040" s="291"/>
    </row>
    <row r="1041" spans="129:146" s="266" customFormat="1">
      <c r="DY1041" s="291"/>
      <c r="EC1041" s="291"/>
      <c r="EP1041" s="291"/>
    </row>
    <row r="1042" spans="129:146" s="266" customFormat="1">
      <c r="DY1042" s="291"/>
      <c r="EC1042" s="291"/>
      <c r="EP1042" s="291"/>
    </row>
    <row r="1043" spans="129:146" s="266" customFormat="1">
      <c r="DY1043" s="291"/>
      <c r="EC1043" s="291"/>
      <c r="EP1043" s="291"/>
    </row>
    <row r="1044" spans="129:146" s="266" customFormat="1">
      <c r="DY1044" s="291"/>
      <c r="EC1044" s="291"/>
      <c r="EP1044" s="291"/>
    </row>
    <row r="1045" spans="129:146" s="266" customFormat="1">
      <c r="DY1045" s="291"/>
      <c r="EC1045" s="291"/>
      <c r="EP1045" s="291"/>
    </row>
    <row r="1046" spans="129:146" s="266" customFormat="1">
      <c r="DY1046" s="291"/>
      <c r="EC1046" s="291"/>
      <c r="EP1046" s="291"/>
    </row>
    <row r="1047" spans="129:146" s="266" customFormat="1">
      <c r="DY1047" s="291"/>
      <c r="EC1047" s="291"/>
      <c r="EP1047" s="291"/>
    </row>
    <row r="1048" spans="129:146" s="266" customFormat="1">
      <c r="DY1048" s="291"/>
      <c r="EC1048" s="291"/>
      <c r="EP1048" s="291"/>
    </row>
    <row r="1049" spans="129:146" s="266" customFormat="1">
      <c r="DY1049" s="291"/>
      <c r="EC1049" s="291"/>
      <c r="EP1049" s="291"/>
    </row>
    <row r="1050" spans="129:146" s="266" customFormat="1">
      <c r="DY1050" s="291"/>
      <c r="EC1050" s="291"/>
      <c r="EP1050" s="291"/>
    </row>
    <row r="1051" spans="129:146" s="266" customFormat="1">
      <c r="DY1051" s="291"/>
      <c r="EC1051" s="291"/>
      <c r="EP1051" s="291"/>
    </row>
    <row r="1052" spans="129:146" s="266" customFormat="1">
      <c r="DY1052" s="291"/>
      <c r="EC1052" s="291"/>
      <c r="EP1052" s="291"/>
    </row>
    <row r="1053" spans="129:146" s="266" customFormat="1">
      <c r="DY1053" s="291"/>
      <c r="EC1053" s="291"/>
      <c r="EP1053" s="291"/>
    </row>
    <row r="1054" spans="129:146" s="266" customFormat="1">
      <c r="DY1054" s="291"/>
      <c r="EC1054" s="291"/>
      <c r="EP1054" s="291"/>
    </row>
    <row r="1055" spans="129:146" s="266" customFormat="1">
      <c r="DY1055" s="291"/>
      <c r="EC1055" s="291"/>
      <c r="EP1055" s="291"/>
    </row>
    <row r="1056" spans="129:146" s="266" customFormat="1">
      <c r="DY1056" s="291"/>
      <c r="EC1056" s="291"/>
      <c r="EP1056" s="291"/>
    </row>
    <row r="1057" spans="129:146" s="266" customFormat="1">
      <c r="DY1057" s="291"/>
      <c r="EC1057" s="291"/>
      <c r="EP1057" s="291"/>
    </row>
    <row r="1058" spans="129:146" s="266" customFormat="1">
      <c r="DY1058" s="291"/>
      <c r="EC1058" s="291"/>
      <c r="EP1058" s="291"/>
    </row>
    <row r="1059" spans="129:146" s="266" customFormat="1">
      <c r="DY1059" s="291"/>
      <c r="EC1059" s="291"/>
      <c r="EP1059" s="291"/>
    </row>
    <row r="1060" spans="129:146" s="266" customFormat="1">
      <c r="DY1060" s="291"/>
      <c r="EC1060" s="291"/>
      <c r="EP1060" s="291"/>
    </row>
    <row r="1061" spans="129:146" s="266" customFormat="1">
      <c r="DY1061" s="291"/>
      <c r="EC1061" s="291"/>
      <c r="EP1061" s="291"/>
    </row>
    <row r="1062" spans="129:146" s="266" customFormat="1">
      <c r="DY1062" s="291"/>
      <c r="EC1062" s="291"/>
      <c r="EP1062" s="291"/>
    </row>
    <row r="1063" spans="129:146" s="266" customFormat="1">
      <c r="DY1063" s="291"/>
      <c r="EC1063" s="291"/>
      <c r="EP1063" s="291"/>
    </row>
    <row r="1064" spans="129:146" s="266" customFormat="1">
      <c r="DY1064" s="291"/>
      <c r="EC1064" s="291"/>
      <c r="EP1064" s="291"/>
    </row>
    <row r="1065" spans="129:146" s="266" customFormat="1">
      <c r="DY1065" s="291"/>
      <c r="EC1065" s="291"/>
      <c r="EP1065" s="291"/>
    </row>
    <row r="1066" spans="129:146" s="266" customFormat="1">
      <c r="DY1066" s="291"/>
      <c r="EC1066" s="291"/>
      <c r="EP1066" s="291"/>
    </row>
    <row r="1067" spans="129:146" s="266" customFormat="1">
      <c r="DY1067" s="291"/>
      <c r="EC1067" s="291"/>
      <c r="EP1067" s="291"/>
    </row>
    <row r="1068" spans="129:146" s="266" customFormat="1">
      <c r="DY1068" s="291"/>
      <c r="EC1068" s="291"/>
      <c r="EP1068" s="291"/>
    </row>
    <row r="1069" spans="129:146" s="266" customFormat="1">
      <c r="DY1069" s="291"/>
      <c r="EC1069" s="291"/>
      <c r="EP1069" s="291"/>
    </row>
    <row r="1070" spans="129:146" s="266" customFormat="1">
      <c r="DY1070" s="291"/>
      <c r="EC1070" s="291"/>
      <c r="EP1070" s="291"/>
    </row>
    <row r="1071" spans="129:146" s="266" customFormat="1">
      <c r="DY1071" s="291"/>
      <c r="EC1071" s="291"/>
      <c r="EP1071" s="291"/>
    </row>
    <row r="1072" spans="129:146" s="266" customFormat="1">
      <c r="DY1072" s="291"/>
      <c r="EC1072" s="291"/>
      <c r="EP1072" s="291"/>
    </row>
    <row r="1073" spans="129:146" s="266" customFormat="1">
      <c r="DY1073" s="291"/>
      <c r="EC1073" s="291"/>
      <c r="EP1073" s="291"/>
    </row>
    <row r="1074" spans="129:146" s="266" customFormat="1">
      <c r="DY1074" s="291"/>
      <c r="EC1074" s="291"/>
      <c r="EP1074" s="291"/>
    </row>
    <row r="1075" spans="129:146" s="266" customFormat="1">
      <c r="DY1075" s="291"/>
      <c r="EC1075" s="291"/>
      <c r="EP1075" s="291"/>
    </row>
    <row r="1076" spans="129:146" s="266" customFormat="1">
      <c r="DY1076" s="291"/>
      <c r="EC1076" s="291"/>
      <c r="EP1076" s="291"/>
    </row>
    <row r="1077" spans="129:146" s="266" customFormat="1">
      <c r="DY1077" s="291"/>
      <c r="EC1077" s="291"/>
      <c r="EP1077" s="291"/>
    </row>
    <row r="1078" spans="129:146" s="266" customFormat="1">
      <c r="DY1078" s="291"/>
      <c r="EC1078" s="291"/>
      <c r="EP1078" s="291"/>
    </row>
    <row r="1079" spans="129:146" s="266" customFormat="1">
      <c r="DY1079" s="291"/>
      <c r="EC1079" s="291"/>
      <c r="EP1079" s="291"/>
    </row>
    <row r="1080" spans="129:146" s="266" customFormat="1">
      <c r="DY1080" s="291"/>
      <c r="EC1080" s="291"/>
      <c r="EP1080" s="291"/>
    </row>
    <row r="1081" spans="129:146" s="266" customFormat="1">
      <c r="DY1081" s="291"/>
      <c r="EC1081" s="291"/>
      <c r="EP1081" s="291"/>
    </row>
    <row r="1082" spans="129:146" s="266" customFormat="1">
      <c r="DY1082" s="291"/>
      <c r="EC1082" s="291"/>
      <c r="EP1082" s="291"/>
    </row>
    <row r="1083" spans="129:146" s="266" customFormat="1">
      <c r="DY1083" s="291"/>
      <c r="EC1083" s="291"/>
      <c r="EP1083" s="291"/>
    </row>
    <row r="1084" spans="129:146" s="266" customFormat="1">
      <c r="DY1084" s="291"/>
      <c r="EC1084" s="291"/>
      <c r="EP1084" s="291"/>
    </row>
    <row r="1085" spans="129:146" s="266" customFormat="1">
      <c r="DY1085" s="291"/>
      <c r="EC1085" s="291"/>
      <c r="EP1085" s="291"/>
    </row>
    <row r="1086" spans="129:146" s="266" customFormat="1">
      <c r="DY1086" s="291"/>
      <c r="EC1086" s="291"/>
      <c r="EP1086" s="291"/>
    </row>
    <row r="1087" spans="129:146" s="266" customFormat="1">
      <c r="DY1087" s="291"/>
      <c r="EC1087" s="291"/>
      <c r="EP1087" s="291"/>
    </row>
    <row r="1088" spans="129:146" s="266" customFormat="1">
      <c r="DY1088" s="291"/>
      <c r="EC1088" s="291"/>
      <c r="EP1088" s="291"/>
    </row>
    <row r="1089" spans="129:146" s="266" customFormat="1">
      <c r="DY1089" s="291"/>
      <c r="EC1089" s="291"/>
      <c r="EP1089" s="291"/>
    </row>
    <row r="1090" spans="129:146" s="266" customFormat="1">
      <c r="DY1090" s="291"/>
      <c r="EC1090" s="291"/>
      <c r="EP1090" s="291"/>
    </row>
    <row r="1091" spans="129:146" s="266" customFormat="1">
      <c r="DY1091" s="291"/>
      <c r="EC1091" s="291"/>
      <c r="EP1091" s="291"/>
    </row>
    <row r="1092" spans="129:146" s="266" customFormat="1">
      <c r="DY1092" s="291"/>
      <c r="EC1092" s="291"/>
      <c r="EP1092" s="291"/>
    </row>
    <row r="1093" spans="129:146" s="266" customFormat="1">
      <c r="DY1093" s="291"/>
      <c r="EC1093" s="291"/>
      <c r="EP1093" s="291"/>
    </row>
    <row r="1094" spans="129:146" s="266" customFormat="1">
      <c r="DY1094" s="291"/>
      <c r="EC1094" s="291"/>
      <c r="EP1094" s="291"/>
    </row>
    <row r="1095" spans="129:146" s="266" customFormat="1">
      <c r="DY1095" s="291"/>
      <c r="EC1095" s="291"/>
      <c r="EP1095" s="291"/>
    </row>
    <row r="1096" spans="129:146" s="266" customFormat="1">
      <c r="DY1096" s="291"/>
      <c r="EC1096" s="291"/>
      <c r="EP1096" s="291"/>
    </row>
    <row r="1097" spans="129:146" s="266" customFormat="1">
      <c r="DY1097" s="291"/>
      <c r="EC1097" s="291"/>
      <c r="EP1097" s="291"/>
    </row>
    <row r="1098" spans="129:146" s="266" customFormat="1">
      <c r="DY1098" s="291"/>
      <c r="EC1098" s="291"/>
      <c r="EP1098" s="291"/>
    </row>
    <row r="1099" spans="129:146" s="266" customFormat="1">
      <c r="DY1099" s="291"/>
      <c r="EC1099" s="291"/>
      <c r="EP1099" s="291"/>
    </row>
    <row r="1100" spans="129:146" s="266" customFormat="1">
      <c r="DY1100" s="291"/>
      <c r="EC1100" s="291"/>
      <c r="EP1100" s="291"/>
    </row>
    <row r="1101" spans="129:146" s="266" customFormat="1">
      <c r="DY1101" s="291"/>
      <c r="EC1101" s="291"/>
      <c r="EP1101" s="291"/>
    </row>
    <row r="1102" spans="129:146" s="266" customFormat="1">
      <c r="DY1102" s="291"/>
      <c r="EC1102" s="291"/>
      <c r="EP1102" s="291"/>
    </row>
    <row r="1103" spans="129:146" s="266" customFormat="1">
      <c r="DY1103" s="291"/>
      <c r="EC1103" s="291"/>
      <c r="EP1103" s="291"/>
    </row>
    <row r="1104" spans="129:146" s="266" customFormat="1">
      <c r="DY1104" s="291"/>
      <c r="EC1104" s="291"/>
      <c r="EP1104" s="291"/>
    </row>
    <row r="1105" spans="129:146" s="266" customFormat="1">
      <c r="DY1105" s="291"/>
      <c r="EC1105" s="291"/>
      <c r="EP1105" s="291"/>
    </row>
    <row r="1106" spans="129:146" s="266" customFormat="1">
      <c r="DY1106" s="291"/>
      <c r="EC1106" s="291"/>
      <c r="EP1106" s="291"/>
    </row>
    <row r="1107" spans="129:146" s="266" customFormat="1">
      <c r="DY1107" s="291"/>
      <c r="EC1107" s="291"/>
      <c r="EP1107" s="291"/>
    </row>
    <row r="1108" spans="129:146" s="266" customFormat="1">
      <c r="DY1108" s="291"/>
      <c r="EC1108" s="291"/>
      <c r="EP1108" s="291"/>
    </row>
    <row r="1109" spans="129:146" s="266" customFormat="1">
      <c r="DY1109" s="291"/>
      <c r="EC1109" s="291"/>
      <c r="EP1109" s="291"/>
    </row>
    <row r="1110" spans="129:146" s="266" customFormat="1">
      <c r="DY1110" s="291"/>
      <c r="EC1110" s="291"/>
      <c r="EP1110" s="291"/>
    </row>
    <row r="1111" spans="129:146" s="266" customFormat="1">
      <c r="DY1111" s="291"/>
      <c r="EC1111" s="291"/>
      <c r="EP1111" s="291"/>
    </row>
    <row r="1112" spans="129:146" s="266" customFormat="1">
      <c r="DY1112" s="291"/>
      <c r="EC1112" s="291"/>
      <c r="EP1112" s="291"/>
    </row>
    <row r="1113" spans="129:146" s="266" customFormat="1">
      <c r="DY1113" s="291"/>
      <c r="EC1113" s="291"/>
      <c r="EP1113" s="291"/>
    </row>
    <row r="1114" spans="129:146" s="266" customFormat="1">
      <c r="DY1114" s="291"/>
      <c r="EC1114" s="291"/>
      <c r="EP1114" s="291"/>
    </row>
    <row r="1115" spans="129:146" s="266" customFormat="1">
      <c r="DY1115" s="291"/>
      <c r="EC1115" s="291"/>
      <c r="EP1115" s="291"/>
    </row>
    <row r="1116" spans="129:146" s="266" customFormat="1">
      <c r="DY1116" s="291"/>
      <c r="EC1116" s="291"/>
      <c r="EP1116" s="291"/>
    </row>
    <row r="1117" spans="129:146" s="266" customFormat="1">
      <c r="DY1117" s="291"/>
      <c r="EC1117" s="291"/>
      <c r="EP1117" s="291"/>
    </row>
    <row r="1118" spans="129:146" s="266" customFormat="1">
      <c r="DY1118" s="291"/>
      <c r="EC1118" s="291"/>
      <c r="EP1118" s="291"/>
    </row>
    <row r="1119" spans="129:146" s="266" customFormat="1">
      <c r="DY1119" s="291"/>
      <c r="EC1119" s="291"/>
      <c r="EP1119" s="291"/>
    </row>
    <row r="1120" spans="129:146" s="266" customFormat="1">
      <c r="DY1120" s="291"/>
      <c r="EC1120" s="291"/>
      <c r="EP1120" s="291"/>
    </row>
    <row r="1121" spans="129:146" s="266" customFormat="1">
      <c r="DY1121" s="291"/>
      <c r="EC1121" s="291"/>
      <c r="EP1121" s="291"/>
    </row>
    <row r="1122" spans="129:146" s="266" customFormat="1">
      <c r="DY1122" s="291"/>
      <c r="EC1122" s="291"/>
      <c r="EP1122" s="291"/>
    </row>
    <row r="1123" spans="129:146" s="266" customFormat="1">
      <c r="DY1123" s="291"/>
      <c r="EC1123" s="291"/>
      <c r="EP1123" s="291"/>
    </row>
    <row r="1124" spans="129:146" s="266" customFormat="1">
      <c r="DY1124" s="291"/>
      <c r="EC1124" s="291"/>
      <c r="EP1124" s="291"/>
    </row>
    <row r="1125" spans="129:146" s="266" customFormat="1">
      <c r="DY1125" s="291"/>
      <c r="EC1125" s="291"/>
      <c r="EP1125" s="291"/>
    </row>
    <row r="1126" spans="129:146" s="266" customFormat="1">
      <c r="DY1126" s="291"/>
      <c r="EC1126" s="291"/>
      <c r="EP1126" s="291"/>
    </row>
    <row r="1127" spans="129:146" s="266" customFormat="1">
      <c r="DY1127" s="291"/>
      <c r="EC1127" s="291"/>
      <c r="EP1127" s="291"/>
    </row>
    <row r="1128" spans="129:146" s="266" customFormat="1">
      <c r="DY1128" s="291"/>
      <c r="EC1128" s="291"/>
      <c r="EP1128" s="291"/>
    </row>
    <row r="1129" spans="129:146" s="266" customFormat="1">
      <c r="DY1129" s="291"/>
      <c r="EC1129" s="291"/>
      <c r="EP1129" s="291"/>
    </row>
    <row r="1130" spans="129:146" s="266" customFormat="1">
      <c r="DY1130" s="291"/>
      <c r="EC1130" s="291"/>
      <c r="EP1130" s="291"/>
    </row>
    <row r="1131" spans="129:146" s="266" customFormat="1">
      <c r="DY1131" s="291"/>
      <c r="EC1131" s="291"/>
      <c r="EP1131" s="291"/>
    </row>
    <row r="1132" spans="129:146" s="266" customFormat="1">
      <c r="DY1132" s="291"/>
      <c r="EC1132" s="291"/>
      <c r="EP1132" s="291"/>
    </row>
    <row r="1133" spans="129:146" s="266" customFormat="1">
      <c r="DY1133" s="291"/>
      <c r="EC1133" s="291"/>
      <c r="EP1133" s="291"/>
    </row>
    <row r="1134" spans="129:146" s="266" customFormat="1">
      <c r="DY1134" s="291"/>
      <c r="EC1134" s="291"/>
      <c r="EP1134" s="291"/>
    </row>
    <row r="1135" spans="129:146" s="266" customFormat="1">
      <c r="DY1135" s="291"/>
      <c r="EC1135" s="291"/>
      <c r="EP1135" s="291"/>
    </row>
    <row r="1136" spans="129:146" s="266" customFormat="1">
      <c r="DY1136" s="291"/>
      <c r="EC1136" s="291"/>
      <c r="EP1136" s="291"/>
    </row>
    <row r="1137" spans="129:146" s="266" customFormat="1">
      <c r="DY1137" s="291"/>
      <c r="EC1137" s="291"/>
      <c r="EP1137" s="291"/>
    </row>
    <row r="1138" spans="129:146" s="266" customFormat="1">
      <c r="DY1138" s="291"/>
      <c r="EC1138" s="291"/>
      <c r="EP1138" s="291"/>
    </row>
    <row r="1139" spans="129:146" s="266" customFormat="1">
      <c r="DY1139" s="291"/>
      <c r="EC1139" s="291"/>
      <c r="EP1139" s="291"/>
    </row>
    <row r="1140" spans="129:146" s="266" customFormat="1">
      <c r="DY1140" s="291"/>
      <c r="EC1140" s="291"/>
      <c r="EP1140" s="291"/>
    </row>
    <row r="1141" spans="129:146" s="266" customFormat="1">
      <c r="DY1141" s="291"/>
      <c r="EC1141" s="291"/>
      <c r="EP1141" s="291"/>
    </row>
    <row r="1142" spans="129:146" s="266" customFormat="1">
      <c r="DY1142" s="291"/>
      <c r="EC1142" s="291"/>
      <c r="EP1142" s="291"/>
    </row>
    <row r="1143" spans="129:146" s="266" customFormat="1">
      <c r="DY1143" s="291"/>
      <c r="EC1143" s="291"/>
      <c r="EP1143" s="291"/>
    </row>
    <row r="1144" spans="129:146" s="266" customFormat="1">
      <c r="DY1144" s="291"/>
      <c r="EC1144" s="291"/>
      <c r="EP1144" s="291"/>
    </row>
    <row r="1145" spans="129:146" s="266" customFormat="1">
      <c r="DY1145" s="291"/>
      <c r="EC1145" s="291"/>
      <c r="EP1145" s="291"/>
    </row>
    <row r="1146" spans="129:146" s="266" customFormat="1">
      <c r="DY1146" s="291"/>
      <c r="EC1146" s="291"/>
      <c r="EP1146" s="291"/>
    </row>
    <row r="1147" spans="129:146" s="266" customFormat="1">
      <c r="DY1147" s="291"/>
      <c r="EC1147" s="291"/>
      <c r="EP1147" s="291"/>
    </row>
    <row r="1148" spans="129:146" s="266" customFormat="1">
      <c r="DY1148" s="291"/>
      <c r="EC1148" s="291"/>
      <c r="EP1148" s="291"/>
    </row>
    <row r="1149" spans="129:146" s="266" customFormat="1">
      <c r="DY1149" s="291"/>
      <c r="EC1149" s="291"/>
      <c r="EP1149" s="291"/>
    </row>
    <row r="1150" spans="129:146" s="266" customFormat="1">
      <c r="DY1150" s="291"/>
      <c r="EC1150" s="291"/>
      <c r="EP1150" s="291"/>
    </row>
    <row r="1151" spans="129:146" s="266" customFormat="1">
      <c r="DY1151" s="291"/>
      <c r="EC1151" s="291"/>
      <c r="EP1151" s="291"/>
    </row>
    <row r="1152" spans="129:146" s="266" customFormat="1">
      <c r="DY1152" s="291"/>
      <c r="EC1152" s="291"/>
      <c r="EP1152" s="291"/>
    </row>
    <row r="1153" spans="129:146" s="266" customFormat="1">
      <c r="DY1153" s="291"/>
      <c r="EC1153" s="291"/>
      <c r="EP1153" s="291"/>
    </row>
    <row r="1154" spans="129:146" s="266" customFormat="1">
      <c r="DY1154" s="291"/>
      <c r="EC1154" s="291"/>
      <c r="EP1154" s="291"/>
    </row>
    <row r="1155" spans="129:146" s="266" customFormat="1">
      <c r="DY1155" s="291"/>
      <c r="EC1155" s="291"/>
      <c r="EP1155" s="291"/>
    </row>
    <row r="1156" spans="129:146" s="266" customFormat="1">
      <c r="DY1156" s="291"/>
      <c r="EC1156" s="291"/>
      <c r="EP1156" s="291"/>
    </row>
    <row r="1157" spans="129:146" s="266" customFormat="1">
      <c r="DY1157" s="291"/>
      <c r="EC1157" s="291"/>
      <c r="EP1157" s="291"/>
    </row>
    <row r="1158" spans="129:146" s="266" customFormat="1">
      <c r="DY1158" s="291"/>
      <c r="EC1158" s="291"/>
      <c r="EP1158" s="291"/>
    </row>
    <row r="1159" spans="129:146" s="266" customFormat="1">
      <c r="DY1159" s="291"/>
      <c r="EC1159" s="291"/>
      <c r="EP1159" s="291"/>
    </row>
    <row r="1160" spans="129:146" s="266" customFormat="1">
      <c r="DY1160" s="291"/>
      <c r="EC1160" s="291"/>
      <c r="EP1160" s="291"/>
    </row>
    <row r="1161" spans="129:146" s="266" customFormat="1">
      <c r="DY1161" s="291"/>
      <c r="EC1161" s="291"/>
      <c r="EP1161" s="291"/>
    </row>
    <row r="1162" spans="129:146" s="266" customFormat="1">
      <c r="DY1162" s="291"/>
      <c r="EC1162" s="291"/>
      <c r="EP1162" s="291"/>
    </row>
    <row r="1163" spans="129:146" s="266" customFormat="1">
      <c r="DY1163" s="291"/>
      <c r="EC1163" s="291"/>
      <c r="EP1163" s="291"/>
    </row>
    <row r="1164" spans="129:146" s="266" customFormat="1">
      <c r="DY1164" s="291"/>
      <c r="EC1164" s="291"/>
      <c r="EP1164" s="291"/>
    </row>
    <row r="1165" spans="129:146" s="266" customFormat="1">
      <c r="DY1165" s="291"/>
      <c r="EC1165" s="291"/>
      <c r="EP1165" s="291"/>
    </row>
    <row r="1166" spans="129:146" s="266" customFormat="1">
      <c r="DY1166" s="291"/>
      <c r="EC1166" s="291"/>
      <c r="EP1166" s="291"/>
    </row>
    <row r="1167" spans="129:146" s="266" customFormat="1">
      <c r="DY1167" s="291"/>
      <c r="EC1167" s="291"/>
      <c r="EP1167" s="291"/>
    </row>
    <row r="1168" spans="129:146" s="266" customFormat="1">
      <c r="DY1168" s="291"/>
      <c r="EC1168" s="291"/>
      <c r="EP1168" s="291"/>
    </row>
    <row r="1169" spans="129:146" s="266" customFormat="1">
      <c r="DY1169" s="291"/>
      <c r="EC1169" s="291"/>
      <c r="EP1169" s="291"/>
    </row>
    <row r="1170" spans="129:146" s="266" customFormat="1">
      <c r="DY1170" s="291"/>
      <c r="EC1170" s="291"/>
      <c r="EP1170" s="291"/>
    </row>
    <row r="1171" spans="129:146" s="266" customFormat="1">
      <c r="DY1171" s="291"/>
      <c r="EC1171" s="291"/>
      <c r="EP1171" s="291"/>
    </row>
    <row r="1172" spans="129:146" s="266" customFormat="1">
      <c r="DY1172" s="291"/>
      <c r="EC1172" s="291"/>
      <c r="EP1172" s="291"/>
    </row>
    <row r="1173" spans="129:146" s="266" customFormat="1">
      <c r="DY1173" s="291"/>
      <c r="EC1173" s="291"/>
      <c r="EP1173" s="291"/>
    </row>
    <row r="1174" spans="129:146" s="266" customFormat="1">
      <c r="DY1174" s="291"/>
      <c r="EC1174" s="291"/>
      <c r="EP1174" s="291"/>
    </row>
    <row r="1175" spans="129:146" s="266" customFormat="1">
      <c r="DY1175" s="291"/>
      <c r="EC1175" s="291"/>
      <c r="EP1175" s="291"/>
    </row>
    <row r="1176" spans="129:146" s="266" customFormat="1">
      <c r="DY1176" s="291"/>
      <c r="EC1176" s="291"/>
      <c r="EP1176" s="291"/>
    </row>
    <row r="1177" spans="129:146" s="266" customFormat="1">
      <c r="DY1177" s="291"/>
      <c r="EC1177" s="291"/>
      <c r="EP1177" s="291"/>
    </row>
    <row r="1178" spans="129:146" s="266" customFormat="1">
      <c r="DY1178" s="291"/>
      <c r="EC1178" s="291"/>
      <c r="EP1178" s="291"/>
    </row>
    <row r="1179" spans="129:146" s="266" customFormat="1">
      <c r="DY1179" s="291"/>
      <c r="EC1179" s="291"/>
      <c r="EP1179" s="291"/>
    </row>
    <row r="1180" spans="129:146" s="266" customFormat="1">
      <c r="DY1180" s="291"/>
      <c r="EC1180" s="291"/>
      <c r="EP1180" s="291"/>
    </row>
    <row r="1181" spans="129:146" s="266" customFormat="1">
      <c r="DY1181" s="291"/>
      <c r="EC1181" s="291"/>
      <c r="EP1181" s="291"/>
    </row>
    <row r="1182" spans="129:146" s="266" customFormat="1">
      <c r="DY1182" s="291"/>
      <c r="EC1182" s="291"/>
      <c r="EP1182" s="291"/>
    </row>
    <row r="1183" spans="129:146" s="266" customFormat="1">
      <c r="DY1183" s="291"/>
      <c r="EC1183" s="291"/>
      <c r="EP1183" s="291"/>
    </row>
    <row r="1184" spans="129:146" s="266" customFormat="1">
      <c r="DY1184" s="291"/>
      <c r="EC1184" s="291"/>
      <c r="EP1184" s="291"/>
    </row>
    <row r="1185" spans="11:123">
      <c r="K1185" s="266"/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1:123">
      <c r="K1186" s="266"/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1:123">
      <c r="K1187" s="266"/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1:123">
      <c r="K1188" s="266"/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1:123">
      <c r="K1189" s="266"/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1:123">
      <c r="K1190" s="266"/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1:123">
      <c r="K1191" s="266"/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1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1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1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1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1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1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1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1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1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94"/>
  <sheetViews>
    <sheetView showGridLines="0" topLeftCell="C16" zoomScale="85" zoomScaleNormal="85" workbookViewId="0">
      <selection activeCell="B28" sqref="B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71093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94" t="s">
        <v>1160</v>
      </c>
      <c r="C1" s="1091"/>
      <c r="D1" s="995"/>
      <c r="E1" s="995"/>
      <c r="F1" s="1204" t="s">
        <v>953</v>
      </c>
      <c r="G1" s="1205">
        <f ca="1">LnkTXTIRTEco</f>
        <v>0.12970000000000001</v>
      </c>
    </row>
    <row r="2" spans="2:19" ht="23.25" customHeight="1">
      <c r="B2" s="138" t="str">
        <f>CAPA!C9</f>
        <v>Cermissões</v>
      </c>
      <c r="C2" s="70"/>
      <c r="D2" s="70"/>
      <c r="E2" s="70"/>
      <c r="F2" s="121" t="s">
        <v>957</v>
      </c>
      <c r="G2" s="122">
        <f ca="1">LnkTXTIRTTotal</f>
        <v>-9.4E-2</v>
      </c>
    </row>
    <row r="3" spans="2:19" ht="16.5">
      <c r="B3" s="71" t="s">
        <v>761</v>
      </c>
      <c r="K3" s="71" t="s">
        <v>1161</v>
      </c>
      <c r="O3" s="9" t="s">
        <v>1162</v>
      </c>
    </row>
    <row r="4" spans="2:19">
      <c r="B4" s="1252" t="s">
        <v>855</v>
      </c>
      <c r="C4" s="1252" t="s">
        <v>773</v>
      </c>
      <c r="K4" s="1252" t="s">
        <v>975</v>
      </c>
      <c r="L4" s="1252" t="s">
        <v>772</v>
      </c>
      <c r="M4" s="1252" t="s">
        <v>978</v>
      </c>
      <c r="P4" s="68" t="s">
        <v>1163</v>
      </c>
    </row>
    <row r="5" spans="2:19">
      <c r="B5" s="1253" t="s">
        <v>1164</v>
      </c>
      <c r="C5" s="1254">
        <f ca="1">SUM(C6,C9)</f>
        <v>162796.20629000006</v>
      </c>
      <c r="K5" s="68" t="s">
        <v>858</v>
      </c>
      <c r="L5" s="93">
        <f ca="1">M5</f>
        <v>143286.06900000005</v>
      </c>
      <c r="M5" s="141">
        <f ca="1">FornecimentoE</f>
        <v>143286.06900000005</v>
      </c>
      <c r="P5" s="68" t="s">
        <v>1165</v>
      </c>
    </row>
    <row r="6" spans="2:19">
      <c r="B6" s="1255" t="s">
        <v>1166</v>
      </c>
      <c r="C6" s="1256">
        <f ca="1">SUM(C7:C8)</f>
        <v>143286.06900000005</v>
      </c>
      <c r="E6" s="1543">
        <f ca="1">C23/LnkTXTEV-1</f>
        <v>0.13616213652982601</v>
      </c>
      <c r="K6" s="68" t="s">
        <v>867</v>
      </c>
      <c r="L6" s="93">
        <f ca="1">M6</f>
        <v>0</v>
      </c>
      <c r="M6" s="141">
        <f ca="1">DSUM(MercadoBase,"TUSD_E",INDIRECT("Mercado_Criterio"&amp;Calc_Mercado!B17))</f>
        <v>0</v>
      </c>
      <c r="P6" s="68" t="s">
        <v>1167</v>
      </c>
    </row>
    <row r="7" spans="2:19">
      <c r="B7" s="145" t="s">
        <v>858</v>
      </c>
      <c r="C7" s="146">
        <f ca="1">M5</f>
        <v>143286.06900000005</v>
      </c>
      <c r="K7" s="68" t="s">
        <v>1168</v>
      </c>
      <c r="L7" s="93">
        <f ca="1">M7</f>
        <v>0</v>
      </c>
      <c r="M7" s="141">
        <f ca="1">LivreE</f>
        <v>0</v>
      </c>
      <c r="P7" s="68" t="s">
        <v>1169</v>
      </c>
    </row>
    <row r="8" spans="2:19">
      <c r="B8" s="145" t="s">
        <v>867</v>
      </c>
      <c r="C8" s="146">
        <f ca="1">M6</f>
        <v>0</v>
      </c>
      <c r="K8" s="68" t="s">
        <v>958</v>
      </c>
      <c r="M8" s="141">
        <f ca="1">LivreE_A1</f>
        <v>0</v>
      </c>
      <c r="P8" s="68" t="s">
        <v>1170</v>
      </c>
    </row>
    <row r="9" spans="2:19">
      <c r="B9" s="1255" t="s">
        <v>1171</v>
      </c>
      <c r="C9" s="1256">
        <f ca="1">SUM(C10:C12)</f>
        <v>19510.137289999999</v>
      </c>
      <c r="K9" s="820" t="s">
        <v>1172</v>
      </c>
      <c r="L9" s="1641">
        <f ca="1">M9</f>
        <v>93031.917000000059</v>
      </c>
      <c r="M9" s="1257">
        <f ca="1">FornecimentoE_BT</f>
        <v>93031.917000000059</v>
      </c>
      <c r="P9" s="68" t="s">
        <v>1173</v>
      </c>
    </row>
    <row r="10" spans="2:19">
      <c r="B10" s="145" t="s">
        <v>1174</v>
      </c>
      <c r="C10" s="146">
        <f ca="1">N16+N17</f>
        <v>13963.756009999997</v>
      </c>
      <c r="J10" s="125"/>
      <c r="P10" s="79"/>
    </row>
    <row r="11" spans="2:19">
      <c r="B11" s="145" t="s">
        <v>1175</v>
      </c>
      <c r="C11" s="146">
        <f ca="1">N18</f>
        <v>492.51765416862168</v>
      </c>
      <c r="K11" s="71" t="s">
        <v>1176</v>
      </c>
      <c r="L11" s="71"/>
      <c r="M11" s="126"/>
      <c r="P11" s="68" t="s">
        <v>1177</v>
      </c>
      <c r="Q11" s="505">
        <f ca="1">M20/(C6+M20)</f>
        <v>8.8799819072053005E-2</v>
      </c>
      <c r="R11" s="69">
        <f ca="1">Q11*($M$24+LnkTXTGPM)</f>
        <v>10977.967748780342</v>
      </c>
    </row>
    <row r="12" spans="2:19">
      <c r="B12" s="145" t="s">
        <v>1178</v>
      </c>
      <c r="C12" s="146">
        <f ca="1">N19</f>
        <v>5053.8636258313782</v>
      </c>
      <c r="D12" s="72"/>
      <c r="F12" s="72"/>
      <c r="G12" s="127"/>
      <c r="K12" s="147" t="s">
        <v>855</v>
      </c>
      <c r="L12" s="147" t="s">
        <v>772</v>
      </c>
      <c r="M12" s="1258" t="s">
        <v>1179</v>
      </c>
      <c r="N12" s="1259" t="s">
        <v>29</v>
      </c>
      <c r="P12" s="68" t="s">
        <v>1180</v>
      </c>
      <c r="Q12" s="398">
        <v>0.1389</v>
      </c>
      <c r="R12" s="69"/>
      <c r="S12" s="142"/>
    </row>
    <row r="13" spans="2:19">
      <c r="B13" s="1260" t="s">
        <v>1181</v>
      </c>
      <c r="C13" s="1261">
        <f ca="1">IFERROR(E23,0)</f>
        <v>151.96722354385585</v>
      </c>
      <c r="D13" s="92"/>
      <c r="E13" s="92"/>
      <c r="F13" s="92"/>
      <c r="G13" s="92"/>
      <c r="K13" s="68" t="s">
        <v>1182</v>
      </c>
      <c r="M13" s="398">
        <f>CAPA!H30</f>
        <v>0</v>
      </c>
      <c r="N13" s="476">
        <f ca="1">IFERROR(IF($M$21&lt;$M$20,M13,($M$20/$M$21)*M13),0)</f>
        <v>0</v>
      </c>
      <c r="P13" s="68" t="s">
        <v>1183</v>
      </c>
      <c r="Q13" s="505">
        <f ca="1">IF(Q11&lt;Q12,Q11,(IF(Q11=0,0,Q11*0.75+Q12*0.25)))</f>
        <v>8.8799819072053005E-2</v>
      </c>
      <c r="R13" s="69">
        <f ca="1">($M$5+$M$6-$M$8)*Q13/(1-Q13)</f>
        <v>13963.756009999999</v>
      </c>
    </row>
    <row r="14" spans="2:19">
      <c r="B14" s="1262" t="s">
        <v>1184</v>
      </c>
      <c r="C14" s="1263">
        <f ca="1">C13*C5</f>
        <v>24739687.473364111</v>
      </c>
      <c r="D14" s="128"/>
      <c r="E14" s="128"/>
      <c r="F14" s="128"/>
      <c r="G14" s="129"/>
      <c r="K14" s="68" t="s">
        <v>1185</v>
      </c>
      <c r="L14" s="398">
        <f>CAPA!K34</f>
        <v>0.12089999999999999</v>
      </c>
      <c r="M14" s="398">
        <f>IF(CAPA!P1="verdadeiro",IF(CAPA!H29=0,CAPA!K34,CAPA!H29),CAPA!H41)</f>
        <v>0.12509999999999999</v>
      </c>
      <c r="N14" s="398">
        <f ca="1">IFERROR(N17/((M5+M6-M8+N16)+N17),0)</f>
        <v>8.8799819072053005E-2</v>
      </c>
      <c r="P14" s="68" t="s">
        <v>1186</v>
      </c>
      <c r="Q14" s="505">
        <f ca="1">(M17+M16)/(M16+M17+M5+M6)</f>
        <v>0.12509999999999999</v>
      </c>
      <c r="R14" s="69">
        <f ca="1">IF(CAPA!H33="",(M5+M6-M8)/(1-M14)*M14,CAPA!H33)+IF(CAPA!H34="",M13*M9,CAPA!H34)</f>
        <v>20488.155482798036</v>
      </c>
    </row>
    <row r="15" spans="2:19">
      <c r="E15" s="79"/>
      <c r="F15" s="72"/>
      <c r="G15" s="127"/>
      <c r="K15" s="820" t="s">
        <v>1187</v>
      </c>
      <c r="L15" s="820"/>
      <c r="M15" s="1552">
        <f>IF(CAPA!H31=0,0,CAPA!H31)</f>
        <v>0</v>
      </c>
      <c r="N15" s="1553">
        <f ca="1">IFERROR(M22/(LnkTXTEV+N17+N16),0)</f>
        <v>3.5271144369459786E-2</v>
      </c>
      <c r="P15" s="68" t="s">
        <v>1188</v>
      </c>
      <c r="Q15" s="79">
        <f ca="1">IF(Q14&lt;Q13,Q14,Q13)</f>
        <v>8.8799819072053005E-2</v>
      </c>
      <c r="R15" s="69">
        <f ca="1">IF(R14&lt;R13,R14,R13)</f>
        <v>13963.756009999999</v>
      </c>
      <c r="S15" s="79">
        <f ca="1">R15/(M5+R15)</f>
        <v>8.8799819072052991E-2</v>
      </c>
    </row>
    <row r="16" spans="2:19">
      <c r="B16" s="130" t="s">
        <v>1189</v>
      </c>
      <c r="C16" s="131"/>
      <c r="D16" s="132"/>
      <c r="E16" s="132"/>
      <c r="F16" s="132"/>
      <c r="K16" s="1264" t="s">
        <v>1190</v>
      </c>
      <c r="L16" s="1264">
        <f ca="1">L13*L9</f>
        <v>0</v>
      </c>
      <c r="M16" s="1264">
        <f ca="1">IF(CAPA!H34="",M13*M9,CAPA!H34)</f>
        <v>0</v>
      </c>
      <c r="N16" s="477">
        <f ca="1">IF(CAPA!P1="verdadeiro",IF($M$21&lt;$M$20,M16,($M$20/$M$21)*M16),M16)</f>
        <v>0</v>
      </c>
      <c r="P16" s="142" t="s">
        <v>1191</v>
      </c>
      <c r="Q16" s="79">
        <f ca="1">IF(Q15&gt;Q12,Q12,Q15)</f>
        <v>8.8799819072053005E-2</v>
      </c>
      <c r="R16" s="69">
        <f ca="1">($M$5+$M$6-$M$8+R15)*Q16</f>
        <v>13963.756010000001</v>
      </c>
    </row>
    <row r="17" spans="1:23">
      <c r="B17" s="1252" t="s">
        <v>1192</v>
      </c>
      <c r="C17" s="1252" t="s">
        <v>1193</v>
      </c>
      <c r="D17" s="1252"/>
      <c r="E17" s="1252" t="s">
        <v>1194</v>
      </c>
      <c r="F17" s="1252" t="s">
        <v>1195</v>
      </c>
      <c r="K17" s="141" t="s">
        <v>1196</v>
      </c>
      <c r="L17" s="141">
        <f ca="1">(L5+L6-L8+L16)/(1-L14)*L14</f>
        <v>19705.705542145381</v>
      </c>
      <c r="M17" s="141">
        <f ca="1">IF(CAPA!H33="",(M5+M6-M8+M16)/(1-M14)*M14,CAPA!H33)</f>
        <v>20488.155482798036</v>
      </c>
      <c r="N17" s="477">
        <f ca="1">IF(CAPA!P1="verdadeiro",IF($M$21&lt;$M$20,M17,($M$20/$M$21)*M17),M17)+M23</f>
        <v>13963.756009999997</v>
      </c>
      <c r="O17" s="142"/>
      <c r="P17" s="68" t="s">
        <v>1197</v>
      </c>
      <c r="Q17" s="398">
        <f ca="1">Q15-Q16</f>
        <v>0</v>
      </c>
      <c r="R17" s="69">
        <f ca="1">R15-R16</f>
        <v>0</v>
      </c>
    </row>
    <row r="18" spans="1:23">
      <c r="B18" s="78" t="s">
        <v>271</v>
      </c>
      <c r="C18" s="795">
        <f ca="1">IFERROR(C70*O30,0)</f>
        <v>16403.582831862605</v>
      </c>
      <c r="D18" s="123"/>
      <c r="E18" s="123">
        <f>CAPA!E58</f>
        <v>121.19059799875039</v>
      </c>
      <c r="F18" s="77">
        <f ca="1">C18*E18</f>
        <v>1987960.0127154645</v>
      </c>
      <c r="G18" s="796"/>
      <c r="H18" s="798"/>
      <c r="I18" s="134"/>
      <c r="K18" s="141" t="s">
        <v>1175</v>
      </c>
      <c r="L18" s="141">
        <f ca="1">N18</f>
        <v>492.51765416862168</v>
      </c>
      <c r="M18" s="477"/>
      <c r="N18" s="1601">
        <f ca="1">(N16+N17)*N15</f>
        <v>492.51765416862168</v>
      </c>
      <c r="P18" s="68" t="s">
        <v>1198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2340.6765462476283</v>
      </c>
      <c r="D19" s="89"/>
      <c r="E19" s="89">
        <v>0</v>
      </c>
      <c r="F19" s="77">
        <v>0</v>
      </c>
      <c r="G19" s="797"/>
      <c r="H19" s="798"/>
      <c r="K19" s="1257" t="s">
        <v>1178</v>
      </c>
      <c r="L19" s="1257">
        <f ca="1">N19</f>
        <v>5053.8636258313782</v>
      </c>
      <c r="M19" s="1554"/>
      <c r="N19" s="1602">
        <f ca="1">(M5+M6)*N15</f>
        <v>5053.8636258313782</v>
      </c>
      <c r="Q19" s="142"/>
    </row>
    <row r="20" spans="1:23">
      <c r="B20" s="78" t="str">
        <f>B63</f>
        <v>Angra</v>
      </c>
      <c r="C20" s="256">
        <f ca="1">C63*O30</f>
        <v>4699.3792747051257</v>
      </c>
      <c r="D20" s="89"/>
      <c r="E20" s="89">
        <f>E63</f>
        <v>349.15</v>
      </c>
      <c r="F20" s="77">
        <f ca="1">E20*C20</f>
        <v>1640788.2737632946</v>
      </c>
      <c r="G20" s="797"/>
      <c r="H20" s="798"/>
      <c r="J20" s="134"/>
      <c r="K20" s="141" t="s">
        <v>1199</v>
      </c>
      <c r="L20" s="141"/>
      <c r="M20" s="141">
        <v>13963.756009999997</v>
      </c>
      <c r="N20" s="399"/>
      <c r="O20" s="142"/>
    </row>
    <row r="21" spans="1:23">
      <c r="B21" s="78" t="str">
        <f>B64</f>
        <v>CCGF</v>
      </c>
      <c r="C21" s="256">
        <f ca="1">(C64+C65)*O30</f>
        <v>38718.274432296465</v>
      </c>
      <c r="D21" s="89"/>
      <c r="E21" s="89">
        <f>SUM(F64:F65)/(C64+C65)</f>
        <v>145.39722195806107</v>
      </c>
      <c r="F21" s="77">
        <f ca="1">E21*C21</f>
        <v>5629529.5414657295</v>
      </c>
      <c r="G21" s="797"/>
      <c r="H21" s="798"/>
      <c r="K21" s="1257" t="s">
        <v>1200</v>
      </c>
      <c r="L21" s="1257"/>
      <c r="M21" s="1257">
        <f ca="1">M16+M17</f>
        <v>20488.155482798036</v>
      </c>
      <c r="N21" s="1265"/>
    </row>
    <row r="22" spans="1:23">
      <c r="B22" s="78" t="s">
        <v>1201</v>
      </c>
      <c r="C22" s="256">
        <f ca="1">IF(J60=0,E35,(J48+J60))*O30</f>
        <v>100634.29320488828</v>
      </c>
      <c r="D22" s="89"/>
      <c r="E22" s="89">
        <f ca="1">IF(K60=0,H35,(N48+N60)/(M48+M60))</f>
        <v>153.83831050415353</v>
      </c>
      <c r="F22" s="77">
        <f ca="1">E22*C22</f>
        <v>15481409.645419631</v>
      </c>
      <c r="G22" s="797"/>
      <c r="H22" s="798"/>
      <c r="K22" s="68" t="s">
        <v>2196</v>
      </c>
      <c r="M22" s="1551">
        <f>SUMIFS(TabPerdaDIT[Valor],TabPerdaDIT[Dados de perda],"Perdas RB")</f>
        <v>5546.3812799999996</v>
      </c>
    </row>
    <row r="23" spans="1:23">
      <c r="B23" s="1266" t="s">
        <v>1202</v>
      </c>
      <c r="C23" s="1267">
        <f ca="1">SUM(C18:C22)</f>
        <v>162796.20629000012</v>
      </c>
      <c r="D23" s="1268"/>
      <c r="E23" s="1268">
        <f ca="1">IF(SUM(C18:C22)=0,0,SUM(F18:F22)/SUM(C18:C22))</f>
        <v>151.96722354385585</v>
      </c>
      <c r="F23" s="1269">
        <f ca="1">SUM(F18:F22)</f>
        <v>24739687.473364118</v>
      </c>
      <c r="G23" s="797"/>
      <c r="H23" s="798"/>
      <c r="K23" s="68" t="s">
        <v>2302</v>
      </c>
      <c r="M23" s="1551">
        <f>SUMIFS(TabPerdaDIT[Valor],TabPerdaDIT[Dados de perda],"Perdas DITs")</f>
        <v>0</v>
      </c>
    </row>
    <row r="24" spans="1:23" ht="27.75" customHeight="1">
      <c r="F24" s="135"/>
      <c r="G24" s="797"/>
      <c r="H24" s="845"/>
      <c r="J24" s="72"/>
      <c r="K24" s="1270" t="s">
        <v>1203</v>
      </c>
      <c r="L24" s="1270"/>
      <c r="M24" s="1271">
        <f ca="1">SUMIF(CUSD!F6:F30,"Energia",CUSD!G6:G30)/1000-M7</f>
        <v>107222.43199</v>
      </c>
      <c r="N24" s="68">
        <f ca="1">LnkTXTEV</f>
        <v>143286.06900000005</v>
      </c>
    </row>
    <row r="25" spans="1:23">
      <c r="E25" s="93"/>
      <c r="F25" s="135"/>
      <c r="G25" s="127"/>
      <c r="H25" s="72"/>
      <c r="I25" s="72"/>
      <c r="J25" s="72"/>
      <c r="K25" s="1270" t="s">
        <v>879</v>
      </c>
      <c r="L25" s="1270"/>
      <c r="M25" s="1272">
        <f>E35+M26+C70</f>
        <v>88212.255260000005</v>
      </c>
      <c r="N25" s="781">
        <f ca="1">M24/M25-1</f>
        <v>0.21550493946638949</v>
      </c>
    </row>
    <row r="26" spans="1:23">
      <c r="A26" s="74"/>
      <c r="B26" s="894" t="s">
        <v>2195</v>
      </c>
      <c r="F26" s="91"/>
      <c r="G26" s="72"/>
      <c r="H26" s="72"/>
      <c r="I26" s="72"/>
      <c r="K26" s="1270" t="s">
        <v>1204</v>
      </c>
      <c r="L26" s="1270"/>
      <c r="M26" s="1273">
        <f>SUMIFS(Faturas!V:V,Faturas!U:U,"Proinfa*")/1000</f>
        <v>1400.6214600000001</v>
      </c>
    </row>
    <row r="27" spans="1:23" ht="24" customHeight="1">
      <c r="B27" s="1274" t="s">
        <v>27</v>
      </c>
      <c r="C27" s="1274" t="s">
        <v>955</v>
      </c>
      <c r="D27" s="1274" t="s">
        <v>1205</v>
      </c>
      <c r="E27" s="1274" t="s">
        <v>978</v>
      </c>
      <c r="F27" s="1274" t="s">
        <v>1206</v>
      </c>
      <c r="G27" s="1275" t="s">
        <v>1207</v>
      </c>
      <c r="H27" s="1275" t="s">
        <v>1208</v>
      </c>
      <c r="I27" s="1275" t="s">
        <v>1209</v>
      </c>
      <c r="K27" s="130"/>
      <c r="L27" s="130"/>
      <c r="M27" s="841"/>
      <c r="N27" s="101"/>
      <c r="O27" s="101"/>
    </row>
    <row r="28" spans="1:23">
      <c r="A28" s="74" t="s">
        <v>2319</v>
      </c>
      <c r="B28" s="525" t="s">
        <v>2320</v>
      </c>
      <c r="C28" s="525" t="s">
        <v>215</v>
      </c>
      <c r="D28" s="525">
        <f>IF(B28="","",SUMIFS(Faturas!V:V,Faturas!U:U,"Consumo*",Faturas!S:S,Energia!C28,Faturas!R:R,Energia!B28))</f>
        <v>42744947.630000003</v>
      </c>
      <c r="E28" s="525">
        <f>IF(B28="","",D28/1000)</f>
        <v>42744.947630000002</v>
      </c>
      <c r="F28" s="617">
        <f>I28</f>
        <v>0</v>
      </c>
      <c r="G28" s="526">
        <f>IFERROR(VLOOKUP(CONCATENATE(A28,A78),BD!$H$43:$S$59,12,FALSE),"")</f>
        <v>273.92</v>
      </c>
      <c r="H28" s="526">
        <f>IF(B28="","",IFERROR(G28*(1-F28),0))</f>
        <v>273.92</v>
      </c>
      <c r="I28" s="524">
        <f>IF(A78="","",_xlfn.IFNA(VLOOKUP(CONCATENATE($B$2,A28,A78),DescontosTE[[#All],[chave]:[2021]],8,FALSE),0))</f>
        <v>0</v>
      </c>
      <c r="K28" s="71" t="s">
        <v>1210</v>
      </c>
      <c r="L28" s="71"/>
      <c r="Q28" s="68" t="s">
        <v>978</v>
      </c>
      <c r="R28" s="68" t="s">
        <v>1206</v>
      </c>
      <c r="S28" s="68" t="s">
        <v>1207</v>
      </c>
      <c r="T28" s="68" t="s">
        <v>1208</v>
      </c>
      <c r="U28" s="68" t="s">
        <v>1209</v>
      </c>
    </row>
    <row r="29" spans="1:23" ht="16.5">
      <c r="A29" s="74" t="s">
        <v>2319</v>
      </c>
      <c r="B29" s="525" t="s">
        <v>2320</v>
      </c>
      <c r="C29" s="525" t="s">
        <v>2179</v>
      </c>
      <c r="D29" s="525">
        <f>IF(B29="","",SUMIFS(Faturas!V:V,Faturas!U:U,"Consumo*",Faturas!S:S,Energia!C29,Faturas!R:R,Energia!B29))</f>
        <v>29999878.170000002</v>
      </c>
      <c r="E29" s="525">
        <f>IF(B29="","",D29/1000)</f>
        <v>29999.878170000004</v>
      </c>
      <c r="F29" s="617">
        <f t="shared" ref="F29:F32" si="0">I29</f>
        <v>0</v>
      </c>
      <c r="G29" s="526">
        <f>IFERROR(VLOOKUP(CONCATENATE(A29,A79),BD!$H$43:$S$59,12,FALSE),"")</f>
        <v>273.92</v>
      </c>
      <c r="H29" s="526">
        <f t="shared" ref="H29:H34" si="1">IF(B29="","",IFERROR(G29*(1-F29),0))</f>
        <v>273.92</v>
      </c>
      <c r="I29" s="524">
        <f>IF(A79="","",_xlfn.IFNA(VLOOKUP(CONCATENATE($B$2,A29,A79),DescontosTE[[#All],[chave]:[2021]],8,FALSE),0))</f>
        <v>0</v>
      </c>
      <c r="K29" s="1276" t="s">
        <v>22</v>
      </c>
      <c r="L29" s="1277"/>
      <c r="M29" s="1277" t="s">
        <v>1211</v>
      </c>
      <c r="N29" s="1277" t="s">
        <v>1212</v>
      </c>
      <c r="O29" s="1278" t="s">
        <v>1213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6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/>
      <c r="B30" s="525"/>
      <c r="C30" s="525"/>
      <c r="D30" s="525" t="str">
        <f>IF(B30="","",SUMIFS(Faturas!V:V,Faturas!U:U,"Consumo*",Faturas!S:S,Energia!C30,Faturas!R:R,Energia!B30))</f>
        <v/>
      </c>
      <c r="E30" s="525" t="str">
        <f>IF(B30="","",D30/1000)</f>
        <v/>
      </c>
      <c r="F30" s="617" t="str">
        <f t="shared" si="0"/>
        <v/>
      </c>
      <c r="G30" s="526" t="str">
        <f>IFERROR(VLOOKUP(CONCATENATE(A30,A80),BD!$H$43:$S$59,12,FALSE),"")</f>
        <v/>
      </c>
      <c r="H30" s="526" t="str">
        <f t="shared" si="1"/>
        <v/>
      </c>
      <c r="I30" s="524" t="str">
        <f>IF(A80="","",_xlfn.IFNA(VLOOKUP(CONCATENATE($B$2,A30,A80),DescontosTE[[#All],[chave]:[2021]],8,FALSE),0))</f>
        <v/>
      </c>
      <c r="K30" s="68" t="s">
        <v>1214</v>
      </c>
      <c r="M30" s="142">
        <f>IF(J60=0,E35,(J48+J60))+C63+C64+C65+C70</f>
        <v>137597.81339107396</v>
      </c>
      <c r="N30" s="93">
        <f ca="1">LnkTXTER-LnkTXTProinfa</f>
        <v>160455.52974375244</v>
      </c>
      <c r="O30" s="212">
        <f ca="1">N30/M30</f>
        <v>1.1661197644741155</v>
      </c>
      <c r="P30" s="130"/>
      <c r="Q30" s="68">
        <v>121096.97702999999</v>
      </c>
      <c r="R30" s="68">
        <v>0.63819999999999999</v>
      </c>
      <c r="S30" s="68">
        <v>273.60000000000002</v>
      </c>
      <c r="T30" s="526" t="str">
        <f>IF(J28="","",IFERROR(S30*(1-R30),0))</f>
        <v/>
      </c>
      <c r="U30" s="142" t="e">
        <f t="shared" ref="U30" si="2">T30*Q30</f>
        <v>#VALUE!</v>
      </c>
      <c r="V30" s="68">
        <f t="shared" ref="V30" si="3">S30*Q30</f>
        <v>33132132.915408</v>
      </c>
      <c r="W30" s="142" t="e">
        <f t="shared" ref="V30:W31" si="4">V30-U30</f>
        <v>#VALUE!</v>
      </c>
    </row>
    <row r="31" spans="1:23" ht="15.75">
      <c r="A31" s="74"/>
      <c r="B31" s="525"/>
      <c r="C31" s="525"/>
      <c r="D31" s="525" t="str">
        <f>IF(B31="","",SUMIFS(Faturas!V:V,Faturas!U:U,"Consumo*",Faturas!S:S,Energia!C31,Faturas!R:R,Energia!B31))</f>
        <v/>
      </c>
      <c r="E31" s="525" t="str">
        <f t="shared" ref="E31:E34" si="5">IF(B31="","",D31/1000)</f>
        <v/>
      </c>
      <c r="F31" s="617" t="str">
        <f t="shared" si="0"/>
        <v/>
      </c>
      <c r="G31" s="526" t="str">
        <f>IFERROR(VLOOKUP(CONCATENATE(A31,A81),BD!$H$43:$S$59,12,FALSE),"")</f>
        <v/>
      </c>
      <c r="H31" s="526" t="str">
        <f t="shared" si="1"/>
        <v/>
      </c>
      <c r="I31" s="524" t="str">
        <f>IF(A81="","",_xlfn.IFNA(VLOOKUP(CONCATENATE($B$2,A31,A81),DescontosTE[[#All],[chave]:[2021]],8,FALSE),0))</f>
        <v/>
      </c>
      <c r="K31" s="828"/>
      <c r="L31" s="830"/>
      <c r="M31" s="829"/>
      <c r="N31" s="831"/>
      <c r="O31" s="130"/>
      <c r="P31" s="68">
        <v>252593.90320000003</v>
      </c>
      <c r="Q31" s="68">
        <v>0.53600000000000003</v>
      </c>
      <c r="R31" s="68">
        <v>273.60000000000002</v>
      </c>
      <c r="S31" s="526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3" ht="15.75">
      <c r="A32" s="74"/>
      <c r="B32" s="525"/>
      <c r="C32" s="525"/>
      <c r="D32" s="525" t="str">
        <f>IF(B32="","",SUMIFS(Faturas!V:V,Faturas!U:U,"Consumo*",Faturas!S:S,Energia!C32,Faturas!R:R,Energia!B32))</f>
        <v/>
      </c>
      <c r="E32" s="525" t="str">
        <f t="shared" si="5"/>
        <v/>
      </c>
      <c r="F32" s="617" t="str">
        <f t="shared" si="0"/>
        <v/>
      </c>
      <c r="G32" s="526" t="str">
        <f>IFERROR(VLOOKUP(CONCATENATE(A32,A82),BD!$H$43:$S$59,12,FALSE),"")</f>
        <v/>
      </c>
      <c r="H32" s="526" t="str">
        <f t="shared" si="1"/>
        <v/>
      </c>
      <c r="I32" s="524" t="str">
        <f>IF(A82="","",_xlfn.IFNA(VLOOKUP(CONCATENATE($B$2,A32,A82),DescontosTE[[#All],[chave]:[2021]],8,FALSE),0))</f>
        <v/>
      </c>
      <c r="K32" s="1793"/>
      <c r="L32" s="1793"/>
      <c r="M32" s="832"/>
      <c r="N32" s="832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5"/>
      <c r="C33" s="525"/>
      <c r="D33" s="525"/>
      <c r="E33" s="525" t="str">
        <f t="shared" si="5"/>
        <v/>
      </c>
      <c r="F33" s="617" t="str">
        <f t="shared" ref="F33:F34" si="6">IF(B33="","",I33)</f>
        <v/>
      </c>
      <c r="G33" s="526" t="str">
        <f>IFERROR(VLOOKUP(CONCATENATE(A33,A83),BD!$H$43:$S$59,12,FALSE),"")</f>
        <v/>
      </c>
      <c r="H33" s="526" t="str">
        <f t="shared" si="1"/>
        <v/>
      </c>
      <c r="I33" s="524" t="str">
        <f>IF(A83="","",_xlfn.IFNA(VLOOKUP(CONCATENATE($B$2,A33,A83),DescontosTE[[#All],[chave]:[2021]],8,FALSE),0))</f>
        <v/>
      </c>
      <c r="K33" s="833"/>
      <c r="L33" s="834"/>
      <c r="M33" s="832"/>
      <c r="N33" s="830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5"/>
      <c r="C34" s="525"/>
      <c r="D34" s="525" t="str">
        <f>IF(B34="","",SUMIFS(Faturas!V:V,Faturas!U:U,"Consumo*",Faturas!S:S,Energia!C34,Faturas!R:R,Energia!B34))</f>
        <v/>
      </c>
      <c r="E34" s="525" t="str">
        <f t="shared" si="5"/>
        <v/>
      </c>
      <c r="F34" s="617" t="str">
        <f t="shared" si="6"/>
        <v/>
      </c>
      <c r="G34" s="526" t="str">
        <f>IFERROR(VLOOKUP(CONCATENATE(A34,A84),BD!$H$43:$S$59,12,FALSE),"")</f>
        <v/>
      </c>
      <c r="H34" s="526" t="str">
        <f t="shared" si="1"/>
        <v/>
      </c>
      <c r="I34" s="524" t="str">
        <f>IF(A84="","",_xlfn.IFNA(VLOOKUP(CONCATENATE($B$2,A34,A84),DescontosTE[[#All],[chave]:[2021]],8,FALSE),0))</f>
        <v/>
      </c>
      <c r="K34" s="1642" t="s">
        <v>2342</v>
      </c>
      <c r="L34" s="1643"/>
      <c r="M34" s="779"/>
      <c r="N34" s="101"/>
      <c r="O34" s="130"/>
      <c r="V34" s="142" t="e">
        <f>V32+V33</f>
        <v>#VALUE!</v>
      </c>
    </row>
    <row r="35" spans="1:22" ht="14.25" customHeight="1">
      <c r="A35" s="74"/>
      <c r="B35" s="761"/>
      <c r="C35" s="762"/>
      <c r="D35" s="763">
        <f>SUM(D28:D34)</f>
        <v>72744825.800000012</v>
      </c>
      <c r="E35" s="763">
        <f>SUM(E28:E34)</f>
        <v>72744.825800000006</v>
      </c>
      <c r="F35" s="760"/>
      <c r="G35" s="757">
        <f>IFERROR(SUMPRODUCT(G28:G34,E28:E34)/SUM(E28:E34),0)</f>
        <v>273.92</v>
      </c>
      <c r="H35" s="758">
        <f>IFERROR(SUMPRODUCT(H28:H34,E28:E34)/SUM(E28:E34),0)</f>
        <v>273.92</v>
      </c>
      <c r="I35" s="757"/>
      <c r="K35" s="1644" t="s">
        <v>2343</v>
      </c>
      <c r="L35" s="1645">
        <f ca="1">(L16+L17+L18+L19)/LnkTXTEV</f>
        <v>0.17623546377104793</v>
      </c>
      <c r="M35" s="779"/>
      <c r="N35" s="780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94" t="s">
        <v>2192</v>
      </c>
      <c r="C37" s="68"/>
      <c r="J37" s="74"/>
      <c r="O37" s="130"/>
    </row>
    <row r="38" spans="1:22" ht="24" customHeight="1">
      <c r="A38" s="74"/>
      <c r="C38" s="68"/>
      <c r="J38" s="74"/>
      <c r="K38" s="1633"/>
      <c r="L38" s="1634"/>
      <c r="O38" s="130"/>
    </row>
    <row r="39" spans="1:22" ht="24" customHeight="1">
      <c r="A39" s="74"/>
      <c r="B39" s="894" t="s">
        <v>2193</v>
      </c>
      <c r="C39" s="69"/>
      <c r="G39" s="137"/>
      <c r="J39" s="68">
        <f>G94</f>
        <v>1326.42</v>
      </c>
      <c r="K39" s="892"/>
      <c r="L39" s="1634"/>
      <c r="O39" s="130"/>
    </row>
    <row r="40" spans="1:22" ht="24" customHeight="1">
      <c r="A40" s="74"/>
      <c r="B40" s="1279" t="s">
        <v>855</v>
      </c>
      <c r="C40" s="1280"/>
      <c r="D40" s="1281"/>
      <c r="E40" s="1280"/>
      <c r="F40" s="1280"/>
      <c r="G40" s="1280"/>
      <c r="H40" s="1280"/>
      <c r="I40" s="1280"/>
      <c r="J40" s="1280" t="s">
        <v>978</v>
      </c>
      <c r="K40" s="1280" t="s">
        <v>1219</v>
      </c>
      <c r="L40" s="1280" t="s">
        <v>1220</v>
      </c>
      <c r="M40" s="1280" t="s">
        <v>1221</v>
      </c>
      <c r="N40" s="1280" t="s">
        <v>1222</v>
      </c>
      <c r="O40" s="130"/>
    </row>
    <row r="41" spans="1:22" ht="24" customHeight="1">
      <c r="A41" s="74"/>
      <c r="B41" s="1544" t="str">
        <f>B28</f>
        <v>RGE SUL DISTRIBUIDORA DE ENERGIA S.A.</v>
      </c>
      <c r="C41" s="1544"/>
      <c r="D41" s="1544"/>
      <c r="E41" s="1545"/>
      <c r="F41" s="1546"/>
      <c r="G41" s="1547"/>
      <c r="H41" s="1548"/>
      <c r="I41" s="1545"/>
      <c r="J41" s="1544">
        <f>G94</f>
        <v>1326.42</v>
      </c>
      <c r="K41" s="1549">
        <f>H28</f>
        <v>273.92</v>
      </c>
      <c r="L41" s="826">
        <f>IFERROR(J41*K41,0)</f>
        <v>363332.96640000003</v>
      </c>
      <c r="M41" s="835">
        <f t="shared" ref="M41:M47" ca="1" si="7">IFERROR(J41*$O$30,0)</f>
        <v>1546.7645779937563</v>
      </c>
      <c r="N41" s="826">
        <f ca="1">IFERROR(K41*M41,0)</f>
        <v>423689.75320404978</v>
      </c>
      <c r="O41" s="130"/>
    </row>
    <row r="42" spans="1:22" ht="24" customHeight="1">
      <c r="A42" s="74"/>
      <c r="B42" s="1544"/>
      <c r="C42" s="1544"/>
      <c r="D42" s="1544"/>
      <c r="E42" s="1545"/>
      <c r="F42" s="1546"/>
      <c r="G42" s="1547"/>
      <c r="H42" s="1548"/>
      <c r="I42" s="1550"/>
      <c r="J42" s="1544"/>
      <c r="K42" s="1549">
        <f>H8</f>
        <v>0</v>
      </c>
      <c r="L42" s="826">
        <f>IFERROR(J42*K42,0)</f>
        <v>0</v>
      </c>
      <c r="M42" s="835">
        <f t="shared" ca="1" si="7"/>
        <v>0</v>
      </c>
      <c r="N42" s="826">
        <f ca="1">IFERROR(K42*M42,0)</f>
        <v>0</v>
      </c>
      <c r="O42" s="130"/>
    </row>
    <row r="43" spans="1:22" ht="24" customHeight="1">
      <c r="A43" s="74"/>
      <c r="B43" s="1544"/>
      <c r="C43" s="1544"/>
      <c r="D43" s="1544" t="s">
        <v>138</v>
      </c>
      <c r="E43" s="1545" t="str">
        <f t="shared" ref="E43:E47" si="8">IF(B43="","",D43/1000)</f>
        <v/>
      </c>
      <c r="F43" s="1546" t="str">
        <f>IF(B43="","",I43)</f>
        <v/>
      </c>
      <c r="G43" s="1547" t="s">
        <v>138</v>
      </c>
      <c r="H43" s="1548">
        <v>0</v>
      </c>
      <c r="I43" s="1545">
        <v>0</v>
      </c>
      <c r="J43" s="1544"/>
      <c r="K43" s="1549">
        <f>IFERROR(E43*(VLOOKUP(EDATE(G43,-1),Índices!#REF!,3,FALSE)/VLOOKUP(EDATE(F43,-1),Índices!#REF!,3,FALSE)),0)</f>
        <v>0</v>
      </c>
      <c r="L43" s="826">
        <f t="shared" ref="L43:L47" si="9">J43*K43</f>
        <v>0</v>
      </c>
      <c r="M43" s="835">
        <f t="shared" ca="1" si="7"/>
        <v>0</v>
      </c>
      <c r="N43" s="826">
        <f t="shared" ref="N43:N47" ca="1" si="10">K43*M43</f>
        <v>0</v>
      </c>
      <c r="O43" s="130"/>
    </row>
    <row r="44" spans="1:22" ht="24" customHeight="1">
      <c r="A44" s="74"/>
      <c r="B44" s="1544"/>
      <c r="C44" s="1544"/>
      <c r="D44" s="1544" t="s">
        <v>138</v>
      </c>
      <c r="E44" s="1545" t="str">
        <f t="shared" si="8"/>
        <v/>
      </c>
      <c r="F44" s="1546" t="str">
        <f>IF(B44="","",I44)</f>
        <v/>
      </c>
      <c r="G44" s="1547" t="s">
        <v>138</v>
      </c>
      <c r="H44" s="1548">
        <v>0</v>
      </c>
      <c r="I44" s="1545">
        <v>0</v>
      </c>
      <c r="J44" s="1544"/>
      <c r="K44" s="1549">
        <f>IFERROR(E44*(VLOOKUP(EDATE(G44,-1),Índices!#REF!,3,FALSE)/VLOOKUP(EDATE(F44,-1),Índices!#REF!,3,FALSE)),0)</f>
        <v>0</v>
      </c>
      <c r="L44" s="826">
        <f t="shared" si="9"/>
        <v>0</v>
      </c>
      <c r="M44" s="835">
        <f t="shared" ca="1" si="7"/>
        <v>0</v>
      </c>
      <c r="N44" s="826">
        <f ca="1">K44*M44</f>
        <v>0</v>
      </c>
      <c r="O44" s="130"/>
    </row>
    <row r="45" spans="1:22" ht="24" customHeight="1">
      <c r="A45" s="74"/>
      <c r="B45" s="1544"/>
      <c r="C45" s="1544"/>
      <c r="D45" s="1544" t="s">
        <v>138</v>
      </c>
      <c r="E45" s="1545" t="str">
        <f t="shared" si="8"/>
        <v/>
      </c>
      <c r="F45" s="1546" t="str">
        <f>IF(B45="","",I45)</f>
        <v/>
      </c>
      <c r="G45" s="1547" t="s">
        <v>138</v>
      </c>
      <c r="H45" s="1548">
        <v>0</v>
      </c>
      <c r="I45" s="1545">
        <v>0</v>
      </c>
      <c r="J45" s="1544"/>
      <c r="K45" s="1549">
        <f>IFERROR(E45*(VLOOKUP(EDATE(G45,-1),Índices!#REF!,3,FALSE)/VLOOKUP(EDATE(F45,-1),Índices!#REF!,3,FALSE)),0)</f>
        <v>0</v>
      </c>
      <c r="L45" s="826">
        <f t="shared" si="9"/>
        <v>0</v>
      </c>
      <c r="M45" s="835">
        <f t="shared" ca="1" si="7"/>
        <v>0</v>
      </c>
      <c r="N45" s="826">
        <f t="shared" ca="1" si="10"/>
        <v>0</v>
      </c>
      <c r="O45" s="130"/>
    </row>
    <row r="46" spans="1:22" ht="24" customHeight="1">
      <c r="A46" s="74"/>
      <c r="B46" s="1544"/>
      <c r="C46" s="1544"/>
      <c r="D46" s="1544" t="s">
        <v>138</v>
      </c>
      <c r="E46" s="1545" t="str">
        <f t="shared" si="8"/>
        <v/>
      </c>
      <c r="F46" s="1546" t="str">
        <f>IF(B46="","",I46)</f>
        <v/>
      </c>
      <c r="G46" s="1547" t="s">
        <v>138</v>
      </c>
      <c r="H46" s="1548">
        <v>0</v>
      </c>
      <c r="I46" s="1545">
        <v>0</v>
      </c>
      <c r="J46" s="1544"/>
      <c r="K46" s="1549">
        <f>IFERROR(E46*(VLOOKUP(EDATE(G46,-1),Índices!#REF!,3,FALSE)/VLOOKUP(EDATE(F46,-1),Índices!#REF!,3,FALSE)),0)</f>
        <v>0</v>
      </c>
      <c r="L46" s="826">
        <f t="shared" si="9"/>
        <v>0</v>
      </c>
      <c r="M46" s="835">
        <f t="shared" ca="1" si="7"/>
        <v>0</v>
      </c>
      <c r="N46" s="826">
        <f t="shared" ca="1" si="10"/>
        <v>0</v>
      </c>
      <c r="O46" s="130"/>
    </row>
    <row r="47" spans="1:22" ht="24" customHeight="1">
      <c r="A47" s="74"/>
      <c r="B47" s="1544"/>
      <c r="C47" s="1544"/>
      <c r="D47" s="1544" t="s">
        <v>138</v>
      </c>
      <c r="E47" s="1545" t="str">
        <f t="shared" si="8"/>
        <v/>
      </c>
      <c r="F47" s="1546" t="str">
        <f>IF(B47="","",I47)</f>
        <v/>
      </c>
      <c r="G47" s="1547" t="s">
        <v>138</v>
      </c>
      <c r="H47" s="1548">
        <v>0</v>
      </c>
      <c r="I47" s="1545">
        <v>0</v>
      </c>
      <c r="J47" s="1544"/>
      <c r="K47" s="1549">
        <f>IFERROR(E47*(VLOOKUP(EDATE(G47,-1),Índices!#REF!,3,FALSE)/VLOOKUP(EDATE(F47,-1),Índices!#REF!,3,FALSE)),0)</f>
        <v>0</v>
      </c>
      <c r="L47" s="826">
        <f t="shared" si="9"/>
        <v>0</v>
      </c>
      <c r="M47" s="835">
        <f t="shared" ca="1" si="7"/>
        <v>0</v>
      </c>
      <c r="N47" s="826">
        <f t="shared" ca="1" si="10"/>
        <v>0</v>
      </c>
      <c r="O47" s="130"/>
    </row>
    <row r="48" spans="1:22" ht="24" customHeight="1">
      <c r="A48" s="74"/>
      <c r="B48" s="1282" t="s">
        <v>846</v>
      </c>
      <c r="C48" s="1283"/>
      <c r="D48" s="1283"/>
      <c r="E48" s="1282"/>
      <c r="F48" s="1282"/>
      <c r="G48" s="1284"/>
      <c r="H48" s="1282"/>
      <c r="I48" s="1282"/>
      <c r="J48" s="1285">
        <f>SUM(J41:J47)</f>
        <v>1326.42</v>
      </c>
      <c r="K48" s="1630">
        <f ca="1">IFERROR(SUMPRODUCT(K41:K47,M41:M47)/SUM(M41:M47),0)</f>
        <v>273.92</v>
      </c>
      <c r="L48" s="1282"/>
      <c r="M48" s="1287">
        <f ca="1">SUM(M41:M47)</f>
        <v>1546.7645779937563</v>
      </c>
      <c r="N48" s="1287">
        <f ca="1">SUM(N41:N47)</f>
        <v>423689.75320404978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94" t="s">
        <v>2194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79" t="s">
        <v>855</v>
      </c>
      <c r="C52" s="1280" t="s">
        <v>1215</v>
      </c>
      <c r="D52" s="1281"/>
      <c r="E52" s="1280" t="s">
        <v>62</v>
      </c>
      <c r="F52" s="1631" t="s">
        <v>61</v>
      </c>
      <c r="G52" s="1631" t="s">
        <v>1216</v>
      </c>
      <c r="H52" s="1631" t="s">
        <v>1217</v>
      </c>
      <c r="I52" s="1631" t="s">
        <v>1218</v>
      </c>
      <c r="J52" s="1631" t="s">
        <v>978</v>
      </c>
      <c r="K52" s="1631" t="s">
        <v>1219</v>
      </c>
      <c r="L52" s="1631" t="s">
        <v>1220</v>
      </c>
      <c r="M52" s="1631" t="s">
        <v>1221</v>
      </c>
      <c r="N52" s="1280" t="s">
        <v>1222</v>
      </c>
      <c r="O52" s="130"/>
      <c r="V52" s="142" t="e">
        <f>V34-V51</f>
        <v>#VALUE!</v>
      </c>
    </row>
    <row r="53" spans="1:22" ht="18" customHeight="1">
      <c r="A53" s="74"/>
      <c r="B53" s="1544" t="s">
        <v>2338</v>
      </c>
      <c r="C53" s="1544" t="s">
        <v>2339</v>
      </c>
      <c r="D53" s="1544"/>
      <c r="E53" s="1545">
        <v>133.88</v>
      </c>
      <c r="F53" s="1546">
        <v>44105</v>
      </c>
      <c r="G53" s="1547">
        <v>44562</v>
      </c>
      <c r="H53" s="1548">
        <v>9.6999999999999993</v>
      </c>
      <c r="I53" s="1545">
        <v>365</v>
      </c>
      <c r="J53" s="1544">
        <f>H53*I53*24</f>
        <v>84971.999999999985</v>
      </c>
      <c r="K53" s="1549">
        <f>IFERROR(E53*(VLOOKUP(EDATE(G53,-1),Índices!B5:D499,3,FALSE)/VLOOKUP(EDATE(F53,-1),Índices!B5:D499,3,FALSE)),0)</f>
        <v>151.96382532572912</v>
      </c>
      <c r="L53" s="826">
        <f>IFERROR(J53*K53,0)</f>
        <v>12912670.165577853</v>
      </c>
      <c r="M53" s="835">
        <f t="shared" ref="M53:M59" ca="1" si="11">IFERROR(J53*$O$30,0)</f>
        <v>99087.52862689452</v>
      </c>
      <c r="N53" s="826">
        <f ca="1">IFERROR(K53*M53,0)</f>
        <v>15057719.892215582</v>
      </c>
      <c r="O53" s="136"/>
    </row>
    <row r="54" spans="1:22">
      <c r="B54" s="1544"/>
      <c r="C54" s="1544"/>
      <c r="D54" s="1544"/>
      <c r="E54" s="1545"/>
      <c r="F54" s="1546"/>
      <c r="G54" s="1547"/>
      <c r="H54" s="1548">
        <v>0</v>
      </c>
      <c r="I54" s="1550">
        <v>0</v>
      </c>
      <c r="J54" s="1544"/>
      <c r="K54" s="1549">
        <f>IFERROR(E54*(VLOOKUP(EDATE(G54,-1),Índices!B6:D500,3,FALSE)/VLOOKUP(EDATE(F54,-1),Índices!B6:D500,3,FALSE)),0)</f>
        <v>0</v>
      </c>
      <c r="L54" s="826">
        <f>IFERROR(J54*K54,0)</f>
        <v>0</v>
      </c>
      <c r="M54" s="835">
        <f t="shared" ca="1" si="11"/>
        <v>0</v>
      </c>
      <c r="N54" s="826">
        <f ca="1">IFERROR(K54*M54,0)</f>
        <v>0</v>
      </c>
      <c r="V54" s="68">
        <v>7728827.6146981604</v>
      </c>
    </row>
    <row r="55" spans="1:22">
      <c r="B55" s="1544"/>
      <c r="C55" s="1544"/>
      <c r="D55" s="1544" t="s">
        <v>138</v>
      </c>
      <c r="E55" s="1545" t="str">
        <f t="shared" ref="E55:E59" si="12">IF(B55="","",D55/1000)</f>
        <v/>
      </c>
      <c r="F55" s="1546" t="str">
        <f>IF(B55="","",I55)</f>
        <v/>
      </c>
      <c r="G55" s="1547" t="s">
        <v>138</v>
      </c>
      <c r="H55" s="1548">
        <v>0</v>
      </c>
      <c r="I55" s="1545">
        <v>0</v>
      </c>
      <c r="J55" s="1544"/>
      <c r="K55" s="1549">
        <f>IFERROR(E55*(VLOOKUP(EDATE(G55,-1),Índices!B7:D501,3,FALSE)/VLOOKUP(EDATE(F55,-1),Índices!B7:D501,3,FALSE)),0)</f>
        <v>0</v>
      </c>
      <c r="L55" s="826">
        <f t="shared" ref="L55:L59" si="13">J55*K55</f>
        <v>0</v>
      </c>
      <c r="M55" s="835">
        <f t="shared" ca="1" si="11"/>
        <v>0</v>
      </c>
      <c r="N55" s="826">
        <f t="shared" ref="N55:N59" ca="1" si="14">K55*M55</f>
        <v>0</v>
      </c>
    </row>
    <row r="56" spans="1:22">
      <c r="B56" s="1544"/>
      <c r="C56" s="1544"/>
      <c r="D56" s="1544" t="s">
        <v>138</v>
      </c>
      <c r="E56" s="1545" t="str">
        <f t="shared" si="12"/>
        <v/>
      </c>
      <c r="F56" s="1546" t="str">
        <f>IF(B56="","",I56)</f>
        <v/>
      </c>
      <c r="G56" s="1547" t="s">
        <v>138</v>
      </c>
      <c r="H56" s="1548">
        <v>0</v>
      </c>
      <c r="I56" s="1545">
        <v>0</v>
      </c>
      <c r="J56" s="1544"/>
      <c r="K56" s="1549">
        <f>IFERROR(E56*(VLOOKUP(EDATE(G56,-1),Índices!B8:D502,3,FALSE)/VLOOKUP(EDATE(F56,-1),Índices!B8:D502,3,FALSE)),0)</f>
        <v>0</v>
      </c>
      <c r="L56" s="826">
        <f t="shared" si="13"/>
        <v>0</v>
      </c>
      <c r="M56" s="835">
        <f t="shared" ca="1" si="11"/>
        <v>0</v>
      </c>
      <c r="N56" s="826">
        <f t="shared" ca="1" si="14"/>
        <v>0</v>
      </c>
      <c r="V56" s="142" t="e">
        <f>V52+V54</f>
        <v>#VALUE!</v>
      </c>
    </row>
    <row r="57" spans="1:22">
      <c r="B57" s="1544"/>
      <c r="C57" s="1544"/>
      <c r="D57" s="1544" t="s">
        <v>138</v>
      </c>
      <c r="E57" s="1545" t="str">
        <f t="shared" si="12"/>
        <v/>
      </c>
      <c r="F57" s="1546" t="str">
        <f>IF(B57="","",I57)</f>
        <v/>
      </c>
      <c r="G57" s="1547" t="s">
        <v>138</v>
      </c>
      <c r="H57" s="1548">
        <v>0</v>
      </c>
      <c r="I57" s="1545">
        <v>0</v>
      </c>
      <c r="J57" s="1544"/>
      <c r="K57" s="1549">
        <f>IFERROR(E57*(VLOOKUP(EDATE(G57,-1),Índices!B9:D503,3,FALSE)/VLOOKUP(EDATE(F57,-1),Índices!B9:D503,3,FALSE)),0)</f>
        <v>0</v>
      </c>
      <c r="L57" s="826">
        <f t="shared" si="13"/>
        <v>0</v>
      </c>
      <c r="M57" s="835">
        <f t="shared" ca="1" si="11"/>
        <v>0</v>
      </c>
      <c r="N57" s="826">
        <f t="shared" ca="1" si="14"/>
        <v>0</v>
      </c>
    </row>
    <row r="58" spans="1:22">
      <c r="B58" s="1544"/>
      <c r="C58" s="1544"/>
      <c r="D58" s="1544" t="s">
        <v>138</v>
      </c>
      <c r="E58" s="1545" t="str">
        <f t="shared" si="12"/>
        <v/>
      </c>
      <c r="F58" s="1546" t="str">
        <f>IF(B58="","",I58)</f>
        <v/>
      </c>
      <c r="G58" s="1547" t="s">
        <v>138</v>
      </c>
      <c r="H58" s="1548">
        <v>0</v>
      </c>
      <c r="I58" s="1545">
        <v>0</v>
      </c>
      <c r="J58" s="1544"/>
      <c r="K58" s="1549">
        <f>IFERROR(E58*(VLOOKUP(EDATE(G58,-1),Índices!B10:D504,3,FALSE)/VLOOKUP(EDATE(F58,-1),Índices!B10:D504,3,FALSE)),0)</f>
        <v>0</v>
      </c>
      <c r="L58" s="826">
        <f t="shared" si="13"/>
        <v>0</v>
      </c>
      <c r="M58" s="835">
        <f t="shared" ca="1" si="11"/>
        <v>0</v>
      </c>
      <c r="N58" s="826">
        <f t="shared" ca="1" si="14"/>
        <v>0</v>
      </c>
    </row>
    <row r="59" spans="1:22">
      <c r="B59" s="1544"/>
      <c r="C59" s="1544"/>
      <c r="D59" s="1544" t="s">
        <v>138</v>
      </c>
      <c r="E59" s="1545" t="str">
        <f t="shared" si="12"/>
        <v/>
      </c>
      <c r="F59" s="1546" t="str">
        <f>IF(B59="","",I59)</f>
        <v/>
      </c>
      <c r="G59" s="1547" t="s">
        <v>138</v>
      </c>
      <c r="H59" s="1548">
        <v>0</v>
      </c>
      <c r="I59" s="1545">
        <v>0</v>
      </c>
      <c r="J59" s="1544"/>
      <c r="K59" s="1549">
        <f>IFERROR(E59*(VLOOKUP(EDATE(G59,-1),Índices!B11:D505,3,FALSE)/VLOOKUP(EDATE(F59,-1),Índices!B11:D505,3,FALSE)),0)</f>
        <v>0</v>
      </c>
      <c r="L59" s="826">
        <f t="shared" si="13"/>
        <v>0</v>
      </c>
      <c r="M59" s="835">
        <f t="shared" ca="1" si="11"/>
        <v>0</v>
      </c>
      <c r="N59" s="826">
        <f t="shared" ca="1" si="14"/>
        <v>0</v>
      </c>
    </row>
    <row r="60" spans="1:22">
      <c r="B60" s="1282" t="s">
        <v>846</v>
      </c>
      <c r="C60" s="1283"/>
      <c r="D60" s="1283"/>
      <c r="E60" s="1282"/>
      <c r="F60" s="1282"/>
      <c r="G60" s="1284"/>
      <c r="H60" s="1282"/>
      <c r="I60" s="1282"/>
      <c r="J60" s="1285">
        <f>SUM(J53:J59)</f>
        <v>84971.999999999985</v>
      </c>
      <c r="K60" s="1286">
        <f ca="1">IFERROR(SUMPRODUCT(K53:K59,M53:M59)/SUM(M53:M59),0)</f>
        <v>151.96382532572912</v>
      </c>
      <c r="L60" s="1282"/>
      <c r="M60" s="1287">
        <f ca="1">SUM(M53:M59)</f>
        <v>99087.52862689452</v>
      </c>
      <c r="N60" s="1287">
        <f ca="1">SUM(N53:N59)</f>
        <v>15057719.892215582</v>
      </c>
    </row>
    <row r="61" spans="1:22">
      <c r="C61" s="424"/>
      <c r="D61" s="424"/>
      <c r="E61" s="424"/>
      <c r="K61" s="68" t="s">
        <v>2197</v>
      </c>
    </row>
    <row r="62" spans="1:22" ht="15.75">
      <c r="B62" s="1288" t="s">
        <v>1223</v>
      </c>
      <c r="C62" s="1289" t="s">
        <v>1224</v>
      </c>
      <c r="D62" s="1290"/>
      <c r="E62" s="1291" t="s">
        <v>1225</v>
      </c>
      <c r="F62" s="1291" t="s">
        <v>1226</v>
      </c>
      <c r="H62" s="1292" t="s">
        <v>1227</v>
      </c>
      <c r="I62" s="1293" t="s">
        <v>42</v>
      </c>
      <c r="J62" s="1294" t="s">
        <v>43</v>
      </c>
      <c r="K62" s="1295" t="s">
        <v>1195</v>
      </c>
    </row>
    <row r="63" spans="1:22" ht="15.75">
      <c r="B63" s="78" t="s">
        <v>1228</v>
      </c>
      <c r="C63" s="842">
        <f>IF(ISERROR(VLOOKUP("Angra",AngraCota[],5,FALSE)),0,VLOOKUP("Angra",AngraCota[],5,FALSE))</f>
        <v>4029.9285012328069</v>
      </c>
      <c r="D63" s="843">
        <f t="shared" ref="D63:D65" si="15">E63</f>
        <v>349.15</v>
      </c>
      <c r="E63" s="825">
        <f>IFERROR(VLOOKUP("Angra",AngraCota[],4,FALSE),0)</f>
        <v>349.15</v>
      </c>
      <c r="F63" s="108">
        <f>C63*E63</f>
        <v>1407049.5362054345</v>
      </c>
      <c r="H63" s="1296" t="s">
        <v>1229</v>
      </c>
      <c r="I63" s="1635">
        <f>I71</f>
        <v>0.88500000000000001</v>
      </c>
      <c r="J63" s="1636">
        <f>J71</f>
        <v>195.04</v>
      </c>
      <c r="K63" s="1297">
        <f>(J63*(1-I63)*(C64+C65))</f>
        <v>744722.31297638163</v>
      </c>
    </row>
    <row r="64" spans="1:22" ht="15.75">
      <c r="B64" s="78" t="s">
        <v>1229</v>
      </c>
      <c r="C64" s="842">
        <f>BD!AE22</f>
        <v>14627.936281768692</v>
      </c>
      <c r="D64" s="843">
        <f t="shared" si="15"/>
        <v>152.32259148708852</v>
      </c>
      <c r="E64" s="1637">
        <f>BD!AG22</f>
        <v>152.32259148708852</v>
      </c>
      <c r="F64" s="108">
        <f>C64*E64</f>
        <v>2228165.1625470133</v>
      </c>
      <c r="H64" s="836" t="s">
        <v>1230</v>
      </c>
      <c r="I64" s="837">
        <f>I63</f>
        <v>0.88500000000000001</v>
      </c>
      <c r="J64" s="838">
        <f>J63</f>
        <v>195.04</v>
      </c>
      <c r="K64" s="839"/>
    </row>
    <row r="65" spans="1:11" ht="15.75">
      <c r="B65" s="78" t="s">
        <v>1229</v>
      </c>
      <c r="C65" s="842">
        <f>BD!AE23</f>
        <v>18574.720608072483</v>
      </c>
      <c r="D65" s="843">
        <f t="shared" si="15"/>
        <v>139.94336527101675</v>
      </c>
      <c r="E65" s="1637">
        <f>BD!AG23</f>
        <v>139.94336527101675</v>
      </c>
      <c r="F65" s="108">
        <f>C65*E65</f>
        <v>2599408.9108625697</v>
      </c>
      <c r="H65" s="840" t="s">
        <v>1231</v>
      </c>
      <c r="I65" s="837">
        <f>I64</f>
        <v>0.88500000000000001</v>
      </c>
      <c r="J65" s="838">
        <f>J64</f>
        <v>195.04</v>
      </c>
      <c r="K65" s="839">
        <f>(J65*(1-I65)*I68*K68*365*24)</f>
        <v>1606796.3401928607</v>
      </c>
    </row>
    <row r="66" spans="1:11" ht="15.75">
      <c r="B66" s="827"/>
      <c r="C66" s="827">
        <f>SUM(C63:C65)</f>
        <v>37232.585391073982</v>
      </c>
      <c r="D66" s="827"/>
      <c r="E66" s="827"/>
      <c r="F66" s="827">
        <f>SUM(F63:F65)</f>
        <v>6234623.6096150177</v>
      </c>
      <c r="H66" s="821" t="s">
        <v>1232</v>
      </c>
      <c r="I66" s="1298"/>
      <c r="J66" s="1299"/>
      <c r="K66" s="1300">
        <f>SUM(K63:K65)</f>
        <v>2351518.6531692422</v>
      </c>
    </row>
    <row r="67" spans="1:11" ht="15.75">
      <c r="H67" s="1794" t="s">
        <v>45</v>
      </c>
      <c r="I67" s="1794"/>
      <c r="J67" s="1301"/>
      <c r="K67" s="1301" t="s">
        <v>44</v>
      </c>
    </row>
    <row r="68" spans="1:11" ht="15.75">
      <c r="C68" s="124">
        <f ca="1">+C64*O30</f>
        <v>17057.925611638475</v>
      </c>
      <c r="H68" s="822" t="str">
        <f>CAPA!C9</f>
        <v>Cermissões</v>
      </c>
      <c r="I68" s="844" cm="1">
        <f t="array" ref="I68">GSFRH[Fator de rateio]</f>
        <v>5.5481140000000003E-4</v>
      </c>
      <c r="J68" s="948">
        <f>J63</f>
        <v>195.04</v>
      </c>
      <c r="K68" s="823" cm="1">
        <f t="array" ref="K68">GSFRH[MWm repactuado]</f>
        <v>14739.74</v>
      </c>
    </row>
    <row r="69" spans="1:11" ht="15">
      <c r="B69" s="1288" t="s">
        <v>1233</v>
      </c>
      <c r="C69" s="1289" t="s">
        <v>1224</v>
      </c>
      <c r="D69" s="1290"/>
      <c r="E69" s="1291" t="s">
        <v>1225</v>
      </c>
      <c r="F69" s="1291" t="s">
        <v>1226</v>
      </c>
    </row>
    <row r="70" spans="1:11">
      <c r="B70" s="78" t="s">
        <v>1234</v>
      </c>
      <c r="C70" s="842">
        <f>CAPA!D58</f>
        <v>14066.808000000001</v>
      </c>
      <c r="D70" s="843">
        <f t="shared" ref="D70" si="16">E70</f>
        <v>121.19059799875039</v>
      </c>
      <c r="E70" s="825">
        <f>CAPA!E58</f>
        <v>121.19059799875039</v>
      </c>
      <c r="F70" s="108">
        <f>C70*E70</f>
        <v>1704764.8734536062</v>
      </c>
    </row>
    <row r="71" spans="1:11">
      <c r="B71" s="78"/>
      <c r="C71" s="842"/>
      <c r="D71" s="843"/>
      <c r="E71" s="825"/>
      <c r="F71" s="108"/>
      <c r="I71" s="398">
        <v>0.88500000000000001</v>
      </c>
      <c r="J71" s="142">
        <v>195.04</v>
      </c>
    </row>
    <row r="72" spans="1:11">
      <c r="B72" s="827"/>
      <c r="C72" s="827">
        <f>SUM(C70:C71)</f>
        <v>14066.808000000001</v>
      </c>
      <c r="D72" s="827"/>
      <c r="E72" s="827"/>
      <c r="F72" s="827">
        <f>SUM(F70:F71)</f>
        <v>1704764.8734536062</v>
      </c>
      <c r="J72" s="142"/>
    </row>
    <row r="77" spans="1:11">
      <c r="A77" s="68" t="s">
        <v>1235</v>
      </c>
    </row>
    <row r="78" spans="1:11">
      <c r="A78" s="68" t="str">
        <f>TRIM(LEFT(C28,3))</f>
        <v>A3</v>
      </c>
    </row>
    <row r="79" spans="1:11">
      <c r="A79" s="68" t="str">
        <f t="shared" ref="A79:A84" si="17">TRIM(LEFT(C29,3))</f>
        <v>A4</v>
      </c>
    </row>
    <row r="80" spans="1:11">
      <c r="A80" s="68" t="str">
        <f t="shared" si="17"/>
        <v/>
      </c>
    </row>
    <row r="81" spans="1:7">
      <c r="A81" s="68" t="str">
        <f t="shared" si="17"/>
        <v/>
      </c>
    </row>
    <row r="82" spans="1:7">
      <c r="A82" s="68" t="str">
        <f t="shared" si="17"/>
        <v/>
      </c>
    </row>
    <row r="83" spans="1:7">
      <c r="A83" s="68" t="str">
        <f t="shared" si="17"/>
        <v/>
      </c>
    </row>
    <row r="84" spans="1:7">
      <c r="A84" s="68" t="str">
        <f t="shared" si="17"/>
        <v/>
      </c>
    </row>
    <row r="86" spans="1:7">
      <c r="F86" s="68">
        <v>2022</v>
      </c>
      <c r="G86" s="125">
        <v>2023</v>
      </c>
    </row>
    <row r="87" spans="1:7">
      <c r="F87" s="68">
        <v>79.3</v>
      </c>
      <c r="G87" s="125">
        <f>1350.16/12*6</f>
        <v>675.08</v>
      </c>
    </row>
    <row r="88" spans="1:7">
      <c r="F88" s="68">
        <v>89.05</v>
      </c>
    </row>
    <row r="89" spans="1:7">
      <c r="F89" s="68">
        <v>101.38</v>
      </c>
    </row>
    <row r="90" spans="1:7">
      <c r="F90" s="68">
        <v>101.55</v>
      </c>
    </row>
    <row r="91" spans="1:7">
      <c r="F91" s="68">
        <v>124.53</v>
      </c>
    </row>
    <row r="92" spans="1:7">
      <c r="F92" s="68">
        <v>155.53</v>
      </c>
    </row>
    <row r="94" spans="1:7">
      <c r="F94" s="68">
        <f>SUM(F87:F92)</f>
        <v>651.34</v>
      </c>
      <c r="G94" s="125">
        <f>F94+G87</f>
        <v>1326.42</v>
      </c>
    </row>
  </sheetData>
  <mergeCells count="2">
    <mergeCell ref="K32:L32"/>
    <mergeCell ref="H67:I67"/>
  </mergeCells>
  <conditionalFormatting sqref="K13:N21">
    <cfRule type="cellIs" dxfId="106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abSelected="1" topLeftCell="H1" zoomScale="88" zoomScaleNormal="88" workbookViewId="0">
      <selection activeCell="AW214" sqref="AW214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806</v>
      </c>
      <c r="E2" s="303" t="s">
        <v>807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808</v>
      </c>
    </row>
    <row r="5" spans="2:49" ht="15" customHeight="1">
      <c r="B5" s="304" t="s">
        <v>809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304" t="s">
        <v>810</v>
      </c>
      <c r="K6" s="358" t="s">
        <v>811</v>
      </c>
      <c r="L6" s="308"/>
      <c r="S6" s="358" t="s">
        <v>811</v>
      </c>
      <c r="T6" s="358"/>
      <c r="U6" s="358"/>
      <c r="V6" s="358"/>
      <c r="AC6" s="23" t="str">
        <f>IF(LnkTXTSuprid2="!vazio!","","s")</f>
        <v/>
      </c>
      <c r="AD6" s="23">
        <f>SMALL(N41:N42,1)</f>
        <v>393.25200607117483</v>
      </c>
      <c r="AE6" s="23">
        <f>SMALL(Q41:Q42,1)</f>
        <v>480.07737408232686</v>
      </c>
    </row>
    <row r="7" spans="2:49" ht="18.75" customHeight="1">
      <c r="B7" s="304" t="s">
        <v>812</v>
      </c>
      <c r="K7" s="1123" t="s">
        <v>813</v>
      </c>
      <c r="L7" s="1123" t="s">
        <v>814</v>
      </c>
      <c r="S7" s="1795" t="s">
        <v>815</v>
      </c>
      <c r="T7" s="1795"/>
      <c r="U7" s="1795"/>
      <c r="V7" s="301" t="s">
        <v>816</v>
      </c>
      <c r="W7" s="301" t="s">
        <v>817</v>
      </c>
      <c r="X7" s="60" t="s">
        <v>818</v>
      </c>
    </row>
    <row r="8" spans="2:49" ht="15" customHeight="1">
      <c r="B8" s="306" t="s">
        <v>819</v>
      </c>
      <c r="K8" s="358" t="s">
        <v>820</v>
      </c>
      <c r="L8" s="20">
        <f ca="1">Resultado!E14</f>
        <v>6.6079978079101459E-2</v>
      </c>
      <c r="S8" s="47" t="s">
        <v>821</v>
      </c>
      <c r="T8" s="369">
        <f ca="1">U8/$U$15</f>
        <v>0.41615714357120775</v>
      </c>
      <c r="U8" s="56">
        <f>AU228</f>
        <v>60335559.834578</v>
      </c>
      <c r="V8" s="61" t="s">
        <v>233</v>
      </c>
      <c r="W8" s="62">
        <f ca="1">T12</f>
        <v>0.16842982451197178</v>
      </c>
      <c r="X8" s="62">
        <f ca="1">W8/(1-$W$10)</f>
        <v>0.20568263458872219</v>
      </c>
    </row>
    <row r="9" spans="2:49" ht="15" customHeight="1">
      <c r="B9" s="306" t="s">
        <v>822</v>
      </c>
      <c r="K9" s="365" t="s">
        <v>794</v>
      </c>
      <c r="L9" s="366">
        <f ca="1">Resultado!E24</f>
        <v>1.9743350294482206E-2</v>
      </c>
      <c r="S9" s="47" t="s">
        <v>823</v>
      </c>
      <c r="T9" s="369">
        <f ca="1">U9/$U$15</f>
        <v>0.17063896813068513</v>
      </c>
      <c r="U9" s="56">
        <f ca="1">AU219</f>
        <v>24739687.473364118</v>
      </c>
      <c r="V9" s="47" t="s">
        <v>824</v>
      </c>
      <c r="W9" s="57">
        <f ca="1">T13</f>
        <v>1.2688091209208052E-2</v>
      </c>
      <c r="X9" s="62">
        <f ca="1">W9/(1-$W$10)</f>
        <v>1.5494405669385605E-2</v>
      </c>
      <c r="AD9" s="425"/>
      <c r="AE9" s="425"/>
    </row>
    <row r="10" spans="2:49" ht="27.75" customHeight="1">
      <c r="B10" s="306" t="s">
        <v>825</v>
      </c>
      <c r="K10" s="358" t="s">
        <v>826</v>
      </c>
      <c r="L10" s="25">
        <f ca="1">Resultado!E33</f>
        <v>-7.8098841122112947E-2</v>
      </c>
      <c r="S10" s="47" t="s">
        <v>827</v>
      </c>
      <c r="T10" s="369">
        <f ca="1">U10/$U$15</f>
        <v>0.11519868262391769</v>
      </c>
      <c r="U10" s="56">
        <f>AU221</f>
        <v>16701808.717433799</v>
      </c>
      <c r="V10" s="1124" t="s">
        <v>828</v>
      </c>
      <c r="W10" s="1125">
        <f ca="1">SUM(W8:W9)</f>
        <v>0.18111791572117983</v>
      </c>
      <c r="X10" s="1125">
        <f ca="1">SUM(X8:X9)</f>
        <v>0.2211770402581078</v>
      </c>
      <c r="AE10" s="425"/>
    </row>
    <row r="11" spans="2:49" ht="15" customHeight="1">
      <c r="B11" s="304" t="s">
        <v>823</v>
      </c>
      <c r="K11" s="358" t="s">
        <v>829</v>
      </c>
      <c r="L11" s="25">
        <f ca="1">Resultado!E39</f>
        <v>0.12197774386446504</v>
      </c>
      <c r="S11" s="1126" t="s">
        <v>820</v>
      </c>
      <c r="T11" s="1127">
        <f ca="1">U11/$U$15</f>
        <v>0.11688728995300948</v>
      </c>
      <c r="U11" s="1128">
        <f ca="1">AU208</f>
        <v>16946627.459861781</v>
      </c>
      <c r="V11" s="56"/>
      <c r="AE11" s="425"/>
      <c r="AK11" s="358"/>
      <c r="AL11" s="358"/>
      <c r="AP11" s="358"/>
      <c r="AQ11" s="358"/>
      <c r="AR11" s="358"/>
      <c r="AS11" s="358"/>
      <c r="AT11" s="358"/>
      <c r="AU11" s="358"/>
      <c r="AV11" s="358"/>
      <c r="AW11" s="358"/>
    </row>
    <row r="12" spans="2:49" ht="15" customHeight="1">
      <c r="B12" s="306" t="s">
        <v>830</v>
      </c>
      <c r="K12" s="23" t="s">
        <v>801</v>
      </c>
      <c r="L12" s="19">
        <f ca="1">LnkTXTIRTFin</f>
        <v>-0.22370000000000001</v>
      </c>
      <c r="S12" s="47" t="s">
        <v>233</v>
      </c>
      <c r="T12" s="57">
        <f ca="1">Calc_Mercado!J8</f>
        <v>0.16842982451197178</v>
      </c>
      <c r="U12" s="56">
        <f ca="1">T12*U15</f>
        <v>24419400.007321261</v>
      </c>
      <c r="V12" s="56"/>
      <c r="AD12" s="425"/>
      <c r="AE12" s="425"/>
      <c r="AM12" s="358"/>
      <c r="AP12" s="358"/>
      <c r="AQ12" s="358"/>
      <c r="AR12" s="358"/>
      <c r="AS12" s="358"/>
      <c r="AT12" s="358"/>
      <c r="AU12" s="358"/>
      <c r="AV12" s="358"/>
      <c r="AW12" s="358"/>
    </row>
    <row r="13" spans="2:49" ht="15" customHeight="1">
      <c r="B13" s="306" t="s">
        <v>801</v>
      </c>
      <c r="K13" s="23" t="s">
        <v>831</v>
      </c>
      <c r="L13" s="19">
        <f ca="1">LnkTXTERFIN</f>
        <v>0.28960000000000002</v>
      </c>
      <c r="S13" s="47" t="s">
        <v>832</v>
      </c>
      <c r="T13" s="58">
        <f ca="1">Calc_Mercado!J9</f>
        <v>1.2688091209208052E-2</v>
      </c>
      <c r="U13" s="56">
        <f ca="1">T13*U15</f>
        <v>1839552.9144840094</v>
      </c>
      <c r="V13" s="56"/>
      <c r="AM13" s="358"/>
      <c r="AP13" s="358"/>
      <c r="AQ13" s="358"/>
      <c r="AR13" s="358"/>
      <c r="AS13" s="358"/>
      <c r="AT13" s="358"/>
      <c r="AU13" s="358"/>
      <c r="AV13" s="358"/>
      <c r="AW13" s="358"/>
    </row>
    <row r="14" spans="2:49" ht="15" customHeight="1">
      <c r="B14" s="306" t="s">
        <v>833</v>
      </c>
      <c r="K14" s="358" t="s">
        <v>834</v>
      </c>
      <c r="L14" s="366">
        <f>LnkTXTEfeito</f>
        <v>0.1956272607198577</v>
      </c>
      <c r="S14" s="47" t="s">
        <v>835</v>
      </c>
      <c r="T14" s="369">
        <f ca="1">SUM(T12:T13)</f>
        <v>0.18111791572117983</v>
      </c>
      <c r="U14" s="56">
        <f ca="1">SUM(U12:U13)</f>
        <v>26258952.92180527</v>
      </c>
      <c r="V14" s="56"/>
      <c r="AD14" s="23" t="s">
        <v>109</v>
      </c>
      <c r="AE14" s="23" t="s">
        <v>120</v>
      </c>
      <c r="AF14" s="23" t="s">
        <v>794</v>
      </c>
      <c r="AG14" s="23" t="s">
        <v>783</v>
      </c>
      <c r="AM14" s="358"/>
      <c r="AP14" s="358"/>
      <c r="AQ14" s="358"/>
      <c r="AR14" s="358"/>
      <c r="AS14" s="358"/>
      <c r="AT14" s="358"/>
      <c r="AU14" s="358"/>
      <c r="AV14" s="358"/>
      <c r="AW14" s="358"/>
    </row>
    <row r="15" spans="2:49" ht="15" customHeight="1">
      <c r="B15" s="63" t="s">
        <v>836</v>
      </c>
      <c r="S15" s="1124" t="s">
        <v>837</v>
      </c>
      <c r="T15" s="1129">
        <f ca="1">SUM(T8:T11)+T14</f>
        <v>1</v>
      </c>
      <c r="U15" s="1130">
        <f ca="1">SUM(U8:U11)/(1-T14)</f>
        <v>144982636.40704298</v>
      </c>
      <c r="V15" s="665"/>
      <c r="AC15" s="23" t="s">
        <v>838</v>
      </c>
      <c r="AD15" s="425">
        <f ca="1">Resultado!C39</f>
        <v>47516565.009275258</v>
      </c>
      <c r="AE15" s="425">
        <f ca="1">Resultado!C33</f>
        <v>32947321.16528523</v>
      </c>
      <c r="AF15" s="425">
        <f ca="1">Resultado!C24</f>
        <v>14626922.781354129</v>
      </c>
      <c r="AG15" s="425">
        <f ca="1">Resultado!C14</f>
        <v>10002090.938565342</v>
      </c>
      <c r="AM15" s="358"/>
      <c r="AP15" s="358"/>
      <c r="AQ15" s="358"/>
      <c r="AR15" s="358"/>
      <c r="AS15" s="358"/>
      <c r="AT15" s="358"/>
    </row>
    <row r="16" spans="2:49" ht="15" customHeight="1">
      <c r="B16" s="306" t="s">
        <v>839</v>
      </c>
      <c r="AC16" s="23" t="s">
        <v>840</v>
      </c>
      <c r="AD16" s="425">
        <f>Resultado!D39</f>
        <v>60335559.834578</v>
      </c>
      <c r="AE16" s="425">
        <f ca="1">Resultado!D33</f>
        <v>24739687.473364118</v>
      </c>
      <c r="AF16" s="425">
        <f>Resultado!D24</f>
        <v>16701808.717433799</v>
      </c>
      <c r="AG16" s="425">
        <f ca="1">Resultado!D14</f>
        <v>16946627.459861781</v>
      </c>
      <c r="AM16" s="358"/>
      <c r="AP16" s="358"/>
      <c r="AQ16" s="358"/>
      <c r="AR16" s="358"/>
      <c r="AS16" s="358"/>
      <c r="AT16" s="358"/>
    </row>
    <row r="17" spans="2:46" ht="15" customHeight="1">
      <c r="B17" s="306" t="s">
        <v>705</v>
      </c>
      <c r="AM17" s="358"/>
      <c r="AP17" s="358"/>
      <c r="AQ17" s="358"/>
      <c r="AR17" s="358"/>
      <c r="AS17" s="358"/>
      <c r="AT17" s="358"/>
    </row>
    <row r="18" spans="2:46" ht="15" customHeight="1">
      <c r="B18" s="306" t="s">
        <v>75</v>
      </c>
      <c r="AM18" s="358"/>
      <c r="AP18" s="358"/>
      <c r="AQ18" s="358"/>
      <c r="AR18" s="358"/>
      <c r="AS18" s="358"/>
      <c r="AT18" s="358"/>
    </row>
    <row r="19" spans="2:46" ht="15" customHeight="1">
      <c r="B19" s="306" t="s">
        <v>841</v>
      </c>
      <c r="S19" s="358" t="s">
        <v>811</v>
      </c>
      <c r="T19" s="358"/>
      <c r="AM19" s="358"/>
      <c r="AP19" s="358"/>
      <c r="AQ19" s="358"/>
      <c r="AR19" s="358"/>
      <c r="AS19" s="358"/>
      <c r="AT19" s="358"/>
    </row>
    <row r="20" spans="2:46" ht="15" customHeight="1">
      <c r="B20" s="306" t="s">
        <v>702</v>
      </c>
      <c r="S20" s="1799" t="s">
        <v>842</v>
      </c>
      <c r="T20" s="1799"/>
      <c r="AM20" s="358"/>
      <c r="AP20" s="358"/>
      <c r="AQ20" s="358"/>
      <c r="AR20" s="358"/>
      <c r="AS20" s="358"/>
      <c r="AT20" s="358"/>
    </row>
    <row r="21" spans="2:46" ht="15" customHeight="1">
      <c r="S21" s="47" t="s">
        <v>821</v>
      </c>
      <c r="T21" s="55">
        <f ca="1">AX228</f>
        <v>0.50820154886855606</v>
      </c>
      <c r="AL21" s="358"/>
      <c r="AO21" s="358"/>
      <c r="AP21" s="358"/>
      <c r="AQ21" s="358"/>
      <c r="AR21" s="358"/>
      <c r="AS21" s="358"/>
    </row>
    <row r="22" spans="2:46" ht="15" customHeight="1">
      <c r="S22" s="47" t="s">
        <v>823</v>
      </c>
      <c r="T22" s="55">
        <f ca="1">AX219</f>
        <v>0.20838039005452771</v>
      </c>
      <c r="AL22" s="358"/>
      <c r="AO22" s="358"/>
      <c r="AP22" s="358"/>
      <c r="AQ22" s="358"/>
      <c r="AR22" s="358"/>
      <c r="AS22" s="358"/>
    </row>
    <row r="23" spans="2:46" ht="15" customHeight="1">
      <c r="S23" s="47" t="s">
        <v>827</v>
      </c>
      <c r="T23" s="55">
        <f ca="1">AX221</f>
        <v>0.14067798628830894</v>
      </c>
      <c r="Z23" s="30" t="s">
        <v>843</v>
      </c>
      <c r="AL23" s="358"/>
      <c r="AO23" s="358"/>
      <c r="AP23" s="358"/>
      <c r="AQ23" s="358"/>
      <c r="AR23" s="358"/>
      <c r="AS23" s="358"/>
    </row>
    <row r="24" spans="2:46" ht="15" customHeight="1">
      <c r="C24" s="23" t="s">
        <v>844</v>
      </c>
      <c r="S24" s="47" t="s">
        <v>38</v>
      </c>
      <c r="T24" s="55">
        <f ca="1">AX209</f>
        <v>0</v>
      </c>
      <c r="AL24" s="358"/>
      <c r="AO24" s="358"/>
      <c r="AP24" s="358"/>
      <c r="AQ24" s="358"/>
      <c r="AR24" s="358"/>
      <c r="AS24" s="358"/>
    </row>
    <row r="25" spans="2:46" ht="15" customHeight="1">
      <c r="S25" s="47" t="s">
        <v>39</v>
      </c>
      <c r="T25" s="55">
        <f ca="1">AX210</f>
        <v>0</v>
      </c>
      <c r="AJ25" s="358"/>
      <c r="AK25" s="358"/>
      <c r="AL25" s="358"/>
      <c r="AO25" s="358"/>
      <c r="AP25" s="358"/>
      <c r="AQ25" s="358"/>
      <c r="AR25" s="358"/>
      <c r="AS25" s="358"/>
    </row>
    <row r="26" spans="2:46" ht="15" customHeight="1">
      <c r="S26" s="47" t="s">
        <v>47</v>
      </c>
      <c r="T26" s="55">
        <f ca="1">AX216</f>
        <v>1.6712872259448733E-2</v>
      </c>
      <c r="AL26" s="358"/>
    </row>
    <row r="27" spans="2:46" ht="15" customHeight="1">
      <c r="S27" s="47" t="s">
        <v>41</v>
      </c>
      <c r="T27" s="55">
        <f ca="1">AX212</f>
        <v>9.9633833447315759E-2</v>
      </c>
      <c r="AD27" s="47"/>
      <c r="AE27" s="397"/>
      <c r="AF27" s="56"/>
      <c r="AL27" s="358"/>
    </row>
    <row r="28" spans="2:46" ht="15" customHeight="1">
      <c r="S28" s="47" t="s">
        <v>40</v>
      </c>
      <c r="T28" s="55">
        <f ca="1">AX211+AX218+AX213</f>
        <v>2.4018557679938435E-3</v>
      </c>
      <c r="AD28" s="47"/>
      <c r="AE28" s="397"/>
      <c r="AF28" s="56"/>
      <c r="AL28" s="358"/>
    </row>
    <row r="29" spans="2:46" ht="15" customHeight="1">
      <c r="S29" s="47" t="s">
        <v>845</v>
      </c>
      <c r="T29" s="55">
        <f ca="1">AX215</f>
        <v>4.0668893444547237E-2</v>
      </c>
      <c r="AD29" s="47"/>
      <c r="AE29" s="397"/>
      <c r="AF29" s="56"/>
      <c r="AL29" s="358"/>
    </row>
    <row r="30" spans="2:46" ht="15" customHeight="1">
      <c r="S30" s="47" t="s">
        <v>48</v>
      </c>
      <c r="T30" s="55">
        <f ca="1">AX217</f>
        <v>0</v>
      </c>
      <c r="AL30" s="358"/>
    </row>
    <row r="31" spans="2:46" ht="15" customHeight="1">
      <c r="S31" s="1131" t="s">
        <v>846</v>
      </c>
      <c r="T31" s="1132">
        <f ca="1">SUM(T21:T30)</f>
        <v>1.0166773801306983</v>
      </c>
    </row>
    <row r="36" spans="1:36" ht="15" customHeight="1">
      <c r="N36" s="664" t="s">
        <v>847</v>
      </c>
      <c r="O36" s="664"/>
      <c r="P36" s="1133">
        <f>VLOOKUP(LnkTXTSigla,Informacoes[],35,FALSE)</f>
        <v>41365</v>
      </c>
      <c r="Q36" s="1134">
        <f>DATE(2013,MONTH(DataRevRea),1)</f>
        <v>41456</v>
      </c>
    </row>
    <row r="37" spans="1:36" ht="15" customHeight="1">
      <c r="L37" s="358" t="s">
        <v>811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35"/>
      <c r="M38" s="1136">
        <f t="shared" ref="M38:V38" si="0">DATE(M37,MONTH(DataRevRea),1)</f>
        <v>41456</v>
      </c>
      <c r="N38" s="1136">
        <f t="shared" si="0"/>
        <v>41821</v>
      </c>
      <c r="O38" s="1136">
        <f t="shared" si="0"/>
        <v>42186</v>
      </c>
      <c r="P38" s="1136">
        <f t="shared" si="0"/>
        <v>42552</v>
      </c>
      <c r="Q38" s="1136">
        <f t="shared" si="0"/>
        <v>42917</v>
      </c>
      <c r="R38" s="1136">
        <f t="shared" si="0"/>
        <v>43282</v>
      </c>
      <c r="S38" s="1136">
        <f t="shared" si="0"/>
        <v>43647</v>
      </c>
      <c r="T38" s="1136">
        <f t="shared" si="0"/>
        <v>44013</v>
      </c>
      <c r="U38" s="1136">
        <f t="shared" si="0"/>
        <v>44378</v>
      </c>
      <c r="V38" s="1136">
        <f t="shared" si="0"/>
        <v>44743</v>
      </c>
      <c r="W38" s="1136" t="s">
        <v>781</v>
      </c>
    </row>
    <row r="39" spans="1:36" ht="15" customHeight="1">
      <c r="L39" s="65" t="str">
        <f>CAPA!C9</f>
        <v>Cermissões</v>
      </c>
      <c r="M39" s="410">
        <f>SUMIF(TAbtarifasb1[[#All],[Sigla]],LnkTXTSigla,TAbtarifasb1[[#All],[2013]])</f>
        <v>369.17</v>
      </c>
      <c r="N39" s="410">
        <f>SUMIF(TAbtarifasb1[[#All],[Sigla]],LnkTXTSigla,TAbtarifasb1[[#All],[2014]])</f>
        <v>405.12</v>
      </c>
      <c r="O39" s="410">
        <f>SUMIF(TAbtarifasb1[[#All],[Sigla]],LnkTXTSigla,TAbtarifasb1[[#All],[2015]])</f>
        <v>495.76</v>
      </c>
      <c r="P39" s="422">
        <f>SUMIF(TAbtarifasb1[[#All],[Sigla]],LnkTXTSigla,TAbtarifasb1[[#All],[2016]])</f>
        <v>469.76</v>
      </c>
      <c r="Q39" s="422">
        <f>SUMIF(TAbtarifasb1[[#All],[Sigla]],LnkTXTSigla,TAbtarifasb1[[#All],[2017]])</f>
        <v>537.92999999999995</v>
      </c>
      <c r="R39" s="787">
        <f>SUMIF(TAbtarifasb1[[#All],[Sigla]],LnkTXTSigla,TAbtarifasb1[[#All],[2018]])</f>
        <v>568.73030731554422</v>
      </c>
      <c r="S39" s="787">
        <f>SUMIF(TAbtarifasb1[[#All],[Sigla]],LnkTXTSigla,TAbtarifasb1[[#All],[2019]])</f>
        <v>666.96</v>
      </c>
      <c r="T39" s="425">
        <f>SUMIF(TAbtarifasb1[[#All],[Sigla]],LnkTXTSigla,TAbtarifasb1[[#All],[2020]])</f>
        <v>631.15</v>
      </c>
      <c r="U39" s="425">
        <f>SUMIF(TAbtarifasb1[[#All],[Sigla]],LnkTXTSigla,TAbtarifasb1[[#All],[2021]])</f>
        <v>604.07000000000005</v>
      </c>
      <c r="V39" s="425">
        <f>Resultado!L6</f>
        <v>713.78</v>
      </c>
      <c r="W39" s="775">
        <f>V39/M39-1</f>
        <v>0.93347238399653265</v>
      </c>
    </row>
    <row r="40" spans="1:36" ht="15" customHeight="1">
      <c r="L40" s="65" t="str">
        <f>LnkTXTSuprid1</f>
        <v>RGE</v>
      </c>
      <c r="M40" s="410">
        <f>SUMIF(TAbtarifasb1[[#All],[Sigla]],LnkTXTSuprid1,TAbtarifasb1[[#All],[2013]])</f>
        <v>284.77999999999997</v>
      </c>
      <c r="N40" s="410">
        <f>SUMIF(TAbtarifasb1[[#All],[Sigla]],LnkTXTSuprid1,TAbtarifasb1[[#All],[2014]])</f>
        <v>350.69</v>
      </c>
      <c r="O40" s="410">
        <f>SUMIF(TAbtarifasb1[[#All],[Sigla]],LnkTXTSuprid1,TAbtarifasb1[[#All],[2015]])</f>
        <v>446.79999999999995</v>
      </c>
      <c r="P40" s="410">
        <f>SUMIF(TAbtarifasb1[[#All],[Sigla]],LnkTXTSuprid1,TAbtarifasb1[[#All],[2016]])</f>
        <v>415.49</v>
      </c>
      <c r="Q40" s="410">
        <f>SUMIF(TAbtarifasb1[[#All],[Sigla]],LnkTXTSuprid1,TAbtarifasb1[[#All],[2017]])</f>
        <v>433.86</v>
      </c>
      <c r="R40" s="410">
        <f>SUMIF(TAbtarifasb1[[#All],[Sigla]],LnkTXTSuprid1,TAbtarifasb1[[#All],[2018]])</f>
        <v>527.58999999999992</v>
      </c>
      <c r="S40" s="410">
        <f>SUMIF(TAbtarifasb1[[#All],[Sigla]],LnkTXTSuprid1,TAbtarifasb1[[#All],[2019]])</f>
        <v>560.27</v>
      </c>
      <c r="T40" s="410">
        <f>SUMIF(TAbtarifasb1[[#All],[Sigla]],LnkTXTSuprid1,TAbtarifasb1[[#All],[2020]])</f>
        <v>589.57000000000005</v>
      </c>
      <c r="U40" s="410">
        <f>SUMIF(TAbtarifasb1[[#All],[Sigla]],LnkTXTSuprid1,TAbtarifasb1[[#All],[2021]])</f>
        <v>643.09</v>
      </c>
      <c r="V40" s="410">
        <f>SUMIF(TAbtarifasb1[[#All],[Sigla]],LnkTXTSuprid1,TAbtarifasb1[[#All],[2022]])</f>
        <v>0</v>
      </c>
      <c r="W40" s="775">
        <f>V40/M40-1</f>
        <v>-1</v>
      </c>
    </row>
    <row r="41" spans="1:36" ht="15" customHeight="1">
      <c r="L41" s="65" t="s">
        <v>848</v>
      </c>
      <c r="M41" s="411">
        <f>M39</f>
        <v>369.17</v>
      </c>
      <c r="N41" s="411">
        <f>VLOOKUP(DATE(YEAR(O38),MONTH(O38)-1,1),Índices!$B:$F,2,FALSE)/VLOOKUP(DATE(YEAR(Q36),MONTH(Q36)-1,1),Índices!$B:$F,2,FALSE)*M41</f>
        <v>414.14568955587271</v>
      </c>
      <c r="O41" s="411">
        <f>VLOOKUP(DATE(YEAR(O38),MONTH(O38)-1,1),Índices!$B:$F,2,FALSE)/VLOOKUP(DATE(YEAR(N38),MONTH(N38)-1,1),Índices!$B:$F,2,FALSE)*N41</f>
        <v>437.30779532562508</v>
      </c>
      <c r="P41" s="411">
        <f>VLOOKUP(DATE(YEAR(P38),MONTH(P38)-1,1),Índices!$B:$F,2,FALSE)/VLOOKUP(DATE(YEAR(O38),MONTH(O38)-1,1),Índices!$B:$F,2,FALSE)*O41</f>
        <v>490.690941488965</v>
      </c>
      <c r="Q41" s="411">
        <f>VLOOKUP(DATE(YEAR(Q38),MONTH(Q38)-1,1),Índices!$B:$F,2,FALSE)/VLOOKUP(DATE(YEAR(P38),MONTH(P38)-1,1),Índices!$B:$F,2,FALSE)*P41</f>
        <v>486.87126268549207</v>
      </c>
      <c r="R41" s="368">
        <f>IF(R37=YEAR(CAPA!$C$114),'Tabelas e Gráficos'!R39,(VLOOKUP(DATE(YEAR(R38),MONTH(R38)-1,1),Índices!$B:$F,2,FALSE)/VLOOKUP(DATE(YEAR(Q38),MONTH(Q38)-1,1),Índices!$B:$F,2,FALSE)*Q41))</f>
        <v>520.56883401284801</v>
      </c>
      <c r="S41" s="368">
        <f>IF(S37=YEAR(CAPA!$C$114),'Tabelas e Gráficos'!S39,(VLOOKUP(DATE(YEAR(S38),MONTH(S38)-1,1),Índices!$B:$F,2,FALSE)/VLOOKUP(DATE(YEAR(R38),MONTH(R38)-1,1),Índices!$B:$F,2,FALSE)*R41))</f>
        <v>554.4586282168874</v>
      </c>
      <c r="T41" s="368">
        <f>IF(T37=YEAR(CAPA!$C$114),'Tabelas e Gráficos'!T39,(VLOOKUP(DATE(YEAR(T38),MONTH(T38)-1,1),Índices!$B:$F,2,FALSE)/VLOOKUP(DATE(YEAR(S38),MONTH(S38)-1,1),Índices!$B:$F,2,FALSE)*S41))</f>
        <v>595.01164823221416</v>
      </c>
      <c r="U41" s="411">
        <f>VLOOKUP(DATE(YEAR(U38),MONTH(U38)-1,1),Índices!$B:$F,2,FALSE)/VLOOKUP(DATE(YEAR(T38),MONTH(T38)-1,1),Índices!$B:$F,2,FALSE)*T41</f>
        <v>807.73629610701323</v>
      </c>
      <c r="V41" s="411">
        <f>VLOOKUP(DATE(YEAR(V38),MONTH(V38)-1,1),Índices!$B:$F,2,FALSE)/VLOOKUP(DATE(YEAR(U38),MONTH(U38)-1,1),Índices!$B:$F,2,FALSE)*U41</f>
        <v>894.19829621338408</v>
      </c>
      <c r="W41" s="775">
        <f>V41/M41-1</f>
        <v>1.4221857036416394</v>
      </c>
    </row>
    <row r="42" spans="1:36" ht="15" customHeight="1">
      <c r="L42" s="1137" t="s">
        <v>849</v>
      </c>
      <c r="M42" s="1139">
        <f>M39</f>
        <v>369.17</v>
      </c>
      <c r="N42" s="1139">
        <f>VLOOKUP(DATE(YEAR(N38),MONTH(N38)-1,1),Índices!$B:$F,3,FALSE)/VLOOKUP(DATE(YEAR(Q36),MONTH(Q36)-1,1),Índices!$B:$F,3,FALSE)*M42</f>
        <v>393.25200607117483</v>
      </c>
      <c r="O42" s="1139">
        <f>VLOOKUP(DATE(YEAR(O38),MONTH(O38)-1,1),Índices!$B:$F,3,FALSE)/VLOOKUP(DATE(YEAR(N38),MONTH(N38)-1,1),Índices!$B:$F,3,FALSE)*N42</f>
        <v>428.22953031819844</v>
      </c>
      <c r="P42" s="1139">
        <f>VLOOKUP(DATE(YEAR(P38),MONTH(P38)-1,1),Índices!$B:$F,3,FALSE)/VLOOKUP(DATE(YEAR(O38),MONTH(O38)-1,1),Índices!$B:$F,3,FALSE)*O42</f>
        <v>466.10106791857731</v>
      </c>
      <c r="Q42" s="1139">
        <f>VLOOKUP(DATE(YEAR(Q38),MONTH(Q38)-1,1),Índices!$B:$F,3,FALSE)/VLOOKUP(DATE(YEAR(P38),MONTH(P38)-1,1),Índices!$B:$F,3,FALSE)*P42</f>
        <v>480.07737408232686</v>
      </c>
      <c r="R42" s="1138">
        <f>IF(R37=YEAR(CAPA!$C$114),'Tabelas e Gráficos'!R39,(VLOOKUP(DATE(YEAR(R38),MONTH(R38)-1,1),Índices!$B:$F,3,FALSE)/VLOOKUP(DATE(YEAR(Q38),MONTH(Q38)-1,1),Índices!$B:$F,3,FALSE)*'Tabelas e Gráficos'!Q42))</f>
        <v>501.15807073349265</v>
      </c>
      <c r="S42" s="1138">
        <f>IF(S37=YEAR(CAPA!$C$114),'Tabelas e Gráficos'!S39,(VLOOKUP(DATE(YEAR(S38),MONTH(S38)-1,1),Índices!$B:$F,3,FALSE)/VLOOKUP(DATE(YEAR(R38),MONTH(R38)-1,1),Índices!$B:$F,3,FALSE)*'Tabelas e Gráficos'!R42))</f>
        <v>518.02839025059757</v>
      </c>
      <c r="T42" s="1138">
        <f>IF(T37=YEAR(CAPA!$C$114),'Tabelas e Gráficos'!T39,(VLOOKUP(DATE(YEAR(T38),MONTH(T38)-1,1),Índices!$B:$F,3,FALSE)/VLOOKUP(DATE(YEAR(S38),MONTH(S38)-1,1),Índices!$B:$F,3,FALSE)*'Tabelas e Gráficos'!S42))</f>
        <v>529.07491770544038</v>
      </c>
      <c r="U42" s="1139">
        <f>VLOOKUP(DATE(YEAR(U38),MONTH(U38)-1,1),Índices!$B:$F,3,FALSE)/VLOOKUP(DATE(YEAR(T38),MONTH(T38)-1,1),Índices!$B:$F,3,FALSE)*T42</f>
        <v>573.23718395444462</v>
      </c>
      <c r="V42" s="1139">
        <f>VLOOKUP(DATE(YEAR(V38),MONTH(V38)-1,1),Índices!$B:$F,3,FALSE)/VLOOKUP(DATE(YEAR(U38),MONTH(U38)-1,1),Índices!$B:$F,3,FALSE)*U42</f>
        <v>641.37714065426599</v>
      </c>
      <c r="W42" s="775">
        <f>V42/M42-1</f>
        <v>0.73734902796615631</v>
      </c>
    </row>
    <row r="43" spans="1:36" ht="15" customHeight="1">
      <c r="X43" s="23">
        <v>938.62</v>
      </c>
    </row>
    <row r="44" spans="1:36" ht="15" customHeight="1">
      <c r="X44" s="891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806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5"/>
      <c r="B49" s="675"/>
      <c r="C49" s="675"/>
      <c r="D49" s="675"/>
      <c r="E49" s="675"/>
      <c r="F49" s="675"/>
      <c r="G49" s="675"/>
      <c r="H49" s="676"/>
      <c r="I49" s="675"/>
      <c r="J49" s="675"/>
      <c r="K49" s="677"/>
      <c r="L49" s="677"/>
      <c r="M49" s="677"/>
      <c r="N49" s="677"/>
      <c r="O49" s="677"/>
      <c r="P49" s="677"/>
      <c r="Q49" s="675"/>
      <c r="R49" s="675"/>
      <c r="S49" s="678"/>
      <c r="T49" s="675"/>
      <c r="U49" s="675"/>
      <c r="V49" s="675"/>
      <c r="W49" s="675"/>
      <c r="X49" s="675"/>
      <c r="Y49" s="675"/>
      <c r="Z49" s="675"/>
      <c r="AA49" s="675"/>
      <c r="AB49" s="675"/>
      <c r="AC49" s="675"/>
      <c r="AD49" s="675"/>
    </row>
    <row r="50" spans="1:47" ht="15" customHeight="1">
      <c r="B50" s="307" t="s">
        <v>808</v>
      </c>
      <c r="C50" s="308" t="s">
        <v>850</v>
      </c>
      <c r="H50" s="23"/>
      <c r="K50" s="49"/>
      <c r="L50" s="358"/>
      <c r="M50" s="358"/>
      <c r="N50" s="358"/>
      <c r="O50" s="49"/>
      <c r="P50" s="49"/>
      <c r="S50" s="315"/>
    </row>
    <row r="51" spans="1:47" ht="15" customHeight="1">
      <c r="B51" s="309" t="s">
        <v>851</v>
      </c>
      <c r="C51" s="309" t="s">
        <v>852</v>
      </c>
      <c r="H51" s="23"/>
      <c r="K51" s="49"/>
      <c r="L51" s="1800"/>
      <c r="M51" s="1800"/>
      <c r="N51" s="1800"/>
      <c r="O51" s="49"/>
      <c r="P51" s="49"/>
    </row>
    <row r="52" spans="1:47" ht="15" customHeight="1">
      <c r="B52" s="310" t="s">
        <v>853</v>
      </c>
      <c r="C52" s="311">
        <f ca="1">Resultado!C5</f>
        <v>118723683.48523769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854</v>
      </c>
      <c r="C53" s="311">
        <f ca="1">Resultado!C6</f>
        <v>105092899.89447996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0.12970223111593571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801</v>
      </c>
      <c r="C55" s="314">
        <f ca="1">Resultado!C8</f>
        <v>-0.22370000000000001</v>
      </c>
      <c r="D55" s="312"/>
      <c r="E55" s="28"/>
      <c r="H55" s="23"/>
      <c r="K55" s="49"/>
      <c r="L55" s="674"/>
      <c r="M55" s="671"/>
      <c r="N55" s="672"/>
      <c r="O55" s="49"/>
      <c r="P55" s="49"/>
    </row>
    <row r="56" spans="1:47" ht="15" customHeight="1">
      <c r="B56" s="1140" t="str">
        <f>Resultado!B9</f>
        <v>Variação econômica e financeira</v>
      </c>
      <c r="C56" s="1141">
        <f ca="1">C54+C55</f>
        <v>-9.3997768884064303E-2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30"/>
      <c r="M57" s="530"/>
      <c r="N57" s="530"/>
      <c r="O57" s="530"/>
      <c r="P57" s="530"/>
      <c r="Q57" s="530"/>
      <c r="R57" s="530"/>
      <c r="S57" s="49"/>
    </row>
    <row r="58" spans="1:47" ht="15" customHeight="1">
      <c r="C58" s="315"/>
      <c r="D58" s="312"/>
      <c r="E58" s="307" t="s">
        <v>809</v>
      </c>
      <c r="F58" s="316"/>
      <c r="G58" s="308" t="s">
        <v>850</v>
      </c>
      <c r="H58" s="23"/>
      <c r="L58" s="531"/>
      <c r="M58" s="532"/>
      <c r="N58" s="533"/>
      <c r="O58" s="527"/>
      <c r="P58" s="527"/>
      <c r="Q58" s="528"/>
      <c r="R58" s="529"/>
      <c r="S58" s="49"/>
      <c r="AT58" s="19"/>
      <c r="AU58" s="409"/>
    </row>
    <row r="59" spans="1:47" ht="15" customHeight="1">
      <c r="C59" s="315"/>
      <c r="D59" s="312"/>
      <c r="E59" s="309" t="s">
        <v>855</v>
      </c>
      <c r="F59" s="309" t="s">
        <v>856</v>
      </c>
      <c r="G59" s="309" t="s">
        <v>857</v>
      </c>
      <c r="H59" s="23"/>
      <c r="AT59" s="19"/>
      <c r="AU59" s="409"/>
    </row>
    <row r="60" spans="1:47" ht="15" customHeight="1">
      <c r="B60" s="30"/>
      <c r="C60" s="317"/>
      <c r="D60" s="317"/>
      <c r="E60" s="310" t="s">
        <v>858</v>
      </c>
      <c r="F60" s="311">
        <f ca="1">Calc_Mercado!C8</f>
        <v>143286.06900000005</v>
      </c>
      <c r="G60" s="311">
        <f ca="1">Calc_Mercado!D8</f>
        <v>104184345.79447997</v>
      </c>
      <c r="H60" s="318" t="s">
        <v>859</v>
      </c>
    </row>
    <row r="61" spans="1:47" ht="15" hidden="1" customHeight="1">
      <c r="E61" s="310" t="s">
        <v>860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861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862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863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864</v>
      </c>
      <c r="F65" s="311">
        <f ca="1">Calc_Mercado!C13</f>
        <v>50254.15199999998</v>
      </c>
      <c r="G65" s="311">
        <f ca="1">Calc_Mercado!D13</f>
        <v>32954941.275470015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865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866</v>
      </c>
      <c r="F67" s="311">
        <f ca="1">Calc_Mercado!C15</f>
        <v>93031.917000000059</v>
      </c>
      <c r="G67" s="311">
        <f ca="1">Calc_Mercado!D15</f>
        <v>71229404.519009948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867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868</v>
      </c>
      <c r="F69" s="311">
        <f ca="1">Calc_Mercado!C18</f>
        <v>0</v>
      </c>
      <c r="G69" s="311">
        <f ca="1">Calc_Mercado!D18</f>
        <v>908554.10000000009</v>
      </c>
      <c r="H69" s="318">
        <f t="shared" ca="1" si="1"/>
        <v>1</v>
      </c>
    </row>
    <row r="70" spans="2:43" ht="15" customHeight="1">
      <c r="C70" s="315"/>
      <c r="D70" s="312"/>
      <c r="E70" s="1140" t="s">
        <v>846</v>
      </c>
      <c r="F70" s="1142">
        <f ca="1">Calc_Mercado!C25</f>
        <v>143286.06900000005</v>
      </c>
      <c r="G70" s="1142">
        <f ca="1">Calc_Mercado!D25</f>
        <v>105092899.89447996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810</v>
      </c>
      <c r="J72" s="316"/>
      <c r="K72" s="308" t="s">
        <v>850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301" t="s">
        <v>869</v>
      </c>
      <c r="J73" s="301" t="s">
        <v>870</v>
      </c>
      <c r="K73" s="301" t="s">
        <v>871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797"/>
      <c r="D74" s="1797"/>
      <c r="E74" s="1797"/>
      <c r="I74" s="1143" t="s">
        <v>820</v>
      </c>
      <c r="J74" s="1144">
        <f ca="1">SUM(J75:J83)</f>
        <v>10002090.938565342</v>
      </c>
      <c r="K74" s="1145">
        <f ca="1">SUM(K75:K83)</f>
        <v>9.517380287924386E-2</v>
      </c>
      <c r="L74" s="318" t="s">
        <v>859</v>
      </c>
      <c r="N74" s="34"/>
      <c r="AG74" s="49"/>
      <c r="AH74" s="1804"/>
      <c r="AI74" s="1804"/>
      <c r="AJ74" s="1804"/>
      <c r="AK74" s="667"/>
      <c r="AL74" s="49"/>
      <c r="AM74" s="49"/>
      <c r="AN74" s="49"/>
      <c r="AO74" s="49"/>
    </row>
    <row r="75" spans="2:43" ht="15" hidden="1" customHeight="1">
      <c r="B75" s="30"/>
      <c r="C75" s="1796"/>
      <c r="D75" s="1796"/>
      <c r="E75" s="1796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805"/>
      <c r="AI75" s="1805"/>
      <c r="AJ75" s="1805"/>
      <c r="AK75" s="668"/>
      <c r="AL75" s="429"/>
      <c r="AM75" s="49"/>
      <c r="AN75" s="49"/>
      <c r="AO75" s="49"/>
    </row>
    <row r="76" spans="2:43" ht="15" hidden="1" customHeight="1">
      <c r="B76" s="30"/>
      <c r="C76" s="1796"/>
      <c r="D76" s="1796"/>
      <c r="E76" s="1796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9"/>
      <c r="AL76" s="49"/>
      <c r="AM76" s="49"/>
      <c r="AN76" s="49"/>
      <c r="AO76" s="49"/>
    </row>
    <row r="77" spans="2:43" ht="15" customHeight="1">
      <c r="B77" s="30"/>
      <c r="C77" s="1796"/>
      <c r="D77" s="1796"/>
      <c r="E77" s="1796"/>
      <c r="I77" s="35" t="str">
        <f>Resultado!B17</f>
        <v>Taxa de Fisc. de Serviços de E.E. – TFSEE</v>
      </c>
      <c r="J77" s="320">
        <f ca="1">Mercado_Faturado_Encargo_TFSEE_BRUTO</f>
        <v>231416.72552077865</v>
      </c>
      <c r="K77" s="36">
        <f t="shared" ca="1" si="2"/>
        <v>2.2020205527979145E-3</v>
      </c>
      <c r="L77" s="318">
        <f ca="1">IF(J77=0,0,1)</f>
        <v>1</v>
      </c>
      <c r="N77" s="36"/>
      <c r="AG77" s="49"/>
      <c r="AH77" s="49"/>
      <c r="AI77" s="49"/>
      <c r="AJ77" s="49"/>
      <c r="AK77" s="669"/>
      <c r="AL77" s="49"/>
      <c r="AM77" s="49"/>
      <c r="AN77" s="49"/>
      <c r="AO77" s="49"/>
    </row>
    <row r="78" spans="2:43" ht="15" customHeight="1">
      <c r="B78" s="30"/>
      <c r="C78" s="1796"/>
      <c r="D78" s="1796"/>
      <c r="E78" s="1796"/>
      <c r="I78" s="35" t="str">
        <f>Resultado!B18</f>
        <v>Conta de Desenvolvimento Energético – CDE</v>
      </c>
      <c r="J78" s="320">
        <f ca="1">Mercado_Faturado_Encargo_CDE_BRUTO</f>
        <v>8073828.0044489643</v>
      </c>
      <c r="K78" s="36">
        <f t="shared" ca="1" si="2"/>
        <v>7.682562773085154E-2</v>
      </c>
      <c r="L78" s="318">
        <f t="shared" ref="L78:L94" ca="1" si="3">IF(J78=0,0,1)</f>
        <v>1</v>
      </c>
      <c r="N78" s="36"/>
      <c r="AG78" s="49"/>
      <c r="AH78" s="1805"/>
      <c r="AI78" s="1805"/>
      <c r="AJ78" s="1805"/>
      <c r="AK78" s="668"/>
      <c r="AL78" s="429"/>
      <c r="AM78" s="49"/>
      <c r="AN78" s="49"/>
      <c r="AO78" s="49"/>
    </row>
    <row r="79" spans="2:43" ht="15" hidden="1" customHeight="1">
      <c r="B79" s="30"/>
      <c r="C79" s="1796"/>
      <c r="D79" s="1796"/>
      <c r="E79" s="1796"/>
      <c r="I79" s="35" t="str">
        <f>Resultado!B19</f>
        <v xml:space="preserve"> CDE Conta Covid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9"/>
      <c r="AL79" s="49"/>
      <c r="AM79" s="49"/>
      <c r="AN79" s="426"/>
      <c r="AO79" s="426"/>
      <c r="AP79" s="426"/>
      <c r="AQ79" s="426"/>
    </row>
    <row r="80" spans="2:43" ht="15" hidden="1" customHeight="1">
      <c r="B80" s="30"/>
      <c r="C80" s="1796"/>
      <c r="D80" s="1796"/>
      <c r="E80" s="1796"/>
      <c r="I80" s="35" t="str">
        <f>Resultado!B20</f>
        <v>Encargos Serv. Sist. - ESS e Energ. Reserv. – EER</v>
      </c>
      <c r="J80" s="320">
        <f ca="1">Mercado_Faturado_Encargo_ESSERR_BRUTO</f>
        <v>387051.4383655666</v>
      </c>
      <c r="K80" s="36">
        <f t="shared" ca="1" si="2"/>
        <v>3.6829456486041508E-3</v>
      </c>
      <c r="L80" s="318">
        <v>0</v>
      </c>
      <c r="N80" s="36"/>
      <c r="AG80" s="49"/>
      <c r="AH80" s="49"/>
      <c r="AI80" s="49"/>
      <c r="AJ80" s="49"/>
      <c r="AK80" s="669"/>
      <c r="AL80" s="49"/>
      <c r="AM80" s="49"/>
      <c r="AN80" s="49"/>
      <c r="AO80" s="49"/>
    </row>
    <row r="81" spans="2:41" ht="15" customHeight="1">
      <c r="B81" s="30"/>
      <c r="C81" s="1796"/>
      <c r="D81" s="1796"/>
      <c r="E81" s="1796"/>
      <c r="I81" s="35" t="str">
        <f>Resultado!B21</f>
        <v>PROINFA</v>
      </c>
      <c r="J81" s="320">
        <f ca="1">Mercado_Faturado_Encargo_PROINFA_BRUTO</f>
        <v>1309794.7702300332</v>
      </c>
      <c r="K81" s="36">
        <f t="shared" ca="1" si="2"/>
        <v>1.2463208946990248E-2</v>
      </c>
      <c r="L81" s="318">
        <f t="shared" ca="1" si="3"/>
        <v>1</v>
      </c>
      <c r="N81" s="34"/>
      <c r="AG81" s="49"/>
      <c r="AH81" s="49"/>
      <c r="AI81" s="49"/>
      <c r="AJ81" s="49"/>
      <c r="AK81" s="669"/>
      <c r="AL81" s="49"/>
      <c r="AM81" s="49"/>
      <c r="AN81" s="49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805"/>
      <c r="AI82" s="1805"/>
      <c r="AJ82" s="1805"/>
      <c r="AK82" s="668"/>
      <c r="AL82" s="429"/>
      <c r="AM82" s="49"/>
      <c r="AN82" s="49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9"/>
      <c r="AL83" s="49"/>
      <c r="AM83" s="49"/>
      <c r="AN83" s="49"/>
      <c r="AO83" s="49"/>
    </row>
    <row r="84" spans="2:41" ht="15" customHeight="1">
      <c r="I84" s="1143" t="s">
        <v>872</v>
      </c>
      <c r="J84" s="1144">
        <f ca="1">SUM(Calc_Mercado!C79:C85)</f>
        <v>32947321.16528523</v>
      </c>
      <c r="K84" s="1145">
        <f ca="1">SUM(K85)</f>
        <v>0.31350663268752182</v>
      </c>
      <c r="L84" s="318">
        <f t="shared" ca="1" si="3"/>
        <v>1</v>
      </c>
      <c r="N84" s="36"/>
      <c r="AG84" s="49"/>
      <c r="AH84" s="49"/>
      <c r="AI84" s="49"/>
      <c r="AJ84" s="49"/>
      <c r="AK84" s="669"/>
      <c r="AL84" s="49"/>
      <c r="AM84" s="49"/>
      <c r="AN84" s="49"/>
      <c r="AO84" s="49"/>
    </row>
    <row r="85" spans="2:41" ht="15" customHeight="1">
      <c r="B85" s="30"/>
      <c r="I85" s="37" t="s">
        <v>873</v>
      </c>
      <c r="J85" s="320">
        <f ca="1">J84</f>
        <v>32947321.16528523</v>
      </c>
      <c r="K85" s="36">
        <f t="shared" ref="K85:K96" ca="1" si="4">J85/$J$97</f>
        <v>0.31350663268752182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3"/>
      <c r="AL85" s="49"/>
      <c r="AM85" s="49"/>
      <c r="AN85" s="49"/>
      <c r="AO85" s="49"/>
    </row>
    <row r="86" spans="2:41" ht="15" customHeight="1">
      <c r="B86" s="1803"/>
      <c r="C86" s="1803"/>
      <c r="D86" s="1803"/>
      <c r="E86" s="1803"/>
      <c r="F86" s="1803"/>
      <c r="G86" s="39"/>
      <c r="I86" s="1143" t="s">
        <v>874</v>
      </c>
      <c r="J86" s="1144">
        <f ca="1">Resultado!C24</f>
        <v>14626922.781354129</v>
      </c>
      <c r="K86" s="1145">
        <f t="shared" ca="1" si="4"/>
        <v>0.13918088468431741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3"/>
      <c r="AL86" s="49"/>
      <c r="AM86" s="49"/>
      <c r="AN86" s="49"/>
      <c r="AO86" s="49"/>
    </row>
    <row r="87" spans="2:41" ht="15" customHeight="1">
      <c r="B87" s="1802"/>
      <c r="C87" s="1802"/>
      <c r="D87" s="1802"/>
      <c r="E87" s="1802"/>
      <c r="F87" s="1802"/>
      <c r="G87" s="42"/>
      <c r="I87" s="37" t="s">
        <v>705</v>
      </c>
      <c r="J87" s="320">
        <f ca="1">Resultado!C25</f>
        <v>1419503.3240589856</v>
      </c>
      <c r="K87" s="36">
        <f t="shared" ca="1" si="4"/>
        <v>1.3507128697412083E-2</v>
      </c>
      <c r="L87" s="318">
        <f t="shared" ca="1" si="3"/>
        <v>1</v>
      </c>
      <c r="M87" s="321"/>
      <c r="N87" s="41"/>
      <c r="AG87" s="49"/>
      <c r="AH87" s="670"/>
      <c r="AI87" s="671"/>
      <c r="AJ87" s="672"/>
      <c r="AK87" s="673"/>
      <c r="AL87" s="429"/>
      <c r="AM87" s="49"/>
      <c r="AN87" s="49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707</v>
      </c>
      <c r="J88" s="320">
        <f ca="1">Resultado!C26</f>
        <v>936445.15140714962</v>
      </c>
      <c r="K88" s="36">
        <f t="shared" ca="1" si="4"/>
        <v>8.9106414643368003E-3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49"/>
      <c r="AO88" s="49"/>
    </row>
    <row r="89" spans="2:41" ht="14.25" hidden="1" customHeight="1">
      <c r="B89" s="1802"/>
      <c r="C89" s="1802"/>
      <c r="D89" s="1802"/>
      <c r="E89" s="1802"/>
      <c r="F89" s="1802"/>
      <c r="G89" s="42"/>
      <c r="I89" s="37" t="s">
        <v>795</v>
      </c>
      <c r="J89" s="320">
        <f ca="1">Resultado!C31</f>
        <v>0</v>
      </c>
      <c r="K89" s="36">
        <f t="shared" ca="1" si="4"/>
        <v>0</v>
      </c>
      <c r="L89" s="318">
        <f t="shared" ca="1" si="3"/>
        <v>0</v>
      </c>
      <c r="M89" s="322"/>
      <c r="N89" s="43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796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797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798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302"/>
      <c r="C93" s="302"/>
      <c r="D93" s="302"/>
      <c r="E93" s="302"/>
      <c r="F93" s="302"/>
      <c r="G93" s="42"/>
      <c r="I93" s="37" t="s">
        <v>708</v>
      </c>
      <c r="J93" s="320">
        <f ca="1">Resultado!C31</f>
        <v>0</v>
      </c>
      <c r="K93" s="36">
        <f t="shared" ca="1" si="4"/>
        <v>0</v>
      </c>
      <c r="L93" s="318">
        <f t="shared" ca="1" si="3"/>
        <v>0</v>
      </c>
      <c r="M93" s="322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customHeight="1">
      <c r="B94" s="1803"/>
      <c r="C94" s="1803"/>
      <c r="D94" s="1803"/>
      <c r="E94" s="1803"/>
      <c r="F94" s="1803"/>
      <c r="G94" s="42"/>
      <c r="I94" s="37" t="s">
        <v>709</v>
      </c>
      <c r="J94" s="320">
        <f ca="1">Resultado!C32</f>
        <v>12270974.305887993</v>
      </c>
      <c r="K94" s="36">
        <f t="shared" ca="1" si="4"/>
        <v>0.11676311452256853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02"/>
      <c r="C95" s="1802"/>
      <c r="D95" s="1802"/>
      <c r="E95" s="1802"/>
      <c r="F95" s="1802"/>
      <c r="I95" s="1143" t="s">
        <v>875</v>
      </c>
      <c r="J95" s="1144">
        <f ca="1">J86+J84+J74</f>
        <v>57576334.885204703</v>
      </c>
      <c r="K95" s="1145">
        <f t="shared" ca="1" si="4"/>
        <v>0.54786132025108314</v>
      </c>
      <c r="L95" s="31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02"/>
      <c r="C96" s="1802"/>
      <c r="D96" s="1802"/>
      <c r="E96" s="1802"/>
      <c r="F96" s="1802"/>
      <c r="I96" s="1143" t="s">
        <v>876</v>
      </c>
      <c r="J96" s="1144">
        <f ca="1">J97-J95</f>
        <v>47516565.009275258</v>
      </c>
      <c r="K96" s="1145">
        <f t="shared" ca="1" si="4"/>
        <v>0.45213867974891692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03"/>
      <c r="C97" s="1803"/>
      <c r="D97" s="1803"/>
      <c r="E97" s="1803"/>
      <c r="F97" s="1803"/>
      <c r="G97" s="28"/>
      <c r="I97" s="1140" t="s">
        <v>877</v>
      </c>
      <c r="J97" s="1142">
        <f ca="1">Mercado_RA0_Reais</f>
        <v>105092899.89447996</v>
      </c>
      <c r="K97" s="1146">
        <f ca="1">K95+K96</f>
        <v>1</v>
      </c>
      <c r="L97" s="31"/>
      <c r="AG97" s="49"/>
      <c r="AH97" s="666"/>
      <c r="AI97" s="666"/>
      <c r="AJ97" s="666"/>
      <c r="AK97" s="49"/>
      <c r="AL97" s="49"/>
      <c r="AM97" s="49"/>
      <c r="AN97" s="49"/>
      <c r="AO97" s="49"/>
    </row>
    <row r="98" spans="2:41" ht="15" customHeight="1">
      <c r="B98" s="1802"/>
      <c r="C98" s="1802"/>
      <c r="D98" s="1802"/>
      <c r="E98" s="1802"/>
      <c r="F98" s="1802"/>
      <c r="G98" s="42"/>
      <c r="M98" s="307" t="s">
        <v>812</v>
      </c>
      <c r="N98" s="308" t="s">
        <v>850</v>
      </c>
      <c r="AH98" s="430"/>
      <c r="AI98" s="431"/>
      <c r="AJ98" s="431"/>
      <c r="AL98" s="49"/>
      <c r="AM98" s="49"/>
      <c r="AN98" s="49"/>
    </row>
    <row r="99" spans="2:41" ht="15" customHeight="1">
      <c r="B99" s="1802"/>
      <c r="C99" s="1802"/>
      <c r="D99" s="1802"/>
      <c r="E99" s="1802"/>
      <c r="F99" s="1802"/>
      <c r="G99" s="42"/>
      <c r="M99" s="301" t="s">
        <v>820</v>
      </c>
      <c r="N99" s="301" t="s">
        <v>852</v>
      </c>
      <c r="O99" s="323" t="s">
        <v>859</v>
      </c>
      <c r="AH99" s="430"/>
      <c r="AI99" s="431"/>
      <c r="AJ99" s="431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285157.16397649358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9848895.706620004</v>
      </c>
      <c r="O103" s="324">
        <f t="shared" ca="1" si="5"/>
        <v>1</v>
      </c>
    </row>
    <row r="104" spans="2:41" ht="15" hidden="1" customHeight="1">
      <c r="B104" s="1802"/>
      <c r="C104" s="1802"/>
      <c r="D104" s="1802"/>
      <c r="E104" s="1802"/>
      <c r="F104" s="1802"/>
      <c r="G104" s="45"/>
      <c r="M104" s="35" t="s">
        <v>878</v>
      </c>
      <c r="N104" s="320">
        <f>Encargos!I20</f>
        <v>0</v>
      </c>
      <c r="O104" s="324">
        <f t="shared" si="5"/>
        <v>0</v>
      </c>
    </row>
    <row r="105" spans="2:41" ht="15" customHeight="1">
      <c r="B105" s="1802"/>
      <c r="C105" s="1802"/>
      <c r="D105" s="1802"/>
      <c r="E105" s="1802"/>
      <c r="F105" s="1802"/>
      <c r="G105" s="45"/>
      <c r="M105" s="35" t="str">
        <f>Resultado!B20</f>
        <v>Encargos Serv. Sist. - ESS e Energ. Reserv. – EER</v>
      </c>
      <c r="N105" s="320">
        <f>Resultado!D20</f>
        <v>4828360.833005284</v>
      </c>
      <c r="O105" s="324">
        <f t="shared" si="5"/>
        <v>1</v>
      </c>
    </row>
    <row r="106" spans="2:41" ht="15" customHeight="1">
      <c r="B106" s="1803"/>
      <c r="C106" s="1803"/>
      <c r="D106" s="1803"/>
      <c r="E106" s="1803"/>
      <c r="F106" s="1803"/>
      <c r="G106" s="39"/>
      <c r="M106" s="35" t="str">
        <f>Resultado!B21</f>
        <v>PROINFA</v>
      </c>
      <c r="N106" s="320">
        <f ca="1">Resultado!D21</f>
        <v>1984213.7562600006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40" t="s">
        <v>846</v>
      </c>
      <c r="N109" s="1142">
        <f ca="1">SUM(N100:N108)</f>
        <v>16946627.459861781</v>
      </c>
    </row>
    <row r="110" spans="2:41" ht="15" customHeight="1">
      <c r="B110" s="29"/>
      <c r="C110" s="29"/>
      <c r="D110" s="29"/>
      <c r="P110" s="326" t="s">
        <v>819</v>
      </c>
      <c r="Q110" s="308" t="s">
        <v>850</v>
      </c>
    </row>
    <row r="111" spans="2:41" ht="15" customHeight="1">
      <c r="B111" s="46"/>
      <c r="C111" s="312"/>
      <c r="D111" s="312"/>
      <c r="P111" s="301" t="s">
        <v>855</v>
      </c>
      <c r="Q111" s="301" t="s">
        <v>879</v>
      </c>
    </row>
    <row r="112" spans="2:41" ht="15" customHeight="1">
      <c r="B112" s="46"/>
      <c r="C112" s="312"/>
      <c r="D112" s="312"/>
      <c r="P112" s="35" t="s">
        <v>880</v>
      </c>
      <c r="Q112" s="48">
        <f ca="1">Energia!N15</f>
        <v>3.5271144369459786E-2</v>
      </c>
    </row>
    <row r="113" spans="2:44" ht="15" customHeight="1">
      <c r="B113" s="46"/>
      <c r="C113" s="312"/>
      <c r="D113" s="312"/>
      <c r="P113" s="35" t="s">
        <v>744</v>
      </c>
      <c r="Q113" s="1147">
        <f ca="1">Energia!N14</f>
        <v>8.8799819072053005E-2</v>
      </c>
    </row>
    <row r="114" spans="2:44" ht="15" customHeight="1">
      <c r="B114" s="46"/>
      <c r="C114" s="312"/>
      <c r="D114" s="312"/>
      <c r="P114" s="1140" t="s">
        <v>846</v>
      </c>
      <c r="Q114" s="1146">
        <f ca="1">SUM(Q112:Q113)</f>
        <v>0.12407096344151279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881</v>
      </c>
      <c r="T117" s="308" t="s">
        <v>850</v>
      </c>
    </row>
    <row r="118" spans="2:44" ht="15" customHeight="1">
      <c r="B118" s="46"/>
      <c r="C118" s="312"/>
      <c r="D118" s="312"/>
      <c r="P118" s="44"/>
      <c r="Q118" s="312"/>
      <c r="S118" s="301" t="s">
        <v>855</v>
      </c>
      <c r="T118" s="301" t="s">
        <v>856</v>
      </c>
    </row>
    <row r="119" spans="2:44" ht="15" customHeight="1">
      <c r="B119" s="46"/>
      <c r="C119" s="312"/>
      <c r="D119" s="312"/>
      <c r="P119" s="44"/>
      <c r="Q119" s="312"/>
      <c r="S119" s="1148" t="s">
        <v>882</v>
      </c>
      <c r="T119" s="1149">
        <f ca="1">SUM(T120:T121)</f>
        <v>143286.06900000005</v>
      </c>
      <c r="U119" s="323" t="s">
        <v>859</v>
      </c>
    </row>
    <row r="120" spans="2:44" ht="15" customHeight="1">
      <c r="B120" s="46"/>
      <c r="C120" s="312"/>
      <c r="D120" s="312"/>
      <c r="P120" s="44"/>
      <c r="Q120" s="312"/>
      <c r="S120" s="47" t="s">
        <v>883</v>
      </c>
      <c r="T120" s="327">
        <f ca="1">Energia!C7</f>
        <v>143286.06900000005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884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48" t="s">
        <v>885</v>
      </c>
      <c r="T122" s="1150">
        <f ca="1">SUM(T123:T124)</f>
        <v>19510.137289999999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886</v>
      </c>
      <c r="T123" s="327">
        <f ca="1">SUM(Energia!C11:C12)</f>
        <v>5546.3812799999996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887</v>
      </c>
      <c r="T124" s="327">
        <f ca="1">SUM(Energia!C10:C10)</f>
        <v>13963.756009999997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40" t="s">
        <v>881</v>
      </c>
      <c r="T125" s="1151">
        <f ca="1">T119+T122</f>
        <v>162796.20629000006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52" t="s">
        <v>888</v>
      </c>
      <c r="W127" s="1152"/>
      <c r="X127" s="308" t="s">
        <v>850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35" t="s">
        <v>27</v>
      </c>
      <c r="W128" s="1153" t="s">
        <v>77</v>
      </c>
      <c r="X128" s="1135" t="s">
        <v>889</v>
      </c>
      <c r="Y128" s="323" t="s">
        <v>859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A3 ( 69 kV)</v>
      </c>
      <c r="X129" s="330">
        <f>Energia!H28</f>
        <v>273.92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RGE SUL DISTRIBUIDORA DE ENERGIA S.A.</v>
      </c>
      <c r="W130" s="329" t="str">
        <f>Energia!C29</f>
        <v>A4 (2,3 a 25 kV)</v>
      </c>
      <c r="X130" s="330">
        <f>Energia!H29</f>
        <v>273.92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hidden="1" customHeight="1">
      <c r="B131" s="46"/>
      <c r="C131" s="312"/>
      <c r="D131" s="312"/>
      <c r="P131" s="44"/>
      <c r="Q131" s="312"/>
      <c r="S131" s="37"/>
      <c r="T131" s="328"/>
      <c r="V131" s="329">
        <f>Energia!B30</f>
        <v>0</v>
      </c>
      <c r="W131" s="329">
        <f>Energia!C30</f>
        <v>0</v>
      </c>
      <c r="X131" s="330" t="str">
        <f>Energia!H30</f>
        <v/>
      </c>
      <c r="Y131" s="323">
        <f>IF(W131=0,0,1)</f>
        <v>0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54">
        <f>Energia!B32</f>
        <v>0</v>
      </c>
      <c r="W133" s="1154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55"/>
      <c r="W134" s="1156"/>
      <c r="X134" s="1157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52" t="s">
        <v>890</v>
      </c>
      <c r="AA136" s="1152"/>
      <c r="AB136" s="1152"/>
      <c r="AC136" s="308" t="s">
        <v>850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855</v>
      </c>
      <c r="AA137" s="301" t="s">
        <v>856</v>
      </c>
      <c r="AB137" s="301" t="s">
        <v>889</v>
      </c>
      <c r="AC137" s="301" t="s">
        <v>891</v>
      </c>
      <c r="AD137" s="334" t="s">
        <v>859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72744.825800000006</v>
      </c>
      <c r="AB138" s="336">
        <f>Energia!G35</f>
        <v>273.92</v>
      </c>
      <c r="AC138" s="337">
        <f>AA138*AB138</f>
        <v>19926262.683136001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339"/>
      <c r="AO138" s="339"/>
      <c r="AP138" s="339"/>
      <c r="AQ138" s="339"/>
      <c r="AR138" s="339"/>
    </row>
    <row r="139" spans="2:44" ht="15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16403.582831862605</v>
      </c>
      <c r="AB139" s="336">
        <f>Energia!E18</f>
        <v>121.19059799875039</v>
      </c>
      <c r="AC139" s="337">
        <f ca="1">AA139*AB139</f>
        <v>1987960.0127154645</v>
      </c>
      <c r="AD139" s="340">
        <f ca="1">IF(AA139=0,0,1)</f>
        <v>1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341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58">
        <f>Energia!C19</f>
        <v>2340.6765462476283</v>
      </c>
      <c r="AB140" s="1159">
        <f>Energia!D19</f>
        <v>0</v>
      </c>
      <c r="AC140" s="1160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339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48" t="s">
        <v>892</v>
      </c>
      <c r="AA141" s="1161">
        <f ca="1">Energia!N30-Energia!M30</f>
        <v>22857.716352678486</v>
      </c>
      <c r="AB141" s="1162">
        <f>Energia!M34</f>
        <v>0</v>
      </c>
      <c r="AC141" s="1162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342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40" t="s">
        <v>846</v>
      </c>
      <c r="AA142" s="1163">
        <f ca="1">SUM(AA138:AA141)</f>
        <v>114346.80153078873</v>
      </c>
      <c r="AB142" s="1164">
        <f ca="1">AC142/AA142</f>
        <v>191.64701069448716</v>
      </c>
      <c r="AC142" s="1164">
        <f ca="1">SUM(AC138:AC141)</f>
        <v>21914222.695851468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65" t="s">
        <v>830</v>
      </c>
      <c r="AF144" s="1165"/>
      <c r="AG144" s="1165"/>
      <c r="AH144" s="1165"/>
      <c r="AI144" s="1165"/>
      <c r="AJ144" s="1165"/>
      <c r="AK144" s="308" t="s">
        <v>850</v>
      </c>
      <c r="AL144" s="49"/>
      <c r="AM144" s="49"/>
      <c r="AN144" s="49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35" t="s">
        <v>27</v>
      </c>
      <c r="AF145" s="1135" t="s">
        <v>77</v>
      </c>
      <c r="AG145" s="1135" t="s">
        <v>893</v>
      </c>
      <c r="AH145" s="1135" t="s">
        <v>894</v>
      </c>
      <c r="AI145" s="1135" t="s">
        <v>60</v>
      </c>
      <c r="AJ145" s="1135" t="s">
        <v>895</v>
      </c>
      <c r="AK145" s="1135" t="s">
        <v>891</v>
      </c>
      <c r="AL145" s="323" t="s">
        <v>859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30" t="str">
        <f>CUSD!B6</f>
        <v>RGE SUL DISTRIBUIDORA DE ENERGIA S.A.</v>
      </c>
      <c r="AF146" s="387" t="str">
        <f>CUSD!C6</f>
        <v>A3 ( 69 kV)</v>
      </c>
      <c r="AG146" s="339" t="str">
        <f>CUSD!F6</f>
        <v>Potência</v>
      </c>
      <c r="AH146" s="339" t="str">
        <f>CUSD!F6</f>
        <v>Potência</v>
      </c>
      <c r="AI146" s="405">
        <f>CUSD!H6</f>
        <v>152973.15</v>
      </c>
      <c r="AJ146" s="406">
        <f>CUSD!J6</f>
        <v>16.11</v>
      </c>
      <c r="AK146" s="339">
        <f>IFERROR(AI146*AJ146,0)</f>
        <v>2464397.4464999996</v>
      </c>
      <c r="AL146" s="407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30" t="str">
        <f>CUSD!B7</f>
        <v>RGE SUL DISTRIBUIDORA DE ENERGIA S.A.</v>
      </c>
      <c r="AF147" s="387" t="str">
        <f>CUSD!C7</f>
        <v>A3 ( 69 kV)</v>
      </c>
      <c r="AG147" s="339" t="str">
        <f>CUSD!F7</f>
        <v>Potência</v>
      </c>
      <c r="AH147" s="339" t="str">
        <f>CUSD!F7</f>
        <v>Potência</v>
      </c>
      <c r="AI147" s="405">
        <f>CUSD!H7</f>
        <v>52918.29</v>
      </c>
      <c r="AJ147" s="406">
        <f>CUSD!J7</f>
        <v>18.95</v>
      </c>
      <c r="AK147" s="339">
        <f t="shared" ref="AK147:AK153" si="7">IFERROR(AI147*AJ147,0)</f>
        <v>1002801.5954999999</v>
      </c>
      <c r="AL147" s="407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30" t="str">
        <f>CUSD!B8</f>
        <v>RGE SUL DISTRIBUIDORA DE ENERGIA S.A.</v>
      </c>
      <c r="AF148" s="387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5">
        <f>CUSD!H8</f>
        <v>210273.09999999998</v>
      </c>
      <c r="AJ148" s="406">
        <f>CUSD!J8</f>
        <v>19.98</v>
      </c>
      <c r="AK148" s="339">
        <f t="shared" si="7"/>
        <v>4201256.5379999997</v>
      </c>
      <c r="AL148" s="407">
        <f>IF(AE148=0,0,1)</f>
        <v>1</v>
      </c>
      <c r="AM148" s="406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30" t="str">
        <f>CUSD!B9</f>
        <v>RGE SUL DISTRIBUIDORA DE ENERGIA S.A.</v>
      </c>
      <c r="AF149" s="387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5">
        <f>CUSD!H9</f>
        <v>166202.32</v>
      </c>
      <c r="AJ149" s="406">
        <f>CUSD!J9</f>
        <v>26.9</v>
      </c>
      <c r="AK149" s="339">
        <f t="shared" si="7"/>
        <v>4470842.4079999998</v>
      </c>
      <c r="AL149" s="407">
        <f t="shared" si="6"/>
        <v>1</v>
      </c>
      <c r="AM149" s="406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7" t="str">
        <f>CUSD!B10</f>
        <v>RGE SUL DISTRIBUIDORA DE ENERGIA S.A.</v>
      </c>
      <c r="AF150" s="387" t="str">
        <f>CUSD!C10</f>
        <v>A3 ( 69 kV)</v>
      </c>
      <c r="AG150" s="339" t="str">
        <f>CUSD!F10</f>
        <v>Energia</v>
      </c>
      <c r="AH150" s="339" t="str">
        <f>CUSD!F10</f>
        <v>Energia</v>
      </c>
      <c r="AI150" s="405">
        <f>CUSD!H10</f>
        <v>41031.521209999999</v>
      </c>
      <c r="AJ150" s="406">
        <f>CUSD!J10</f>
        <v>5.15</v>
      </c>
      <c r="AK150" s="339">
        <f t="shared" si="7"/>
        <v>211312.33423150002</v>
      </c>
      <c r="AL150" s="407">
        <v>0</v>
      </c>
      <c r="AM150" s="406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7" t="str">
        <f>CUSD!B11</f>
        <v>RGE SUL DISTRIBUIDORA DE ENERGIA S.A.</v>
      </c>
      <c r="AF151" s="387" t="str">
        <f>CUSD!C11</f>
        <v>A3 ( 69 kV)</v>
      </c>
      <c r="AG151" s="339" t="str">
        <f>CUSD!F11</f>
        <v>Energia</v>
      </c>
      <c r="AH151" s="339" t="str">
        <f>CUSD!F11</f>
        <v>Energia</v>
      </c>
      <c r="AI151" s="405">
        <f>CUSD!H11</f>
        <v>3191.0388499999995</v>
      </c>
      <c r="AJ151" s="406">
        <f>CUSD!J11</f>
        <v>5.15</v>
      </c>
      <c r="AK151" s="339">
        <f t="shared" si="7"/>
        <v>16433.850077499999</v>
      </c>
      <c r="AL151" s="407">
        <v>0</v>
      </c>
      <c r="AM151" s="406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7" t="str">
        <f>CUSD!B12</f>
        <v>RGE SUL DISTRIBUIDORA DE ENERGIA S.A.</v>
      </c>
      <c r="AF152" s="387" t="str">
        <f>CUSD!C12</f>
        <v>A4 (2,3 a 25 kV)</v>
      </c>
      <c r="AG152" s="339" t="str">
        <f>CUSD!F12</f>
        <v>Energia</v>
      </c>
      <c r="AH152" s="339" t="str">
        <f>CUSD!F12</f>
        <v>Energia</v>
      </c>
      <c r="AI152" s="405">
        <f>CUSD!H12</f>
        <v>55787.404959999993</v>
      </c>
      <c r="AJ152" s="406">
        <f>CUSD!J12</f>
        <v>11.36</v>
      </c>
      <c r="AK152" s="339">
        <f t="shared" si="7"/>
        <v>633744.92034559988</v>
      </c>
      <c r="AL152" s="407">
        <f t="shared" si="6"/>
        <v>1</v>
      </c>
      <c r="AM152" s="406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7" t="str">
        <f>CUSD!B13</f>
        <v>RGE SUL DISTRIBUIDORA DE ENERGIA S.A.</v>
      </c>
      <c r="AF153" s="387" t="str">
        <f>CUSD!C13</f>
        <v>A4 (2,3 a 25 kV)</v>
      </c>
      <c r="AG153" s="339" t="str">
        <f>CUSD!F13</f>
        <v>Energia</v>
      </c>
      <c r="AH153" s="339" t="str">
        <f>CUSD!F13</f>
        <v>Energia</v>
      </c>
      <c r="AI153" s="405">
        <f>CUSD!H13</f>
        <v>7212.4669699999995</v>
      </c>
      <c r="AJ153" s="406">
        <f>CUSD!J13</f>
        <v>11.36</v>
      </c>
      <c r="AK153" s="339">
        <f t="shared" si="7"/>
        <v>81933.624779199992</v>
      </c>
      <c r="AL153" s="407">
        <f t="shared" si="6"/>
        <v>1</v>
      </c>
      <c r="AM153" s="406"/>
    </row>
    <row r="154" spans="2:39" ht="15" hidden="1" customHeight="1">
      <c r="B154" s="46"/>
      <c r="C154" s="312"/>
      <c r="D154" s="312"/>
      <c r="P154" s="44"/>
      <c r="Q154" s="312"/>
      <c r="AC154" s="49"/>
      <c r="AD154" s="49"/>
      <c r="AE154" s="387">
        <f>CUSD!B14</f>
        <v>0</v>
      </c>
      <c r="AF154" s="387">
        <f>CUSD!C14</f>
        <v>0</v>
      </c>
      <c r="AG154" s="339" t="str">
        <f>CUSD!F14</f>
        <v/>
      </c>
      <c r="AH154" s="339" t="str">
        <f>CUSD!F14</f>
        <v/>
      </c>
      <c r="AI154" s="405" t="str">
        <f>CUSD!H14</f>
        <v/>
      </c>
      <c r="AJ154" s="406" t="str">
        <f>CUSD!J14</f>
        <v/>
      </c>
      <c r="AK154" s="339">
        <f t="shared" ref="AK154:AK160" si="8">IFERROR(AI154*AJ154,0)</f>
        <v>0</v>
      </c>
      <c r="AL154" s="407">
        <f t="shared" si="6"/>
        <v>0</v>
      </c>
      <c r="AM154" s="406"/>
    </row>
    <row r="155" spans="2:39" ht="15" hidden="1" customHeight="1">
      <c r="B155" s="46"/>
      <c r="C155" s="312"/>
      <c r="D155" s="312"/>
      <c r="P155" s="44"/>
      <c r="Q155" s="312"/>
      <c r="AC155" s="49"/>
      <c r="AD155" s="49"/>
      <c r="AE155" s="387">
        <f>CUSD!B15</f>
        <v>0</v>
      </c>
      <c r="AF155" s="387">
        <f>CUSD!C15</f>
        <v>0</v>
      </c>
      <c r="AG155" s="339" t="str">
        <f>CUSD!F15</f>
        <v/>
      </c>
      <c r="AH155" s="339" t="str">
        <f>CUSD!F15</f>
        <v/>
      </c>
      <c r="AI155" s="405" t="str">
        <f>CUSD!H15</f>
        <v/>
      </c>
      <c r="AJ155" s="406" t="str">
        <f>CUSD!J15</f>
        <v/>
      </c>
      <c r="AK155" s="339">
        <f t="shared" si="8"/>
        <v>0</v>
      </c>
      <c r="AL155" s="407">
        <f t="shared" si="6"/>
        <v>0</v>
      </c>
      <c r="AM155" s="406"/>
    </row>
    <row r="156" spans="2:39" ht="15" hidden="1" customHeight="1">
      <c r="B156" s="46"/>
      <c r="C156" s="312"/>
      <c r="D156" s="312"/>
      <c r="P156" s="44"/>
      <c r="Q156" s="312"/>
      <c r="AC156" s="49"/>
      <c r="AD156" s="49"/>
      <c r="AE156" s="387">
        <f>CUSD!B16</f>
        <v>0</v>
      </c>
      <c r="AF156" s="387">
        <f>CUSD!C16</f>
        <v>0</v>
      </c>
      <c r="AG156" s="339" t="str">
        <f>CUSD!F16</f>
        <v/>
      </c>
      <c r="AH156" s="339" t="str">
        <f>CUSD!F16</f>
        <v/>
      </c>
      <c r="AI156" s="405" t="str">
        <f>CUSD!H16</f>
        <v/>
      </c>
      <c r="AJ156" s="406" t="str">
        <f>CUSD!J16</f>
        <v/>
      </c>
      <c r="AK156" s="339">
        <f t="shared" si="8"/>
        <v>0</v>
      </c>
      <c r="AL156" s="407">
        <f t="shared" si="6"/>
        <v>0</v>
      </c>
      <c r="AM156" s="406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7">
        <f>CUSD!B17</f>
        <v>0</v>
      </c>
      <c r="AF157" s="387">
        <f>CUSD!C17</f>
        <v>0</v>
      </c>
      <c r="AG157" s="339" t="str">
        <f>CUSD!F17</f>
        <v/>
      </c>
      <c r="AH157" s="339" t="str">
        <f>CUSD!F17</f>
        <v/>
      </c>
      <c r="AI157" s="405" t="str">
        <f>CUSD!H17</f>
        <v/>
      </c>
      <c r="AJ157" s="406" t="str">
        <f>CUSD!J17</f>
        <v/>
      </c>
      <c r="AK157" s="339">
        <f t="shared" si="8"/>
        <v>0</v>
      </c>
      <c r="AL157" s="407">
        <v>0</v>
      </c>
      <c r="AM157" s="406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7">
        <f>CUSD!B18</f>
        <v>0</v>
      </c>
      <c r="AF158" s="387">
        <f>CUSD!C18</f>
        <v>0</v>
      </c>
      <c r="AG158" s="339" t="str">
        <f>CUSD!F18</f>
        <v/>
      </c>
      <c r="AH158" s="339" t="str">
        <f>CUSD!F18</f>
        <v/>
      </c>
      <c r="AI158" s="405" t="str">
        <f>CUSD!H18</f>
        <v/>
      </c>
      <c r="AJ158" s="406" t="str">
        <f>CUSD!J18</f>
        <v/>
      </c>
      <c r="AK158" s="339">
        <f t="shared" si="8"/>
        <v>0</v>
      </c>
      <c r="AL158" s="407">
        <f t="shared" si="6"/>
        <v>0</v>
      </c>
      <c r="AM158" s="406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7">
        <f>CUSD!B19</f>
        <v>0</v>
      </c>
      <c r="AF159" s="387">
        <f>CUSD!C19</f>
        <v>0</v>
      </c>
      <c r="AG159" s="339" t="str">
        <f>CUSD!F19</f>
        <v/>
      </c>
      <c r="AH159" s="339" t="str">
        <f>CUSD!F19</f>
        <v/>
      </c>
      <c r="AI159" s="405" t="str">
        <f>CUSD!H19</f>
        <v/>
      </c>
      <c r="AJ159" s="406" t="str">
        <f>CUSD!J19</f>
        <v/>
      </c>
      <c r="AK159" s="339">
        <f t="shared" si="8"/>
        <v>0</v>
      </c>
      <c r="AL159" s="407">
        <f t="shared" si="6"/>
        <v>0</v>
      </c>
      <c r="AM159" s="406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7">
        <f>CUSD!B20</f>
        <v>0</v>
      </c>
      <c r="AF160" s="387">
        <f>CUSD!C20</f>
        <v>0</v>
      </c>
      <c r="AG160" s="339" t="str">
        <f>CUSD!F20</f>
        <v/>
      </c>
      <c r="AH160" s="339" t="str">
        <f>CUSD!F20</f>
        <v/>
      </c>
      <c r="AI160" s="405" t="str">
        <f>CUSD!H20</f>
        <v/>
      </c>
      <c r="AJ160" s="406" t="str">
        <f>CUSD!J20</f>
        <v/>
      </c>
      <c r="AK160" s="339">
        <f t="shared" si="8"/>
        <v>0</v>
      </c>
      <c r="AL160" s="407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40" t="s">
        <v>896</v>
      </c>
      <c r="AF161" s="1140"/>
      <c r="AG161" s="1140"/>
      <c r="AH161" s="1140"/>
      <c r="AI161" s="1166">
        <f>SUM(AI146:AI160)</f>
        <v>689589.29198999994</v>
      </c>
      <c r="AJ161" s="1142"/>
      <c r="AK161" s="1142">
        <f>SUM(AK146:AK160)</f>
        <v>13082722.717433799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65" t="s">
        <v>897</v>
      </c>
      <c r="AN163" s="308" t="s">
        <v>850</v>
      </c>
    </row>
    <row r="164" spans="2:42" ht="15" customHeight="1">
      <c r="B164" s="46"/>
      <c r="C164" s="312"/>
      <c r="D164" s="312"/>
      <c r="P164" s="44"/>
      <c r="Q164" s="312"/>
      <c r="AM164" s="1167" t="s">
        <v>801</v>
      </c>
      <c r="AN164" s="1135" t="s">
        <v>852</v>
      </c>
      <c r="AO164" s="23" t="s">
        <v>859</v>
      </c>
      <c r="AP164" s="681" t="s">
        <v>898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886">
        <f>LnkTXTPISCOFINS</f>
        <v>1855892.7636633427</v>
      </c>
      <c r="AO165" s="23">
        <f t="shared" ref="AO165:AO196" si="9">IF(AN165=0,0,1)</f>
        <v>1</v>
      </c>
      <c r="AP165" s="681"/>
    </row>
    <row r="166" spans="2:42" ht="15" customHeight="1">
      <c r="B166" s="46"/>
      <c r="C166" s="312"/>
      <c r="D166" s="312"/>
      <c r="P166" s="44"/>
      <c r="Q166" s="312"/>
      <c r="AM166" s="53" t="s">
        <v>805</v>
      </c>
      <c r="AN166" s="886">
        <f ca="1">SUM(Financeiros!D12:D17)</f>
        <v>-571960.60168152116</v>
      </c>
      <c r="AO166" s="23">
        <f t="shared" ca="1" si="9"/>
        <v>1</v>
      </c>
      <c r="AP166" s="681"/>
    </row>
    <row r="167" spans="2:42" ht="15" hidden="1" customHeight="1">
      <c r="B167" s="46"/>
      <c r="C167" s="312"/>
      <c r="D167" s="312"/>
      <c r="P167" s="44"/>
      <c r="Q167" s="312"/>
      <c r="AM167" s="23" t="s">
        <v>2275</v>
      </c>
      <c r="AN167" s="425"/>
      <c r="AO167" s="23">
        <f t="shared" si="9"/>
        <v>0</v>
      </c>
      <c r="AP167" s="681"/>
    </row>
    <row r="168" spans="2:42" ht="15" hidden="1" customHeight="1">
      <c r="B168" s="46"/>
      <c r="C168" s="312"/>
      <c r="D168" s="312"/>
      <c r="P168" s="44"/>
      <c r="Q168" s="312"/>
      <c r="AM168" s="23" t="str">
        <f>Financeiros!C20</f>
        <v>(Neutralidade)Crédito Pis Cofins</v>
      </c>
      <c r="AN168" s="425">
        <f ca="1">Financeiros!D20</f>
        <v>0</v>
      </c>
      <c r="AO168" s="23">
        <f t="shared" ca="1" si="9"/>
        <v>0</v>
      </c>
      <c r="AP168" s="681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886">
        <f>Financeiros!D25</f>
        <v>0</v>
      </c>
      <c r="AO169" s="23">
        <f t="shared" si="9"/>
        <v>0</v>
      </c>
      <c r="AP169" s="681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886">
        <f>Financeiros!D26</f>
        <v>308208.83345205843</v>
      </c>
      <c r="AO170" s="23">
        <f t="shared" si="9"/>
        <v>1</v>
      </c>
      <c r="AP170" s="681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886">
        <f>LnkTXTDICFIC</f>
        <v>-208981.51488605133</v>
      </c>
      <c r="AO171" s="23">
        <f t="shared" si="9"/>
        <v>1</v>
      </c>
      <c r="AP171" s="681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886">
        <f ca="1">LnkTxTSubvencaoCDE</f>
        <v>-29102795.694557633</v>
      </c>
      <c r="AO172" s="23">
        <f t="shared" ca="1" si="9"/>
        <v>1</v>
      </c>
      <c r="AP172" s="681"/>
    </row>
    <row r="173" spans="2:42" ht="15" hidden="1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886">
        <f>Financeiros!D29</f>
        <v>0</v>
      </c>
      <c r="AO173" s="23">
        <f t="shared" si="9"/>
        <v>0</v>
      </c>
      <c r="AP173" s="681"/>
    </row>
    <row r="174" spans="2:42" ht="15" hidden="1" customHeight="1">
      <c r="B174" s="46"/>
      <c r="C174" s="312"/>
      <c r="D174" s="312"/>
      <c r="P174" s="44"/>
      <c r="Q174" s="312"/>
      <c r="AM174" s="53" t="s">
        <v>899</v>
      </c>
      <c r="AN174" s="886">
        <f>Financeiros!D35</f>
        <v>0</v>
      </c>
      <c r="AO174" s="23">
        <f t="shared" si="9"/>
        <v>0</v>
      </c>
      <c r="AP174" s="681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886">
        <f>Financeiros!D31</f>
        <v>0</v>
      </c>
      <c r="AO175" s="23">
        <f t="shared" si="9"/>
        <v>0</v>
      </c>
      <c r="AP175" s="681"/>
    </row>
    <row r="176" spans="2:42" ht="15" hidden="1" customHeight="1">
      <c r="B176" s="46"/>
      <c r="C176" s="312"/>
      <c r="D176" s="312"/>
      <c r="P176" s="44"/>
      <c r="Q176" s="312"/>
      <c r="AM176" s="53" t="s">
        <v>900</v>
      </c>
      <c r="AN176" s="886">
        <f>Financeiros!D38</f>
        <v>0</v>
      </c>
      <c r="AO176" s="23">
        <f t="shared" si="9"/>
        <v>0</v>
      </c>
      <c r="AP176" s="681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887">
        <f>Financeiros!D36</f>
        <v>2351518.6531692422</v>
      </c>
      <c r="AO177" s="23">
        <f t="shared" si="9"/>
        <v>1</v>
      </c>
      <c r="AP177" s="681"/>
    </row>
    <row r="178" spans="2:42" ht="15" customHeight="1">
      <c r="B178" s="46"/>
      <c r="C178" s="312"/>
      <c r="D178" s="312"/>
      <c r="P178" s="44"/>
      <c r="Q178" s="312"/>
      <c r="AM178" s="53" t="str">
        <f>Financeiros!C82</f>
        <v>Reversão de Risco Hidrológico</v>
      </c>
      <c r="AN178" s="886">
        <f>Financeiros!D82</f>
        <v>-1315990.2960016439</v>
      </c>
      <c r="AO178" s="23">
        <f t="shared" si="9"/>
        <v>1</v>
      </c>
      <c r="AP178" s="681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886">
        <f>Financeiros!D37</f>
        <v>0</v>
      </c>
      <c r="AO179" s="23">
        <f t="shared" si="9"/>
        <v>0</v>
      </c>
      <c r="AP179" s="681"/>
    </row>
    <row r="180" spans="2:42" ht="15" hidden="1" customHeight="1">
      <c r="B180" s="46"/>
      <c r="C180" s="312"/>
      <c r="D180" s="312"/>
      <c r="P180" s="44"/>
      <c r="Q180" s="312"/>
      <c r="AM180" s="53" t="s">
        <v>901</v>
      </c>
      <c r="AN180" s="886">
        <f>Financeiros!D39+Financeiros!D40</f>
        <v>0</v>
      </c>
      <c r="AO180" s="23">
        <f t="shared" si="9"/>
        <v>0</v>
      </c>
      <c r="AP180" s="681"/>
    </row>
    <row r="181" spans="2:42" ht="15" hidden="1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886">
        <f>Financeiros!D41</f>
        <v>0</v>
      </c>
      <c r="AO181" s="23">
        <f t="shared" si="9"/>
        <v>0</v>
      </c>
      <c r="AP181" s="681"/>
    </row>
    <row r="182" spans="2:42" ht="15" hidden="1" customHeight="1">
      <c r="B182" s="46"/>
      <c r="C182" s="312"/>
      <c r="D182" s="312"/>
      <c r="P182" s="44"/>
      <c r="Q182" s="312"/>
      <c r="AM182" s="53">
        <f>Financeiros!C42</f>
        <v>0</v>
      </c>
      <c r="AN182" s="886">
        <f>Financeiros!D42</f>
        <v>0</v>
      </c>
      <c r="AO182" s="23">
        <f t="shared" si="9"/>
        <v>0</v>
      </c>
      <c r="AP182" s="681"/>
    </row>
    <row r="183" spans="2:42" ht="15" hidden="1" customHeight="1">
      <c r="B183" s="46"/>
      <c r="C183" s="312"/>
      <c r="D183" s="312"/>
      <c r="P183" s="44"/>
      <c r="Q183" s="312"/>
      <c r="AM183" s="53">
        <f>Financeiros!C43</f>
        <v>0</v>
      </c>
      <c r="AN183" s="886">
        <f>Financeiros!D43</f>
        <v>0</v>
      </c>
      <c r="AO183" s="23">
        <f t="shared" si="9"/>
        <v>0</v>
      </c>
      <c r="AP183" s="681"/>
    </row>
    <row r="184" spans="2:42" ht="15" hidden="1" customHeight="1">
      <c r="B184" s="46"/>
      <c r="C184" s="312"/>
      <c r="D184" s="312"/>
      <c r="P184" s="44"/>
      <c r="Q184" s="312"/>
      <c r="AM184" s="53">
        <f>Financeiros!C44</f>
        <v>0</v>
      </c>
      <c r="AN184" s="886">
        <f>Financeiros!D44</f>
        <v>0</v>
      </c>
      <c r="AO184" s="23">
        <f t="shared" si="9"/>
        <v>0</v>
      </c>
      <c r="AP184" s="681"/>
    </row>
    <row r="185" spans="2:42" ht="15" hidden="1" customHeight="1">
      <c r="B185" s="46"/>
      <c r="C185" s="312"/>
      <c r="D185" s="312"/>
      <c r="P185" s="44"/>
      <c r="Q185" s="312"/>
      <c r="AM185" s="53">
        <f>Financeiros!C45</f>
        <v>0</v>
      </c>
      <c r="AN185" s="886">
        <f>Financeiros!D45</f>
        <v>0</v>
      </c>
      <c r="AO185" s="23">
        <f t="shared" si="9"/>
        <v>0</v>
      </c>
      <c r="AP185" s="975"/>
    </row>
    <row r="186" spans="2:42" ht="15" hidden="1" customHeight="1">
      <c r="B186" s="46"/>
      <c r="C186" s="312"/>
      <c r="D186" s="312"/>
      <c r="P186" s="44"/>
      <c r="Q186" s="312"/>
      <c r="AM186" s="53">
        <f>Financeiros!C46</f>
        <v>0</v>
      </c>
      <c r="AN186" s="886">
        <f>Financeiros!D46</f>
        <v>0</v>
      </c>
      <c r="AO186" s="23">
        <f t="shared" si="9"/>
        <v>0</v>
      </c>
      <c r="AP186" s="975"/>
    </row>
    <row r="187" spans="2:42" ht="15" hidden="1" customHeight="1">
      <c r="B187" s="46"/>
      <c r="C187" s="312"/>
      <c r="D187" s="312"/>
      <c r="P187" s="44"/>
      <c r="Q187" s="312"/>
      <c r="AM187" s="53">
        <f>Financeiros!C47</f>
        <v>0</v>
      </c>
      <c r="AN187" s="886">
        <f>Financeiros!D47</f>
        <v>0</v>
      </c>
      <c r="AO187" s="23">
        <f t="shared" si="9"/>
        <v>0</v>
      </c>
      <c r="AP187" s="681"/>
    </row>
    <row r="188" spans="2:42" ht="15" customHeight="1">
      <c r="B188" s="46"/>
      <c r="C188" s="312"/>
      <c r="D188" s="312"/>
      <c r="P188" s="44"/>
      <c r="Q188" s="312"/>
      <c r="AM188" s="53" t="s">
        <v>2293</v>
      </c>
      <c r="AN188" s="886">
        <f ca="1">SUM(Financeiros!D57:D61)</f>
        <v>3107045.5899999994</v>
      </c>
      <c r="AO188" s="23">
        <f t="shared" ca="1" si="9"/>
        <v>1</v>
      </c>
      <c r="AP188" s="681"/>
    </row>
    <row r="189" spans="2:42" ht="15" customHeight="1">
      <c r="B189" s="46"/>
      <c r="C189" s="312"/>
      <c r="D189" s="312"/>
      <c r="P189" s="44"/>
      <c r="Q189" s="312"/>
      <c r="AM189" s="53" t="s">
        <v>2303</v>
      </c>
      <c r="AN189" s="886">
        <f ca="1">SUM(Financeiros!D62:D64)</f>
        <v>2619758.7576000001</v>
      </c>
      <c r="AO189" s="23">
        <f t="shared" ca="1" si="9"/>
        <v>1</v>
      </c>
      <c r="AP189" s="681"/>
    </row>
    <row r="190" spans="2:42" ht="15" customHeight="1">
      <c r="B190" s="46"/>
      <c r="C190" s="312"/>
      <c r="D190" s="312"/>
      <c r="P190" s="44"/>
      <c r="Q190" s="312"/>
      <c r="AM190" s="53" t="s">
        <v>2379</v>
      </c>
      <c r="AN190" s="886">
        <f>lnktxtCtaEscHid</f>
        <v>-1106885.699880603</v>
      </c>
      <c r="AO190" s="23">
        <f t="shared" si="9"/>
        <v>1</v>
      </c>
      <c r="AP190" s="681"/>
    </row>
    <row r="191" spans="2:42" ht="15" hidden="1" customHeight="1">
      <c r="B191" s="46"/>
      <c r="C191" s="312"/>
      <c r="D191" s="312"/>
      <c r="P191" s="44"/>
      <c r="Q191" s="312"/>
      <c r="AM191" s="23" t="s">
        <v>2380</v>
      </c>
      <c r="AO191" s="23">
        <f t="shared" si="9"/>
        <v>0</v>
      </c>
      <c r="AP191" s="681"/>
    </row>
    <row r="192" spans="2:42" ht="15" hidden="1" customHeight="1">
      <c r="B192" s="46"/>
      <c r="C192" s="312"/>
      <c r="D192" s="312"/>
      <c r="P192" s="44"/>
      <c r="Q192" s="312"/>
      <c r="AM192" s="23" t="s">
        <v>2381</v>
      </c>
      <c r="AO192" s="23">
        <f t="shared" si="9"/>
        <v>0</v>
      </c>
      <c r="AP192" s="681"/>
    </row>
    <row r="193" spans="2:54" ht="15" customHeight="1">
      <c r="B193" s="46"/>
      <c r="C193" s="312"/>
      <c r="D193" s="312"/>
      <c r="P193" s="44"/>
      <c r="Q193" s="312"/>
      <c r="AM193" s="23" t="s">
        <v>2378</v>
      </c>
      <c r="AN193" s="886">
        <f ca="1">SUM(Financeiros!D76:D80)</f>
        <v>-1445201.6176489049</v>
      </c>
      <c r="AO193" s="23">
        <f t="shared" ca="1" si="9"/>
        <v>1</v>
      </c>
      <c r="AP193" s="681"/>
    </row>
    <row r="194" spans="2:54" ht="15" hidden="1" customHeight="1">
      <c r="B194" s="46"/>
      <c r="C194" s="312"/>
      <c r="D194" s="312"/>
      <c r="P194" s="44"/>
      <c r="Q194" s="312"/>
      <c r="AM194" s="53"/>
      <c r="AN194" s="886"/>
      <c r="AO194" s="23">
        <f t="shared" si="9"/>
        <v>0</v>
      </c>
      <c r="AP194" s="681"/>
    </row>
    <row r="195" spans="2:54" ht="15" hidden="1" customHeight="1">
      <c r="B195" s="46"/>
      <c r="C195" s="312"/>
      <c r="D195" s="312"/>
      <c r="P195" s="44"/>
      <c r="Q195" s="312"/>
      <c r="AM195" s="53"/>
      <c r="AN195" s="886"/>
      <c r="AO195" s="23">
        <f t="shared" si="9"/>
        <v>0</v>
      </c>
      <c r="AP195" s="681"/>
    </row>
    <row r="196" spans="2:54" ht="15" hidden="1" customHeight="1">
      <c r="B196" s="46"/>
      <c r="C196" s="312"/>
      <c r="D196" s="312"/>
      <c r="P196" s="44"/>
      <c r="Q196" s="312"/>
      <c r="AM196" s="53"/>
      <c r="AN196" s="886"/>
      <c r="AO196" s="23">
        <f t="shared" si="9"/>
        <v>0</v>
      </c>
      <c r="AP196" s="681"/>
    </row>
    <row r="197" spans="2:54" ht="15" customHeight="1">
      <c r="B197" s="46"/>
      <c r="C197" s="312"/>
      <c r="D197" s="312"/>
      <c r="P197" s="44"/>
      <c r="Q197" s="312"/>
      <c r="AM197" s="1140" t="s">
        <v>804</v>
      </c>
      <c r="AN197" s="1168">
        <f ca="1">SUM(AN165:AN196)</f>
        <v>-23509390.826771714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762">
        <f ca="1">Financeiros!D7</f>
        <v>-23509390.82677171</v>
      </c>
    </row>
    <row r="200" spans="2:54" ht="15" customHeight="1">
      <c r="B200" s="46"/>
      <c r="C200" s="312"/>
      <c r="D200" s="312"/>
      <c r="P200" s="44"/>
      <c r="Q200" s="312"/>
      <c r="AM200" s="53"/>
      <c r="AN200" s="344">
        <f ca="1">AN197-AN199</f>
        <v>0</v>
      </c>
      <c r="AP200" s="1165" t="s">
        <v>902</v>
      </c>
      <c r="AQ200" s="308" t="s">
        <v>850</v>
      </c>
    </row>
    <row r="201" spans="2:54" ht="15" customHeight="1">
      <c r="B201" s="46"/>
      <c r="C201" s="312"/>
      <c r="D201" s="312"/>
      <c r="P201" s="44"/>
      <c r="Q201" s="312"/>
      <c r="AM201" s="53"/>
      <c r="AN201" s="344"/>
      <c r="AP201" s="1153" t="s">
        <v>903</v>
      </c>
      <c r="AQ201" s="1135" t="s">
        <v>904</v>
      </c>
    </row>
    <row r="202" spans="2:54" ht="15" customHeight="1">
      <c r="B202" s="46"/>
      <c r="C202" s="312"/>
      <c r="D202" s="312"/>
      <c r="P202" s="44"/>
      <c r="Q202" s="312"/>
      <c r="AM202" s="53"/>
      <c r="AN202" s="344"/>
      <c r="AP202" s="305" t="s">
        <v>905</v>
      </c>
      <c r="AQ202" s="230">
        <f>LnkTXTEfeitoAT</f>
        <v>0.12701588016045462</v>
      </c>
    </row>
    <row r="203" spans="2:54" ht="15" customHeight="1">
      <c r="B203" s="46"/>
      <c r="C203" s="312"/>
      <c r="D203" s="312"/>
      <c r="P203" s="44"/>
      <c r="Q203" s="312"/>
      <c r="AM203" s="53"/>
      <c r="AN203" s="344"/>
      <c r="AP203" s="305" t="s">
        <v>906</v>
      </c>
      <c r="AQ203" s="230">
        <f>LnkTXTEfeitoBT</f>
        <v>0.2280547208480328</v>
      </c>
    </row>
    <row r="204" spans="2:54" ht="15" customHeight="1">
      <c r="B204" s="46"/>
      <c r="C204" s="312"/>
      <c r="D204" s="312"/>
      <c r="P204" s="44"/>
      <c r="Q204" s="312"/>
      <c r="AM204" s="53"/>
      <c r="AN204" s="344"/>
      <c r="AP204" s="1140" t="s">
        <v>907</v>
      </c>
      <c r="AQ204" s="1146">
        <f>LnkTXTEfeito</f>
        <v>0.1956272607198577</v>
      </c>
    </row>
    <row r="205" spans="2:54" ht="15" customHeight="1">
      <c r="B205" s="46"/>
      <c r="C205" s="312"/>
      <c r="D205" s="312"/>
      <c r="P205" s="44"/>
      <c r="Q205" s="312"/>
      <c r="AM205" s="53"/>
      <c r="AN205" s="344"/>
      <c r="AW205" s="425"/>
    </row>
    <row r="206" spans="2:54" ht="15" customHeight="1">
      <c r="B206" s="46"/>
      <c r="C206" s="312"/>
      <c r="D206" s="312"/>
      <c r="P206" s="44"/>
      <c r="Q206" s="312"/>
      <c r="AM206" s="53"/>
      <c r="AN206" s="344"/>
      <c r="AS206" s="1165" t="s">
        <v>908</v>
      </c>
      <c r="AT206" s="30"/>
      <c r="AU206" s="30"/>
      <c r="AV206" s="30"/>
      <c r="AW206" s="30"/>
      <c r="AX206" s="308" t="s">
        <v>850</v>
      </c>
    </row>
    <row r="207" spans="2:54" ht="39" customHeight="1" thickBot="1">
      <c r="B207" s="54"/>
      <c r="C207" s="322"/>
      <c r="D207" s="54"/>
      <c r="AS207" s="977" t="s">
        <v>909</v>
      </c>
      <c r="AT207" s="977" t="s">
        <v>870</v>
      </c>
      <c r="AU207" s="977" t="s">
        <v>910</v>
      </c>
      <c r="AV207" s="977" t="s">
        <v>911</v>
      </c>
      <c r="AW207" s="977" t="s">
        <v>912</v>
      </c>
      <c r="AX207" s="977" t="s">
        <v>913</v>
      </c>
      <c r="AY207" s="323" t="s">
        <v>859</v>
      </c>
      <c r="BB207" s="412"/>
    </row>
    <row r="208" spans="2:54" ht="15" customHeight="1" thickTop="1">
      <c r="B208" s="54"/>
      <c r="C208" s="322"/>
      <c r="D208" s="54"/>
      <c r="AS208" s="1169" t="s">
        <v>914</v>
      </c>
      <c r="AT208" s="1170">
        <f ca="1">SUM(AT209:AT218)</f>
        <v>10002090.938565342</v>
      </c>
      <c r="AU208" s="1170">
        <f ca="1">SUM(AU209:AU218)</f>
        <v>16946627.459861781</v>
      </c>
      <c r="AV208" s="1171">
        <f ca="1">IF(AU208=0,0,ROUND(AU208/AT208-1,4))</f>
        <v>0.69430000000000003</v>
      </c>
      <c r="AW208" s="1171">
        <f ca="1">SUM(AW209:AW218)</f>
        <v>6.6079978079101459E-2</v>
      </c>
      <c r="AX208" s="1171">
        <f t="shared" ref="AX208:AX213" ca="1" si="10">AU208/$AU$226</f>
        <v>0.1427400747886074</v>
      </c>
      <c r="AY208" s="323">
        <v>1</v>
      </c>
    </row>
    <row r="209" spans="2:51" ht="15" hidden="1" customHeight="1">
      <c r="AS209" s="978" t="str">
        <f t="shared" ref="AS209:AT212" si="11">I75</f>
        <v>Reserva Global de Reversão – RGR</v>
      </c>
      <c r="AT209" s="979">
        <f t="shared" si="11"/>
        <v>0</v>
      </c>
      <c r="AU209" s="979">
        <f>Resultado!D15</f>
        <v>0</v>
      </c>
      <c r="AV209" s="980">
        <f t="shared" ref="AV209:AV224" si="12">IF(AU209=0,0,ROUND(AU209/AT209-1,3))</f>
        <v>0</v>
      </c>
      <c r="AW209" s="980">
        <f ca="1">(AU209-AT209)/$AT$226</f>
        <v>0</v>
      </c>
      <c r="AX209" s="980">
        <f t="shared" ca="1" si="10"/>
        <v>0</v>
      </c>
      <c r="AY209" s="323">
        <f ca="1">IF(AW209=0,0,1)</f>
        <v>0</v>
      </c>
    </row>
    <row r="210" spans="2:51" ht="15" hidden="1" customHeight="1">
      <c r="H210" s="23"/>
      <c r="AS210" s="978" t="str">
        <f t="shared" si="11"/>
        <v>Conta de Consumo de Combustíveis – CCC</v>
      </c>
      <c r="AT210" s="979">
        <f t="shared" si="11"/>
        <v>0</v>
      </c>
      <c r="AU210" s="979">
        <f>Resultado!D16</f>
        <v>0</v>
      </c>
      <c r="AV210" s="980">
        <f t="shared" si="12"/>
        <v>0</v>
      </c>
      <c r="AW210" s="980">
        <f ca="1">(AU210-AT210)/$AT$226</f>
        <v>0</v>
      </c>
      <c r="AX210" s="980">
        <f t="shared" ca="1" si="10"/>
        <v>0</v>
      </c>
      <c r="AY210" s="323">
        <f t="shared" ref="AY210:AY264" ca="1" si="13">IF(AW210=0,0,1)</f>
        <v>0</v>
      </c>
    </row>
    <row r="211" spans="2:51" ht="15" customHeight="1">
      <c r="B211" s="29"/>
      <c r="C211" s="39"/>
      <c r="H211" s="23"/>
      <c r="AS211" s="978" t="str">
        <f t="shared" si="11"/>
        <v>Taxa de Fisc. de Serviços de E.E. – TFSEE</v>
      </c>
      <c r="AT211" s="979">
        <f t="shared" ca="1" si="11"/>
        <v>231416.72552077865</v>
      </c>
      <c r="AU211" s="979">
        <f ca="1">Resultado!D17</f>
        <v>285157.16397649358</v>
      </c>
      <c r="AV211" s="980">
        <f ca="1">IF(AU211=0,0,ROUND(AU211/AT211-1,4))</f>
        <v>0.23219999999999999</v>
      </c>
      <c r="AW211" s="980">
        <f ca="1">(AU211-AT211)/$AT$226</f>
        <v>5.1136126712340976E-4</v>
      </c>
      <c r="AX211" s="980">
        <f t="shared" ca="1" si="10"/>
        <v>2.4018557679938435E-3</v>
      </c>
      <c r="AY211" s="323">
        <f t="shared" ca="1" si="13"/>
        <v>1</v>
      </c>
    </row>
    <row r="212" spans="2:51" ht="15" customHeight="1">
      <c r="C212" s="28"/>
      <c r="H212" s="23"/>
      <c r="AS212" s="978" t="str">
        <f t="shared" si="11"/>
        <v>Conta de Desenvolvimento Energético – CDE</v>
      </c>
      <c r="AT212" s="979">
        <f t="shared" ca="1" si="11"/>
        <v>8073828.0044489643</v>
      </c>
      <c r="AU212" s="979">
        <f ca="1">Encargos!I19</f>
        <v>11828895.706620004</v>
      </c>
      <c r="AV212" s="980">
        <f ca="1">IF(AU212=0,0,ROUND(AU212/AT212-1,4))</f>
        <v>0.46510000000000001</v>
      </c>
      <c r="AW212" s="980">
        <f ca="1">(AU212-AT212)/$AT$226</f>
        <v>3.5730936209214602E-2</v>
      </c>
      <c r="AX212" s="980">
        <f t="shared" ca="1" si="10"/>
        <v>9.9633833447315759E-2</v>
      </c>
      <c r="AY212" s="323">
        <f t="shared" ca="1" si="13"/>
        <v>1</v>
      </c>
    </row>
    <row r="213" spans="2:51" ht="15" hidden="1" customHeight="1">
      <c r="C213" s="28"/>
      <c r="H213" s="23"/>
      <c r="AS213" s="978" t="s">
        <v>915</v>
      </c>
      <c r="AT213" s="979">
        <f ca="1">Calc_Mercado!S75</f>
        <v>0</v>
      </c>
      <c r="AU213" s="979">
        <f>Encargos!I20</f>
        <v>0</v>
      </c>
      <c r="AV213" s="980">
        <f>IF(AU213=0,0,IF(AT213=0, 100%,ROUND(AU213/AT213-1,4)))</f>
        <v>0</v>
      </c>
      <c r="AW213" s="980">
        <f ca="1">(AU213-AT213)/$AT$226</f>
        <v>0</v>
      </c>
      <c r="AX213" s="980">
        <f t="shared" ca="1" si="10"/>
        <v>0</v>
      </c>
      <c r="AY213" s="323">
        <f t="shared" ca="1" si="13"/>
        <v>0</v>
      </c>
    </row>
    <row r="214" spans="2:51" ht="15" customHeight="1">
      <c r="C214" s="28"/>
      <c r="H214" s="23"/>
      <c r="AS214" s="978" t="s">
        <v>2218</v>
      </c>
      <c r="AT214" s="979"/>
      <c r="AU214" s="979">
        <f>Encargos!I21</f>
        <v>-1979999.9999999998</v>
      </c>
      <c r="AV214" s="980">
        <f>IF(AU214=0,0,IF(AT214=0, 100%,ROUND(AU214/AT214-1,4)))</f>
        <v>1</v>
      </c>
      <c r="AW214" s="980">
        <f ca="1">((AU214-AT214)/$AT$226)</f>
        <v>-1.884047354281828E-2</v>
      </c>
      <c r="AX214" s="980">
        <f ca="1" xml:space="preserve"> AU214/$AU$226</f>
        <v>-1.6677380130698156E-2</v>
      </c>
      <c r="AY214" s="969">
        <f ca="1">IF(AW214=0,0,1)</f>
        <v>1</v>
      </c>
    </row>
    <row r="215" spans="2:51" ht="12.75">
      <c r="C215" s="28"/>
      <c r="H215" s="23"/>
      <c r="AS215" s="978" t="str">
        <f t="shared" ref="AS215:AT218" si="14">I80</f>
        <v>Encargos Serv. Sist. - ESS e Energ. Reserv. – EER</v>
      </c>
      <c r="AT215" s="979">
        <f t="shared" ca="1" si="14"/>
        <v>387051.4383655666</v>
      </c>
      <c r="AU215" s="979">
        <f>Resultado!D20</f>
        <v>4828360.833005284</v>
      </c>
      <c r="AV215" s="980">
        <v>1</v>
      </c>
      <c r="AW215" s="980">
        <f ca="1">(AU215-AT215)/$AT$226</f>
        <v>4.2260794012717109E-2</v>
      </c>
      <c r="AX215" s="980">
        <f t="shared" ref="AX215:AX228" ca="1" si="15">AU215/$AU$226</f>
        <v>4.0668893444547237E-2</v>
      </c>
      <c r="AY215" s="323">
        <f ca="1">IF(AW215=0,0,1)</f>
        <v>1</v>
      </c>
    </row>
    <row r="216" spans="2:51" ht="15" customHeight="1">
      <c r="C216" s="28"/>
      <c r="H216" s="23"/>
      <c r="AS216" s="978" t="str">
        <f t="shared" si="14"/>
        <v>PROINFA</v>
      </c>
      <c r="AT216" s="979">
        <f t="shared" ca="1" si="14"/>
        <v>1309794.7702300332</v>
      </c>
      <c r="AU216" s="979">
        <f ca="1">Resultado!D21</f>
        <v>1984213.7562600006</v>
      </c>
      <c r="AV216" s="980">
        <f ca="1">IF(AU216=0,0,ROUND(AU216/AT216-1,4))</f>
        <v>0.51490000000000002</v>
      </c>
      <c r="AW216" s="980">
        <f ca="1">(AU216-AT216)/$AT$226</f>
        <v>6.417360132864613E-3</v>
      </c>
      <c r="AX216" s="980">
        <f t="shared" ca="1" si="15"/>
        <v>1.6712872259448733E-2</v>
      </c>
      <c r="AY216" s="323">
        <f t="shared" ca="1" si="13"/>
        <v>1</v>
      </c>
    </row>
    <row r="217" spans="2:51" ht="15" hidden="1" customHeight="1">
      <c r="B217" s="29"/>
      <c r="C217" s="39"/>
      <c r="H217" s="23"/>
      <c r="AS217" s="978" t="str">
        <f t="shared" si="14"/>
        <v>P&amp;D e Eficiência Energética</v>
      </c>
      <c r="AT217" s="979">
        <f t="shared" ca="1" si="14"/>
        <v>0</v>
      </c>
      <c r="AU217" s="979">
        <f>Resultado!D22</f>
        <v>0</v>
      </c>
      <c r="AV217" s="980">
        <f>IF(AU217=0,0,ROUND(AU217/AT217-1,4))</f>
        <v>0</v>
      </c>
      <c r="AW217" s="980">
        <f ca="1">(AU217-AT217)/$AT$226</f>
        <v>0</v>
      </c>
      <c r="AX217" s="980">
        <f t="shared" ca="1" si="15"/>
        <v>0</v>
      </c>
      <c r="AY217" s="323">
        <v>0</v>
      </c>
    </row>
    <row r="218" spans="2:51" ht="15" hidden="1" customHeight="1">
      <c r="C218" s="345"/>
      <c r="H218" s="23"/>
      <c r="AS218" s="978" t="str">
        <f t="shared" si="14"/>
        <v>ONS</v>
      </c>
      <c r="AT218" s="979">
        <f t="shared" ca="1" si="14"/>
        <v>0</v>
      </c>
      <c r="AU218" s="979">
        <f>Resultado!D23</f>
        <v>0</v>
      </c>
      <c r="AV218" s="980">
        <f t="shared" si="12"/>
        <v>0</v>
      </c>
      <c r="AW218" s="980">
        <f ca="1">(AU218-AT218)/$AT$226</f>
        <v>0</v>
      </c>
      <c r="AX218" s="980">
        <f t="shared" ca="1" si="15"/>
        <v>0</v>
      </c>
      <c r="AY218" s="323">
        <v>0</v>
      </c>
    </row>
    <row r="219" spans="2:51" ht="15" customHeight="1">
      <c r="C219" s="312"/>
      <c r="H219" s="23"/>
      <c r="AS219" s="1169" t="s">
        <v>916</v>
      </c>
      <c r="AT219" s="1170">
        <f ca="1">AT220</f>
        <v>32947321.16528523</v>
      </c>
      <c r="AU219" s="1170">
        <f ca="1">AU220</f>
        <v>24739687.473364118</v>
      </c>
      <c r="AV219" s="1171">
        <f ca="1">IF(AU219=0,0,ROUND(AU219/AT219-1,4))</f>
        <v>-0.24909999999999999</v>
      </c>
      <c r="AW219" s="1171">
        <f ca="1">AW220</f>
        <v>-7.8098841122112947E-2</v>
      </c>
      <c r="AX219" s="1171">
        <f t="shared" ca="1" si="15"/>
        <v>0.20838039005452771</v>
      </c>
      <c r="AY219" s="323">
        <f t="shared" ca="1" si="13"/>
        <v>1</v>
      </c>
    </row>
    <row r="220" spans="2:51" ht="15" customHeight="1">
      <c r="C220" s="312"/>
      <c r="H220" s="23"/>
      <c r="AS220" s="978" t="s">
        <v>873</v>
      </c>
      <c r="AT220" s="979">
        <f ca="1">J85</f>
        <v>32947321.16528523</v>
      </c>
      <c r="AU220" s="979">
        <f ca="1">Resultado!D33</f>
        <v>24739687.473364118</v>
      </c>
      <c r="AV220" s="980">
        <f ca="1">IF(AU220=0,0,ROUND(AU220/AT220-1,4))</f>
        <v>-0.24909999999999999</v>
      </c>
      <c r="AW220" s="980">
        <f ca="1">(AU220-AT220)/$AT$226</f>
        <v>-7.8098841122112947E-2</v>
      </c>
      <c r="AX220" s="980">
        <f t="shared" ca="1" si="15"/>
        <v>0.20838039005452771</v>
      </c>
      <c r="AY220" s="323">
        <f t="shared" ca="1" si="13"/>
        <v>1</v>
      </c>
    </row>
    <row r="221" spans="2:51" ht="15" customHeight="1">
      <c r="AS221" s="1169" t="s">
        <v>917</v>
      </c>
      <c r="AT221" s="1170">
        <f ca="1">SUM(AT222:AT225)</f>
        <v>14626922.781354129</v>
      </c>
      <c r="AU221" s="1170">
        <f>SUM(AU222:AU225)</f>
        <v>16701808.717433799</v>
      </c>
      <c r="AV221" s="1171">
        <f ca="1">IF(AU221=0,0,ROUND(AU221/AT221-1,4))</f>
        <v>0.1419</v>
      </c>
      <c r="AW221" s="1171">
        <f ca="1">SUM(AW222:AW225)</f>
        <v>1.9743350294482213E-2</v>
      </c>
      <c r="AX221" s="1171">
        <f t="shared" ca="1" si="15"/>
        <v>0.14067798628830894</v>
      </c>
      <c r="AY221" s="323">
        <f t="shared" ca="1" si="13"/>
        <v>1</v>
      </c>
    </row>
    <row r="222" spans="2:51" ht="15" customHeight="1">
      <c r="AS222" s="978" t="str">
        <f>Resultado!B25</f>
        <v>Rede Básica</v>
      </c>
      <c r="AT222" s="979">
        <f ca="1">J87</f>
        <v>1419503.3240589856</v>
      </c>
      <c r="AU222" s="979">
        <f>Resultado!D25</f>
        <v>2242111.9160000002</v>
      </c>
      <c r="AV222" s="980">
        <f t="shared" ca="1" si="12"/>
        <v>0.57999999999999996</v>
      </c>
      <c r="AW222" s="980">
        <f ca="1">(AU222-AT222)/$AT$226</f>
        <v>7.8274421275553972E-3</v>
      </c>
      <c r="AX222" s="980">
        <f t="shared" ca="1" si="15"/>
        <v>1.8885127635707061E-2</v>
      </c>
      <c r="AY222" s="323">
        <f t="shared" ca="1" si="13"/>
        <v>1</v>
      </c>
    </row>
    <row r="223" spans="2:51" ht="15" customHeight="1">
      <c r="AS223" s="978" t="str">
        <f>Resultado!B26</f>
        <v>Rede Básica Fronteira</v>
      </c>
      <c r="AT223" s="979">
        <f ca="1">J88</f>
        <v>936445.15140714962</v>
      </c>
      <c r="AU223" s="979">
        <f>Resultado!D26</f>
        <v>1376974.084</v>
      </c>
      <c r="AV223" s="980">
        <f t="shared" ca="1" si="12"/>
        <v>0.47</v>
      </c>
      <c r="AW223" s="980">
        <f ca="1">(AU223-AT223)/$AT$226</f>
        <v>4.1918048986674629E-3</v>
      </c>
      <c r="AX223" s="980">
        <f t="shared" ca="1" si="15"/>
        <v>1.1598141529791868E-2</v>
      </c>
      <c r="AY223" s="323">
        <f t="shared" ca="1" si="13"/>
        <v>1</v>
      </c>
    </row>
    <row r="224" spans="2:51" ht="15" hidden="1" customHeight="1">
      <c r="H224" s="23"/>
      <c r="AS224" s="978" t="str">
        <f>Resultado!B31</f>
        <v>Conexão</v>
      </c>
      <c r="AT224" s="979">
        <f ca="1">J93</f>
        <v>0</v>
      </c>
      <c r="AU224" s="979">
        <f>Resultado!D31</f>
        <v>0</v>
      </c>
      <c r="AV224" s="980">
        <f t="shared" si="12"/>
        <v>0</v>
      </c>
      <c r="AW224" s="980">
        <f ca="1">(AU224-AT224)/$AT$226</f>
        <v>0</v>
      </c>
      <c r="AX224" s="980">
        <f t="shared" ca="1" si="15"/>
        <v>0</v>
      </c>
      <c r="AY224" s="323">
        <f t="shared" ca="1" si="13"/>
        <v>0</v>
      </c>
    </row>
    <row r="225" spans="2:51" ht="15" customHeight="1">
      <c r="H225" s="23"/>
      <c r="AS225" s="978" t="str">
        <f>Resultado!B32</f>
        <v>Uso do sistema de distribuição</v>
      </c>
      <c r="AT225" s="979">
        <f ca="1">J94</f>
        <v>12270974.305887993</v>
      </c>
      <c r="AU225" s="979">
        <f>Resultado!D32</f>
        <v>13082722.717433799</v>
      </c>
      <c r="AV225" s="980">
        <f ca="1">IF(AU225=0,0,ROUND(AU225/AT225-1,4))</f>
        <v>6.6199999999999995E-2</v>
      </c>
      <c r="AW225" s="980">
        <f ca="1">(AU225-AT225)/$AT$226</f>
        <v>7.7241032682593526E-3</v>
      </c>
      <c r="AX225" s="980">
        <f t="shared" ca="1" si="15"/>
        <v>0.11019471712281002</v>
      </c>
      <c r="AY225" s="323">
        <f t="shared" ca="1" si="13"/>
        <v>1</v>
      </c>
    </row>
    <row r="226" spans="2:51" ht="15" hidden="1" customHeight="1">
      <c r="C226" s="19"/>
      <c r="AS226" s="1169" t="s">
        <v>918</v>
      </c>
      <c r="AT226" s="1170">
        <f ca="1">Mercado_RA0_Reais</f>
        <v>105092899.89447996</v>
      </c>
      <c r="AU226" s="1170">
        <f ca="1">AU208+AU219+AU221+AU228</f>
        <v>118723683.48523769</v>
      </c>
      <c r="AV226" s="1172"/>
      <c r="AW226" s="1172"/>
      <c r="AX226" s="1171">
        <f t="shared" ca="1" si="15"/>
        <v>1</v>
      </c>
      <c r="AY226" s="323">
        <f t="shared" si="13"/>
        <v>0</v>
      </c>
    </row>
    <row r="227" spans="2:51" ht="15" customHeight="1">
      <c r="C227" s="19"/>
      <c r="AS227" s="1173" t="s">
        <v>919</v>
      </c>
      <c r="AT227" s="1174">
        <f ca="1">AT208+AT219+AT221</f>
        <v>57576334.885204703</v>
      </c>
      <c r="AU227" s="1174">
        <f ca="1">AU208+AU219+AU221</f>
        <v>58388123.650659695</v>
      </c>
      <c r="AV227" s="1175">
        <f ca="1">IF(AU227=0,0,ROUND(AU227/AT227-1,4))</f>
        <v>1.41E-2</v>
      </c>
      <c r="AW227" s="1175">
        <f ca="1">(AU227-AT227)/AT226</f>
        <v>7.7244872514706589E-3</v>
      </c>
      <c r="AX227" s="1175">
        <f t="shared" ca="1" si="15"/>
        <v>0.49179845113144405</v>
      </c>
      <c r="AY227" s="323">
        <f t="shared" ca="1" si="13"/>
        <v>1</v>
      </c>
    </row>
    <row r="228" spans="2:51" ht="15" customHeight="1">
      <c r="B228" s="28"/>
      <c r="C228" s="19"/>
      <c r="AS228" s="1173" t="s">
        <v>920</v>
      </c>
      <c r="AT228" s="1174">
        <f ca="1">AT226-AT227</f>
        <v>47516565.009275258</v>
      </c>
      <c r="AU228" s="1174">
        <f>Resultado!D39</f>
        <v>60335559.834578</v>
      </c>
      <c r="AV228" s="1175">
        <f ca="1">IF(AU228=0,0,ROUND(AU228/AT228-1,4))</f>
        <v>0.26979999999999998</v>
      </c>
      <c r="AW228" s="1175">
        <f ca="1">(AU228-AT228)/AT226</f>
        <v>0.12197774386446504</v>
      </c>
      <c r="AX228" s="1175">
        <f t="shared" ca="1" si="15"/>
        <v>0.50820154886855606</v>
      </c>
      <c r="AY228" s="323">
        <f t="shared" ca="1" si="13"/>
        <v>1</v>
      </c>
    </row>
    <row r="229" spans="2:51" ht="15" customHeight="1">
      <c r="AS229" s="1176" t="str">
        <f>Resultado!B7</f>
        <v>Variação econômica</v>
      </c>
      <c r="AT229" s="1176"/>
      <c r="AU229" s="1176"/>
      <c r="AV229" s="1177"/>
      <c r="AW229" s="1178">
        <f ca="1">ROUND((AU228+AU227)/(AT227+AT228)-1,4)</f>
        <v>0.12970000000000001</v>
      </c>
      <c r="AX229" s="1177"/>
      <c r="AY229" s="323">
        <v>1</v>
      </c>
    </row>
    <row r="230" spans="2:51" ht="15" hidden="1" customHeight="1">
      <c r="AS230" s="981"/>
      <c r="AT230" s="981"/>
      <c r="AU230" s="981"/>
      <c r="AV230" s="982"/>
      <c r="AW230" s="983"/>
      <c r="AX230" s="983"/>
      <c r="AY230" s="323">
        <f t="shared" si="13"/>
        <v>0</v>
      </c>
    </row>
    <row r="231" spans="2:51" ht="15" customHeight="1">
      <c r="AS231" s="1169" t="s">
        <v>921</v>
      </c>
      <c r="AT231" s="1179"/>
      <c r="AU231" s="1179"/>
      <c r="AV231" s="1180"/>
      <c r="AW231" s="1171" t="s">
        <v>922</v>
      </c>
      <c r="AX231" s="1171"/>
      <c r="AY231" s="323">
        <v>1</v>
      </c>
    </row>
    <row r="232" spans="2:51" ht="15" customHeight="1">
      <c r="AS232" s="984" t="str">
        <f>Financeiros!C9</f>
        <v>Repasse de PIS COFINS</v>
      </c>
      <c r="AT232" s="984"/>
      <c r="AU232" s="985">
        <f>LnkTXTPISCOFINS</f>
        <v>1855892.7636633427</v>
      </c>
      <c r="AV232" s="986"/>
      <c r="AW232" s="986">
        <f ca="1">LnkTXTPISCOFINSPer</f>
        <v>1.7659544703084399E-2</v>
      </c>
      <c r="AX232" s="983"/>
      <c r="AY232" s="323">
        <f ca="1">IF(AW232=0,0,1)</f>
        <v>1</v>
      </c>
    </row>
    <row r="233" spans="2:51" ht="15" customHeight="1">
      <c r="B233" s="346"/>
      <c r="C233" s="347"/>
      <c r="D233" s="347"/>
      <c r="E233" s="347"/>
      <c r="F233" s="347"/>
      <c r="G233" s="347"/>
      <c r="H233" s="347"/>
      <c r="AS233" s="984" t="str">
        <f>AM166</f>
        <v>Neutralidade Encargos Setoriais</v>
      </c>
      <c r="AT233" s="984"/>
      <c r="AU233" s="985">
        <f ca="1">LnkTXTNeutralidade</f>
        <v>-571960.60168152116</v>
      </c>
      <c r="AV233" s="986"/>
      <c r="AW233" s="980">
        <f ca="1">AU233/Financeiros!$D$4</f>
        <v>-5.4424285775328922E-3</v>
      </c>
      <c r="AX233" s="983"/>
      <c r="AY233" s="323">
        <f t="shared" ref="AY233:AY241" ca="1" si="16">IF(AW233=0,0,1)</f>
        <v>1</v>
      </c>
    </row>
    <row r="234" spans="2:51" ht="15" hidden="1" customHeight="1">
      <c r="B234" s="348"/>
      <c r="C234" s="349"/>
      <c r="D234" s="349"/>
      <c r="E234" s="349"/>
      <c r="F234" s="350"/>
      <c r="G234" s="350"/>
      <c r="H234" s="350"/>
      <c r="AS234" s="987" t="str">
        <f>AM167</f>
        <v>Neutralidade Financeiros e Encargos Conta Covid</v>
      </c>
      <c r="AT234" s="987"/>
      <c r="AU234" s="988">
        <f>AN167</f>
        <v>0</v>
      </c>
      <c r="AV234" s="987"/>
      <c r="AW234" s="980">
        <f ca="1">AU234/Financeiros!$D$4</f>
        <v>0</v>
      </c>
      <c r="AX234" s="983"/>
      <c r="AY234" s="323">
        <f t="shared" ca="1" si="16"/>
        <v>0</v>
      </c>
    </row>
    <row r="235" spans="2:51" ht="15" hidden="1" customHeight="1">
      <c r="B235" s="348"/>
      <c r="C235" s="349"/>
      <c r="D235" s="349"/>
      <c r="E235" s="349"/>
      <c r="F235" s="350"/>
      <c r="G235" s="350"/>
      <c r="H235" s="350"/>
      <c r="AS235" s="987" t="str">
        <f t="shared" ref="AS235:AS243" si="17">AM169</f>
        <v>Ajustes Processos anteriores</v>
      </c>
      <c r="AT235" s="987"/>
      <c r="AU235" s="988">
        <f t="shared" ref="AU235:AU243" si="18">AN169</f>
        <v>0</v>
      </c>
      <c r="AV235" s="986"/>
      <c r="AW235" s="980">
        <f ca="1">AU235/Financeiros!$D$4</f>
        <v>0</v>
      </c>
      <c r="AX235" s="983"/>
      <c r="AY235" s="323">
        <f t="shared" ca="1" si="16"/>
        <v>0</v>
      </c>
    </row>
    <row r="236" spans="2:51" ht="15" customHeight="1">
      <c r="B236" s="348"/>
      <c r="C236" s="349"/>
      <c r="D236" s="349"/>
      <c r="E236" s="349"/>
      <c r="F236" s="350"/>
      <c r="G236" s="350"/>
      <c r="H236" s="350"/>
      <c r="AS236" s="987" t="str">
        <f t="shared" si="17"/>
        <v>Ajuste CUST + PISCONFINS Transmissão</v>
      </c>
      <c r="AT236" s="987"/>
      <c r="AU236" s="988">
        <f t="shared" si="18"/>
        <v>308208.83345205843</v>
      </c>
      <c r="AV236" s="986"/>
      <c r="AW236" s="980">
        <f ca="1">AU236/Financeiros!$D$4</f>
        <v>2.9327274607658551E-3</v>
      </c>
      <c r="AX236" s="983"/>
      <c r="AY236" s="323">
        <f t="shared" ca="1" si="16"/>
        <v>1</v>
      </c>
    </row>
    <row r="237" spans="2:51" ht="15" customHeight="1">
      <c r="B237" s="348"/>
      <c r="C237" s="349"/>
      <c r="D237" s="349"/>
      <c r="E237" s="349"/>
      <c r="F237" s="350"/>
      <c r="G237" s="350"/>
      <c r="H237" s="350"/>
      <c r="AS237" s="987" t="str">
        <f t="shared" si="17"/>
        <v>Compensação DIC FIC</v>
      </c>
      <c r="AT237" s="987"/>
      <c r="AU237" s="988">
        <f t="shared" si="18"/>
        <v>-208981.51488605133</v>
      </c>
      <c r="AV237" s="986"/>
      <c r="AW237" s="980">
        <f ca="1">AU237/Financeiros!$D$4</f>
        <v>-1.9885407586609774E-3</v>
      </c>
      <c r="AX237" s="983"/>
      <c r="AY237" s="323">
        <f t="shared" ca="1" si="16"/>
        <v>1</v>
      </c>
    </row>
    <row r="238" spans="2:51" ht="15" customHeight="1">
      <c r="B238" s="348"/>
      <c r="C238" s="349"/>
      <c r="D238" s="349"/>
      <c r="E238" s="349"/>
      <c r="F238" s="350"/>
      <c r="G238" s="350"/>
      <c r="H238" s="350"/>
      <c r="AS238" s="987" t="str">
        <f t="shared" si="17"/>
        <v>Subvenção CDE</v>
      </c>
      <c r="AT238" s="987"/>
      <c r="AU238" s="988">
        <f t="shared" ca="1" si="18"/>
        <v>-29102795.694557633</v>
      </c>
      <c r="AV238" s="986"/>
      <c r="AW238" s="980">
        <f ca="1">AU238/Financeiros!$D$4</f>
        <v>-0.2769244708612924</v>
      </c>
      <c r="AX238" s="983"/>
      <c r="AY238" s="323">
        <f t="shared" ca="1" si="16"/>
        <v>1</v>
      </c>
    </row>
    <row r="239" spans="2:51" ht="15" hidden="1" customHeight="1">
      <c r="B239" s="348"/>
      <c r="C239" s="349"/>
      <c r="D239" s="349"/>
      <c r="E239" s="349"/>
      <c r="F239" s="350"/>
      <c r="G239" s="350"/>
      <c r="H239" s="350"/>
      <c r="AS239" s="987" t="str">
        <f t="shared" si="17"/>
        <v>Retenção de Adicionais de Bandeiras Tarifárias</v>
      </c>
      <c r="AT239" s="987"/>
      <c r="AU239" s="988">
        <f t="shared" si="18"/>
        <v>0</v>
      </c>
      <c r="AV239" s="986"/>
      <c r="AW239" s="980">
        <f ca="1">AU239/Financeiros!$D$4</f>
        <v>0</v>
      </c>
      <c r="AX239" s="983"/>
      <c r="AY239" s="323">
        <f t="shared" ca="1" si="16"/>
        <v>0</v>
      </c>
    </row>
    <row r="240" spans="2:51" ht="15" hidden="1" customHeight="1">
      <c r="B240" s="348"/>
      <c r="C240" s="349"/>
      <c r="D240" s="349"/>
      <c r="E240" s="349"/>
      <c r="F240" s="350"/>
      <c r="G240" s="350"/>
      <c r="H240" s="350"/>
      <c r="AS240" s="987" t="str">
        <f t="shared" si="17"/>
        <v>Conta Covid-19</v>
      </c>
      <c r="AT240" s="987"/>
      <c r="AU240" s="988">
        <f t="shared" si="18"/>
        <v>0</v>
      </c>
      <c r="AV240" s="986"/>
      <c r="AW240" s="980">
        <f ca="1">AU240/Financeiros!$D$4</f>
        <v>0</v>
      </c>
      <c r="AX240" s="983"/>
      <c r="AY240" s="323">
        <f t="shared" ca="1" si="16"/>
        <v>0</v>
      </c>
    </row>
    <row r="241" spans="2:51" ht="15" hidden="1" customHeight="1">
      <c r="B241" s="348"/>
      <c r="C241" s="349"/>
      <c r="D241" s="349"/>
      <c r="E241" s="349"/>
      <c r="F241" s="350"/>
      <c r="G241" s="350"/>
      <c r="H241" s="350"/>
      <c r="AS241" s="987" t="str">
        <f t="shared" si="17"/>
        <v>Repasse de ICMS</v>
      </c>
      <c r="AT241" s="987"/>
      <c r="AU241" s="988">
        <f t="shared" si="18"/>
        <v>0</v>
      </c>
      <c r="AV241" s="986"/>
      <c r="AW241" s="980">
        <f ca="1">AU241/Financeiros!$D$4</f>
        <v>0</v>
      </c>
      <c r="AX241" s="983"/>
      <c r="AY241" s="323">
        <f t="shared" ca="1" si="16"/>
        <v>0</v>
      </c>
    </row>
    <row r="242" spans="2:51" ht="15" hidden="1" customHeight="1">
      <c r="B242" s="348"/>
      <c r="C242" s="349"/>
      <c r="D242" s="349"/>
      <c r="E242" s="349"/>
      <c r="F242" s="350"/>
      <c r="G242" s="350"/>
      <c r="H242" s="350"/>
      <c r="AS242" s="987" t="str">
        <f t="shared" si="17"/>
        <v>Crédito Pis Cofins sobre ICMS</v>
      </c>
      <c r="AT242" s="987"/>
      <c r="AU242" s="988">
        <f t="shared" si="18"/>
        <v>0</v>
      </c>
      <c r="AV242" s="986"/>
      <c r="AW242" s="980">
        <f ca="1">AU242/Financeiros!$D$4</f>
        <v>0</v>
      </c>
      <c r="AX242" s="983"/>
      <c r="AY242" s="969">
        <f ca="1">IF(AW242=0,0,1)</f>
        <v>0</v>
      </c>
    </row>
    <row r="243" spans="2:51" ht="15" customHeight="1">
      <c r="B243" s="348"/>
      <c r="C243" s="349"/>
      <c r="D243" s="349"/>
      <c r="E243" s="349"/>
      <c r="F243" s="350"/>
      <c r="G243" s="350"/>
      <c r="H243" s="350"/>
      <c r="AS243" s="987" t="str">
        <f t="shared" si="17"/>
        <v>Previsão de Risco Hidrologico</v>
      </c>
      <c r="AT243" s="987"/>
      <c r="AU243" s="988">
        <f t="shared" si="18"/>
        <v>2351518.6531692422</v>
      </c>
      <c r="AV243" s="986"/>
      <c r="AW243" s="980">
        <f ca="1">AU243/Financeiros!$D$4</f>
        <v>2.2375618671958985E-2</v>
      </c>
      <c r="AX243" s="983"/>
      <c r="AY243" s="969">
        <f t="shared" ref="AY243:AY245" ca="1" si="19">IF(AW243=0,0,1)</f>
        <v>1</v>
      </c>
    </row>
    <row r="244" spans="2:51" ht="15" customHeight="1">
      <c r="B244" s="348"/>
      <c r="C244" s="349"/>
      <c r="D244" s="349"/>
      <c r="E244" s="349"/>
      <c r="F244" s="350"/>
      <c r="G244" s="350"/>
      <c r="H244" s="350"/>
      <c r="AS244" s="987" t="str">
        <f t="shared" ref="AS244:AS260" si="20">AM178</f>
        <v>Reversão de Risco Hidrológico</v>
      </c>
      <c r="AT244" s="987"/>
      <c r="AU244" s="988">
        <f t="shared" ref="AU244:AU260" si="21">AN178</f>
        <v>-1315990.2960016439</v>
      </c>
      <c r="AV244" s="986"/>
      <c r="AW244" s="980">
        <f ca="1">AU244/Financeiros!$D$4</f>
        <v>-1.2522161795163925E-2</v>
      </c>
      <c r="AX244" s="983"/>
      <c r="AY244" s="969">
        <f t="shared" ca="1" si="19"/>
        <v>1</v>
      </c>
    </row>
    <row r="245" spans="2:51" ht="15" hidden="1" customHeight="1">
      <c r="B245" s="348"/>
      <c r="C245" s="349"/>
      <c r="D245" s="349"/>
      <c r="E245" s="349"/>
      <c r="F245" s="350"/>
      <c r="G245" s="350"/>
      <c r="H245" s="350"/>
      <c r="AS245" s="987" t="str">
        <f t="shared" si="20"/>
        <v>Efeito COVID da Supridora</v>
      </c>
      <c r="AT245" s="987"/>
      <c r="AU245" s="988">
        <f t="shared" si="21"/>
        <v>0</v>
      </c>
      <c r="AV245" s="986"/>
      <c r="AW245" s="980">
        <f ca="1">AU245/Financeiros!$D$4</f>
        <v>0</v>
      </c>
      <c r="AX245" s="983"/>
      <c r="AY245" s="969">
        <f t="shared" ca="1" si="19"/>
        <v>0</v>
      </c>
    </row>
    <row r="246" spans="2:51" ht="15" hidden="1" customHeight="1">
      <c r="B246" s="348"/>
      <c r="C246" s="349"/>
      <c r="D246" s="349"/>
      <c r="E246" s="349"/>
      <c r="F246" s="350"/>
      <c r="G246" s="350"/>
      <c r="H246" s="350"/>
      <c r="AS246" s="987" t="str">
        <f t="shared" si="20"/>
        <v>Diferimento Pis Cofins</v>
      </c>
      <c r="AT246" s="987"/>
      <c r="AU246" s="988">
        <f t="shared" si="21"/>
        <v>0</v>
      </c>
      <c r="AV246" s="986"/>
      <c r="AW246" s="980">
        <f ca="1">AU246/Financeiros!$D$4</f>
        <v>0</v>
      </c>
      <c r="AX246" s="983"/>
      <c r="AY246" s="969">
        <f t="shared" ref="AY246:AY250" ca="1" si="22">IF(AW246=0,0,1)</f>
        <v>0</v>
      </c>
    </row>
    <row r="247" spans="2:51" ht="15" hidden="1" customHeight="1">
      <c r="B247" s="348"/>
      <c r="C247" s="349"/>
      <c r="D247" s="349"/>
      <c r="E247" s="349"/>
      <c r="F247" s="350"/>
      <c r="G247" s="350"/>
      <c r="H247" s="350"/>
      <c r="AS247" s="987" t="str">
        <f t="shared" si="20"/>
        <v>Financeiros associados ao §7º do Art. 88 da Ren 414/2021</v>
      </c>
      <c r="AT247" s="987"/>
      <c r="AU247" s="988">
        <f t="shared" si="21"/>
        <v>0</v>
      </c>
      <c r="AV247" s="986"/>
      <c r="AW247" s="980">
        <f ca="1">AU247/Financeiros!$D$4</f>
        <v>0</v>
      </c>
      <c r="AX247" s="983"/>
      <c r="AY247" s="969">
        <f t="shared" ref="AY247:AY249" ca="1" si="23">IF(AW247=0,0,1)</f>
        <v>0</v>
      </c>
    </row>
    <row r="248" spans="2:51" ht="15" hidden="1" customHeight="1">
      <c r="B248" s="348"/>
      <c r="C248" s="349"/>
      <c r="D248" s="349"/>
      <c r="E248" s="349"/>
      <c r="F248" s="350"/>
      <c r="G248" s="350"/>
      <c r="H248" s="350"/>
      <c r="AS248" s="987">
        <f t="shared" si="20"/>
        <v>0</v>
      </c>
      <c r="AT248" s="987"/>
      <c r="AU248" s="988">
        <f t="shared" si="21"/>
        <v>0</v>
      </c>
      <c r="AV248" s="986"/>
      <c r="AW248" s="980">
        <f ca="1">AU248/Financeiros!$D$4</f>
        <v>0</v>
      </c>
      <c r="AX248" s="983"/>
      <c r="AY248" s="969">
        <f t="shared" ca="1" si="23"/>
        <v>0</v>
      </c>
    </row>
    <row r="249" spans="2:51" ht="15" hidden="1" customHeight="1">
      <c r="B249" s="348"/>
      <c r="C249" s="349"/>
      <c r="D249" s="349"/>
      <c r="E249" s="349"/>
      <c r="F249" s="350"/>
      <c r="G249" s="350"/>
      <c r="H249" s="350"/>
      <c r="AS249" s="987">
        <f t="shared" si="20"/>
        <v>0</v>
      </c>
      <c r="AT249" s="987"/>
      <c r="AU249" s="988">
        <f t="shared" si="21"/>
        <v>0</v>
      </c>
      <c r="AV249" s="986"/>
      <c r="AW249" s="980">
        <f ca="1">AU249/Financeiros!$D$4</f>
        <v>0</v>
      </c>
      <c r="AX249" s="983"/>
      <c r="AY249" s="969">
        <f t="shared" ca="1" si="23"/>
        <v>0</v>
      </c>
    </row>
    <row r="250" spans="2:51" ht="15" hidden="1" customHeight="1">
      <c r="B250" s="348"/>
      <c r="C250" s="349"/>
      <c r="D250" s="349"/>
      <c r="E250" s="349"/>
      <c r="F250" s="350"/>
      <c r="G250" s="350"/>
      <c r="H250" s="350"/>
      <c r="AS250" s="987">
        <f t="shared" si="20"/>
        <v>0</v>
      </c>
      <c r="AT250" s="987"/>
      <c r="AU250" s="988">
        <f t="shared" si="21"/>
        <v>0</v>
      </c>
      <c r="AV250" s="986"/>
      <c r="AW250" s="980">
        <f ca="1">AU250/Financeiros!$D$4</f>
        <v>0</v>
      </c>
      <c r="AX250" s="983"/>
      <c r="AY250" s="969">
        <f t="shared" ca="1" si="22"/>
        <v>0</v>
      </c>
    </row>
    <row r="251" spans="2:51" ht="15" hidden="1" customHeight="1">
      <c r="B251" s="348"/>
      <c r="C251" s="349"/>
      <c r="D251" s="349"/>
      <c r="E251" s="349"/>
      <c r="F251" s="350"/>
      <c r="G251" s="350"/>
      <c r="H251" s="350"/>
      <c r="AS251" s="987">
        <f t="shared" si="20"/>
        <v>0</v>
      </c>
      <c r="AT251" s="987"/>
      <c r="AU251" s="988">
        <f t="shared" si="21"/>
        <v>0</v>
      </c>
      <c r="AV251" s="986"/>
      <c r="AW251" s="980">
        <f ca="1">AU251/Financeiros!$D$4</f>
        <v>0</v>
      </c>
      <c r="AX251" s="983"/>
      <c r="AY251" s="976">
        <f t="shared" ref="AY251:AY252" ca="1" si="24">IF(AW251=0,0,1)</f>
        <v>0</v>
      </c>
    </row>
    <row r="252" spans="2:51" ht="15" hidden="1" customHeight="1">
      <c r="B252" s="348"/>
      <c r="C252" s="349"/>
      <c r="D252" s="349"/>
      <c r="E252" s="349"/>
      <c r="F252" s="350"/>
      <c r="G252" s="350"/>
      <c r="H252" s="350"/>
      <c r="AS252" s="987">
        <f t="shared" si="20"/>
        <v>0</v>
      </c>
      <c r="AT252" s="987"/>
      <c r="AU252" s="988">
        <f t="shared" si="21"/>
        <v>0</v>
      </c>
      <c r="AV252" s="986"/>
      <c r="AW252" s="980">
        <f ca="1">AU252/Financeiros!$D$4</f>
        <v>0</v>
      </c>
      <c r="AX252" s="983"/>
      <c r="AY252" s="976">
        <f t="shared" ca="1" si="24"/>
        <v>0</v>
      </c>
    </row>
    <row r="253" spans="2:51" ht="15" hidden="1" customHeight="1">
      <c r="B253" s="348"/>
      <c r="C253" s="349"/>
      <c r="D253" s="349"/>
      <c r="E253" s="349"/>
      <c r="F253" s="350"/>
      <c r="G253" s="350"/>
      <c r="H253" s="350"/>
      <c r="AS253" s="987">
        <f t="shared" si="20"/>
        <v>0</v>
      </c>
      <c r="AT253" s="987"/>
      <c r="AU253" s="988">
        <f t="shared" si="21"/>
        <v>0</v>
      </c>
      <c r="AV253" s="986"/>
      <c r="AW253" s="980">
        <f ca="1">AU253/Financeiros!$D$4</f>
        <v>0</v>
      </c>
      <c r="AX253" s="983"/>
      <c r="AY253" s="976">
        <f t="shared" ref="AY253:AY260" ca="1" si="25">IF(AW253=0,0,1)</f>
        <v>0</v>
      </c>
    </row>
    <row r="254" spans="2:51" ht="15" customHeight="1">
      <c r="B254" s="348"/>
      <c r="C254" s="349"/>
      <c r="D254" s="349"/>
      <c r="E254" s="349"/>
      <c r="F254" s="350"/>
      <c r="G254" s="350"/>
      <c r="H254" s="350"/>
      <c r="AS254" s="987" t="str">
        <f t="shared" si="20"/>
        <v>CVE Energia</v>
      </c>
      <c r="AT254" s="987"/>
      <c r="AU254" s="988">
        <f t="shared" ca="1" si="21"/>
        <v>3107045.5899999994</v>
      </c>
      <c r="AV254" s="986"/>
      <c r="AW254" s="980">
        <f ca="1">AU254/Financeiros!$D$4</f>
        <v>2.956475264380061E-2</v>
      </c>
      <c r="AX254" s="983"/>
      <c r="AY254" s="976">
        <f t="shared" ca="1" si="25"/>
        <v>1</v>
      </c>
    </row>
    <row r="255" spans="2:51" ht="15" customHeight="1">
      <c r="B255" s="348"/>
      <c r="C255" s="349"/>
      <c r="D255" s="349"/>
      <c r="E255" s="349"/>
      <c r="F255" s="350"/>
      <c r="G255" s="350"/>
      <c r="H255" s="350"/>
      <c r="AS255" s="987" t="str">
        <f t="shared" si="20"/>
        <v>CVE Encargos</v>
      </c>
      <c r="AT255" s="987"/>
      <c r="AU255" s="988">
        <f t="shared" ca="1" si="21"/>
        <v>2619758.7576000001</v>
      </c>
      <c r="AV255" s="986"/>
      <c r="AW255" s="980">
        <f ca="1">AU255/Financeiros!$D$4</f>
        <v>2.4928028061176413E-2</v>
      </c>
      <c r="AX255" s="983"/>
      <c r="AY255" s="976">
        <f t="shared" ca="1" si="25"/>
        <v>1</v>
      </c>
    </row>
    <row r="256" spans="2:51" ht="15" customHeight="1">
      <c r="B256" s="348"/>
      <c r="C256" s="349"/>
      <c r="D256" s="349"/>
      <c r="E256" s="349"/>
      <c r="F256" s="350"/>
      <c r="G256" s="350"/>
      <c r="H256" s="350"/>
      <c r="AS256" s="987" t="str">
        <f t="shared" si="20"/>
        <v>Conta Escassez Hídrica - Importação</v>
      </c>
      <c r="AT256" s="987"/>
      <c r="AU256" s="988">
        <f t="shared" si="21"/>
        <v>-1106885.699880603</v>
      </c>
      <c r="AW256" s="980">
        <f ca="1">AU256/Financeiros!$D$4</f>
        <v>-1.0532449870466868E-2</v>
      </c>
      <c r="AX256" s="983"/>
      <c r="AY256" s="976">
        <f t="shared" ca="1" si="25"/>
        <v>1</v>
      </c>
    </row>
    <row r="257" spans="2:84" ht="15" hidden="1" customHeight="1">
      <c r="B257" s="348"/>
      <c r="C257" s="349"/>
      <c r="D257" s="349"/>
      <c r="E257" s="349"/>
      <c r="F257" s="350"/>
      <c r="G257" s="350"/>
      <c r="H257" s="350"/>
      <c r="AS257" s="987" t="str">
        <f t="shared" si="20"/>
        <v>Conta Escassez Hídrica - Bônus de Redução Voluntária</v>
      </c>
      <c r="AT257" s="987"/>
      <c r="AU257" s="988">
        <f t="shared" si="21"/>
        <v>0</v>
      </c>
      <c r="AV257" s="986"/>
      <c r="AW257" s="980">
        <f ca="1">AU257/Financeiros!$D$4</f>
        <v>0</v>
      </c>
      <c r="AX257" s="983"/>
      <c r="AY257" s="976">
        <f t="shared" ca="1" si="25"/>
        <v>0</v>
      </c>
    </row>
    <row r="258" spans="2:84" ht="15" hidden="1" customHeight="1">
      <c r="B258" s="348"/>
      <c r="C258" s="349"/>
      <c r="D258" s="349"/>
      <c r="E258" s="349"/>
      <c r="F258" s="350"/>
      <c r="G258" s="350"/>
      <c r="H258" s="350"/>
      <c r="AS258" s="987" t="str">
        <f t="shared" si="20"/>
        <v>Conta Escassez Hidrica - Diferimento de Energia</v>
      </c>
      <c r="AT258" s="987"/>
      <c r="AU258" s="988">
        <f t="shared" si="21"/>
        <v>0</v>
      </c>
      <c r="AV258" s="986"/>
      <c r="AW258" s="980">
        <f ca="1">AU258/Financeiros!$D$4</f>
        <v>0</v>
      </c>
      <c r="AX258" s="983"/>
      <c r="AY258" s="976">
        <f t="shared" ca="1" si="25"/>
        <v>0</v>
      </c>
    </row>
    <row r="259" spans="2:84" ht="15" customHeight="1">
      <c r="B259" s="348"/>
      <c r="C259" s="349"/>
      <c r="D259" s="349"/>
      <c r="E259" s="349"/>
      <c r="F259" s="350"/>
      <c r="G259" s="350"/>
      <c r="H259" s="350"/>
      <c r="AS259" s="987" t="str">
        <f t="shared" si="20"/>
        <v>Sobrecontratação/Reversão de Energia</v>
      </c>
      <c r="AT259" s="987"/>
      <c r="AU259" s="988">
        <f t="shared" ca="1" si="21"/>
        <v>-1445201.6176489049</v>
      </c>
      <c r="AV259" s="986"/>
      <c r="AW259" s="980">
        <f ca="1">AU259/Financeiros!$D$4</f>
        <v>-1.3751658000683018E-2</v>
      </c>
      <c r="AX259" s="983"/>
      <c r="AY259" s="976">
        <f t="shared" ca="1" si="25"/>
        <v>1</v>
      </c>
    </row>
    <row r="260" spans="2:84" ht="15" hidden="1" customHeight="1">
      <c r="B260" s="348"/>
      <c r="C260" s="349"/>
      <c r="D260" s="349"/>
      <c r="E260" s="349"/>
      <c r="F260" s="350"/>
      <c r="G260" s="350"/>
      <c r="H260" s="350"/>
      <c r="AS260" s="987">
        <f t="shared" si="20"/>
        <v>0</v>
      </c>
      <c r="AT260" s="987"/>
      <c r="AU260" s="988">
        <f t="shared" si="21"/>
        <v>0</v>
      </c>
      <c r="AV260" s="986"/>
      <c r="AW260" s="980">
        <f ca="1">AU260/Financeiros!$D$4</f>
        <v>0</v>
      </c>
      <c r="AX260" s="983"/>
      <c r="AY260" s="976">
        <f t="shared" ca="1" si="25"/>
        <v>0</v>
      </c>
    </row>
    <row r="261" spans="2:84" ht="15" customHeight="1">
      <c r="B261" s="348"/>
      <c r="C261" s="351"/>
      <c r="D261" s="351"/>
      <c r="E261" s="349"/>
      <c r="F261" s="350"/>
      <c r="G261" s="350"/>
      <c r="H261" s="350"/>
      <c r="AS261" s="1176" t="s">
        <v>923</v>
      </c>
      <c r="AT261" s="1176"/>
      <c r="AU261" s="1181">
        <f ca="1">SUM(AU232:AU260)</f>
        <v>-23509390.826771714</v>
      </c>
      <c r="AV261" s="1182"/>
      <c r="AW261" s="1182">
        <f ca="1">ROUND(SUM(AW232:AW260),4)</f>
        <v>-0.22370000000000001</v>
      </c>
      <c r="AX261" s="1182"/>
      <c r="AY261" s="323">
        <v>1</v>
      </c>
    </row>
    <row r="262" spans="2:84" ht="15" customHeight="1">
      <c r="B262" s="348"/>
      <c r="C262" s="349"/>
      <c r="D262" s="349"/>
      <c r="E262" s="349"/>
      <c r="F262" s="350"/>
      <c r="G262" s="350"/>
      <c r="H262" s="350"/>
      <c r="AS262" s="1183" t="str">
        <f>Resultado!B9</f>
        <v>Variação econômica e financeira</v>
      </c>
      <c r="AT262" s="1183"/>
      <c r="AU262" s="1183"/>
      <c r="AV262" s="1184"/>
      <c r="AW262" s="1184">
        <f ca="1">ROUND(AW229+AW261,4)</f>
        <v>-9.4E-2</v>
      </c>
      <c r="AX262" s="1184"/>
      <c r="AY262" s="323">
        <v>1</v>
      </c>
    </row>
    <row r="263" spans="2:84" ht="15" customHeight="1">
      <c r="B263" s="348"/>
      <c r="C263" s="352"/>
      <c r="D263" s="348"/>
      <c r="E263" s="349"/>
      <c r="F263" s="350"/>
      <c r="G263" s="350"/>
      <c r="H263" s="353"/>
      <c r="AS263" s="1176" t="s">
        <v>924</v>
      </c>
      <c r="AT263" s="1176"/>
      <c r="AU263" s="1176"/>
      <c r="AV263" s="1176"/>
      <c r="AW263" s="1185">
        <f ca="1">ROUND(AW265-AW262,4)</f>
        <v>0.28960000000000002</v>
      </c>
      <c r="AX263" s="1185"/>
      <c r="AY263" s="323">
        <v>1</v>
      </c>
    </row>
    <row r="264" spans="2:84" ht="26.25" hidden="1" customHeight="1">
      <c r="B264" s="348"/>
      <c r="C264" s="352"/>
      <c r="D264" s="348"/>
      <c r="E264" s="349"/>
      <c r="F264" s="350"/>
      <c r="G264" s="350"/>
      <c r="H264" s="353"/>
      <c r="AS264" s="1186" t="s">
        <v>925</v>
      </c>
      <c r="AT264" s="1186"/>
      <c r="AU264" s="1181"/>
      <c r="AV264" s="1181"/>
      <c r="AW264" s="1187">
        <v>0</v>
      </c>
      <c r="AX264" s="1188"/>
      <c r="AY264" s="323">
        <f t="shared" si="13"/>
        <v>0</v>
      </c>
      <c r="BA264" s="802"/>
    </row>
    <row r="265" spans="2:84" ht="15" customHeight="1">
      <c r="B265" s="348"/>
      <c r="C265" s="352"/>
      <c r="D265" s="352"/>
      <c r="E265" s="349"/>
      <c r="F265" s="350"/>
      <c r="G265" s="350"/>
      <c r="H265" s="354"/>
      <c r="AS265" s="1798" t="s">
        <v>926</v>
      </c>
      <c r="AT265" s="1798"/>
      <c r="AU265" s="1798"/>
      <c r="AV265" s="1798"/>
      <c r="AW265" s="1184">
        <f>Resultado!L5</f>
        <v>0.1956272607198577</v>
      </c>
      <c r="AX265" s="1184"/>
      <c r="AY265" s="323"/>
    </row>
    <row r="266" spans="2:84" ht="15" customHeight="1">
      <c r="AW266" s="804">
        <v>-0.1116</v>
      </c>
      <c r="BA266" s="1165" t="s">
        <v>927</v>
      </c>
      <c r="BB266" s="30" t="s">
        <v>928</v>
      </c>
      <c r="BC266" s="30"/>
      <c r="BD266" s="30"/>
      <c r="BE266" s="30"/>
      <c r="BF266" s="30"/>
      <c r="BG266" s="30"/>
      <c r="BH266" s="308" t="s">
        <v>850</v>
      </c>
      <c r="BI266" s="308" t="s">
        <v>850</v>
      </c>
    </row>
    <row r="267" spans="2:84" ht="45" customHeight="1">
      <c r="AU267" s="425"/>
      <c r="BA267" s="989" t="s">
        <v>929</v>
      </c>
      <c r="BB267" s="989" t="str">
        <f>"Cobertura "&amp;YEAR(CAPA!C14)&amp;"/"&amp;YEAR(CAPA!C14)+1</f>
        <v>Cobertura 2021/2022</v>
      </c>
      <c r="BC267" s="989" t="str">
        <f>"Cobertura "&amp;YEAR(CAPA!C14)&amp;"/"&amp;YEAR(CAPA!C14)+1&amp;" Atualizada"</f>
        <v>Cobertura 2021/2022 Atualizada</v>
      </c>
      <c r="BD267" s="989" t="s">
        <v>930</v>
      </c>
      <c r="BE267" s="989" t="s">
        <v>931</v>
      </c>
      <c r="BF267" s="989" t="s">
        <v>932</v>
      </c>
      <c r="BG267" s="989" t="str">
        <f>"Previsão "&amp;YEAR(CAPA!C14)+1&amp;"/"&amp;YEAR(CAPA!C14)+2</f>
        <v>Previsão 2022/2023</v>
      </c>
      <c r="BH267" s="989" t="str">
        <f>"Previsão "&amp;YEAR(CAPA!C14)+1&amp;"/"&amp;YEAR(CAPA!C14)+2&amp;" + Diferença"</f>
        <v>Previsão 2022/2023 + Diferença</v>
      </c>
      <c r="BI267" s="355" t="str">
        <f>"Previsão "&amp;YEAR(CAPA!C14)+1&amp;"/"&amp;YEAR(CAPA!C14)+2&amp;" Atualizada"&amp;" + Diferença (Mensal)"</f>
        <v>Previsão 2022/2023 Atualizada + Diferença (Mensal)</v>
      </c>
      <c r="BJ267" s="420" t="s">
        <v>803</v>
      </c>
    </row>
    <row r="268" spans="2:84" ht="15" customHeight="1">
      <c r="B268" s="356"/>
      <c r="C268" s="356"/>
      <c r="D268" s="356"/>
      <c r="E268" s="356"/>
      <c r="BA268" s="448" t="str">
        <f>BO288</f>
        <v>Subsidio Carga Fonte Incentivda</v>
      </c>
      <c r="BB268" s="990" t="e">
        <f>Indexador!#REF!</f>
        <v>#REF!</v>
      </c>
      <c r="BC268" s="990" t="e">
        <f>Indexador!#REF!</f>
        <v>#REF!</v>
      </c>
      <c r="BD268" s="990" t="e">
        <f>Indexador!#REF!</f>
        <v>#REF!</v>
      </c>
      <c r="BE268" s="990" t="e">
        <f>Indexador!#REF!</f>
        <v>#REF!</v>
      </c>
      <c r="BF268" s="990">
        <f>BP288</f>
        <v>22423.72289760115</v>
      </c>
      <c r="BG268" s="990">
        <f t="shared" ref="BG268:BH273" si="26">BQ288</f>
        <v>47044.24766459674</v>
      </c>
      <c r="BH268" s="990">
        <f t="shared" si="26"/>
        <v>69467.970562197894</v>
      </c>
      <c r="BI268" s="357" t="e">
        <f>Indexador!#REF!</f>
        <v>#REF!</v>
      </c>
      <c r="BJ268" s="338">
        <f t="shared" ref="BJ268:BJ274" si="27">IF(BH268=0,0,1)</f>
        <v>1</v>
      </c>
    </row>
    <row r="269" spans="2:84" ht="15" hidden="1" customHeight="1">
      <c r="B269" s="348"/>
      <c r="C269" s="349"/>
      <c r="D269" s="349"/>
      <c r="E269" s="21"/>
      <c r="AZ269" s="358"/>
      <c r="BA269" s="448" t="str">
        <f t="shared" ref="BA269:BA273" si="28">BO289</f>
        <v>Subsidio Geração Fonte Incentivda</v>
      </c>
      <c r="BB269" s="990" t="e">
        <f>Indexador!#REF!</f>
        <v>#REF!</v>
      </c>
      <c r="BC269" s="990" t="e">
        <f>Indexador!#REF!</f>
        <v>#REF!</v>
      </c>
      <c r="BD269" s="990" t="e">
        <f>Indexador!#REF!</f>
        <v>#REF!</v>
      </c>
      <c r="BE269" s="990" t="e">
        <f>Indexador!#REF!</f>
        <v>#REF!</v>
      </c>
      <c r="BF269" s="991">
        <f t="shared" ref="BF269:BF273" si="29">BP289</f>
        <v>0</v>
      </c>
      <c r="BG269" s="991">
        <f t="shared" si="26"/>
        <v>0</v>
      </c>
      <c r="BH269" s="991">
        <f t="shared" si="26"/>
        <v>0</v>
      </c>
      <c r="BI269" s="357" t="e">
        <f>Indexador!#REF!</f>
        <v>#REF!</v>
      </c>
      <c r="BJ269" s="338">
        <f t="shared" si="27"/>
        <v>0</v>
      </c>
      <c r="BK269" s="359"/>
      <c r="BL269" s="359"/>
      <c r="BM269" s="359"/>
      <c r="BN269" s="359"/>
      <c r="BO269" s="359"/>
      <c r="BP269" s="359"/>
      <c r="BQ269" s="359"/>
      <c r="BR269" s="359"/>
      <c r="BS269" s="359"/>
      <c r="BT269" s="359"/>
      <c r="BU269" s="358"/>
      <c r="BV269" s="358"/>
      <c r="BW269" s="358"/>
      <c r="BX269" s="358"/>
      <c r="BY269" s="358"/>
      <c r="BZ269" s="358"/>
      <c r="CA269" s="358"/>
      <c r="CB269" s="358"/>
      <c r="CC269" s="358"/>
      <c r="CD269" s="358"/>
      <c r="CE269" s="358"/>
      <c r="CF269" s="358"/>
    </row>
    <row r="270" spans="2:84" ht="15" hidden="1" customHeight="1">
      <c r="B270" s="348"/>
      <c r="C270" s="349"/>
      <c r="D270" s="349"/>
      <c r="E270" s="21"/>
      <c r="AZ270" s="358"/>
      <c r="BA270" s="448" t="str">
        <f t="shared" si="28"/>
        <v>Subsidio Distribuição</v>
      </c>
      <c r="BB270" s="990" t="e">
        <f>Indexador!#REF!</f>
        <v>#REF!</v>
      </c>
      <c r="BC270" s="990" t="e">
        <f>Indexador!#REF!</f>
        <v>#REF!</v>
      </c>
      <c r="BD270" s="990" t="e">
        <f>Indexador!#REF!</f>
        <v>#REF!</v>
      </c>
      <c r="BE270" s="990" t="e">
        <f>Indexador!#REF!</f>
        <v>#REF!</v>
      </c>
      <c r="BF270" s="991">
        <f t="shared" si="29"/>
        <v>0</v>
      </c>
      <c r="BG270" s="991">
        <f t="shared" si="26"/>
        <v>0</v>
      </c>
      <c r="BH270" s="991">
        <f t="shared" si="26"/>
        <v>0</v>
      </c>
      <c r="BI270" s="357" t="e">
        <f>Indexador!#REF!</f>
        <v>#REF!</v>
      </c>
      <c r="BJ270" s="338">
        <f t="shared" si="27"/>
        <v>0</v>
      </c>
      <c r="BK270" s="358"/>
      <c r="BL270" s="358"/>
      <c r="BM270" s="358"/>
      <c r="BN270" s="358"/>
      <c r="BO270" s="358"/>
      <c r="BP270" s="358"/>
      <c r="BQ270" s="358"/>
      <c r="BR270" s="358"/>
      <c r="BS270" s="358"/>
      <c r="BT270" s="358"/>
      <c r="BU270" s="358"/>
      <c r="BV270" s="358"/>
      <c r="BW270" s="358"/>
      <c r="BX270" s="358"/>
      <c r="BY270" s="358"/>
      <c r="BZ270" s="358"/>
      <c r="CA270" s="358"/>
      <c r="CB270" s="358"/>
      <c r="CC270" s="358"/>
      <c r="CD270" s="358"/>
      <c r="CE270" s="358"/>
      <c r="CF270" s="358"/>
    </row>
    <row r="271" spans="2:84" ht="15" customHeight="1">
      <c r="B271" s="348"/>
      <c r="D271" s="22"/>
      <c r="AW271" s="25"/>
      <c r="AZ271" s="358"/>
      <c r="BA271" s="448" t="str">
        <f t="shared" si="28"/>
        <v>Subsidio Água, Esgoto e Saneamento</v>
      </c>
      <c r="BB271" s="990" t="e">
        <f>Indexador!#REF!</f>
        <v>#REF!</v>
      </c>
      <c r="BC271" s="990" t="e">
        <f>Indexador!#REF!</f>
        <v>#REF!</v>
      </c>
      <c r="BD271" s="990" t="e">
        <f>Indexador!#REF!</f>
        <v>#REF!</v>
      </c>
      <c r="BE271" s="990" t="e">
        <f>Indexador!#REF!</f>
        <v>#REF!</v>
      </c>
      <c r="BF271" s="991">
        <f t="shared" si="29"/>
        <v>132.83881401189078</v>
      </c>
      <c r="BG271" s="991">
        <f t="shared" si="26"/>
        <v>1870.4192022987093</v>
      </c>
      <c r="BH271" s="991">
        <f t="shared" si="26"/>
        <v>2003.2580163105999</v>
      </c>
      <c r="BI271" s="357" t="e">
        <f>Indexador!#REF!</f>
        <v>#REF!</v>
      </c>
      <c r="BJ271" s="338">
        <f t="shared" si="27"/>
        <v>1</v>
      </c>
      <c r="BK271" s="358"/>
      <c r="BL271" s="358"/>
      <c r="BM271" s="358"/>
      <c r="BN271" s="358"/>
      <c r="BO271" s="358"/>
      <c r="BP271" s="358"/>
      <c r="BQ271" s="358"/>
      <c r="BR271" s="358"/>
      <c r="BS271" s="358"/>
      <c r="BT271" s="358"/>
      <c r="BU271" s="358"/>
      <c r="BV271" s="358"/>
      <c r="BW271" s="358"/>
      <c r="BX271" s="358"/>
      <c r="BY271" s="358"/>
      <c r="BZ271" s="358"/>
      <c r="CA271" s="358"/>
      <c r="CB271" s="358"/>
      <c r="CC271" s="358"/>
      <c r="CD271" s="358"/>
      <c r="CE271" s="358"/>
      <c r="CF271" s="358"/>
    </row>
    <row r="272" spans="2:84" ht="15" customHeight="1">
      <c r="B272" s="348"/>
      <c r="C272" s="349"/>
      <c r="D272" s="349"/>
      <c r="E272" s="21"/>
      <c r="AU272" s="425"/>
      <c r="AZ272" s="358"/>
      <c r="BA272" s="448" t="str">
        <f t="shared" si="28"/>
        <v>Subsidio Rural</v>
      </c>
      <c r="BB272" s="990" t="e">
        <f>Indexador!#REF!</f>
        <v>#REF!</v>
      </c>
      <c r="BC272" s="990" t="e">
        <f>Indexador!#REF!</f>
        <v>#REF!</v>
      </c>
      <c r="BD272" s="990" t="e">
        <f>Indexador!#REF!</f>
        <v>#REF!</v>
      </c>
      <c r="BE272" s="990" t="e">
        <f>Indexador!#REF!</f>
        <v>#REF!</v>
      </c>
      <c r="BF272" s="991">
        <f t="shared" si="29"/>
        <v>207.31839485939904</v>
      </c>
      <c r="BG272" s="991">
        <f t="shared" si="26"/>
        <v>220200.31381694312</v>
      </c>
      <c r="BH272" s="991">
        <f t="shared" si="26"/>
        <v>220407.63221180253</v>
      </c>
      <c r="BI272" s="357" t="e">
        <f>Indexador!#REF!</f>
        <v>#REF!</v>
      </c>
      <c r="BJ272" s="338">
        <f t="shared" si="27"/>
        <v>1</v>
      </c>
      <c r="BK272" s="358"/>
      <c r="BL272" s="358"/>
      <c r="BM272" s="358"/>
      <c r="BN272" s="358"/>
      <c r="BO272" s="358"/>
      <c r="BP272" s="358"/>
      <c r="BQ272" s="358"/>
      <c r="BR272" s="358"/>
      <c r="BS272" s="358"/>
      <c r="BT272" s="358"/>
      <c r="BU272" s="358"/>
      <c r="BV272" s="358"/>
      <c r="BW272" s="358"/>
      <c r="BX272" s="358"/>
      <c r="BY272" s="358"/>
      <c r="BZ272" s="358"/>
      <c r="CA272" s="358"/>
      <c r="CB272" s="358"/>
      <c r="CC272" s="358"/>
      <c r="CD272" s="358"/>
      <c r="CE272" s="358"/>
      <c r="CF272" s="358"/>
    </row>
    <row r="273" spans="2:84" ht="15" customHeight="1">
      <c r="AU273" s="425"/>
      <c r="AZ273" s="358"/>
      <c r="BA273" s="448" t="str">
        <f t="shared" si="28"/>
        <v>Subsidio - Irrigante/Aquicultor</v>
      </c>
      <c r="BB273" s="990" t="e">
        <f>Indexador!#REF!</f>
        <v>#REF!</v>
      </c>
      <c r="BC273" s="990" t="e">
        <f>Indexador!#REF!</f>
        <v>#REF!</v>
      </c>
      <c r="BD273" s="990" t="e">
        <f>Indexador!#REF!</f>
        <v>#REF!</v>
      </c>
      <c r="BE273" s="990" t="e">
        <f>Indexador!#REF!</f>
        <v>#REF!</v>
      </c>
      <c r="BF273" s="991">
        <f t="shared" si="29"/>
        <v>63528.600821335182</v>
      </c>
      <c r="BG273" s="991">
        <f t="shared" si="26"/>
        <v>396688.47824677633</v>
      </c>
      <c r="BH273" s="991">
        <f t="shared" si="26"/>
        <v>460217.07906811149</v>
      </c>
      <c r="BI273" s="357" t="e">
        <f>Indexador!#REF!</f>
        <v>#REF!</v>
      </c>
      <c r="BJ273" s="338">
        <f t="shared" si="27"/>
        <v>1</v>
      </c>
      <c r="BK273" s="358"/>
      <c r="BL273" s="358"/>
      <c r="BM273" s="358"/>
      <c r="BN273" s="358"/>
      <c r="BO273" s="358"/>
      <c r="BP273" s="358"/>
      <c r="BQ273" s="358"/>
      <c r="BR273" s="358"/>
      <c r="BS273" s="358"/>
      <c r="BT273" s="358"/>
      <c r="BU273" s="358"/>
      <c r="BV273" s="358"/>
      <c r="BW273" s="358"/>
      <c r="BX273" s="358"/>
      <c r="BY273" s="358"/>
      <c r="BZ273" s="358"/>
      <c r="CA273" s="358"/>
      <c r="CB273" s="358"/>
      <c r="CC273" s="358"/>
      <c r="CD273" s="358"/>
      <c r="CE273" s="358"/>
      <c r="CF273" s="358"/>
    </row>
    <row r="274" spans="2:84" ht="15" customHeight="1">
      <c r="AU274" s="425"/>
      <c r="AW274" s="425"/>
      <c r="AZ274" s="358"/>
      <c r="BA274" s="1176" t="s">
        <v>837</v>
      </c>
      <c r="BB274" s="1189" t="e">
        <f t="shared" ref="BB274:BI274" si="30">SUM(BB268:BB273)</f>
        <v>#REF!</v>
      </c>
      <c r="BC274" s="1189" t="e">
        <f t="shared" si="30"/>
        <v>#REF!</v>
      </c>
      <c r="BD274" s="1189" t="e">
        <f t="shared" si="30"/>
        <v>#REF!</v>
      </c>
      <c r="BE274" s="1189" t="e">
        <f t="shared" si="30"/>
        <v>#REF!</v>
      </c>
      <c r="BF274" s="1190">
        <f t="shared" si="30"/>
        <v>86292.480927807628</v>
      </c>
      <c r="BG274" s="1190">
        <f t="shared" si="30"/>
        <v>665803.45893061487</v>
      </c>
      <c r="BH274" s="1190">
        <f t="shared" si="30"/>
        <v>752095.9398584225</v>
      </c>
      <c r="BI274" s="1191" t="e">
        <f t="shared" si="30"/>
        <v>#REF!</v>
      </c>
      <c r="BJ274" s="340">
        <f t="shared" si="27"/>
        <v>1</v>
      </c>
      <c r="BK274" s="358"/>
      <c r="BL274" s="358"/>
      <c r="BM274" s="358"/>
      <c r="BN274" s="358"/>
      <c r="BO274" s="358"/>
      <c r="BP274" s="358"/>
      <c r="BQ274" s="358"/>
      <c r="BR274" s="358"/>
      <c r="BS274" s="358"/>
      <c r="BT274" s="358"/>
      <c r="BU274" s="358"/>
      <c r="BV274" s="358"/>
      <c r="BW274" s="358"/>
      <c r="BX274" s="358"/>
      <c r="BY274" s="358"/>
      <c r="BZ274" s="358"/>
      <c r="CA274" s="358"/>
      <c r="CB274" s="358"/>
      <c r="CC274" s="358"/>
      <c r="CD274" s="358"/>
      <c r="CE274" s="358"/>
      <c r="CF274" s="358"/>
    </row>
    <row r="275" spans="2:84" ht="15" customHeight="1">
      <c r="B275" s="356"/>
      <c r="C275" s="356"/>
      <c r="AZ275" s="358"/>
      <c r="BC275" s="358"/>
      <c r="BD275" s="358"/>
      <c r="BE275" s="358"/>
      <c r="BF275" s="358"/>
      <c r="BG275" s="358"/>
      <c r="BH275" s="358"/>
      <c r="BI275" s="358"/>
      <c r="BK275" s="1165" t="s">
        <v>705</v>
      </c>
      <c r="BL275" s="358"/>
      <c r="BM275" s="308" t="s">
        <v>850</v>
      </c>
      <c r="BN275" s="358"/>
      <c r="BO275" s="358"/>
      <c r="BP275" s="358"/>
      <c r="BQ275" s="358"/>
      <c r="BR275" s="358"/>
      <c r="BS275" s="358"/>
      <c r="BT275" s="358"/>
      <c r="BU275" s="358"/>
      <c r="BV275" s="358"/>
      <c r="BW275" s="358"/>
      <c r="BX275" s="358"/>
      <c r="BY275" s="358"/>
      <c r="BZ275" s="358"/>
      <c r="CA275" s="358"/>
      <c r="CB275" s="358"/>
      <c r="CC275" s="358"/>
      <c r="CD275" s="358"/>
      <c r="CE275" s="358"/>
      <c r="CF275" s="358"/>
    </row>
    <row r="276" spans="2:84" ht="15" customHeight="1">
      <c r="B276" s="312"/>
      <c r="C276" s="312"/>
      <c r="AZ276" s="358"/>
      <c r="BC276" s="358"/>
      <c r="BD276" s="358"/>
      <c r="BE276" s="358"/>
      <c r="BF276" s="358"/>
      <c r="BG276" s="358"/>
      <c r="BH276" s="358"/>
      <c r="BI276" s="358"/>
      <c r="BJ276" s="358"/>
      <c r="BK276" s="1192" t="s">
        <v>933</v>
      </c>
      <c r="BL276" s="1192" t="s">
        <v>870</v>
      </c>
      <c r="BM276" s="1192" t="s">
        <v>910</v>
      </c>
      <c r="BN276" s="474" t="s">
        <v>803</v>
      </c>
      <c r="BO276" s="358"/>
      <c r="BP276" s="358"/>
      <c r="BQ276" s="358"/>
      <c r="BR276" s="358"/>
      <c r="BS276" s="358"/>
      <c r="BT276" s="358"/>
      <c r="BU276" s="358"/>
      <c r="BV276" s="358"/>
      <c r="BW276" s="358"/>
      <c r="BX276" s="358"/>
      <c r="BY276" s="358"/>
      <c r="BZ276" s="358"/>
      <c r="CA276" s="358"/>
      <c r="CB276" s="358"/>
      <c r="CC276" s="358"/>
      <c r="CD276" s="358"/>
      <c r="CE276" s="358"/>
      <c r="CF276" s="358"/>
    </row>
    <row r="277" spans="2:84" ht="15" customHeight="1">
      <c r="B277" s="312"/>
      <c r="C277" s="312"/>
      <c r="AZ277" s="358"/>
      <c r="BC277" s="358"/>
      <c r="BD277" s="358"/>
      <c r="BE277" s="358"/>
      <c r="BF277" s="358"/>
      <c r="BG277" s="358"/>
      <c r="BH277" s="358"/>
      <c r="BI277" s="358"/>
      <c r="BJ277" s="358"/>
      <c r="BK277" s="65" t="s">
        <v>705</v>
      </c>
      <c r="BL277" s="360">
        <f ca="1">Resultado!C25</f>
        <v>1419503.3240589856</v>
      </c>
      <c r="BM277" s="360">
        <f>Resultado!D25</f>
        <v>2242111.9160000002</v>
      </c>
      <c r="BN277" s="338">
        <f t="shared" ref="BN277:BN284" si="31">IF(BM277=0,0,1)</f>
        <v>1</v>
      </c>
      <c r="BO277" s="358"/>
      <c r="BP277" s="358"/>
      <c r="BQ277" s="358"/>
      <c r="BR277" s="358"/>
      <c r="BS277" s="358"/>
      <c r="BT277" s="358"/>
      <c r="BU277" s="358"/>
      <c r="BV277" s="358"/>
      <c r="BW277" s="358"/>
      <c r="BX277" s="358"/>
      <c r="BY277" s="358"/>
      <c r="BZ277" s="358"/>
      <c r="CA277" s="358"/>
      <c r="CB277" s="358"/>
      <c r="CC277" s="358"/>
      <c r="CD277" s="358"/>
      <c r="CE277" s="358"/>
      <c r="CF277" s="358"/>
    </row>
    <row r="278" spans="2:84" ht="15" customHeight="1">
      <c r="B278" s="312"/>
      <c r="C278" s="312"/>
      <c r="AZ278" s="358"/>
      <c r="BC278" s="358"/>
      <c r="BD278" s="358"/>
      <c r="BE278" s="358"/>
      <c r="BF278" s="358"/>
      <c r="BG278" s="358"/>
      <c r="BH278" s="358"/>
      <c r="BI278" s="358"/>
      <c r="BJ278" s="358"/>
      <c r="BK278" s="65" t="s">
        <v>707</v>
      </c>
      <c r="BL278" s="360">
        <f ca="1">Resultado!C26</f>
        <v>936445.15140714962</v>
      </c>
      <c r="BM278" s="360">
        <f>Resultado!D26</f>
        <v>1376974.084</v>
      </c>
      <c r="BN278" s="338">
        <f t="shared" si="31"/>
        <v>1</v>
      </c>
      <c r="BO278" s="358"/>
      <c r="BP278" s="358"/>
      <c r="BQ278" s="358"/>
      <c r="BR278" s="358"/>
      <c r="BS278" s="358"/>
      <c r="BT278" s="358"/>
      <c r="BU278" s="358"/>
      <c r="BV278" s="358"/>
      <c r="BW278" s="358"/>
      <c r="BX278" s="358"/>
      <c r="BY278" s="358"/>
      <c r="BZ278" s="358"/>
      <c r="CA278" s="358"/>
      <c r="CB278" s="358"/>
      <c r="CC278" s="358"/>
      <c r="CD278" s="358"/>
      <c r="CE278" s="358"/>
      <c r="CF278" s="358"/>
    </row>
    <row r="279" spans="2:84" ht="15" hidden="1" customHeight="1">
      <c r="B279" s="312"/>
      <c r="C279" s="312"/>
      <c r="H279" s="23"/>
      <c r="AZ279" s="358"/>
      <c r="BC279" s="358"/>
      <c r="BD279" s="358"/>
      <c r="BE279" s="358"/>
      <c r="BF279" s="358"/>
      <c r="BG279" s="358"/>
      <c r="BH279" s="358"/>
      <c r="BI279" s="358"/>
      <c r="BJ279" s="358"/>
      <c r="BK279" s="65" t="s">
        <v>795</v>
      </c>
      <c r="BL279" s="360"/>
      <c r="BM279" s="360"/>
      <c r="BN279" s="338">
        <f t="shared" si="31"/>
        <v>0</v>
      </c>
      <c r="BO279" s="358"/>
      <c r="BP279" s="358"/>
      <c r="BQ279" s="358"/>
      <c r="BR279" s="358"/>
      <c r="BS279" s="358"/>
      <c r="BT279" s="358"/>
      <c r="BU279" s="358"/>
      <c r="BV279" s="358"/>
      <c r="BW279" s="358"/>
      <c r="BX279" s="358"/>
      <c r="BY279" s="358"/>
      <c r="BZ279" s="358"/>
      <c r="CA279" s="358"/>
      <c r="CB279" s="358"/>
      <c r="CC279" s="358"/>
      <c r="CD279" s="358"/>
      <c r="CE279" s="358"/>
      <c r="CF279" s="358"/>
    </row>
    <row r="280" spans="2:84" ht="15" hidden="1" customHeight="1">
      <c r="B280" s="312"/>
      <c r="C280" s="312"/>
      <c r="H280" s="23"/>
      <c r="AZ280" s="358"/>
      <c r="BC280" s="358"/>
      <c r="BD280" s="358"/>
      <c r="BE280" s="358"/>
      <c r="BF280" s="358"/>
      <c r="BG280" s="358"/>
      <c r="BH280" s="358"/>
      <c r="BI280" s="358"/>
      <c r="BJ280" s="358"/>
      <c r="BK280" s="65" t="s">
        <v>796</v>
      </c>
      <c r="BL280" s="360"/>
      <c r="BM280" s="360"/>
      <c r="BN280" s="338">
        <f t="shared" si="31"/>
        <v>0</v>
      </c>
      <c r="BO280" s="358"/>
      <c r="BP280" s="358"/>
      <c r="BQ280" s="358"/>
      <c r="BR280" s="358"/>
      <c r="BS280" s="358"/>
      <c r="BT280" s="358"/>
      <c r="BU280" s="358"/>
      <c r="BV280" s="358"/>
      <c r="BW280" s="358"/>
      <c r="BX280" s="358"/>
      <c r="BY280" s="358"/>
      <c r="BZ280" s="358"/>
      <c r="CA280" s="358"/>
      <c r="CB280" s="358"/>
      <c r="CC280" s="358"/>
      <c r="CD280" s="358"/>
      <c r="CE280" s="358"/>
      <c r="CF280" s="358"/>
    </row>
    <row r="281" spans="2:84" ht="15" hidden="1" customHeight="1">
      <c r="B281" s="312"/>
      <c r="C281" s="312"/>
      <c r="H281" s="23"/>
      <c r="AZ281" s="358"/>
      <c r="BC281" s="358"/>
      <c r="BD281" s="358"/>
      <c r="BE281" s="358"/>
      <c r="BF281" s="358"/>
      <c r="BG281" s="358"/>
      <c r="BH281" s="358"/>
      <c r="BI281" s="358"/>
      <c r="BJ281" s="358"/>
      <c r="BK281" s="65" t="s">
        <v>797</v>
      </c>
      <c r="BL281" s="360"/>
      <c r="BM281" s="360"/>
      <c r="BN281" s="338">
        <f t="shared" si="31"/>
        <v>0</v>
      </c>
      <c r="BO281" s="358"/>
      <c r="BP281" s="358"/>
      <c r="BQ281" s="358"/>
      <c r="BR281" s="358"/>
      <c r="BS281" s="358"/>
      <c r="BT281" s="358"/>
      <c r="BU281" s="358"/>
      <c r="BV281" s="358"/>
      <c r="BW281" s="358"/>
      <c r="BX281" s="358"/>
      <c r="BY281" s="358"/>
      <c r="BZ281" s="358"/>
      <c r="CA281" s="358"/>
      <c r="CB281" s="358"/>
      <c r="CC281" s="358"/>
      <c r="CD281" s="358"/>
      <c r="CE281" s="358"/>
      <c r="CF281" s="358"/>
    </row>
    <row r="282" spans="2:84" ht="15" hidden="1" customHeight="1">
      <c r="B282" s="312"/>
      <c r="C282" s="312"/>
      <c r="H282" s="23"/>
      <c r="AZ282" s="358"/>
      <c r="BC282" s="358"/>
      <c r="BD282" s="358"/>
      <c r="BE282" s="358"/>
      <c r="BF282" s="358"/>
      <c r="BG282" s="358"/>
      <c r="BH282" s="358"/>
      <c r="BI282" s="358"/>
      <c r="BJ282" s="358"/>
      <c r="BK282" s="65" t="s">
        <v>798</v>
      </c>
      <c r="BL282" s="360"/>
      <c r="BM282" s="360"/>
      <c r="BN282" s="338">
        <f t="shared" si="31"/>
        <v>0</v>
      </c>
      <c r="BO282" s="358"/>
      <c r="BP282" s="358"/>
      <c r="BQ282" s="358"/>
      <c r="BR282" s="358"/>
      <c r="BS282" s="358"/>
      <c r="BT282" s="358"/>
      <c r="BU282" s="358"/>
      <c r="BV282" s="358"/>
      <c r="BW282" s="358"/>
      <c r="BX282" s="358"/>
      <c r="BY282" s="358"/>
      <c r="BZ282" s="358"/>
      <c r="CA282" s="358"/>
      <c r="CB282" s="358"/>
      <c r="CC282" s="358"/>
      <c r="CD282" s="358"/>
      <c r="CE282" s="358"/>
      <c r="CF282" s="358"/>
    </row>
    <row r="283" spans="2:84" ht="15" hidden="1" customHeight="1">
      <c r="B283" s="312"/>
      <c r="C283" s="312"/>
      <c r="H283" s="23"/>
      <c r="AZ283" s="358"/>
      <c r="BC283" s="358"/>
      <c r="BD283" s="358"/>
      <c r="BE283" s="358"/>
      <c r="BF283" s="358"/>
      <c r="BG283" s="358"/>
      <c r="BH283" s="358"/>
      <c r="BI283" s="358"/>
      <c r="BJ283" s="358"/>
      <c r="BK283" s="65" t="s">
        <v>708</v>
      </c>
      <c r="BL283" s="360">
        <f ca="1">Resultado!C31</f>
        <v>0</v>
      </c>
      <c r="BM283" s="360">
        <f>Resultado!D31</f>
        <v>0</v>
      </c>
      <c r="BN283" s="338">
        <f t="shared" si="31"/>
        <v>0</v>
      </c>
      <c r="BO283" s="358"/>
      <c r="BP283" s="358"/>
      <c r="BQ283" s="358"/>
      <c r="BR283" s="358"/>
      <c r="BS283" s="358"/>
      <c r="BT283" s="358"/>
      <c r="BU283" s="358"/>
      <c r="BV283" s="358"/>
      <c r="BW283" s="358"/>
      <c r="BX283" s="358"/>
      <c r="BY283" s="358"/>
      <c r="BZ283" s="358"/>
      <c r="CA283" s="358"/>
      <c r="CB283" s="358"/>
      <c r="CC283" s="358"/>
      <c r="CD283" s="358"/>
      <c r="CE283" s="358"/>
      <c r="CF283" s="358"/>
    </row>
    <row r="284" spans="2:84" ht="15" hidden="1" customHeight="1">
      <c r="B284" s="312"/>
      <c r="C284" s="312"/>
      <c r="H284" s="23"/>
      <c r="AZ284" s="358"/>
      <c r="BC284" s="358"/>
      <c r="BD284" s="358"/>
      <c r="BE284" s="358"/>
      <c r="BF284" s="358"/>
      <c r="BG284" s="358"/>
      <c r="BH284" s="358"/>
      <c r="BI284" s="358"/>
      <c r="BJ284" s="358"/>
      <c r="BK284" s="65" t="s">
        <v>709</v>
      </c>
      <c r="BL284" s="360">
        <f>Resultado!DJ283</f>
        <v>0</v>
      </c>
      <c r="BM284" s="360">
        <f>Resultado!DK283</f>
        <v>0</v>
      </c>
      <c r="BN284" s="340">
        <f t="shared" si="31"/>
        <v>0</v>
      </c>
      <c r="BO284" s="358"/>
      <c r="BP284" s="358"/>
      <c r="BQ284" s="358"/>
      <c r="BR284" s="358"/>
      <c r="BS284" s="358"/>
      <c r="BT284" s="358"/>
      <c r="BU284" s="358"/>
      <c r="BV284" s="358"/>
      <c r="BW284" s="358"/>
      <c r="BX284" s="358"/>
      <c r="BY284" s="358"/>
      <c r="BZ284" s="358"/>
      <c r="CA284" s="358"/>
      <c r="CB284" s="358"/>
      <c r="CC284" s="358"/>
      <c r="CD284" s="358"/>
      <c r="CE284" s="358"/>
      <c r="CF284" s="358"/>
    </row>
    <row r="285" spans="2:84" ht="15" customHeight="1">
      <c r="B285" s="312"/>
      <c r="C285" s="312"/>
      <c r="H285" s="23"/>
      <c r="AU285" s="315"/>
      <c r="AZ285" s="358"/>
      <c r="BA285" s="358"/>
      <c r="BB285" s="358"/>
      <c r="BC285" s="358"/>
      <c r="BD285" s="358"/>
      <c r="BE285" s="358"/>
      <c r="BF285" s="358"/>
      <c r="BG285" s="358"/>
      <c r="BH285" s="358"/>
      <c r="BI285" s="358"/>
      <c r="BJ285" s="358"/>
      <c r="BK285" s="1193" t="s">
        <v>934</v>
      </c>
      <c r="BL285" s="1191">
        <f ca="1">SUM(BL277:BL284)</f>
        <v>2355948.475466135</v>
      </c>
      <c r="BM285" s="1191">
        <f>SUM(BM277:BM284)</f>
        <v>3619086</v>
      </c>
      <c r="BN285" s="338">
        <f ca="1">IF(BL285=0,0,1)</f>
        <v>1</v>
      </c>
      <c r="BO285" s="1165" t="s">
        <v>935</v>
      </c>
      <c r="BP285" s="358"/>
      <c r="BQ285" s="358"/>
      <c r="BR285" s="308" t="s">
        <v>850</v>
      </c>
      <c r="BS285" s="358"/>
      <c r="BT285" s="358"/>
      <c r="BU285" s="358"/>
      <c r="BV285" s="358"/>
      <c r="BW285" s="358"/>
      <c r="BX285" s="358"/>
      <c r="BY285" s="358"/>
      <c r="BZ285" s="358"/>
      <c r="CA285" s="358"/>
      <c r="CB285" s="358"/>
      <c r="CC285" s="358"/>
      <c r="CD285" s="358"/>
      <c r="CE285" s="358"/>
      <c r="CF285" s="358"/>
    </row>
    <row r="286" spans="2:84" ht="15" customHeight="1">
      <c r="B286" s="312"/>
      <c r="C286" s="312"/>
      <c r="H286" s="23"/>
      <c r="AZ286" s="358"/>
      <c r="BA286" s="358"/>
      <c r="BB286" s="358"/>
      <c r="BC286" s="358"/>
      <c r="BD286" s="358"/>
      <c r="BE286" s="358"/>
      <c r="BF286" s="358"/>
      <c r="BG286" s="358"/>
      <c r="BH286" s="358"/>
      <c r="BI286" s="358"/>
      <c r="BJ286" s="358"/>
      <c r="BN286" s="358"/>
      <c r="BO286" s="361" t="str">
        <f>"TABELA 9 – VALOR MENSAL DA SUBVENÇÃO DA CDE PARA CUSTEAR DESCONTOS TARIFÁRIOS ("&amp;LnkTXTSigla&amp;")."</f>
        <v>TABELA 9 – VALOR MENSAL DA SUBVENÇÃO DA CDE PARA CUSTEAR DESCONTOS TARIFÁRIOS (Cermissões).</v>
      </c>
      <c r="BP286" s="362"/>
      <c r="BQ286" s="362"/>
      <c r="BR286" s="362"/>
      <c r="BS286" s="290"/>
      <c r="BU286" s="358"/>
      <c r="BV286" s="358"/>
      <c r="BW286" s="358"/>
      <c r="BX286" s="358"/>
      <c r="BY286" s="358"/>
      <c r="BZ286" s="358"/>
      <c r="CA286" s="358"/>
      <c r="CB286" s="358"/>
      <c r="CC286" s="358"/>
      <c r="CD286" s="358"/>
      <c r="CE286" s="358"/>
      <c r="CF286" s="358"/>
    </row>
    <row r="287" spans="2:84" ht="12.75">
      <c r="B287" s="312"/>
      <c r="C287" s="312"/>
      <c r="H287" s="23"/>
      <c r="AZ287" s="358"/>
      <c r="BA287" s="358"/>
      <c r="BB287" s="358"/>
      <c r="BC287" s="358"/>
      <c r="BD287" s="358"/>
      <c r="BE287" s="358"/>
      <c r="BF287" s="358"/>
      <c r="BG287" s="358"/>
      <c r="BH287" s="358"/>
      <c r="BI287" s="358"/>
      <c r="BJ287" s="358"/>
      <c r="BN287" s="358"/>
      <c r="BO287" s="1194" t="s">
        <v>936</v>
      </c>
      <c r="BP287" s="1194" t="s">
        <v>937</v>
      </c>
      <c r="BQ287" s="1194" t="s">
        <v>938</v>
      </c>
      <c r="BR287" s="1195" t="s">
        <v>939</v>
      </c>
      <c r="BS287" s="413" t="s">
        <v>803</v>
      </c>
      <c r="BU287" s="358"/>
      <c r="BV287" s="358"/>
      <c r="BW287" s="308" t="s">
        <v>850</v>
      </c>
      <c r="BX287" s="358"/>
      <c r="BY287" s="358"/>
      <c r="BZ287" s="358"/>
      <c r="CA287" s="358"/>
      <c r="CB287" s="358"/>
      <c r="CC287" s="358"/>
      <c r="CD287" s="358"/>
      <c r="CE287" s="358"/>
      <c r="CF287" s="358"/>
    </row>
    <row r="288" spans="2:84" ht="12.75">
      <c r="B288" s="312"/>
      <c r="C288" s="312"/>
      <c r="H288" s="23"/>
      <c r="AU288" s="425"/>
      <c r="AZ288" s="358"/>
      <c r="BA288" s="358"/>
      <c r="BB288" s="358"/>
      <c r="BC288" s="358"/>
      <c r="BD288" s="358"/>
      <c r="BE288" s="358"/>
      <c r="BF288" s="358"/>
      <c r="BG288" s="358"/>
      <c r="BH288" s="358"/>
      <c r="BI288" s="358"/>
      <c r="BJ288" s="358"/>
      <c r="BK288" s="358"/>
      <c r="BL288" s="358"/>
      <c r="BM288" s="358"/>
      <c r="BN288" s="358"/>
      <c r="BO288" s="1196" t="s">
        <v>940</v>
      </c>
      <c r="BP288" s="1197">
        <f>IFERROR(Aj.Subsídio!L5,0)</f>
        <v>22423.72289760115</v>
      </c>
      <c r="BQ288" s="1197">
        <f>IFERROR(Aj.Subsídio!M5,0)</f>
        <v>47044.24766459674</v>
      </c>
      <c r="BR288" s="1197">
        <f t="shared" ref="BR288:BR294" si="32">BP288+BQ288</f>
        <v>69467.970562197894</v>
      </c>
      <c r="BS288" s="414">
        <f t="shared" ref="BS288:BS294" si="33">IF(BR288=0,0,1)</f>
        <v>1</v>
      </c>
      <c r="BU288" s="358"/>
      <c r="BV288" s="358"/>
      <c r="BW288" s="358"/>
      <c r="BX288" s="358"/>
      <c r="BY288" s="358"/>
      <c r="BZ288" s="358"/>
      <c r="CA288" s="358"/>
      <c r="CB288" s="358"/>
      <c r="CC288" s="358"/>
      <c r="CD288" s="358"/>
      <c r="CE288" s="358"/>
      <c r="CF288" s="358"/>
    </row>
    <row r="289" spans="2:84" ht="12.75">
      <c r="B289" s="312"/>
      <c r="C289" s="312"/>
      <c r="H289" s="23"/>
      <c r="AZ289" s="358"/>
      <c r="BA289" s="358"/>
      <c r="BB289" s="358"/>
      <c r="BC289" s="358"/>
      <c r="BD289" s="358"/>
      <c r="BE289" s="358"/>
      <c r="BF289" s="358"/>
      <c r="BG289" s="358"/>
      <c r="BH289" s="358"/>
      <c r="BI289" s="358"/>
      <c r="BJ289" s="358"/>
      <c r="BK289" s="358"/>
      <c r="BL289" s="358"/>
      <c r="BM289" s="358"/>
      <c r="BN289" s="358"/>
      <c r="BO289" s="1196" t="s">
        <v>941</v>
      </c>
      <c r="BP289" s="1197">
        <f>IFERROR(Aj.Subsídio!L6,0)</f>
        <v>0</v>
      </c>
      <c r="BQ289" s="1197">
        <f>IFERROR(Aj.Subsídio!M6,0)</f>
        <v>0</v>
      </c>
      <c r="BR289" s="1198">
        <f t="shared" si="32"/>
        <v>0</v>
      </c>
      <c r="BS289" s="363">
        <f t="shared" si="33"/>
        <v>0</v>
      </c>
      <c r="BU289" s="358"/>
      <c r="BV289" s="358"/>
      <c r="BW289" s="358"/>
      <c r="BX289" s="358"/>
      <c r="BY289" s="358"/>
      <c r="BZ289" s="358"/>
      <c r="CA289" s="358"/>
      <c r="CB289" s="358"/>
      <c r="CC289" s="358"/>
      <c r="CD289" s="358"/>
      <c r="CE289" s="358"/>
      <c r="CF289" s="358"/>
    </row>
    <row r="290" spans="2:84" ht="12.75">
      <c r="B290" s="312"/>
      <c r="C290" s="312"/>
      <c r="H290" s="23"/>
      <c r="AZ290" s="358"/>
      <c r="BB290" s="358"/>
      <c r="BC290" s="358"/>
      <c r="BD290" s="358"/>
      <c r="BE290" s="358"/>
      <c r="BF290" s="358"/>
      <c r="BG290" s="358"/>
      <c r="BH290" s="358"/>
      <c r="BI290" s="358"/>
      <c r="BJ290" s="358"/>
      <c r="BK290" s="358"/>
      <c r="BL290" s="358"/>
      <c r="BM290" s="358"/>
      <c r="BN290" s="358"/>
      <c r="BO290" s="1196" t="s">
        <v>942</v>
      </c>
      <c r="BP290" s="1197">
        <f>IFERROR(Aj.Subsídio!L7,0)</f>
        <v>0</v>
      </c>
      <c r="BQ290" s="1197">
        <f>IFERROR(Aj.Subsídio!M7,0)</f>
        <v>0</v>
      </c>
      <c r="BR290" s="1198">
        <f t="shared" si="32"/>
        <v>0</v>
      </c>
      <c r="BS290" s="363">
        <f t="shared" si="33"/>
        <v>0</v>
      </c>
      <c r="BU290" s="358"/>
      <c r="BV290" s="358"/>
      <c r="BW290" s="358"/>
      <c r="BX290" s="358"/>
      <c r="BY290" s="358"/>
      <c r="BZ290" s="358"/>
      <c r="CA290" s="358"/>
      <c r="CB290" s="358"/>
      <c r="CC290" s="358"/>
      <c r="CD290" s="358"/>
      <c r="CE290" s="358"/>
      <c r="CF290" s="358"/>
    </row>
    <row r="291" spans="2:84" ht="12.75">
      <c r="B291" s="312"/>
      <c r="C291" s="312"/>
      <c r="H291" s="23"/>
      <c r="AZ291" s="358"/>
      <c r="BA291" s="358"/>
      <c r="BB291" s="358"/>
      <c r="BC291" s="358"/>
      <c r="BD291" s="358"/>
      <c r="BE291" s="358"/>
      <c r="BF291" s="358"/>
      <c r="BG291" s="358"/>
      <c r="BH291" s="358"/>
      <c r="BI291" s="358"/>
      <c r="BJ291" s="358"/>
      <c r="BK291" s="358"/>
      <c r="BL291" s="358"/>
      <c r="BM291" s="358"/>
      <c r="BN291" s="358"/>
      <c r="BO291" s="1196" t="s">
        <v>943</v>
      </c>
      <c r="BP291" s="1197">
        <f>IFERROR(Aj.Subsídio!L8,0)</f>
        <v>132.83881401189078</v>
      </c>
      <c r="BQ291" s="1197">
        <f>IFERROR(Aj.Subsídio!M8,0)</f>
        <v>1870.4192022987093</v>
      </c>
      <c r="BR291" s="1198">
        <f t="shared" si="32"/>
        <v>2003.2580163105999</v>
      </c>
      <c r="BS291" s="363">
        <f t="shared" si="33"/>
        <v>1</v>
      </c>
      <c r="BU291" s="358"/>
      <c r="BV291" s="358"/>
      <c r="BW291" s="358"/>
      <c r="BX291" s="358"/>
      <c r="BY291" s="358"/>
      <c r="BZ291" s="358"/>
      <c r="CA291" s="358"/>
      <c r="CB291" s="358"/>
      <c r="CC291" s="358"/>
      <c r="CD291" s="358"/>
      <c r="CE291" s="358"/>
      <c r="CF291" s="358"/>
    </row>
    <row r="292" spans="2:84" ht="12.75">
      <c r="B292" s="312"/>
      <c r="C292" s="312"/>
      <c r="H292" s="23"/>
      <c r="AZ292" s="358"/>
      <c r="BA292" s="358"/>
      <c r="BB292" s="358"/>
      <c r="BC292" s="358"/>
      <c r="BD292" s="358"/>
      <c r="BE292" s="358"/>
      <c r="BF292" s="358"/>
      <c r="BG292" s="358"/>
      <c r="BH292" s="358"/>
      <c r="BI292" s="358"/>
      <c r="BJ292" s="358"/>
      <c r="BK292" s="358"/>
      <c r="BL292" s="358"/>
      <c r="BM292" s="358"/>
      <c r="BN292" s="358"/>
      <c r="BO292" s="1196" t="s">
        <v>944</v>
      </c>
      <c r="BP292" s="1197">
        <f>IFERROR(Aj.Subsídio!L9,0)</f>
        <v>207.31839485939904</v>
      </c>
      <c r="BQ292" s="1197">
        <f>IFERROR(Aj.Subsídio!M9,0)</f>
        <v>220200.31381694312</v>
      </c>
      <c r="BR292" s="1198">
        <f t="shared" si="32"/>
        <v>220407.63221180253</v>
      </c>
      <c r="BS292" s="363">
        <f t="shared" si="33"/>
        <v>1</v>
      </c>
      <c r="BU292" s="358"/>
      <c r="BV292" s="358"/>
      <c r="BW292" s="358"/>
      <c r="BX292" s="358"/>
      <c r="BY292" s="359"/>
      <c r="BZ292" s="359"/>
      <c r="CA292" s="359"/>
      <c r="CB292" s="359"/>
      <c r="CC292" s="359"/>
      <c r="CD292" s="359"/>
      <c r="CE292" s="359"/>
      <c r="CF292" s="358"/>
    </row>
    <row r="293" spans="2:84" ht="12.75">
      <c r="B293" s="312"/>
      <c r="C293" s="312"/>
      <c r="H293" s="23"/>
      <c r="AZ293" s="358"/>
      <c r="BA293" s="358"/>
      <c r="BB293" s="358"/>
      <c r="BC293" s="358"/>
      <c r="BD293" s="358"/>
      <c r="BE293" s="358"/>
      <c r="BF293" s="358"/>
      <c r="BG293" s="358"/>
      <c r="BH293" s="358"/>
      <c r="BI293" s="358"/>
      <c r="BJ293" s="358"/>
      <c r="BK293" s="358"/>
      <c r="BL293" s="358"/>
      <c r="BM293" s="358"/>
      <c r="BN293" s="358"/>
      <c r="BO293" s="1196" t="s">
        <v>945</v>
      </c>
      <c r="BP293" s="1197">
        <f>IFERROR(Aj.Subsídio!L10,0)</f>
        <v>63528.600821335182</v>
      </c>
      <c r="BQ293" s="1197">
        <f>IFERROR(Aj.Subsídio!M10,0)</f>
        <v>396688.47824677633</v>
      </c>
      <c r="BR293" s="1198">
        <f t="shared" si="32"/>
        <v>460217.07906811149</v>
      </c>
      <c r="BS293" s="363">
        <f t="shared" si="33"/>
        <v>1</v>
      </c>
      <c r="BU293" s="358"/>
      <c r="BV293" s="358"/>
      <c r="BW293" s="358"/>
      <c r="BX293" s="358"/>
      <c r="BY293" s="358"/>
      <c r="BZ293" s="358"/>
      <c r="CA293" s="358"/>
      <c r="CB293" s="358"/>
      <c r="CC293" s="358"/>
      <c r="CD293" s="358"/>
      <c r="CE293" s="358"/>
      <c r="CF293" s="358"/>
    </row>
    <row r="294" spans="2:84" ht="12.75">
      <c r="B294" s="312"/>
      <c r="C294" s="312"/>
      <c r="H294" s="23"/>
      <c r="AZ294" s="358"/>
      <c r="BA294" s="358"/>
      <c r="BB294" s="358"/>
      <c r="BC294" s="358"/>
      <c r="BD294" s="358"/>
      <c r="BE294" s="358"/>
      <c r="BF294" s="358"/>
      <c r="BG294" s="358"/>
      <c r="BH294" s="358"/>
      <c r="BI294" s="358"/>
      <c r="BJ294" s="358"/>
      <c r="BK294" s="358"/>
      <c r="BL294" s="358"/>
      <c r="BM294" s="358"/>
      <c r="BN294" s="358"/>
      <c r="BO294" s="1199" t="s">
        <v>846</v>
      </c>
      <c r="BP294" s="1197">
        <f>SUM(BP288:BP293)</f>
        <v>86292.480927807628</v>
      </c>
      <c r="BQ294" s="1197">
        <f>SUM(BQ288:BQ293)</f>
        <v>665803.45893061487</v>
      </c>
      <c r="BR294" s="1198">
        <f t="shared" si="32"/>
        <v>752095.9398584225</v>
      </c>
      <c r="BS294" s="414">
        <f t="shared" si="33"/>
        <v>1</v>
      </c>
      <c r="BU294" s="358"/>
      <c r="BY294" s="358"/>
      <c r="BZ294" s="358"/>
      <c r="CA294" s="358"/>
      <c r="CB294" s="358"/>
      <c r="CC294" s="358"/>
      <c r="CD294" s="358"/>
      <c r="CE294" s="358"/>
      <c r="CF294" s="358"/>
    </row>
    <row r="295" spans="2:84" ht="12.75">
      <c r="B295" s="312"/>
      <c r="C295" s="312"/>
      <c r="H295" s="23"/>
      <c r="AZ295" s="358"/>
      <c r="BA295" s="358"/>
      <c r="BB295" s="358"/>
      <c r="BC295" s="358"/>
      <c r="BD295" s="358"/>
      <c r="BE295" s="358"/>
      <c r="BF295" s="358"/>
      <c r="BG295" s="358"/>
      <c r="BH295" s="358"/>
      <c r="BI295" s="358"/>
      <c r="BJ295" s="358"/>
      <c r="BK295" s="358"/>
      <c r="BL295" s="358"/>
      <c r="BM295" s="358"/>
      <c r="BN295" s="358"/>
      <c r="BO295" s="358"/>
      <c r="BP295" s="358"/>
      <c r="BQ295" s="358"/>
      <c r="BR295" s="358"/>
      <c r="BS295" s="415"/>
      <c r="BT295" s="679" t="s">
        <v>946</v>
      </c>
      <c r="BU295" s="358"/>
      <c r="BY295" s="358"/>
      <c r="BZ295" s="358"/>
      <c r="CA295" s="358"/>
      <c r="CB295" s="358"/>
      <c r="CC295" s="358"/>
      <c r="CD295" s="358"/>
      <c r="CE295" s="358"/>
      <c r="CF295" s="358"/>
    </row>
    <row r="296" spans="2:84" ht="25.5">
      <c r="B296" s="312"/>
      <c r="C296" s="312"/>
      <c r="H296" s="23"/>
      <c r="AZ296" s="358"/>
      <c r="BA296" s="358"/>
      <c r="BB296" s="358"/>
      <c r="BC296" s="358"/>
      <c r="BD296" s="358"/>
      <c r="BE296" s="358"/>
      <c r="BF296" s="358"/>
      <c r="BG296" s="358"/>
      <c r="BH296" s="358"/>
      <c r="BI296" s="358"/>
      <c r="BJ296" s="358"/>
      <c r="BK296" s="358"/>
      <c r="BL296" s="358"/>
      <c r="BM296" s="358"/>
      <c r="BN296" s="358"/>
      <c r="BO296" s="358"/>
      <c r="BP296" s="358"/>
      <c r="BQ296" s="358"/>
      <c r="BR296" s="49"/>
      <c r="BS296" s="358"/>
      <c r="BT296" s="60" t="s">
        <v>27</v>
      </c>
      <c r="BU296" s="60" t="s">
        <v>21</v>
      </c>
      <c r="BV296" s="60" t="s">
        <v>947</v>
      </c>
      <c r="BW296" s="60" t="s">
        <v>948</v>
      </c>
      <c r="BY296" s="23" t="s">
        <v>803</v>
      </c>
      <c r="BZ296" s="681" t="s">
        <v>949</v>
      </c>
      <c r="CA296" s="358"/>
      <c r="CB296" s="358"/>
      <c r="CC296" s="358"/>
      <c r="CD296" s="358"/>
      <c r="CE296" s="358"/>
      <c r="CF296" s="358"/>
    </row>
    <row r="297" spans="2:84" ht="15" customHeight="1">
      <c r="B297" s="312"/>
      <c r="C297" s="312"/>
      <c r="H297" s="23"/>
      <c r="AZ297" s="358"/>
      <c r="BA297" s="358"/>
      <c r="BB297" s="358"/>
      <c r="BC297" s="358"/>
      <c r="BD297" s="358"/>
      <c r="BE297" s="358"/>
      <c r="BF297" s="358"/>
      <c r="BG297" s="358"/>
      <c r="BH297" s="358"/>
      <c r="BI297" s="358"/>
      <c r="BJ297" s="358"/>
      <c r="BK297" s="358"/>
      <c r="BL297" s="358"/>
      <c r="BM297" s="358"/>
      <c r="BN297" s="358"/>
      <c r="BO297" s="358"/>
      <c r="BP297" s="358"/>
      <c r="BQ297" s="358"/>
      <c r="BR297" s="358"/>
      <c r="BS297" s="358"/>
      <c r="BT297" s="310" t="str">
        <f>Energia!B28</f>
        <v>RGE SUL DISTRIBUIDORA DE ENERGIA S.A.</v>
      </c>
      <c r="BU297" s="311" t="str">
        <f>Energia!C28</f>
        <v>A3 ( 69 kV)</v>
      </c>
      <c r="BV297" s="432">
        <f>Energia!I28</f>
        <v>0</v>
      </c>
      <c r="BW297" s="432">
        <f>Energia!F28</f>
        <v>0</v>
      </c>
      <c r="BY297" s="23">
        <f t="shared" ref="BY297:BY303" si="34">IF(BU297=0,0,1)</f>
        <v>1</v>
      </c>
      <c r="BZ297" s="680"/>
      <c r="CA297" s="358"/>
      <c r="CB297" s="358"/>
      <c r="CC297" s="358"/>
      <c r="CD297" s="358"/>
      <c r="CE297" s="358"/>
      <c r="CF297" s="358"/>
    </row>
    <row r="298" spans="2:84" ht="15" customHeight="1">
      <c r="B298" s="312"/>
      <c r="C298" s="312"/>
      <c r="H298" s="23"/>
      <c r="AZ298" s="358"/>
      <c r="BA298" s="358"/>
      <c r="BB298" s="358"/>
      <c r="BC298" s="358"/>
      <c r="BD298" s="358"/>
      <c r="BE298" s="358"/>
      <c r="BF298" s="358"/>
      <c r="BG298" s="358"/>
      <c r="BH298" s="358"/>
      <c r="BI298" s="358"/>
      <c r="BJ298" s="358"/>
      <c r="BK298" s="358"/>
      <c r="BL298" s="358"/>
      <c r="BM298" s="358"/>
      <c r="BN298" s="358"/>
      <c r="BO298" s="358"/>
      <c r="BP298" s="358"/>
      <c r="BQ298" s="358"/>
      <c r="BR298" s="358"/>
      <c r="BS298" s="358"/>
      <c r="BT298" s="310" t="str">
        <f>Energia!B29</f>
        <v>RGE SUL DISTRIBUIDORA DE ENERGIA S.A.</v>
      </c>
      <c r="BU298" s="311" t="str">
        <f>Energia!C29</f>
        <v>A4 (2,3 a 25 kV)</v>
      </c>
      <c r="BV298" s="432">
        <f>Energia!I29</f>
        <v>0</v>
      </c>
      <c r="BW298" s="432">
        <f>Energia!F29</f>
        <v>0</v>
      </c>
      <c r="BY298" s="23">
        <f t="shared" si="34"/>
        <v>1</v>
      </c>
      <c r="BZ298" s="680"/>
    </row>
    <row r="299" spans="2:84" ht="15" hidden="1" customHeight="1">
      <c r="B299" s="312"/>
      <c r="C299" s="312"/>
      <c r="H299" s="23"/>
      <c r="AZ299" s="358"/>
      <c r="BA299" s="358"/>
      <c r="BB299" s="358"/>
      <c r="BC299" s="358"/>
      <c r="BD299" s="358"/>
      <c r="BE299" s="358"/>
      <c r="BF299" s="358"/>
      <c r="BG299" s="358"/>
      <c r="BH299" s="358"/>
      <c r="BI299" s="358"/>
      <c r="BJ299" s="358"/>
      <c r="BK299" s="358"/>
      <c r="BL299" s="358"/>
      <c r="BM299" s="358"/>
      <c r="BN299" s="358"/>
      <c r="BO299" s="358"/>
      <c r="BP299" s="358"/>
      <c r="BQ299" s="358"/>
      <c r="BR299" s="358"/>
      <c r="BS299" s="358"/>
      <c r="BT299" s="310">
        <f>Energia!B30</f>
        <v>0</v>
      </c>
      <c r="BU299" s="311">
        <f>Energia!C30</f>
        <v>0</v>
      </c>
      <c r="BV299" s="432" t="str">
        <f>Energia!I30</f>
        <v/>
      </c>
      <c r="BW299" s="432" t="str">
        <f>Energia!F30</f>
        <v/>
      </c>
      <c r="BY299" s="23">
        <f t="shared" si="34"/>
        <v>0</v>
      </c>
      <c r="BZ299" s="680"/>
    </row>
    <row r="300" spans="2:84" ht="15" hidden="1" customHeight="1">
      <c r="B300" s="312"/>
      <c r="C300" s="312"/>
      <c r="H300" s="23"/>
      <c r="AZ300" s="358"/>
      <c r="BA300" s="358"/>
      <c r="BB300" s="358"/>
      <c r="BC300" s="358"/>
      <c r="BD300" s="358"/>
      <c r="BE300" s="358"/>
      <c r="BF300" s="358"/>
      <c r="BG300" s="358"/>
      <c r="BH300" s="358"/>
      <c r="BI300" s="358"/>
      <c r="BJ300" s="358"/>
      <c r="BK300" s="358"/>
      <c r="BL300" s="358"/>
      <c r="BM300" s="358"/>
      <c r="BN300" s="358"/>
      <c r="BO300" s="358"/>
      <c r="BP300" s="358"/>
      <c r="BQ300" s="358"/>
      <c r="BR300" s="358"/>
      <c r="BS300" s="358"/>
      <c r="BT300" s="310">
        <f>Energia!B31</f>
        <v>0</v>
      </c>
      <c r="BU300" s="311">
        <f>Energia!C31</f>
        <v>0</v>
      </c>
      <c r="BV300" s="432" t="str">
        <f>Energia!I31</f>
        <v/>
      </c>
      <c r="BW300" s="432" t="str">
        <f>Energia!F31</f>
        <v/>
      </c>
      <c r="BY300" s="23">
        <f t="shared" si="34"/>
        <v>0</v>
      </c>
      <c r="BZ300" s="680"/>
    </row>
    <row r="301" spans="2:84" ht="15" hidden="1" customHeight="1">
      <c r="B301" s="312"/>
      <c r="C301" s="312"/>
      <c r="H301" s="23"/>
      <c r="AZ301" s="358"/>
      <c r="BA301" s="358"/>
      <c r="BB301" s="358"/>
      <c r="BC301" s="358"/>
      <c r="BD301" s="358"/>
      <c r="BE301" s="358"/>
      <c r="BF301" s="358"/>
      <c r="BG301" s="358"/>
      <c r="BH301" s="358"/>
      <c r="BI301" s="358"/>
      <c r="BJ301" s="358"/>
      <c r="BK301" s="358"/>
      <c r="BL301" s="358"/>
      <c r="BM301" s="358"/>
      <c r="BN301" s="358"/>
      <c r="BO301" s="358"/>
      <c r="BP301" s="358"/>
      <c r="BQ301" s="358"/>
      <c r="BR301" s="358"/>
      <c r="BS301" s="358"/>
      <c r="BT301" s="310">
        <f>Energia!B32</f>
        <v>0</v>
      </c>
      <c r="BU301" s="311">
        <f>Energia!C32</f>
        <v>0</v>
      </c>
      <c r="BV301" s="432" t="str">
        <f>Energia!I32</f>
        <v/>
      </c>
      <c r="BW301" s="432" t="str">
        <f>Energia!F32</f>
        <v/>
      </c>
      <c r="BY301" s="23">
        <f t="shared" si="34"/>
        <v>0</v>
      </c>
      <c r="BZ301" s="680"/>
    </row>
    <row r="302" spans="2:84" ht="15" hidden="1" customHeight="1">
      <c r="B302" s="312"/>
      <c r="C302" s="312"/>
      <c r="H302" s="23"/>
      <c r="AZ302" s="358"/>
      <c r="BA302" s="358"/>
      <c r="BB302" s="358"/>
      <c r="BC302" s="358"/>
      <c r="BD302" s="358"/>
      <c r="BE302" s="358"/>
      <c r="BF302" s="358"/>
      <c r="BG302" s="358"/>
      <c r="BH302" s="358"/>
      <c r="BI302" s="358"/>
      <c r="BJ302" s="358"/>
      <c r="BK302" s="358"/>
      <c r="BL302" s="358"/>
      <c r="BM302" s="358"/>
      <c r="BN302" s="358"/>
      <c r="BO302" s="358"/>
      <c r="BP302" s="358"/>
      <c r="BQ302" s="358"/>
      <c r="BR302" s="358"/>
      <c r="BS302" s="358"/>
      <c r="BT302" s="310">
        <f>Energia!B34</f>
        <v>0</v>
      </c>
      <c r="BU302" s="311">
        <f>Energia!C34</f>
        <v>0</v>
      </c>
      <c r="BV302" s="432" t="str">
        <f>Energia!I34</f>
        <v/>
      </c>
      <c r="BW302" s="432" t="str">
        <f>Energia!F34</f>
        <v/>
      </c>
      <c r="BY302" s="23">
        <f t="shared" si="34"/>
        <v>0</v>
      </c>
      <c r="BZ302" s="680"/>
    </row>
    <row r="303" spans="2:84" ht="15" hidden="1" customHeight="1">
      <c r="B303" s="312"/>
      <c r="C303" s="312"/>
      <c r="H303" s="23"/>
      <c r="AZ303" s="358"/>
      <c r="BA303" s="358"/>
      <c r="BB303" s="358"/>
      <c r="BC303" s="358"/>
      <c r="BD303" s="358"/>
      <c r="BE303" s="358"/>
      <c r="BF303" s="358"/>
      <c r="BG303" s="358"/>
      <c r="BH303" s="358"/>
      <c r="BI303" s="358"/>
      <c r="BJ303" s="358"/>
      <c r="BK303" s="358"/>
      <c r="BL303" s="358"/>
      <c r="BM303" s="358"/>
      <c r="BN303" s="358"/>
      <c r="BO303" s="358"/>
      <c r="BP303" s="358"/>
      <c r="BQ303" s="358"/>
      <c r="BR303" s="358"/>
      <c r="BS303" s="358"/>
      <c r="BT303" s="310" t="e">
        <f>Energia!#REF!</f>
        <v>#REF!</v>
      </c>
      <c r="BU303" s="311" t="e">
        <f>Energia!#REF!</f>
        <v>#REF!</v>
      </c>
      <c r="BV303" s="432" t="e">
        <f>Energia!#REF!</f>
        <v>#REF!</v>
      </c>
      <c r="BW303" s="432" t="e">
        <f>Energia!#REF!</f>
        <v>#REF!</v>
      </c>
      <c r="BY303" s="23" t="e">
        <f t="shared" si="34"/>
        <v>#REF!</v>
      </c>
      <c r="BZ303" s="682" t="s">
        <v>702</v>
      </c>
      <c r="CB303" s="308" t="s">
        <v>850</v>
      </c>
    </row>
    <row r="304" spans="2:84" ht="15" customHeight="1">
      <c r="B304" s="312"/>
      <c r="C304" s="312"/>
      <c r="H304" s="23"/>
      <c r="AZ304" s="358"/>
      <c r="BA304" s="358"/>
      <c r="BB304" s="358"/>
      <c r="BC304" s="358"/>
      <c r="BD304" s="358"/>
      <c r="BE304" s="358"/>
      <c r="BF304" s="358"/>
      <c r="BG304" s="358"/>
      <c r="BH304" s="358"/>
      <c r="BI304" s="358"/>
      <c r="BJ304" s="358"/>
      <c r="BK304" s="358"/>
      <c r="BL304" s="358"/>
      <c r="BM304" s="358"/>
      <c r="BN304" s="358"/>
      <c r="BO304" s="358"/>
      <c r="BP304" s="358"/>
      <c r="BQ304" s="358"/>
      <c r="BR304" s="358"/>
      <c r="BS304" s="358"/>
      <c r="BZ304" s="1200" t="s">
        <v>702</v>
      </c>
      <c r="CA304" s="1201">
        <f>SUM(CA305:CA306)</f>
        <v>0</v>
      </c>
    </row>
    <row r="305" spans="2:79" ht="15" customHeight="1">
      <c r="B305" s="312"/>
      <c r="C305" s="312"/>
      <c r="H305" s="23"/>
      <c r="AZ305" s="358"/>
      <c r="BA305" s="358"/>
      <c r="BB305" s="358"/>
      <c r="BC305" s="358"/>
      <c r="BD305" s="358"/>
      <c r="BE305" s="358"/>
      <c r="BF305" s="358"/>
      <c r="BG305" s="358"/>
      <c r="BH305" s="358"/>
      <c r="BI305" s="358"/>
      <c r="BJ305" s="358"/>
      <c r="BK305" s="358"/>
      <c r="BL305" s="358"/>
      <c r="BM305" s="358"/>
      <c r="BN305" s="358"/>
      <c r="BO305" s="358"/>
      <c r="BP305" s="358"/>
      <c r="BQ305" s="358"/>
      <c r="BR305" s="358"/>
      <c r="BS305" s="358"/>
      <c r="BZ305" s="433" t="s">
        <v>950</v>
      </c>
      <c r="CA305" s="434">
        <f>CAPA!H42</f>
        <v>0</v>
      </c>
    </row>
    <row r="306" spans="2:79" ht="15" customHeight="1">
      <c r="B306" s="312"/>
      <c r="C306" s="312"/>
      <c r="H306" s="23"/>
      <c r="AZ306" s="358"/>
      <c r="BA306" s="358"/>
      <c r="BB306" s="358"/>
      <c r="BC306" s="358"/>
      <c r="BD306" s="358"/>
      <c r="BE306" s="358"/>
      <c r="BF306" s="358"/>
      <c r="BG306" s="358"/>
      <c r="BH306" s="358"/>
      <c r="BI306" s="358"/>
      <c r="BJ306" s="358"/>
      <c r="BK306" s="358"/>
      <c r="BL306" s="358"/>
      <c r="BM306" s="358"/>
      <c r="BN306" s="358"/>
      <c r="BO306" s="358"/>
      <c r="BP306" s="358"/>
      <c r="BQ306" s="358"/>
      <c r="BR306" s="358"/>
      <c r="BS306" s="358"/>
      <c r="BZ306" s="1202" t="s">
        <v>951</v>
      </c>
      <c r="CA306" s="1203">
        <f>CAPA!H44</f>
        <v>0</v>
      </c>
    </row>
    <row r="307" spans="2:79" ht="15" customHeight="1">
      <c r="B307" s="312"/>
      <c r="C307" s="312"/>
      <c r="H307" s="23"/>
      <c r="AZ307" s="358"/>
      <c r="BA307" s="358"/>
      <c r="BB307" s="358"/>
      <c r="BC307" s="358"/>
      <c r="BD307" s="358"/>
      <c r="BE307" s="358"/>
      <c r="BF307" s="358"/>
      <c r="BG307" s="358"/>
      <c r="BH307" s="358"/>
      <c r="BI307" s="358"/>
      <c r="BJ307" s="358"/>
      <c r="BK307" s="358"/>
      <c r="BL307" s="358"/>
      <c r="BM307" s="358"/>
      <c r="BN307" s="358"/>
      <c r="BO307" s="358"/>
      <c r="BP307" s="358"/>
      <c r="BQ307" s="358"/>
      <c r="BR307" s="358"/>
      <c r="BS307" s="358"/>
      <c r="BW307" s="311">
        <v>0</v>
      </c>
    </row>
    <row r="308" spans="2:79" ht="15" customHeight="1">
      <c r="B308" s="312"/>
      <c r="C308" s="312"/>
      <c r="H308" s="23"/>
      <c r="AZ308" s="358"/>
      <c r="BA308" s="358"/>
      <c r="BB308" s="358"/>
      <c r="BC308" s="358"/>
      <c r="BD308" s="358"/>
      <c r="BE308" s="358"/>
      <c r="BF308" s="358"/>
      <c r="BG308" s="358"/>
      <c r="BH308" s="358"/>
      <c r="BI308" s="358"/>
      <c r="BJ308" s="358"/>
      <c r="BK308" s="358"/>
      <c r="BL308" s="358"/>
      <c r="BM308" s="358"/>
      <c r="BN308" s="358"/>
      <c r="BO308" s="358"/>
      <c r="BP308" s="358"/>
      <c r="BQ308" s="358"/>
      <c r="BR308" s="358"/>
      <c r="BS308" s="358"/>
    </row>
    <row r="309" spans="2:79" ht="15" customHeight="1">
      <c r="B309" s="312"/>
      <c r="C309" s="312"/>
      <c r="H309" s="23"/>
      <c r="AZ309" s="358"/>
      <c r="BA309" s="358"/>
      <c r="BB309" s="358"/>
      <c r="BC309" s="358"/>
      <c r="BD309" s="358"/>
      <c r="BE309" s="358"/>
      <c r="BF309" s="358"/>
      <c r="BG309" s="358"/>
      <c r="BH309" s="358"/>
      <c r="BI309" s="358"/>
      <c r="BJ309" s="358"/>
      <c r="BK309" s="358"/>
      <c r="BL309" s="358"/>
      <c r="BM309" s="358"/>
      <c r="BN309" s="358"/>
      <c r="BO309" s="358"/>
      <c r="BP309" s="358"/>
      <c r="BQ309" s="358"/>
      <c r="BR309" s="358"/>
      <c r="BS309" s="358"/>
    </row>
    <row r="310" spans="2:79" ht="15" customHeight="1">
      <c r="B310" s="312"/>
      <c r="C310" s="312"/>
      <c r="H310" s="23"/>
      <c r="AZ310" s="358"/>
      <c r="BA310" s="358"/>
      <c r="BB310" s="358"/>
      <c r="BC310" s="358"/>
      <c r="BD310" s="358"/>
      <c r="BE310" s="358"/>
      <c r="BF310" s="358"/>
      <c r="BG310" s="358"/>
      <c r="BH310" s="358"/>
      <c r="BI310" s="358"/>
      <c r="BJ310" s="358"/>
      <c r="BK310" s="358"/>
      <c r="BL310" s="358"/>
      <c r="BM310" s="358"/>
      <c r="BN310" s="358"/>
      <c r="BO310" s="358"/>
      <c r="BP310" s="358"/>
      <c r="BQ310" s="358"/>
      <c r="BR310" s="358"/>
      <c r="BS310" s="358"/>
    </row>
    <row r="311" spans="2:79" ht="15" customHeight="1">
      <c r="B311" s="356"/>
      <c r="C311" s="364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801"/>
      <c r="C315" s="1801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801"/>
      <c r="C321" s="1801"/>
      <c r="H321" s="23"/>
    </row>
    <row r="322" spans="2:8" ht="15" customHeight="1">
      <c r="B322" s="367"/>
      <c r="C322" s="368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7"/>
      <c r="C327" s="26"/>
      <c r="H327" s="23"/>
    </row>
    <row r="328" spans="2:8" ht="15" customHeight="1">
      <c r="B328" s="367"/>
      <c r="C328" s="26"/>
      <c r="H328" s="23"/>
    </row>
    <row r="329" spans="2:8" ht="15" customHeight="1">
      <c r="B329" s="367"/>
      <c r="C329" s="368"/>
      <c r="H329" s="23"/>
    </row>
    <row r="330" spans="2:8" ht="15" customHeight="1">
      <c r="B330" s="1801"/>
      <c r="C330" s="1801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7"/>
      <c r="C337" s="26"/>
      <c r="H337" s="23"/>
    </row>
    <row r="338" spans="2:8" ht="15" customHeight="1">
      <c r="B338" s="367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70"/>
      <c r="C343" s="371"/>
      <c r="H343" s="23"/>
    </row>
    <row r="344" spans="2:8" ht="15" customHeight="1">
      <c r="B344" s="372"/>
      <c r="C344" s="27"/>
      <c r="H344" s="23"/>
    </row>
    <row r="345" spans="2:8" ht="15" customHeight="1">
      <c r="B345" s="372"/>
      <c r="C345" s="27"/>
      <c r="H345" s="23"/>
    </row>
    <row r="346" spans="2:8" ht="15" customHeight="1">
      <c r="B346" s="372"/>
      <c r="C346" s="27"/>
      <c r="H346" s="23"/>
    </row>
    <row r="347" spans="2:8" ht="15" customHeight="1">
      <c r="B347" s="372"/>
      <c r="C347" s="27"/>
      <c r="H347" s="23"/>
    </row>
    <row r="348" spans="2:8" ht="15" customHeight="1">
      <c r="B348" s="372"/>
      <c r="C348" s="373"/>
      <c r="H348" s="23"/>
    </row>
    <row r="349" spans="2:8" ht="15" customHeight="1">
      <c r="B349" s="372"/>
      <c r="C349" s="27"/>
      <c r="H349" s="23"/>
    </row>
    <row r="350" spans="2:8" ht="15" customHeight="1">
      <c r="B350" s="372"/>
      <c r="C350" s="373"/>
      <c r="H350" s="23"/>
    </row>
    <row r="376" ht="31.5" customHeight="1"/>
    <row r="377" ht="15.75" customHeight="1"/>
    <row r="387" spans="72:74" ht="15" customHeight="1">
      <c r="BT387" s="430"/>
      <c r="BU387" s="431"/>
      <c r="BV387" s="431"/>
    </row>
    <row r="388" spans="72:74" ht="15" customHeight="1">
      <c r="BT388" s="430"/>
      <c r="BU388" s="431"/>
      <c r="BV388" s="431"/>
    </row>
    <row r="389" spans="72:74" ht="15" customHeight="1">
      <c r="BT389" s="430"/>
      <c r="BU389" s="431"/>
      <c r="BV389" s="431"/>
    </row>
    <row r="390" spans="72:74" ht="15" customHeight="1">
      <c r="BT390" s="430"/>
      <c r="BU390" s="431"/>
      <c r="BV390" s="431"/>
    </row>
    <row r="391" spans="72:74" ht="15" customHeight="1">
      <c r="BT391" s="430"/>
      <c r="BU391" s="431"/>
      <c r="BV391" s="431"/>
    </row>
    <row r="392" spans="72:74" ht="15" customHeight="1">
      <c r="BT392" s="430"/>
      <c r="BU392" s="431"/>
      <c r="BV392" s="431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78:AN190 AN193:AN196">
    <cfRule type="cellIs" dxfId="105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:AX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N13" zoomScale="90" zoomScaleNormal="90" workbookViewId="0">
      <selection activeCell="E64" sqref="E64:G67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302" t="s">
        <v>705</v>
      </c>
      <c r="C1" s="1091">
        <f>Resultado!C1</f>
        <v>0</v>
      </c>
      <c r="D1" s="1303"/>
      <c r="E1" s="1304"/>
      <c r="F1" s="1305"/>
      <c r="G1" s="1204" t="s">
        <v>953</v>
      </c>
      <c r="H1" s="1306">
        <f ca="1">LnkTXTIRTEco</f>
        <v>0.12970000000000001</v>
      </c>
    </row>
    <row r="2" spans="2:27">
      <c r="B2" s="138" t="str">
        <f>CAPA!C9</f>
        <v>Cermissões</v>
      </c>
      <c r="C2" s="70"/>
      <c r="D2" s="70"/>
      <c r="G2" s="121" t="s">
        <v>957</v>
      </c>
      <c r="H2" s="148">
        <f ca="1">LnkTXTIRTTotal</f>
        <v>-9.4E-2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307" t="s">
        <v>1236</v>
      </c>
      <c r="C6" s="1307"/>
      <c r="D6" s="1307"/>
      <c r="E6" s="1307"/>
      <c r="F6" s="1307"/>
      <c r="G6" s="1307"/>
      <c r="H6" s="1307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08" t="s">
        <v>855</v>
      </c>
      <c r="C8" s="1308" t="s">
        <v>1237</v>
      </c>
      <c r="D8" s="1308" t="s">
        <v>1238</v>
      </c>
      <c r="E8" s="1308" t="s">
        <v>1239</v>
      </c>
      <c r="H8" s="152"/>
    </row>
    <row r="9" spans="2:27">
      <c r="B9" s="158" t="s">
        <v>973</v>
      </c>
      <c r="C9" s="181">
        <f>SUMIFS($M$18:$M$63,$D$18:$D$63,"Ponta")</f>
        <v>137.35199999999998</v>
      </c>
      <c r="D9" s="181">
        <f>SUMIFS($J$18:$J$63,$D$18:$D$63,"Ponta")</f>
        <v>858509.01599999995</v>
      </c>
      <c r="E9" s="181">
        <f>SUMIFS($L$18:$L$63,$D$18:$D$63,"Ponta")</f>
        <v>520857.38399999996</v>
      </c>
    </row>
    <row r="10" spans="2:27">
      <c r="B10" s="1309" t="s">
        <v>1240</v>
      </c>
      <c r="C10" s="1310">
        <f>SUMIFS($M$18:$M$63,$D$18:$D$63,"Fora Ponta")</f>
        <v>205.10000000000002</v>
      </c>
      <c r="D10" s="1310">
        <f>SUMIFS($J$18:$J$63,$D$18:$D$63,"Fora Ponta")</f>
        <v>1383602.9000000001</v>
      </c>
      <c r="E10" s="1310">
        <f>SUMIFS($L$18:$L$63,$D$18:$D$63,"Fora Ponta")</f>
        <v>856116.70000000007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11" t="s">
        <v>1241</v>
      </c>
      <c r="G14" s="1312"/>
      <c r="H14" s="1312"/>
      <c r="I14" s="1312"/>
      <c r="J14" s="1312"/>
      <c r="K14" s="1312"/>
      <c r="L14" s="1312"/>
      <c r="M14" s="1312"/>
      <c r="N14" s="1312"/>
      <c r="O14" s="1312"/>
      <c r="P14" s="1312"/>
      <c r="Q14" s="1312"/>
      <c r="R14" s="1313"/>
    </row>
    <row r="15" spans="2:27">
      <c r="B15" s="1811" t="s">
        <v>1242</v>
      </c>
      <c r="C15" s="1812" t="s">
        <v>1243</v>
      </c>
      <c r="D15" s="1813" t="s">
        <v>78</v>
      </c>
      <c r="E15" s="1814" t="s">
        <v>1244</v>
      </c>
      <c r="F15" s="1814"/>
      <c r="G15" s="1814"/>
      <c r="H15" s="1815"/>
      <c r="I15" s="1816" t="s">
        <v>1245</v>
      </c>
      <c r="J15" s="1817"/>
      <c r="K15" s="1817"/>
      <c r="L15" s="1817"/>
      <c r="M15" s="1818" t="s">
        <v>1246</v>
      </c>
      <c r="N15" s="1819"/>
      <c r="O15" s="1819"/>
      <c r="P15" s="1819"/>
      <c r="Q15" s="1819"/>
      <c r="R15" s="1819"/>
      <c r="S15" s="1819"/>
      <c r="T15" s="1819"/>
      <c r="U15" s="1819"/>
      <c r="V15" s="1819"/>
      <c r="W15" s="1819"/>
      <c r="X15" s="1819"/>
      <c r="Y15" s="1819"/>
      <c r="Z15" s="65"/>
      <c r="AA15" s="387"/>
    </row>
    <row r="16" spans="2:27">
      <c r="B16" s="1811"/>
      <c r="C16" s="1812"/>
      <c r="D16" s="1813"/>
      <c r="E16" s="1822" t="s">
        <v>123</v>
      </c>
      <c r="F16" s="1823"/>
      <c r="G16" s="1823" t="s">
        <v>1247</v>
      </c>
      <c r="H16" s="1824"/>
      <c r="I16" s="1825" t="s">
        <v>123</v>
      </c>
      <c r="J16" s="1826"/>
      <c r="K16" s="1826" t="s">
        <v>1247</v>
      </c>
      <c r="L16" s="1827"/>
      <c r="M16" s="1820"/>
      <c r="N16" s="1821"/>
      <c r="O16" s="1821"/>
      <c r="P16" s="1821"/>
      <c r="Q16" s="1821"/>
      <c r="R16" s="1821"/>
      <c r="S16" s="1821"/>
      <c r="T16" s="1821"/>
      <c r="U16" s="1821"/>
      <c r="V16" s="1821"/>
      <c r="W16" s="1821"/>
      <c r="X16" s="1821"/>
      <c r="Y16" s="1821"/>
      <c r="Z16" s="65"/>
      <c r="AA16" s="387"/>
    </row>
    <row r="17" spans="2:27">
      <c r="B17" s="1811"/>
      <c r="C17" s="1812"/>
      <c r="D17" s="1813"/>
      <c r="E17" s="388" t="s">
        <v>772</v>
      </c>
      <c r="F17" s="389" t="s">
        <v>773</v>
      </c>
      <c r="G17" s="389" t="s">
        <v>772</v>
      </c>
      <c r="H17" s="390" t="s">
        <v>773</v>
      </c>
      <c r="I17" s="391" t="s">
        <v>772</v>
      </c>
      <c r="J17" s="392" t="s">
        <v>773</v>
      </c>
      <c r="K17" s="392" t="s">
        <v>772</v>
      </c>
      <c r="L17" s="392" t="s">
        <v>773</v>
      </c>
      <c r="M17" s="393" t="s">
        <v>846</v>
      </c>
      <c r="N17" s="393">
        <f>SAS_RA0_DataInicio</f>
        <v>44378</v>
      </c>
      <c r="O17" s="393">
        <f>EDATE(N17,1)</f>
        <v>44409</v>
      </c>
      <c r="P17" s="393">
        <f t="shared" ref="P17:Y17" si="0">EDATE(O17,1)</f>
        <v>44440</v>
      </c>
      <c r="Q17" s="393">
        <f t="shared" si="0"/>
        <v>44470</v>
      </c>
      <c r="R17" s="393">
        <f t="shared" si="0"/>
        <v>44501</v>
      </c>
      <c r="S17" s="393">
        <f t="shared" si="0"/>
        <v>44531</v>
      </c>
      <c r="T17" s="393">
        <f t="shared" si="0"/>
        <v>44562</v>
      </c>
      <c r="U17" s="393">
        <f t="shared" si="0"/>
        <v>44593</v>
      </c>
      <c r="V17" s="393">
        <f t="shared" si="0"/>
        <v>44621</v>
      </c>
      <c r="W17" s="393">
        <f t="shared" si="0"/>
        <v>44652</v>
      </c>
      <c r="X17" s="393">
        <f t="shared" si="0"/>
        <v>44682</v>
      </c>
      <c r="Y17" s="393">
        <f t="shared" si="0"/>
        <v>44713</v>
      </c>
      <c r="Z17" s="65"/>
      <c r="AA17" s="329" t="s">
        <v>859</v>
      </c>
    </row>
    <row r="18" spans="2:27">
      <c r="B18" s="1314" t="str">
        <f>RBBD!B3</f>
        <v>SANTO ANGELO2 - 23 kV (A)</v>
      </c>
      <c r="C18" s="1314" t="str">
        <f>RBBD!C3</f>
        <v>23</v>
      </c>
      <c r="D18" s="1314" t="str">
        <f>RBBD!D3</f>
        <v>Ponta</v>
      </c>
      <c r="E18" s="1314">
        <f>RBBD!E3</f>
        <v>0</v>
      </c>
      <c r="F18" s="1314">
        <f>RBBD!F3</f>
        <v>6347</v>
      </c>
      <c r="G18" s="1314">
        <f>RBBD!G3</f>
        <v>0</v>
      </c>
      <c r="H18" s="1314">
        <f>RBBD!H3</f>
        <v>9749</v>
      </c>
      <c r="I18" s="1314">
        <f>E18*$M18</f>
        <v>0</v>
      </c>
      <c r="J18" s="1314">
        <f>F18*$M18</f>
        <v>133287</v>
      </c>
      <c r="K18" s="1314">
        <f>G18*$M18</f>
        <v>0</v>
      </c>
      <c r="L18" s="1314">
        <f>H18*$M18</f>
        <v>204729</v>
      </c>
      <c r="M18" s="1314">
        <f>SUM(N18:Y18)</f>
        <v>21</v>
      </c>
      <c r="N18" s="1314">
        <f>RBBD!I3</f>
        <v>0</v>
      </c>
      <c r="O18" s="1314">
        <f>RBBD!J3</f>
        <v>0</v>
      </c>
      <c r="P18" s="1314">
        <f>RBBD!K3</f>
        <v>0</v>
      </c>
      <c r="Q18" s="1314">
        <f>RBBD!L3</f>
        <v>0</v>
      </c>
      <c r="R18" s="1314">
        <f>RBBD!M3</f>
        <v>0</v>
      </c>
      <c r="S18" s="1314">
        <f>RBBD!N3</f>
        <v>3</v>
      </c>
      <c r="T18" s="1314">
        <f>RBBD!O3</f>
        <v>3</v>
      </c>
      <c r="U18" s="1314">
        <f>RBBD!P3</f>
        <v>3</v>
      </c>
      <c r="V18" s="1314">
        <f>RBBD!Q3</f>
        <v>3</v>
      </c>
      <c r="W18" s="1314">
        <f>RBBD!R3</f>
        <v>3</v>
      </c>
      <c r="X18" s="1314">
        <f>RBBD!S3</f>
        <v>3</v>
      </c>
      <c r="Y18" s="1314">
        <f>RBBD!T3</f>
        <v>3</v>
      </c>
      <c r="Z18" s="65"/>
      <c r="AA18" s="329">
        <f t="shared" ref="AA18:AA23" si="1">IF(B18=0,0,1)</f>
        <v>1</v>
      </c>
    </row>
    <row r="19" spans="2:27">
      <c r="B19" s="1314" t="str">
        <f>RBBD!B4</f>
        <v>MISSOES - 69 kV (C)</v>
      </c>
      <c r="C19" s="1314" t="str">
        <f>RBBD!C4</f>
        <v>69</v>
      </c>
      <c r="D19" s="1314" t="str">
        <f>RBBD!D4</f>
        <v>Ponta</v>
      </c>
      <c r="E19" s="1314">
        <v>4378</v>
      </c>
      <c r="F19" s="1314">
        <f>RBBD!F4</f>
        <v>6233</v>
      </c>
      <c r="G19" s="1314">
        <v>3134</v>
      </c>
      <c r="H19" s="1314">
        <f>RBBD!H4</f>
        <v>2717</v>
      </c>
      <c r="I19" s="1314">
        <f t="shared" ref="I19:L60" si="2">E19*$M19</f>
        <v>509389.05599999998</v>
      </c>
      <c r="J19" s="1314">
        <f t="shared" si="2"/>
        <v>725222.01599999995</v>
      </c>
      <c r="K19" s="1314">
        <f t="shared" si="2"/>
        <v>364647.16799999995</v>
      </c>
      <c r="L19" s="1314">
        <f t="shared" si="2"/>
        <v>316128.38399999996</v>
      </c>
      <c r="M19" s="1314">
        <f t="shared" ref="M19:M60" si="3">SUM(N19:Y19)</f>
        <v>116.35199999999999</v>
      </c>
      <c r="N19" s="1314">
        <f>RBBD!I4</f>
        <v>9.6959999999999997</v>
      </c>
      <c r="O19" s="1314">
        <f>RBBD!J4</f>
        <v>9.6959999999999997</v>
      </c>
      <c r="P19" s="1314">
        <f>RBBD!K4</f>
        <v>9.6959999999999997</v>
      </c>
      <c r="Q19" s="1314">
        <f>RBBD!L4</f>
        <v>9.6959999999999997</v>
      </c>
      <c r="R19" s="1314">
        <f>RBBD!M4</f>
        <v>9.6959999999999997</v>
      </c>
      <c r="S19" s="1314">
        <f>RBBD!N4</f>
        <v>9.6959999999999997</v>
      </c>
      <c r="T19" s="1314">
        <f>RBBD!O4</f>
        <v>9.6959999999999997</v>
      </c>
      <c r="U19" s="1314">
        <f>RBBD!P4</f>
        <v>9.6959999999999997</v>
      </c>
      <c r="V19" s="1314">
        <f>RBBD!Q4</f>
        <v>9.6959999999999997</v>
      </c>
      <c r="W19" s="1314">
        <f>RBBD!R4</f>
        <v>9.6959999999999997</v>
      </c>
      <c r="X19" s="1314">
        <f>RBBD!S4</f>
        <v>9.6959999999999997</v>
      </c>
      <c r="Y19" s="1314">
        <f>RBBD!T4</f>
        <v>9.6959999999999997</v>
      </c>
      <c r="Z19" s="65"/>
      <c r="AA19" s="329">
        <f t="shared" si="1"/>
        <v>1</v>
      </c>
    </row>
    <row r="20" spans="2:27">
      <c r="B20" s="1314" t="str">
        <f>RBBD!B5</f>
        <v>SANTO ANGELO2 - 23 kV (A)</v>
      </c>
      <c r="C20" s="1314" t="str">
        <f>RBBD!C5</f>
        <v>23</v>
      </c>
      <c r="D20" s="1314" t="str">
        <f>RBBD!D5</f>
        <v>Fora Ponta</v>
      </c>
      <c r="E20" s="1314">
        <f>RBBD!E5</f>
        <v>0</v>
      </c>
      <c r="F20" s="1314">
        <f>RBBD!F5</f>
        <v>6811</v>
      </c>
      <c r="G20" s="1314">
        <f>RBBD!G5</f>
        <v>0</v>
      </c>
      <c r="H20" s="1314">
        <f>RBBD!H5</f>
        <v>9749</v>
      </c>
      <c r="I20" s="1314">
        <f t="shared" si="2"/>
        <v>0</v>
      </c>
      <c r="J20" s="1314">
        <f t="shared" si="2"/>
        <v>289467.5</v>
      </c>
      <c r="K20" s="1314">
        <f t="shared" si="2"/>
        <v>0</v>
      </c>
      <c r="L20" s="1314">
        <f t="shared" si="2"/>
        <v>414332.5</v>
      </c>
      <c r="M20" s="1314">
        <f t="shared" si="3"/>
        <v>42.5</v>
      </c>
      <c r="N20" s="1314">
        <f>RBBD!I5</f>
        <v>0</v>
      </c>
      <c r="O20" s="1314">
        <f>RBBD!J5</f>
        <v>0</v>
      </c>
      <c r="P20" s="1314">
        <f>RBBD!K5</f>
        <v>0</v>
      </c>
      <c r="Q20" s="1314">
        <f>RBBD!L5</f>
        <v>0</v>
      </c>
      <c r="R20" s="1314">
        <f>RBBD!M5</f>
        <v>0</v>
      </c>
      <c r="S20" s="1314">
        <f>RBBD!N5</f>
        <v>5</v>
      </c>
      <c r="T20" s="1314">
        <f>RBBD!O5</f>
        <v>6.25</v>
      </c>
      <c r="U20" s="1314">
        <f>RBBD!P5</f>
        <v>6.25</v>
      </c>
      <c r="V20" s="1314">
        <f>RBBD!Q5</f>
        <v>6.25</v>
      </c>
      <c r="W20" s="1314">
        <f>RBBD!R5</f>
        <v>6.25</v>
      </c>
      <c r="X20" s="1314">
        <f>RBBD!S5</f>
        <v>6.25</v>
      </c>
      <c r="Y20" s="1314">
        <f>RBBD!T5</f>
        <v>6.25</v>
      </c>
      <c r="Z20" s="65"/>
      <c r="AA20" s="329">
        <f t="shared" si="1"/>
        <v>1</v>
      </c>
    </row>
    <row r="21" spans="2:27">
      <c r="B21" s="1314" t="str">
        <f>RBBD!B6</f>
        <v>MISSOES - 69 kV (C)</v>
      </c>
      <c r="C21" s="1314" t="str">
        <f>RBBD!C6</f>
        <v>69</v>
      </c>
      <c r="D21" s="1314" t="str">
        <f>RBBD!D6</f>
        <v>Fora Ponta</v>
      </c>
      <c r="E21" s="1314">
        <v>5051</v>
      </c>
      <c r="F21" s="1314">
        <f>RBBD!F6</f>
        <v>6729</v>
      </c>
      <c r="G21" s="1314">
        <v>3134</v>
      </c>
      <c r="H21" s="1314">
        <f>RBBD!H6</f>
        <v>2717</v>
      </c>
      <c r="I21" s="1314">
        <f t="shared" si="2"/>
        <v>821292.60000000009</v>
      </c>
      <c r="J21" s="1314">
        <f t="shared" si="2"/>
        <v>1094135.4000000001</v>
      </c>
      <c r="K21" s="1314">
        <f t="shared" si="2"/>
        <v>509588.40000000008</v>
      </c>
      <c r="L21" s="1314">
        <f t="shared" si="2"/>
        <v>441784.20000000007</v>
      </c>
      <c r="M21" s="1314">
        <f t="shared" si="3"/>
        <v>162.60000000000002</v>
      </c>
      <c r="N21" s="1314">
        <f>RBBD!I6</f>
        <v>13.3</v>
      </c>
      <c r="O21" s="1314">
        <f>RBBD!J6</f>
        <v>13.3</v>
      </c>
      <c r="P21" s="1314">
        <f>RBBD!K6</f>
        <v>13.3</v>
      </c>
      <c r="Q21" s="1314">
        <f>RBBD!L6</f>
        <v>13.3</v>
      </c>
      <c r="R21" s="1314">
        <f>RBBD!M6</f>
        <v>13.3</v>
      </c>
      <c r="S21" s="1314">
        <f>RBBD!N6</f>
        <v>13.3</v>
      </c>
      <c r="T21" s="1314">
        <f>RBBD!O6</f>
        <v>13.8</v>
      </c>
      <c r="U21" s="1314">
        <f>RBBD!P6</f>
        <v>13.8</v>
      </c>
      <c r="V21" s="1314">
        <f>RBBD!Q6</f>
        <v>13.8</v>
      </c>
      <c r="W21" s="1314">
        <f>RBBD!R6</f>
        <v>13.8</v>
      </c>
      <c r="X21" s="1314">
        <f>RBBD!S6</f>
        <v>13.8</v>
      </c>
      <c r="Y21" s="1314">
        <f>RBBD!T6</f>
        <v>13.8</v>
      </c>
      <c r="Z21" s="65"/>
      <c r="AA21" s="329">
        <f t="shared" si="1"/>
        <v>1</v>
      </c>
    </row>
    <row r="22" spans="2:27" hidden="1">
      <c r="B22" s="1314">
        <f>RBBD!B7</f>
        <v>0</v>
      </c>
      <c r="C22" s="1314">
        <f>RBBD!C7</f>
        <v>0</v>
      </c>
      <c r="D22" s="1314">
        <f>RBBD!D7</f>
        <v>0</v>
      </c>
      <c r="E22" s="1314">
        <f>RBBD!E7</f>
        <v>0</v>
      </c>
      <c r="F22" s="1314">
        <f>RBBD!F7</f>
        <v>0</v>
      </c>
      <c r="G22" s="1314">
        <f>RBBD!G7</f>
        <v>0</v>
      </c>
      <c r="H22" s="1314">
        <f>RBBD!H7</f>
        <v>0</v>
      </c>
      <c r="I22" s="1314">
        <f t="shared" si="2"/>
        <v>0</v>
      </c>
      <c r="J22" s="1314">
        <f t="shared" si="2"/>
        <v>0</v>
      </c>
      <c r="K22" s="1314">
        <f t="shared" si="2"/>
        <v>0</v>
      </c>
      <c r="L22" s="1314">
        <f t="shared" si="2"/>
        <v>0</v>
      </c>
      <c r="M22" s="1314">
        <f t="shared" si="3"/>
        <v>0</v>
      </c>
      <c r="N22" s="1314">
        <f>RBBD!I7</f>
        <v>0</v>
      </c>
      <c r="O22" s="1314">
        <f>RBBD!J7</f>
        <v>0</v>
      </c>
      <c r="P22" s="1314">
        <f>RBBD!K7</f>
        <v>0</v>
      </c>
      <c r="Q22" s="1314">
        <f>RBBD!L7</f>
        <v>0</v>
      </c>
      <c r="R22" s="1314">
        <f>RBBD!M7</f>
        <v>0</v>
      </c>
      <c r="S22" s="1314">
        <f>RBBD!N7</f>
        <v>0</v>
      </c>
      <c r="T22" s="1314">
        <f>RBBD!O7</f>
        <v>0</v>
      </c>
      <c r="U22" s="1314">
        <f>RBBD!P7</f>
        <v>0</v>
      </c>
      <c r="V22" s="1314">
        <f>RBBD!Q7</f>
        <v>0</v>
      </c>
      <c r="W22" s="1314">
        <f>RBBD!R7</f>
        <v>0</v>
      </c>
      <c r="X22" s="1314">
        <f>RBBD!S7</f>
        <v>0</v>
      </c>
      <c r="Y22" s="1314">
        <f>RBBD!T7</f>
        <v>0</v>
      </c>
      <c r="Z22" s="65"/>
      <c r="AA22" s="329">
        <f t="shared" si="1"/>
        <v>0</v>
      </c>
    </row>
    <row r="23" spans="2:27" hidden="1">
      <c r="B23" s="1314">
        <f>RBBD!B8</f>
        <v>0</v>
      </c>
      <c r="C23" s="1314">
        <f>RBBD!C8</f>
        <v>0</v>
      </c>
      <c r="D23" s="1314">
        <f>RBBD!D8</f>
        <v>0</v>
      </c>
      <c r="E23" s="1314">
        <f>RBBD!E8</f>
        <v>0</v>
      </c>
      <c r="F23" s="1314">
        <f>RBBD!F8</f>
        <v>0</v>
      </c>
      <c r="G23" s="1314">
        <f>RBBD!G8</f>
        <v>0</v>
      </c>
      <c r="H23" s="1314">
        <f>RBBD!H8</f>
        <v>0</v>
      </c>
      <c r="I23" s="1314">
        <f t="shared" si="2"/>
        <v>0</v>
      </c>
      <c r="J23" s="1314">
        <f t="shared" si="2"/>
        <v>0</v>
      </c>
      <c r="K23" s="1314">
        <f t="shared" si="2"/>
        <v>0</v>
      </c>
      <c r="L23" s="1314">
        <f t="shared" si="2"/>
        <v>0</v>
      </c>
      <c r="M23" s="1314">
        <f t="shared" si="3"/>
        <v>0</v>
      </c>
      <c r="N23" s="1314">
        <f>RBBD!I8</f>
        <v>0</v>
      </c>
      <c r="O23" s="1314">
        <f>RBBD!J8</f>
        <v>0</v>
      </c>
      <c r="P23" s="1314">
        <f>RBBD!K8</f>
        <v>0</v>
      </c>
      <c r="Q23" s="1314">
        <f>RBBD!L8</f>
        <v>0</v>
      </c>
      <c r="R23" s="1314">
        <f>RBBD!M8</f>
        <v>0</v>
      </c>
      <c r="S23" s="1314">
        <f>RBBD!N8</f>
        <v>0</v>
      </c>
      <c r="T23" s="1314">
        <f>RBBD!O8</f>
        <v>0</v>
      </c>
      <c r="U23" s="1314">
        <f>RBBD!P8</f>
        <v>0</v>
      </c>
      <c r="V23" s="1314">
        <f>RBBD!Q8</f>
        <v>0</v>
      </c>
      <c r="W23" s="1314">
        <f>RBBD!R8</f>
        <v>0</v>
      </c>
      <c r="X23" s="1314">
        <f>RBBD!S8</f>
        <v>0</v>
      </c>
      <c r="Y23" s="1314">
        <f>RBBD!T8</f>
        <v>0</v>
      </c>
      <c r="Z23" s="65"/>
      <c r="AA23" s="329">
        <f t="shared" si="1"/>
        <v>0</v>
      </c>
    </row>
    <row r="24" spans="2:27" hidden="1">
      <c r="B24" s="1314">
        <f>RBBD!B9</f>
        <v>0</v>
      </c>
      <c r="C24" s="1314">
        <f>RBBD!C9</f>
        <v>0</v>
      </c>
      <c r="D24" s="1314">
        <f>RBBD!D9</f>
        <v>0</v>
      </c>
      <c r="E24" s="1314">
        <f>RBBD!E9</f>
        <v>0</v>
      </c>
      <c r="F24" s="1314">
        <f>RBBD!F9</f>
        <v>0</v>
      </c>
      <c r="G24" s="1314">
        <f>RBBD!G9</f>
        <v>0</v>
      </c>
      <c r="H24" s="1314">
        <f>RBBD!H9</f>
        <v>0</v>
      </c>
      <c r="I24" s="1314">
        <f t="shared" si="2"/>
        <v>0</v>
      </c>
      <c r="J24" s="1314">
        <f t="shared" si="2"/>
        <v>0</v>
      </c>
      <c r="K24" s="1314">
        <f t="shared" si="2"/>
        <v>0</v>
      </c>
      <c r="L24" s="1314">
        <f t="shared" si="2"/>
        <v>0</v>
      </c>
      <c r="M24" s="1314">
        <f t="shared" si="3"/>
        <v>0</v>
      </c>
      <c r="N24" s="1314">
        <f>RBBD!I9</f>
        <v>0</v>
      </c>
      <c r="O24" s="1314">
        <f>RBBD!J9</f>
        <v>0</v>
      </c>
      <c r="P24" s="1314">
        <f>RBBD!K9</f>
        <v>0</v>
      </c>
      <c r="Q24" s="1314">
        <f>RBBD!L9</f>
        <v>0</v>
      </c>
      <c r="R24" s="1314">
        <f>RBBD!M9</f>
        <v>0</v>
      </c>
      <c r="S24" s="1314">
        <f>RBBD!N9</f>
        <v>0</v>
      </c>
      <c r="T24" s="1314">
        <f>RBBD!O9</f>
        <v>0</v>
      </c>
      <c r="U24" s="1314">
        <f>RBBD!P9</f>
        <v>0</v>
      </c>
      <c r="V24" s="1314">
        <f>RBBD!Q9</f>
        <v>0</v>
      </c>
      <c r="W24" s="1314">
        <f>RBBD!R9</f>
        <v>0</v>
      </c>
      <c r="X24" s="1314">
        <f>RBBD!S9</f>
        <v>0</v>
      </c>
      <c r="Y24" s="1314">
        <f>RBBD!T9</f>
        <v>0</v>
      </c>
      <c r="Z24" s="65"/>
      <c r="AA24" s="329">
        <f t="shared" ref="AA24:AA38" si="4">IF(B24=0,0,1)</f>
        <v>0</v>
      </c>
    </row>
    <row r="25" spans="2:27" hidden="1">
      <c r="B25" s="1314">
        <f>RBBD!B10</f>
        <v>0</v>
      </c>
      <c r="C25" s="1314">
        <f>RBBD!C10</f>
        <v>0</v>
      </c>
      <c r="D25" s="1314">
        <f>RBBD!D10</f>
        <v>0</v>
      </c>
      <c r="E25" s="1314">
        <f>RBBD!E10</f>
        <v>0</v>
      </c>
      <c r="F25" s="1314">
        <f>RBBD!F10</f>
        <v>0</v>
      </c>
      <c r="G25" s="1314">
        <f>RBBD!G10</f>
        <v>0</v>
      </c>
      <c r="H25" s="1314">
        <f>RBBD!H10</f>
        <v>0</v>
      </c>
      <c r="I25" s="1314">
        <f t="shared" si="2"/>
        <v>0</v>
      </c>
      <c r="J25" s="1314">
        <f t="shared" si="2"/>
        <v>0</v>
      </c>
      <c r="K25" s="1314">
        <f t="shared" si="2"/>
        <v>0</v>
      </c>
      <c r="L25" s="1314">
        <f t="shared" si="2"/>
        <v>0</v>
      </c>
      <c r="M25" s="1314">
        <f t="shared" si="3"/>
        <v>0</v>
      </c>
      <c r="N25" s="1314">
        <f>RBBD!I10</f>
        <v>0</v>
      </c>
      <c r="O25" s="1314">
        <f>RBBD!J10</f>
        <v>0</v>
      </c>
      <c r="P25" s="1314">
        <f>RBBD!K10</f>
        <v>0</v>
      </c>
      <c r="Q25" s="1314">
        <f>RBBD!L10</f>
        <v>0</v>
      </c>
      <c r="R25" s="1314">
        <f>RBBD!M10</f>
        <v>0</v>
      </c>
      <c r="S25" s="1314">
        <f>RBBD!N10</f>
        <v>0</v>
      </c>
      <c r="T25" s="1314">
        <f>RBBD!O10</f>
        <v>0</v>
      </c>
      <c r="U25" s="1314">
        <f>RBBD!P10</f>
        <v>0</v>
      </c>
      <c r="V25" s="1314">
        <f>RBBD!Q10</f>
        <v>0</v>
      </c>
      <c r="W25" s="1314">
        <f>RBBD!R10</f>
        <v>0</v>
      </c>
      <c r="X25" s="1314">
        <f>RBBD!S10</f>
        <v>0</v>
      </c>
      <c r="Y25" s="1314">
        <f>RBBD!T10</f>
        <v>0</v>
      </c>
      <c r="Z25" s="65"/>
      <c r="AA25" s="329">
        <f t="shared" si="4"/>
        <v>0</v>
      </c>
    </row>
    <row r="26" spans="2:27" hidden="1">
      <c r="B26" s="1314">
        <f>RBBD!B11</f>
        <v>0</v>
      </c>
      <c r="C26" s="1314">
        <f>RBBD!C11</f>
        <v>0</v>
      </c>
      <c r="D26" s="1314">
        <f>RBBD!D11</f>
        <v>0</v>
      </c>
      <c r="E26" s="1314">
        <f>RBBD!E11</f>
        <v>0</v>
      </c>
      <c r="F26" s="1314">
        <f>RBBD!F11</f>
        <v>0</v>
      </c>
      <c r="G26" s="1314">
        <f>RBBD!G11</f>
        <v>0</v>
      </c>
      <c r="H26" s="1314">
        <f>RBBD!H11</f>
        <v>0</v>
      </c>
      <c r="I26" s="1314">
        <f t="shared" si="2"/>
        <v>0</v>
      </c>
      <c r="J26" s="1314">
        <f t="shared" si="2"/>
        <v>0</v>
      </c>
      <c r="K26" s="1314">
        <f t="shared" si="2"/>
        <v>0</v>
      </c>
      <c r="L26" s="1314">
        <f t="shared" si="2"/>
        <v>0</v>
      </c>
      <c r="M26" s="1314">
        <f t="shared" si="3"/>
        <v>0</v>
      </c>
      <c r="N26" s="1314">
        <f>RBBD!I11</f>
        <v>0</v>
      </c>
      <c r="O26" s="1314">
        <f>RBBD!J11</f>
        <v>0</v>
      </c>
      <c r="P26" s="1314">
        <f>RBBD!K11</f>
        <v>0</v>
      </c>
      <c r="Q26" s="1314">
        <f>RBBD!L11</f>
        <v>0</v>
      </c>
      <c r="R26" s="1314">
        <f>RBBD!M11</f>
        <v>0</v>
      </c>
      <c r="S26" s="1314">
        <f>RBBD!N11</f>
        <v>0</v>
      </c>
      <c r="T26" s="1314">
        <f>RBBD!O11</f>
        <v>0</v>
      </c>
      <c r="U26" s="1314">
        <f>RBBD!P11</f>
        <v>0</v>
      </c>
      <c r="V26" s="1314">
        <f>RBBD!Q11</f>
        <v>0</v>
      </c>
      <c r="W26" s="1314">
        <f>RBBD!R11</f>
        <v>0</v>
      </c>
      <c r="X26" s="1314">
        <f>RBBD!S11</f>
        <v>0</v>
      </c>
      <c r="Y26" s="1314">
        <f>RBBD!T11</f>
        <v>0</v>
      </c>
      <c r="Z26" s="65"/>
      <c r="AA26" s="329">
        <f t="shared" si="4"/>
        <v>0</v>
      </c>
    </row>
    <row r="27" spans="2:27" hidden="1">
      <c r="B27" s="1314">
        <f>RBBD!B12</f>
        <v>0</v>
      </c>
      <c r="C27" s="1314">
        <f>RBBD!C12</f>
        <v>0</v>
      </c>
      <c r="D27" s="1314">
        <f>RBBD!D12</f>
        <v>0</v>
      </c>
      <c r="E27" s="1314">
        <f>RBBD!E12</f>
        <v>0</v>
      </c>
      <c r="F27" s="1314">
        <f>RBBD!F12</f>
        <v>0</v>
      </c>
      <c r="G27" s="1314">
        <f>RBBD!G12</f>
        <v>0</v>
      </c>
      <c r="H27" s="1314">
        <f>RBBD!H12</f>
        <v>0</v>
      </c>
      <c r="I27" s="1314">
        <f t="shared" si="2"/>
        <v>0</v>
      </c>
      <c r="J27" s="1314">
        <f t="shared" si="2"/>
        <v>0</v>
      </c>
      <c r="K27" s="1314">
        <f t="shared" si="2"/>
        <v>0</v>
      </c>
      <c r="L27" s="1314">
        <f t="shared" si="2"/>
        <v>0</v>
      </c>
      <c r="M27" s="1314">
        <f t="shared" si="3"/>
        <v>0</v>
      </c>
      <c r="N27" s="1314">
        <f>RBBD!I12</f>
        <v>0</v>
      </c>
      <c r="O27" s="1314">
        <f>RBBD!J12</f>
        <v>0</v>
      </c>
      <c r="P27" s="1314">
        <f>RBBD!K12</f>
        <v>0</v>
      </c>
      <c r="Q27" s="1314">
        <f>RBBD!L12</f>
        <v>0</v>
      </c>
      <c r="R27" s="1314">
        <f>RBBD!M12</f>
        <v>0</v>
      </c>
      <c r="S27" s="1314">
        <f>RBBD!N12</f>
        <v>0</v>
      </c>
      <c r="T27" s="1314">
        <f>RBBD!O12</f>
        <v>0</v>
      </c>
      <c r="U27" s="1314">
        <f>RBBD!P12</f>
        <v>0</v>
      </c>
      <c r="V27" s="1314">
        <f>RBBD!Q12</f>
        <v>0</v>
      </c>
      <c r="W27" s="1314">
        <f>RBBD!R12</f>
        <v>0</v>
      </c>
      <c r="X27" s="1314">
        <f>RBBD!S12</f>
        <v>0</v>
      </c>
      <c r="Y27" s="1314">
        <f>RBBD!T12</f>
        <v>0</v>
      </c>
      <c r="Z27" s="65"/>
      <c r="AA27" s="329">
        <f t="shared" si="4"/>
        <v>0</v>
      </c>
    </row>
    <row r="28" spans="2:27" hidden="1">
      <c r="B28" s="1314">
        <f>RBBD!B13</f>
        <v>0</v>
      </c>
      <c r="C28" s="1314">
        <f>RBBD!C13</f>
        <v>0</v>
      </c>
      <c r="D28" s="1314">
        <f>RBBD!D13</f>
        <v>0</v>
      </c>
      <c r="E28" s="1314">
        <f>RBBD!G13</f>
        <v>0</v>
      </c>
      <c r="F28" s="1314">
        <f>RBBD!H13</f>
        <v>0</v>
      </c>
      <c r="G28" s="1314">
        <f>RBBD!E13</f>
        <v>0</v>
      </c>
      <c r="H28" s="1314">
        <f>RBBD!F13</f>
        <v>0</v>
      </c>
      <c r="I28" s="1314">
        <f t="shared" si="2"/>
        <v>0</v>
      </c>
      <c r="J28" s="1314">
        <f t="shared" si="2"/>
        <v>0</v>
      </c>
      <c r="K28" s="1314">
        <f t="shared" si="2"/>
        <v>0</v>
      </c>
      <c r="L28" s="1314">
        <f t="shared" si="2"/>
        <v>0</v>
      </c>
      <c r="M28" s="1314">
        <f t="shared" si="3"/>
        <v>0</v>
      </c>
      <c r="N28" s="1314">
        <f>RBBD!I13</f>
        <v>0</v>
      </c>
      <c r="O28" s="1314">
        <f>RBBD!J13</f>
        <v>0</v>
      </c>
      <c r="P28" s="1314">
        <f>RBBD!K13</f>
        <v>0</v>
      </c>
      <c r="Q28" s="1314">
        <f>RBBD!L13</f>
        <v>0</v>
      </c>
      <c r="R28" s="1314">
        <f>RBBD!M13</f>
        <v>0</v>
      </c>
      <c r="S28" s="1314">
        <f>RBBD!N13</f>
        <v>0</v>
      </c>
      <c r="T28" s="1314">
        <f>RBBD!O13</f>
        <v>0</v>
      </c>
      <c r="U28" s="1314">
        <f>RBBD!P13</f>
        <v>0</v>
      </c>
      <c r="V28" s="1314">
        <f>RBBD!Q13</f>
        <v>0</v>
      </c>
      <c r="W28" s="1314">
        <f>RBBD!R13</f>
        <v>0</v>
      </c>
      <c r="X28" s="1314">
        <f>RBBD!S13</f>
        <v>0</v>
      </c>
      <c r="Y28" s="1314">
        <f>RBBD!T13</f>
        <v>0</v>
      </c>
      <c r="Z28" s="65"/>
      <c r="AA28" s="329">
        <f t="shared" si="4"/>
        <v>0</v>
      </c>
    </row>
    <row r="29" spans="2:27" hidden="1">
      <c r="B29" s="1314">
        <f>RBBD!B14</f>
        <v>0</v>
      </c>
      <c r="C29" s="1314">
        <f>RBBD!C14</f>
        <v>0</v>
      </c>
      <c r="D29" s="1314">
        <f>RBBD!D14</f>
        <v>0</v>
      </c>
      <c r="E29" s="1314">
        <f>RBBD!G14</f>
        <v>0</v>
      </c>
      <c r="F29" s="1314">
        <f>RBBD!H14</f>
        <v>0</v>
      </c>
      <c r="G29" s="1314">
        <f>RBBD!E14</f>
        <v>0</v>
      </c>
      <c r="H29" s="1314">
        <f>RBBD!F14</f>
        <v>0</v>
      </c>
      <c r="I29" s="1314">
        <f t="shared" si="2"/>
        <v>0</v>
      </c>
      <c r="J29" s="1314">
        <f t="shared" si="2"/>
        <v>0</v>
      </c>
      <c r="K29" s="1314">
        <f t="shared" si="2"/>
        <v>0</v>
      </c>
      <c r="L29" s="1314">
        <f t="shared" si="2"/>
        <v>0</v>
      </c>
      <c r="M29" s="1314">
        <f t="shared" si="3"/>
        <v>0</v>
      </c>
      <c r="N29" s="1314">
        <f>RBBD!I14</f>
        <v>0</v>
      </c>
      <c r="O29" s="1314">
        <f>RBBD!J14</f>
        <v>0</v>
      </c>
      <c r="P29" s="1314">
        <f>RBBD!K14</f>
        <v>0</v>
      </c>
      <c r="Q29" s="1314">
        <f>RBBD!L14</f>
        <v>0</v>
      </c>
      <c r="R29" s="1314">
        <f>RBBD!M14</f>
        <v>0</v>
      </c>
      <c r="S29" s="1314">
        <f>RBBD!N14</f>
        <v>0</v>
      </c>
      <c r="T29" s="1314">
        <f>RBBD!O14</f>
        <v>0</v>
      </c>
      <c r="U29" s="1314">
        <f>RBBD!P14</f>
        <v>0</v>
      </c>
      <c r="V29" s="1314">
        <f>RBBD!Q14</f>
        <v>0</v>
      </c>
      <c r="W29" s="1314">
        <f>RBBD!R14</f>
        <v>0</v>
      </c>
      <c r="X29" s="1314">
        <f>RBBD!S14</f>
        <v>0</v>
      </c>
      <c r="Y29" s="1314">
        <f>RBBD!T14</f>
        <v>0</v>
      </c>
      <c r="Z29" s="65"/>
      <c r="AA29" s="329">
        <f t="shared" si="4"/>
        <v>0</v>
      </c>
    </row>
    <row r="30" spans="2:27" hidden="1">
      <c r="B30" s="1314">
        <f>RBBD!B15</f>
        <v>0</v>
      </c>
      <c r="C30" s="1314">
        <f>RBBD!C15</f>
        <v>0</v>
      </c>
      <c r="D30" s="1314">
        <f>RBBD!D15</f>
        <v>0</v>
      </c>
      <c r="E30" s="1314">
        <f>RBBD!G15</f>
        <v>0</v>
      </c>
      <c r="F30" s="1314">
        <f>RBBD!H15</f>
        <v>0</v>
      </c>
      <c r="G30" s="1314">
        <f>RBBD!E15</f>
        <v>0</v>
      </c>
      <c r="H30" s="1314">
        <f>RBBD!F15</f>
        <v>0</v>
      </c>
      <c r="I30" s="1314">
        <f t="shared" si="2"/>
        <v>0</v>
      </c>
      <c r="J30" s="1314">
        <f t="shared" si="2"/>
        <v>0</v>
      </c>
      <c r="K30" s="1314">
        <f t="shared" si="2"/>
        <v>0</v>
      </c>
      <c r="L30" s="1314">
        <f t="shared" si="2"/>
        <v>0</v>
      </c>
      <c r="M30" s="1314">
        <f t="shared" si="3"/>
        <v>0</v>
      </c>
      <c r="N30" s="1314">
        <f>RBBD!I15</f>
        <v>0</v>
      </c>
      <c r="O30" s="1314">
        <f>RBBD!J15</f>
        <v>0</v>
      </c>
      <c r="P30" s="1314">
        <f>RBBD!K15</f>
        <v>0</v>
      </c>
      <c r="Q30" s="1314">
        <f>RBBD!L15</f>
        <v>0</v>
      </c>
      <c r="R30" s="1314">
        <f>RBBD!M15</f>
        <v>0</v>
      </c>
      <c r="S30" s="1314">
        <f>RBBD!N15</f>
        <v>0</v>
      </c>
      <c r="T30" s="1314">
        <f>RBBD!O15</f>
        <v>0</v>
      </c>
      <c r="U30" s="1314">
        <f>RBBD!P15</f>
        <v>0</v>
      </c>
      <c r="V30" s="1314">
        <f>RBBD!Q15</f>
        <v>0</v>
      </c>
      <c r="W30" s="1314">
        <f>RBBD!R15</f>
        <v>0</v>
      </c>
      <c r="X30" s="1314">
        <f>RBBD!S15</f>
        <v>0</v>
      </c>
      <c r="Y30" s="1314">
        <f>RBBD!T15</f>
        <v>0</v>
      </c>
      <c r="Z30" s="65"/>
      <c r="AA30" s="329">
        <f t="shared" si="4"/>
        <v>0</v>
      </c>
    </row>
    <row r="31" spans="2:27" hidden="1">
      <c r="B31" s="1314">
        <f>RBBD!B16</f>
        <v>0</v>
      </c>
      <c r="C31" s="1314">
        <f>RBBD!C16</f>
        <v>0</v>
      </c>
      <c r="D31" s="1314">
        <f>RBBD!D16</f>
        <v>0</v>
      </c>
      <c r="E31" s="1314">
        <f>RBBD!G16</f>
        <v>0</v>
      </c>
      <c r="F31" s="1314">
        <f>RBBD!H16</f>
        <v>0</v>
      </c>
      <c r="G31" s="1314">
        <f>RBBD!E16</f>
        <v>0</v>
      </c>
      <c r="H31" s="1314">
        <f>RBBD!F16</f>
        <v>0</v>
      </c>
      <c r="I31" s="1314">
        <f t="shared" si="2"/>
        <v>0</v>
      </c>
      <c r="J31" s="1314">
        <f t="shared" si="2"/>
        <v>0</v>
      </c>
      <c r="K31" s="1314">
        <f t="shared" si="2"/>
        <v>0</v>
      </c>
      <c r="L31" s="1314">
        <f t="shared" si="2"/>
        <v>0</v>
      </c>
      <c r="M31" s="1314">
        <f t="shared" si="3"/>
        <v>0</v>
      </c>
      <c r="N31" s="1314">
        <f>RBBD!I16</f>
        <v>0</v>
      </c>
      <c r="O31" s="1314">
        <f>RBBD!J16</f>
        <v>0</v>
      </c>
      <c r="P31" s="1314">
        <f>RBBD!K16</f>
        <v>0</v>
      </c>
      <c r="Q31" s="1314">
        <f>RBBD!L16</f>
        <v>0</v>
      </c>
      <c r="R31" s="1314">
        <f>RBBD!M16</f>
        <v>0</v>
      </c>
      <c r="S31" s="1314">
        <f>RBBD!N16</f>
        <v>0</v>
      </c>
      <c r="T31" s="1314">
        <f>RBBD!O16</f>
        <v>0</v>
      </c>
      <c r="U31" s="1314">
        <f>RBBD!P16</f>
        <v>0</v>
      </c>
      <c r="V31" s="1314">
        <f>RBBD!Q16</f>
        <v>0</v>
      </c>
      <c r="W31" s="1314">
        <f>RBBD!R16</f>
        <v>0</v>
      </c>
      <c r="X31" s="1314">
        <f>RBBD!S16</f>
        <v>0</v>
      </c>
      <c r="Y31" s="1314">
        <f>RBBD!T16</f>
        <v>0</v>
      </c>
      <c r="Z31" s="65"/>
      <c r="AA31" s="329">
        <f t="shared" si="4"/>
        <v>0</v>
      </c>
    </row>
    <row r="32" spans="2:27" hidden="1">
      <c r="B32" s="1314">
        <f>RBBD!B17</f>
        <v>0</v>
      </c>
      <c r="C32" s="1314">
        <f>RBBD!C17</f>
        <v>0</v>
      </c>
      <c r="D32" s="1314">
        <f>RBBD!D17</f>
        <v>0</v>
      </c>
      <c r="E32" s="1314">
        <f>RBBD!G17</f>
        <v>0</v>
      </c>
      <c r="F32" s="1314">
        <f>RBBD!H17</f>
        <v>0</v>
      </c>
      <c r="G32" s="1314">
        <f>RBBD!E17</f>
        <v>0</v>
      </c>
      <c r="H32" s="1314">
        <f>RBBD!F17</f>
        <v>0</v>
      </c>
      <c r="I32" s="1314">
        <f t="shared" si="2"/>
        <v>0</v>
      </c>
      <c r="J32" s="1314">
        <f t="shared" si="2"/>
        <v>0</v>
      </c>
      <c r="K32" s="1314">
        <f t="shared" si="2"/>
        <v>0</v>
      </c>
      <c r="L32" s="1314">
        <f t="shared" si="2"/>
        <v>0</v>
      </c>
      <c r="M32" s="1314">
        <f t="shared" si="3"/>
        <v>0</v>
      </c>
      <c r="N32" s="1314">
        <f>RBBD!I17</f>
        <v>0</v>
      </c>
      <c r="O32" s="1314">
        <f>RBBD!J17</f>
        <v>0</v>
      </c>
      <c r="P32" s="1314">
        <f>RBBD!K17</f>
        <v>0</v>
      </c>
      <c r="Q32" s="1314">
        <f>RBBD!L17</f>
        <v>0</v>
      </c>
      <c r="R32" s="1314">
        <f>RBBD!M17</f>
        <v>0</v>
      </c>
      <c r="S32" s="1314">
        <f>RBBD!N17</f>
        <v>0</v>
      </c>
      <c r="T32" s="1314">
        <f>RBBD!O17</f>
        <v>0</v>
      </c>
      <c r="U32" s="1314">
        <f>RBBD!P17</f>
        <v>0</v>
      </c>
      <c r="V32" s="1314">
        <f>RBBD!Q17</f>
        <v>0</v>
      </c>
      <c r="W32" s="1314">
        <f>RBBD!R17</f>
        <v>0</v>
      </c>
      <c r="X32" s="1314">
        <f>RBBD!S17</f>
        <v>0</v>
      </c>
      <c r="Y32" s="1314">
        <f>RBBD!T17</f>
        <v>0</v>
      </c>
      <c r="Z32" s="65"/>
      <c r="AA32" s="329">
        <f t="shared" si="4"/>
        <v>0</v>
      </c>
    </row>
    <row r="33" spans="2:27" hidden="1">
      <c r="B33" s="1314">
        <f>RBBD!B18</f>
        <v>0</v>
      </c>
      <c r="C33" s="1314">
        <f>RBBD!C18</f>
        <v>0</v>
      </c>
      <c r="D33" s="1314">
        <f>RBBD!D18</f>
        <v>0</v>
      </c>
      <c r="E33" s="1314">
        <f>RBBD!G18</f>
        <v>0</v>
      </c>
      <c r="F33" s="1314">
        <f>RBBD!H18</f>
        <v>0</v>
      </c>
      <c r="G33" s="1314">
        <f>RBBD!E18</f>
        <v>0</v>
      </c>
      <c r="H33" s="1314">
        <f>RBBD!F18</f>
        <v>0</v>
      </c>
      <c r="I33" s="1314">
        <f t="shared" si="2"/>
        <v>0</v>
      </c>
      <c r="J33" s="1314">
        <f t="shared" si="2"/>
        <v>0</v>
      </c>
      <c r="K33" s="1314">
        <f t="shared" si="2"/>
        <v>0</v>
      </c>
      <c r="L33" s="1314">
        <f t="shared" si="2"/>
        <v>0</v>
      </c>
      <c r="M33" s="1314">
        <f t="shared" si="3"/>
        <v>0</v>
      </c>
      <c r="N33" s="1314">
        <f>RBBD!I18</f>
        <v>0</v>
      </c>
      <c r="O33" s="1314">
        <f>RBBD!J18</f>
        <v>0</v>
      </c>
      <c r="P33" s="1314">
        <f>RBBD!K18</f>
        <v>0</v>
      </c>
      <c r="Q33" s="1314">
        <f>RBBD!L18</f>
        <v>0</v>
      </c>
      <c r="R33" s="1314">
        <f>RBBD!M18</f>
        <v>0</v>
      </c>
      <c r="S33" s="1314">
        <f>RBBD!N18</f>
        <v>0</v>
      </c>
      <c r="T33" s="1314">
        <f>RBBD!O18</f>
        <v>0</v>
      </c>
      <c r="U33" s="1314">
        <f>RBBD!P18</f>
        <v>0</v>
      </c>
      <c r="V33" s="1314">
        <f>RBBD!Q18</f>
        <v>0</v>
      </c>
      <c r="W33" s="1314">
        <f>RBBD!R18</f>
        <v>0</v>
      </c>
      <c r="X33" s="1314">
        <f>RBBD!S18</f>
        <v>0</v>
      </c>
      <c r="Y33" s="1314">
        <f>RBBD!T18</f>
        <v>0</v>
      </c>
      <c r="Z33" s="65"/>
      <c r="AA33" s="329">
        <f t="shared" si="4"/>
        <v>0</v>
      </c>
    </row>
    <row r="34" spans="2:27" hidden="1">
      <c r="B34" s="1314">
        <f>RBBD!B19</f>
        <v>0</v>
      </c>
      <c r="C34" s="1314">
        <f>RBBD!C19</f>
        <v>0</v>
      </c>
      <c r="D34" s="1314">
        <f>RBBD!D19</f>
        <v>0</v>
      </c>
      <c r="E34" s="1314">
        <f>RBBD!G19</f>
        <v>0</v>
      </c>
      <c r="F34" s="1314">
        <f>RBBD!H19</f>
        <v>0</v>
      </c>
      <c r="G34" s="1314">
        <f>RBBD!E19</f>
        <v>0</v>
      </c>
      <c r="H34" s="1314">
        <f>RBBD!F19</f>
        <v>0</v>
      </c>
      <c r="I34" s="1314">
        <f t="shared" si="2"/>
        <v>0</v>
      </c>
      <c r="J34" s="1314">
        <f t="shared" si="2"/>
        <v>0</v>
      </c>
      <c r="K34" s="1314">
        <f t="shared" si="2"/>
        <v>0</v>
      </c>
      <c r="L34" s="1314">
        <f t="shared" si="2"/>
        <v>0</v>
      </c>
      <c r="M34" s="1314">
        <f t="shared" si="3"/>
        <v>0</v>
      </c>
      <c r="N34" s="1314">
        <f>RBBD!I19</f>
        <v>0</v>
      </c>
      <c r="O34" s="1314">
        <f>RBBD!J19</f>
        <v>0</v>
      </c>
      <c r="P34" s="1314">
        <f>RBBD!K19</f>
        <v>0</v>
      </c>
      <c r="Q34" s="1314">
        <f>RBBD!L19</f>
        <v>0</v>
      </c>
      <c r="R34" s="1314">
        <f>RBBD!M19</f>
        <v>0</v>
      </c>
      <c r="S34" s="1314">
        <f>RBBD!N19</f>
        <v>0</v>
      </c>
      <c r="T34" s="1314">
        <f>RBBD!O19</f>
        <v>0</v>
      </c>
      <c r="U34" s="1314">
        <f>RBBD!P19</f>
        <v>0</v>
      </c>
      <c r="V34" s="1314">
        <f>RBBD!Q19</f>
        <v>0</v>
      </c>
      <c r="W34" s="1314">
        <f>RBBD!R19</f>
        <v>0</v>
      </c>
      <c r="X34" s="1314">
        <f>RBBD!S19</f>
        <v>0</v>
      </c>
      <c r="Y34" s="1314">
        <f>RBBD!T19</f>
        <v>0</v>
      </c>
      <c r="Z34" s="65"/>
      <c r="AA34" s="329">
        <f t="shared" si="4"/>
        <v>0</v>
      </c>
    </row>
    <row r="35" spans="2:27" hidden="1">
      <c r="B35" s="1314">
        <f>RBBD!B20</f>
        <v>0</v>
      </c>
      <c r="C35" s="1314">
        <f>RBBD!C20</f>
        <v>0</v>
      </c>
      <c r="D35" s="1314">
        <f>RBBD!D20</f>
        <v>0</v>
      </c>
      <c r="E35" s="1314">
        <f>RBBD!G20</f>
        <v>0</v>
      </c>
      <c r="F35" s="1314">
        <f>RBBD!H20</f>
        <v>0</v>
      </c>
      <c r="G35" s="1314">
        <f>RBBD!E20</f>
        <v>0</v>
      </c>
      <c r="H35" s="1314">
        <f>RBBD!F20</f>
        <v>0</v>
      </c>
      <c r="I35" s="1314">
        <f t="shared" si="2"/>
        <v>0</v>
      </c>
      <c r="J35" s="1314">
        <f t="shared" si="2"/>
        <v>0</v>
      </c>
      <c r="K35" s="1314">
        <f t="shared" si="2"/>
        <v>0</v>
      </c>
      <c r="L35" s="1314">
        <f t="shared" si="2"/>
        <v>0</v>
      </c>
      <c r="M35" s="1314">
        <f t="shared" si="3"/>
        <v>0</v>
      </c>
      <c r="N35" s="1314">
        <f>RBBD!I20</f>
        <v>0</v>
      </c>
      <c r="O35" s="1314">
        <f>RBBD!J20</f>
        <v>0</v>
      </c>
      <c r="P35" s="1314">
        <f>RBBD!K20</f>
        <v>0</v>
      </c>
      <c r="Q35" s="1314">
        <f>RBBD!L20</f>
        <v>0</v>
      </c>
      <c r="R35" s="1314">
        <f>RBBD!M20</f>
        <v>0</v>
      </c>
      <c r="S35" s="1314">
        <f>RBBD!N20</f>
        <v>0</v>
      </c>
      <c r="T35" s="1314">
        <f>RBBD!O20</f>
        <v>0</v>
      </c>
      <c r="U35" s="1314">
        <f>RBBD!P20</f>
        <v>0</v>
      </c>
      <c r="V35" s="1314">
        <f>RBBD!Q20</f>
        <v>0</v>
      </c>
      <c r="W35" s="1314">
        <f>RBBD!R20</f>
        <v>0</v>
      </c>
      <c r="X35" s="1314">
        <f>RBBD!S20</f>
        <v>0</v>
      </c>
      <c r="Y35" s="1314">
        <f>RBBD!T20</f>
        <v>0</v>
      </c>
      <c r="Z35" s="65"/>
      <c r="AA35" s="329">
        <f t="shared" si="4"/>
        <v>0</v>
      </c>
    </row>
    <row r="36" spans="2:27" hidden="1">
      <c r="B36" s="1314">
        <f>RBBD!B21</f>
        <v>0</v>
      </c>
      <c r="C36" s="1314">
        <f>RBBD!C21</f>
        <v>0</v>
      </c>
      <c r="D36" s="1314">
        <f>RBBD!D21</f>
        <v>0</v>
      </c>
      <c r="E36" s="1314">
        <f>RBBD!G21</f>
        <v>0</v>
      </c>
      <c r="F36" s="1314">
        <f>RBBD!H21</f>
        <v>0</v>
      </c>
      <c r="G36" s="1314">
        <f>RBBD!E21</f>
        <v>0</v>
      </c>
      <c r="H36" s="1314">
        <f>RBBD!F21</f>
        <v>0</v>
      </c>
      <c r="I36" s="1314">
        <f t="shared" si="2"/>
        <v>0</v>
      </c>
      <c r="J36" s="1314">
        <f t="shared" si="2"/>
        <v>0</v>
      </c>
      <c r="K36" s="1314">
        <f t="shared" si="2"/>
        <v>0</v>
      </c>
      <c r="L36" s="1314">
        <f t="shared" si="2"/>
        <v>0</v>
      </c>
      <c r="M36" s="1314">
        <f t="shared" si="3"/>
        <v>0</v>
      </c>
      <c r="N36" s="1314">
        <f>RBBD!I21</f>
        <v>0</v>
      </c>
      <c r="O36" s="1314">
        <f>RBBD!J21</f>
        <v>0</v>
      </c>
      <c r="P36" s="1314">
        <f>RBBD!K21</f>
        <v>0</v>
      </c>
      <c r="Q36" s="1314">
        <f>RBBD!L21</f>
        <v>0</v>
      </c>
      <c r="R36" s="1314">
        <f>RBBD!M21</f>
        <v>0</v>
      </c>
      <c r="S36" s="1314">
        <f>RBBD!N21</f>
        <v>0</v>
      </c>
      <c r="T36" s="1314">
        <f>RBBD!O21</f>
        <v>0</v>
      </c>
      <c r="U36" s="1314">
        <f>RBBD!P21</f>
        <v>0</v>
      </c>
      <c r="V36" s="1314">
        <f>RBBD!Q21</f>
        <v>0</v>
      </c>
      <c r="W36" s="1314">
        <f>RBBD!R21</f>
        <v>0</v>
      </c>
      <c r="X36" s="1314">
        <f>RBBD!S21</f>
        <v>0</v>
      </c>
      <c r="Y36" s="1314">
        <f>RBBD!T21</f>
        <v>0</v>
      </c>
      <c r="Z36" s="65"/>
      <c r="AA36" s="329">
        <f t="shared" si="4"/>
        <v>0</v>
      </c>
    </row>
    <row r="37" spans="2:27" hidden="1">
      <c r="B37" s="1314">
        <f>RBBD!B22</f>
        <v>0</v>
      </c>
      <c r="C37" s="1314">
        <f>RBBD!C22</f>
        <v>0</v>
      </c>
      <c r="D37" s="1314">
        <f>RBBD!D22</f>
        <v>0</v>
      </c>
      <c r="E37" s="1314">
        <f>RBBD!G22</f>
        <v>0</v>
      </c>
      <c r="F37" s="1314">
        <f>RBBD!H22</f>
        <v>0</v>
      </c>
      <c r="G37" s="1314">
        <f>RBBD!E22</f>
        <v>0</v>
      </c>
      <c r="H37" s="1314">
        <f>RBBD!F22</f>
        <v>0</v>
      </c>
      <c r="I37" s="1314">
        <f t="shared" si="2"/>
        <v>0</v>
      </c>
      <c r="J37" s="1314">
        <f t="shared" si="2"/>
        <v>0</v>
      </c>
      <c r="K37" s="1314">
        <f t="shared" si="2"/>
        <v>0</v>
      </c>
      <c r="L37" s="1314">
        <f t="shared" si="2"/>
        <v>0</v>
      </c>
      <c r="M37" s="1314">
        <f t="shared" si="3"/>
        <v>0</v>
      </c>
      <c r="N37" s="1314">
        <f>RBBD!I22</f>
        <v>0</v>
      </c>
      <c r="O37" s="1314">
        <f>RBBD!J22</f>
        <v>0</v>
      </c>
      <c r="P37" s="1314">
        <f>RBBD!K22</f>
        <v>0</v>
      </c>
      <c r="Q37" s="1314">
        <f>RBBD!L22</f>
        <v>0</v>
      </c>
      <c r="R37" s="1314">
        <f>RBBD!M22</f>
        <v>0</v>
      </c>
      <c r="S37" s="1314">
        <f>RBBD!N22</f>
        <v>0</v>
      </c>
      <c r="T37" s="1314">
        <f>RBBD!O22</f>
        <v>0</v>
      </c>
      <c r="U37" s="1314">
        <f>RBBD!P22</f>
        <v>0</v>
      </c>
      <c r="V37" s="1314">
        <f>RBBD!Q22</f>
        <v>0</v>
      </c>
      <c r="W37" s="1314">
        <f>RBBD!R22</f>
        <v>0</v>
      </c>
      <c r="X37" s="1314">
        <f>RBBD!S22</f>
        <v>0</v>
      </c>
      <c r="Y37" s="1314">
        <f>RBBD!T22</f>
        <v>0</v>
      </c>
      <c r="Z37" s="65"/>
      <c r="AA37" s="329">
        <f t="shared" si="4"/>
        <v>0</v>
      </c>
    </row>
    <row r="38" spans="2:27" hidden="1">
      <c r="B38" s="1314">
        <f>RBBD!B23</f>
        <v>0</v>
      </c>
      <c r="C38" s="1314">
        <f>RBBD!C23</f>
        <v>0</v>
      </c>
      <c r="D38" s="1314">
        <f>RBBD!D23</f>
        <v>0</v>
      </c>
      <c r="E38" s="1314">
        <f>RBBD!G23</f>
        <v>0</v>
      </c>
      <c r="F38" s="1314">
        <f>RBBD!H23</f>
        <v>0</v>
      </c>
      <c r="G38" s="1314">
        <f>RBBD!E23</f>
        <v>0</v>
      </c>
      <c r="H38" s="1314">
        <f>RBBD!F23</f>
        <v>0</v>
      </c>
      <c r="I38" s="1314">
        <f t="shared" si="2"/>
        <v>0</v>
      </c>
      <c r="J38" s="1314">
        <f t="shared" si="2"/>
        <v>0</v>
      </c>
      <c r="K38" s="1314">
        <f t="shared" si="2"/>
        <v>0</v>
      </c>
      <c r="L38" s="1314">
        <f t="shared" si="2"/>
        <v>0</v>
      </c>
      <c r="M38" s="1314">
        <f t="shared" si="3"/>
        <v>0</v>
      </c>
      <c r="N38" s="1314">
        <f>RBBD!I23</f>
        <v>0</v>
      </c>
      <c r="O38" s="1314">
        <f>RBBD!J23</f>
        <v>0</v>
      </c>
      <c r="P38" s="1314">
        <f>RBBD!K23</f>
        <v>0</v>
      </c>
      <c r="Q38" s="1314">
        <f>RBBD!L23</f>
        <v>0</v>
      </c>
      <c r="R38" s="1314">
        <f>RBBD!M23</f>
        <v>0</v>
      </c>
      <c r="S38" s="1314">
        <f>RBBD!N23</f>
        <v>0</v>
      </c>
      <c r="T38" s="1314">
        <f>RBBD!O23</f>
        <v>0</v>
      </c>
      <c r="U38" s="1314">
        <f>RBBD!P23</f>
        <v>0</v>
      </c>
      <c r="V38" s="1314">
        <f>RBBD!Q23</f>
        <v>0</v>
      </c>
      <c r="W38" s="1314">
        <f>RBBD!R23</f>
        <v>0</v>
      </c>
      <c r="X38" s="1314">
        <f>RBBD!S23</f>
        <v>0</v>
      </c>
      <c r="Y38" s="1314">
        <f>RBBD!T23</f>
        <v>0</v>
      </c>
      <c r="Z38" s="65"/>
      <c r="AA38" s="329">
        <f t="shared" si="4"/>
        <v>0</v>
      </c>
    </row>
    <row r="39" spans="2:27" hidden="1">
      <c r="B39" s="1314">
        <f>RBBD!B24</f>
        <v>0</v>
      </c>
      <c r="C39" s="1314">
        <f>RBBD!C24</f>
        <v>0</v>
      </c>
      <c r="D39" s="1314">
        <f>RBBD!D24</f>
        <v>0</v>
      </c>
      <c r="E39" s="1314">
        <f>RBBD!G24</f>
        <v>0</v>
      </c>
      <c r="F39" s="1314">
        <f>RBBD!H24</f>
        <v>0</v>
      </c>
      <c r="G39" s="1314">
        <f>RBBD!E24</f>
        <v>0</v>
      </c>
      <c r="H39" s="1314">
        <f>RBBD!F24</f>
        <v>0</v>
      </c>
      <c r="I39" s="1314">
        <f t="shared" si="2"/>
        <v>0</v>
      </c>
      <c r="J39" s="1314">
        <f t="shared" si="2"/>
        <v>0</v>
      </c>
      <c r="K39" s="1314">
        <f t="shared" si="2"/>
        <v>0</v>
      </c>
      <c r="L39" s="1314">
        <f t="shared" si="2"/>
        <v>0</v>
      </c>
      <c r="M39" s="1314">
        <f t="shared" si="3"/>
        <v>0</v>
      </c>
      <c r="N39" s="1314">
        <f>RBBD!I24</f>
        <v>0</v>
      </c>
      <c r="O39" s="1314">
        <f>RBBD!J24</f>
        <v>0</v>
      </c>
      <c r="P39" s="1314">
        <f>RBBD!K24</f>
        <v>0</v>
      </c>
      <c r="Q39" s="1314">
        <f>RBBD!L24</f>
        <v>0</v>
      </c>
      <c r="R39" s="1314">
        <f>RBBD!M24</f>
        <v>0</v>
      </c>
      <c r="S39" s="1314">
        <f>RBBD!N24</f>
        <v>0</v>
      </c>
      <c r="T39" s="1314">
        <f>RBBD!O24</f>
        <v>0</v>
      </c>
      <c r="U39" s="1314">
        <f>RBBD!P24</f>
        <v>0</v>
      </c>
      <c r="V39" s="1314">
        <f>RBBD!Q24</f>
        <v>0</v>
      </c>
      <c r="W39" s="1314">
        <f>RBBD!R24</f>
        <v>0</v>
      </c>
      <c r="X39" s="1314">
        <f>RBBD!S24</f>
        <v>0</v>
      </c>
      <c r="Y39" s="1314">
        <f>RBBD!T24</f>
        <v>0</v>
      </c>
      <c r="Z39" s="65"/>
      <c r="AA39" s="329">
        <f t="shared" ref="AA39:AA60" si="5">IF(B39=0,0,1)</f>
        <v>0</v>
      </c>
    </row>
    <row r="40" spans="2:27" hidden="1">
      <c r="B40" s="1314">
        <f>RBBD!B25</f>
        <v>0</v>
      </c>
      <c r="C40" s="1314">
        <f>RBBD!C25</f>
        <v>0</v>
      </c>
      <c r="D40" s="1314">
        <f>RBBD!D25</f>
        <v>0</v>
      </c>
      <c r="E40" s="1314">
        <f>RBBD!G25</f>
        <v>0</v>
      </c>
      <c r="F40" s="1314">
        <f>RBBD!H25</f>
        <v>0</v>
      </c>
      <c r="G40" s="1314">
        <f>RBBD!E25</f>
        <v>0</v>
      </c>
      <c r="H40" s="1314">
        <f>RBBD!F25</f>
        <v>0</v>
      </c>
      <c r="I40" s="1314">
        <f t="shared" si="2"/>
        <v>0</v>
      </c>
      <c r="J40" s="1314">
        <f t="shared" si="2"/>
        <v>0</v>
      </c>
      <c r="K40" s="1314">
        <f t="shared" si="2"/>
        <v>0</v>
      </c>
      <c r="L40" s="1314">
        <f t="shared" si="2"/>
        <v>0</v>
      </c>
      <c r="M40" s="1314">
        <f t="shared" si="3"/>
        <v>0</v>
      </c>
      <c r="N40" s="1314">
        <f>RBBD!I25</f>
        <v>0</v>
      </c>
      <c r="O40" s="1314">
        <f>RBBD!J25</f>
        <v>0</v>
      </c>
      <c r="P40" s="1314">
        <f>RBBD!K25</f>
        <v>0</v>
      </c>
      <c r="Q40" s="1314">
        <f>RBBD!L25</f>
        <v>0</v>
      </c>
      <c r="R40" s="1314">
        <f>RBBD!M25</f>
        <v>0</v>
      </c>
      <c r="S40" s="1314">
        <f>RBBD!N25</f>
        <v>0</v>
      </c>
      <c r="T40" s="1314">
        <f>RBBD!O25</f>
        <v>0</v>
      </c>
      <c r="U40" s="1314">
        <f>RBBD!P25</f>
        <v>0</v>
      </c>
      <c r="V40" s="1314">
        <f>RBBD!Q25</f>
        <v>0</v>
      </c>
      <c r="W40" s="1314">
        <f>RBBD!R25</f>
        <v>0</v>
      </c>
      <c r="X40" s="1314">
        <f>RBBD!S25</f>
        <v>0</v>
      </c>
      <c r="Y40" s="1314">
        <f>RBBD!T25</f>
        <v>0</v>
      </c>
      <c r="Z40" s="65"/>
      <c r="AA40" s="329">
        <f t="shared" si="5"/>
        <v>0</v>
      </c>
    </row>
    <row r="41" spans="2:27" hidden="1">
      <c r="B41" s="1314">
        <f>RBBD!B26</f>
        <v>0</v>
      </c>
      <c r="C41" s="1314">
        <f>RBBD!C26</f>
        <v>0</v>
      </c>
      <c r="D41" s="1314">
        <f>RBBD!D26</f>
        <v>0</v>
      </c>
      <c r="E41" s="1314">
        <f>RBBD!G26</f>
        <v>0</v>
      </c>
      <c r="F41" s="1314">
        <f>RBBD!H26</f>
        <v>0</v>
      </c>
      <c r="G41" s="1314">
        <f>RBBD!E26</f>
        <v>0</v>
      </c>
      <c r="H41" s="1314">
        <f>RBBD!F26</f>
        <v>0</v>
      </c>
      <c r="I41" s="1314">
        <f t="shared" si="2"/>
        <v>0</v>
      </c>
      <c r="J41" s="1314">
        <f t="shared" si="2"/>
        <v>0</v>
      </c>
      <c r="K41" s="1314">
        <f t="shared" si="2"/>
        <v>0</v>
      </c>
      <c r="L41" s="1314">
        <f t="shared" si="2"/>
        <v>0</v>
      </c>
      <c r="M41" s="1314">
        <f t="shared" si="3"/>
        <v>0</v>
      </c>
      <c r="N41" s="1314">
        <f>RBBD!I26</f>
        <v>0</v>
      </c>
      <c r="O41" s="1314">
        <f>RBBD!J26</f>
        <v>0</v>
      </c>
      <c r="P41" s="1314">
        <f>RBBD!K26</f>
        <v>0</v>
      </c>
      <c r="Q41" s="1314">
        <f>RBBD!L26</f>
        <v>0</v>
      </c>
      <c r="R41" s="1314">
        <f>RBBD!M26</f>
        <v>0</v>
      </c>
      <c r="S41" s="1314">
        <f>RBBD!N26</f>
        <v>0</v>
      </c>
      <c r="T41" s="1314">
        <f>RBBD!O26</f>
        <v>0</v>
      </c>
      <c r="U41" s="1314">
        <f>RBBD!P26</f>
        <v>0</v>
      </c>
      <c r="V41" s="1314">
        <f>RBBD!Q26</f>
        <v>0</v>
      </c>
      <c r="W41" s="1314">
        <f>RBBD!R26</f>
        <v>0</v>
      </c>
      <c r="X41" s="1314">
        <f>RBBD!S26</f>
        <v>0</v>
      </c>
      <c r="Y41" s="1314">
        <f>RBBD!T26</f>
        <v>0</v>
      </c>
      <c r="Z41" s="65"/>
      <c r="AA41" s="329">
        <f t="shared" si="5"/>
        <v>0</v>
      </c>
    </row>
    <row r="42" spans="2:27" hidden="1">
      <c r="B42" s="1314">
        <f>RBBD!B27</f>
        <v>0</v>
      </c>
      <c r="C42" s="1314">
        <f>RBBD!C27</f>
        <v>0</v>
      </c>
      <c r="D42" s="1314">
        <f>RBBD!D27</f>
        <v>0</v>
      </c>
      <c r="E42" s="1314">
        <f>RBBD!G27</f>
        <v>0</v>
      </c>
      <c r="F42" s="1314">
        <f>RBBD!H27</f>
        <v>0</v>
      </c>
      <c r="G42" s="1314">
        <f>RBBD!E27</f>
        <v>0</v>
      </c>
      <c r="H42" s="1314">
        <f>RBBD!F27</f>
        <v>0</v>
      </c>
      <c r="I42" s="1314">
        <f t="shared" si="2"/>
        <v>0</v>
      </c>
      <c r="J42" s="1314">
        <f t="shared" si="2"/>
        <v>0</v>
      </c>
      <c r="K42" s="1314">
        <f t="shared" si="2"/>
        <v>0</v>
      </c>
      <c r="L42" s="1314">
        <f t="shared" si="2"/>
        <v>0</v>
      </c>
      <c r="M42" s="1314">
        <f t="shared" si="3"/>
        <v>0</v>
      </c>
      <c r="N42" s="1314">
        <f>RBBD!I27</f>
        <v>0</v>
      </c>
      <c r="O42" s="1314">
        <f>RBBD!J27</f>
        <v>0</v>
      </c>
      <c r="P42" s="1314">
        <f>RBBD!K27</f>
        <v>0</v>
      </c>
      <c r="Q42" s="1314">
        <f>RBBD!L27</f>
        <v>0</v>
      </c>
      <c r="R42" s="1314">
        <f>RBBD!M27</f>
        <v>0</v>
      </c>
      <c r="S42" s="1314">
        <f>RBBD!N27</f>
        <v>0</v>
      </c>
      <c r="T42" s="1314">
        <f>RBBD!O27</f>
        <v>0</v>
      </c>
      <c r="U42" s="1314">
        <f>RBBD!P27</f>
        <v>0</v>
      </c>
      <c r="V42" s="1314">
        <f>RBBD!Q27</f>
        <v>0</v>
      </c>
      <c r="W42" s="1314">
        <f>RBBD!R27</f>
        <v>0</v>
      </c>
      <c r="X42" s="1314">
        <f>RBBD!S27</f>
        <v>0</v>
      </c>
      <c r="Y42" s="1314">
        <f>RBBD!T27</f>
        <v>0</v>
      </c>
      <c r="Z42" s="65"/>
      <c r="AA42" s="329">
        <f t="shared" si="5"/>
        <v>0</v>
      </c>
    </row>
    <row r="43" spans="2:27" hidden="1">
      <c r="B43" s="1314">
        <f>RBBD!B28</f>
        <v>0</v>
      </c>
      <c r="C43" s="1314">
        <f>RBBD!C28</f>
        <v>0</v>
      </c>
      <c r="D43" s="1314">
        <f>RBBD!D28</f>
        <v>0</v>
      </c>
      <c r="E43" s="1314">
        <f>RBBD!G28</f>
        <v>0</v>
      </c>
      <c r="F43" s="1314">
        <f>RBBD!H28</f>
        <v>0</v>
      </c>
      <c r="G43" s="1314">
        <f>RBBD!E28</f>
        <v>0</v>
      </c>
      <c r="H43" s="1314">
        <f>RBBD!F28</f>
        <v>0</v>
      </c>
      <c r="I43" s="1314">
        <f t="shared" si="2"/>
        <v>0</v>
      </c>
      <c r="J43" s="1314">
        <f t="shared" si="2"/>
        <v>0</v>
      </c>
      <c r="K43" s="1314">
        <f t="shared" si="2"/>
        <v>0</v>
      </c>
      <c r="L43" s="1314">
        <f t="shared" si="2"/>
        <v>0</v>
      </c>
      <c r="M43" s="1314">
        <f t="shared" si="3"/>
        <v>0</v>
      </c>
      <c r="N43" s="1314">
        <f>RBBD!I28</f>
        <v>0</v>
      </c>
      <c r="O43" s="1314">
        <f>RBBD!J28</f>
        <v>0</v>
      </c>
      <c r="P43" s="1314">
        <f>RBBD!K28</f>
        <v>0</v>
      </c>
      <c r="Q43" s="1314">
        <f>RBBD!L28</f>
        <v>0</v>
      </c>
      <c r="R43" s="1314">
        <f>RBBD!M28</f>
        <v>0</v>
      </c>
      <c r="S43" s="1314">
        <f>RBBD!N28</f>
        <v>0</v>
      </c>
      <c r="T43" s="1314">
        <f>RBBD!O28</f>
        <v>0</v>
      </c>
      <c r="U43" s="1314">
        <f>RBBD!P28</f>
        <v>0</v>
      </c>
      <c r="V43" s="1314">
        <f>RBBD!Q28</f>
        <v>0</v>
      </c>
      <c r="W43" s="1314">
        <f>RBBD!R28</f>
        <v>0</v>
      </c>
      <c r="X43" s="1314">
        <f>RBBD!S28</f>
        <v>0</v>
      </c>
      <c r="Y43" s="1314">
        <f>RBBD!T28</f>
        <v>0</v>
      </c>
      <c r="Z43" s="65"/>
      <c r="AA43" s="329">
        <f t="shared" si="5"/>
        <v>0</v>
      </c>
    </row>
    <row r="44" spans="2:27" hidden="1">
      <c r="B44" s="1314">
        <f>RBBD!B29</f>
        <v>0</v>
      </c>
      <c r="C44" s="1314">
        <f>RBBD!C29</f>
        <v>0</v>
      </c>
      <c r="D44" s="1314">
        <f>RBBD!D29</f>
        <v>0</v>
      </c>
      <c r="E44" s="1314">
        <f>RBBD!G29</f>
        <v>0</v>
      </c>
      <c r="F44" s="1314">
        <f>RBBD!H29</f>
        <v>0</v>
      </c>
      <c r="G44" s="1314">
        <f>RBBD!E29</f>
        <v>0</v>
      </c>
      <c r="H44" s="1314">
        <f>RBBD!F29</f>
        <v>0</v>
      </c>
      <c r="I44" s="1314">
        <f t="shared" si="2"/>
        <v>0</v>
      </c>
      <c r="J44" s="1314">
        <f t="shared" si="2"/>
        <v>0</v>
      </c>
      <c r="K44" s="1314">
        <f t="shared" si="2"/>
        <v>0</v>
      </c>
      <c r="L44" s="1314">
        <f t="shared" si="2"/>
        <v>0</v>
      </c>
      <c r="M44" s="1314">
        <f t="shared" si="3"/>
        <v>0</v>
      </c>
      <c r="N44" s="1314">
        <f>RBBD!I29</f>
        <v>0</v>
      </c>
      <c r="O44" s="1314">
        <f>RBBD!J29</f>
        <v>0</v>
      </c>
      <c r="P44" s="1314">
        <f>RBBD!K29</f>
        <v>0</v>
      </c>
      <c r="Q44" s="1314">
        <f>RBBD!L29</f>
        <v>0</v>
      </c>
      <c r="R44" s="1314">
        <f>RBBD!M29</f>
        <v>0</v>
      </c>
      <c r="S44" s="1314">
        <f>RBBD!N29</f>
        <v>0</v>
      </c>
      <c r="T44" s="1314">
        <f>RBBD!O29</f>
        <v>0</v>
      </c>
      <c r="U44" s="1314">
        <f>RBBD!P29</f>
        <v>0</v>
      </c>
      <c r="V44" s="1314">
        <f>RBBD!Q29</f>
        <v>0</v>
      </c>
      <c r="W44" s="1314">
        <f>RBBD!R29</f>
        <v>0</v>
      </c>
      <c r="X44" s="1314">
        <f>RBBD!S29</f>
        <v>0</v>
      </c>
      <c r="Y44" s="1314">
        <f>RBBD!T29</f>
        <v>0</v>
      </c>
      <c r="Z44" s="65"/>
      <c r="AA44" s="329">
        <f t="shared" si="5"/>
        <v>0</v>
      </c>
    </row>
    <row r="45" spans="2:27" hidden="1">
      <c r="B45" s="1314">
        <f>RBBD!B30</f>
        <v>0</v>
      </c>
      <c r="C45" s="1314">
        <f>RBBD!C30</f>
        <v>0</v>
      </c>
      <c r="D45" s="1314">
        <f>RBBD!D30</f>
        <v>0</v>
      </c>
      <c r="E45" s="1314">
        <f>RBBD!G30</f>
        <v>0</v>
      </c>
      <c r="F45" s="1314">
        <f>RBBD!H30</f>
        <v>0</v>
      </c>
      <c r="G45" s="1314">
        <f>RBBD!E30</f>
        <v>0</v>
      </c>
      <c r="H45" s="1314">
        <f>RBBD!F30</f>
        <v>0</v>
      </c>
      <c r="I45" s="1314">
        <f t="shared" si="2"/>
        <v>0</v>
      </c>
      <c r="J45" s="1314">
        <f t="shared" si="2"/>
        <v>0</v>
      </c>
      <c r="K45" s="1314">
        <f t="shared" si="2"/>
        <v>0</v>
      </c>
      <c r="L45" s="1314">
        <f t="shared" si="2"/>
        <v>0</v>
      </c>
      <c r="M45" s="1314">
        <f t="shared" si="3"/>
        <v>0</v>
      </c>
      <c r="N45" s="1314">
        <f>RBBD!I30</f>
        <v>0</v>
      </c>
      <c r="O45" s="1314">
        <f>RBBD!J30</f>
        <v>0</v>
      </c>
      <c r="P45" s="1314">
        <f>RBBD!K30</f>
        <v>0</v>
      </c>
      <c r="Q45" s="1314">
        <f>RBBD!L30</f>
        <v>0</v>
      </c>
      <c r="R45" s="1314">
        <f>RBBD!M30</f>
        <v>0</v>
      </c>
      <c r="S45" s="1314">
        <f>RBBD!N30</f>
        <v>0</v>
      </c>
      <c r="T45" s="1314">
        <f>RBBD!O30</f>
        <v>0</v>
      </c>
      <c r="U45" s="1314">
        <f>RBBD!P30</f>
        <v>0</v>
      </c>
      <c r="V45" s="1314">
        <f>RBBD!Q30</f>
        <v>0</v>
      </c>
      <c r="W45" s="1314">
        <f>RBBD!R30</f>
        <v>0</v>
      </c>
      <c r="X45" s="1314">
        <f>RBBD!S30</f>
        <v>0</v>
      </c>
      <c r="Y45" s="1314">
        <f>RBBD!T30</f>
        <v>0</v>
      </c>
      <c r="Z45" s="65"/>
      <c r="AA45" s="329">
        <f t="shared" si="5"/>
        <v>0</v>
      </c>
    </row>
    <row r="46" spans="2:27" hidden="1">
      <c r="B46" s="1314">
        <f>RBBD!B31</f>
        <v>0</v>
      </c>
      <c r="C46" s="1314">
        <f>RBBD!C31</f>
        <v>0</v>
      </c>
      <c r="D46" s="1314">
        <f>RBBD!D31</f>
        <v>0</v>
      </c>
      <c r="E46" s="1314">
        <f>RBBD!G31</f>
        <v>0</v>
      </c>
      <c r="F46" s="1314">
        <f>RBBD!H31</f>
        <v>0</v>
      </c>
      <c r="G46" s="1314">
        <f>RBBD!E31</f>
        <v>0</v>
      </c>
      <c r="H46" s="1314">
        <f>RBBD!F31</f>
        <v>0</v>
      </c>
      <c r="I46" s="1314">
        <f t="shared" si="2"/>
        <v>0</v>
      </c>
      <c r="J46" s="1314">
        <f t="shared" si="2"/>
        <v>0</v>
      </c>
      <c r="K46" s="1314">
        <f t="shared" si="2"/>
        <v>0</v>
      </c>
      <c r="L46" s="1314">
        <f t="shared" si="2"/>
        <v>0</v>
      </c>
      <c r="M46" s="1314">
        <f t="shared" si="3"/>
        <v>0</v>
      </c>
      <c r="N46" s="1314">
        <f>RBBD!I31</f>
        <v>0</v>
      </c>
      <c r="O46" s="1314">
        <f>RBBD!J31</f>
        <v>0</v>
      </c>
      <c r="P46" s="1314">
        <f>RBBD!K31</f>
        <v>0</v>
      </c>
      <c r="Q46" s="1314">
        <f>RBBD!L31</f>
        <v>0</v>
      </c>
      <c r="R46" s="1314">
        <f>RBBD!M31</f>
        <v>0</v>
      </c>
      <c r="S46" s="1314">
        <f>RBBD!N31</f>
        <v>0</v>
      </c>
      <c r="T46" s="1314">
        <f>RBBD!O31</f>
        <v>0</v>
      </c>
      <c r="U46" s="1314">
        <f>RBBD!P31</f>
        <v>0</v>
      </c>
      <c r="V46" s="1314">
        <f>RBBD!Q31</f>
        <v>0</v>
      </c>
      <c r="W46" s="1314">
        <f>RBBD!R31</f>
        <v>0</v>
      </c>
      <c r="X46" s="1314">
        <f>RBBD!S31</f>
        <v>0</v>
      </c>
      <c r="Y46" s="1314">
        <f>RBBD!T31</f>
        <v>0</v>
      </c>
      <c r="Z46" s="65"/>
      <c r="AA46" s="329">
        <f t="shared" si="5"/>
        <v>0</v>
      </c>
    </row>
    <row r="47" spans="2:27" hidden="1">
      <c r="B47" s="1314">
        <f>RBBD!B32</f>
        <v>0</v>
      </c>
      <c r="C47" s="1314">
        <f>RBBD!C32</f>
        <v>0</v>
      </c>
      <c r="D47" s="1314">
        <f>RBBD!D32</f>
        <v>0</v>
      </c>
      <c r="E47" s="1314">
        <f>RBBD!G32</f>
        <v>0</v>
      </c>
      <c r="F47" s="1314">
        <f>RBBD!H32</f>
        <v>0</v>
      </c>
      <c r="G47" s="1314">
        <f>RBBD!E32</f>
        <v>0</v>
      </c>
      <c r="H47" s="1314">
        <f>RBBD!F32</f>
        <v>0</v>
      </c>
      <c r="I47" s="1314">
        <f t="shared" si="2"/>
        <v>0</v>
      </c>
      <c r="J47" s="1314">
        <f t="shared" si="2"/>
        <v>0</v>
      </c>
      <c r="K47" s="1314">
        <f t="shared" si="2"/>
        <v>0</v>
      </c>
      <c r="L47" s="1314">
        <f t="shared" si="2"/>
        <v>0</v>
      </c>
      <c r="M47" s="1314">
        <f t="shared" si="3"/>
        <v>0</v>
      </c>
      <c r="N47" s="1314">
        <f>RBBD!I32</f>
        <v>0</v>
      </c>
      <c r="O47" s="1314">
        <f>RBBD!J32</f>
        <v>0</v>
      </c>
      <c r="P47" s="1314">
        <f>RBBD!K32</f>
        <v>0</v>
      </c>
      <c r="Q47" s="1314">
        <f>RBBD!L32</f>
        <v>0</v>
      </c>
      <c r="R47" s="1314">
        <f>RBBD!M32</f>
        <v>0</v>
      </c>
      <c r="S47" s="1314">
        <f>RBBD!N32</f>
        <v>0</v>
      </c>
      <c r="T47" s="1314">
        <f>RBBD!O32</f>
        <v>0</v>
      </c>
      <c r="U47" s="1314">
        <f>RBBD!P32</f>
        <v>0</v>
      </c>
      <c r="V47" s="1314">
        <f>RBBD!Q32</f>
        <v>0</v>
      </c>
      <c r="W47" s="1314">
        <f>RBBD!R32</f>
        <v>0</v>
      </c>
      <c r="X47" s="1314">
        <f>RBBD!S32</f>
        <v>0</v>
      </c>
      <c r="Y47" s="1314">
        <f>RBBD!T32</f>
        <v>0</v>
      </c>
      <c r="Z47" s="65"/>
      <c r="AA47" s="329">
        <f t="shared" si="5"/>
        <v>0</v>
      </c>
    </row>
    <row r="48" spans="2:27" hidden="1">
      <c r="B48" s="1314">
        <f>RBBD!B33</f>
        <v>0</v>
      </c>
      <c r="C48" s="1314">
        <f>RBBD!C33</f>
        <v>0</v>
      </c>
      <c r="D48" s="1314">
        <f>RBBD!D33</f>
        <v>0</v>
      </c>
      <c r="E48" s="1314">
        <f>RBBD!G33</f>
        <v>0</v>
      </c>
      <c r="F48" s="1314">
        <f>RBBD!H33</f>
        <v>0</v>
      </c>
      <c r="G48" s="1314">
        <f>RBBD!E33</f>
        <v>0</v>
      </c>
      <c r="H48" s="1314">
        <f>RBBD!F33</f>
        <v>0</v>
      </c>
      <c r="I48" s="1314">
        <f t="shared" si="2"/>
        <v>0</v>
      </c>
      <c r="J48" s="1314">
        <f t="shared" si="2"/>
        <v>0</v>
      </c>
      <c r="K48" s="1314">
        <f t="shared" si="2"/>
        <v>0</v>
      </c>
      <c r="L48" s="1314">
        <f t="shared" si="2"/>
        <v>0</v>
      </c>
      <c r="M48" s="1314">
        <f t="shared" si="3"/>
        <v>0</v>
      </c>
      <c r="N48" s="1314">
        <f>RBBD!I33</f>
        <v>0</v>
      </c>
      <c r="O48" s="1314">
        <f>RBBD!J33</f>
        <v>0</v>
      </c>
      <c r="P48" s="1314">
        <f>RBBD!K33</f>
        <v>0</v>
      </c>
      <c r="Q48" s="1314">
        <f>RBBD!L33</f>
        <v>0</v>
      </c>
      <c r="R48" s="1314">
        <f>RBBD!M33</f>
        <v>0</v>
      </c>
      <c r="S48" s="1314">
        <f>RBBD!N33</f>
        <v>0</v>
      </c>
      <c r="T48" s="1314">
        <f>RBBD!O33</f>
        <v>0</v>
      </c>
      <c r="U48" s="1314">
        <f>RBBD!P33</f>
        <v>0</v>
      </c>
      <c r="V48" s="1314">
        <f>RBBD!Q33</f>
        <v>0</v>
      </c>
      <c r="W48" s="1314">
        <f>RBBD!R33</f>
        <v>0</v>
      </c>
      <c r="X48" s="1314">
        <f>RBBD!S33</f>
        <v>0</v>
      </c>
      <c r="Y48" s="1314">
        <f>RBBD!T33</f>
        <v>0</v>
      </c>
      <c r="Z48" s="65"/>
      <c r="AA48" s="329">
        <f t="shared" si="5"/>
        <v>0</v>
      </c>
    </row>
    <row r="49" spans="2:27" hidden="1">
      <c r="B49" s="1314">
        <f>RBBD!B34</f>
        <v>0</v>
      </c>
      <c r="C49" s="1314">
        <f>RBBD!C34</f>
        <v>0</v>
      </c>
      <c r="D49" s="1314">
        <f>RBBD!D34</f>
        <v>0</v>
      </c>
      <c r="E49" s="1314">
        <f>RBBD!G34</f>
        <v>0</v>
      </c>
      <c r="F49" s="1314">
        <f>RBBD!H34</f>
        <v>0</v>
      </c>
      <c r="G49" s="1314">
        <f>RBBD!E34</f>
        <v>0</v>
      </c>
      <c r="H49" s="1314">
        <f>RBBD!F34</f>
        <v>0</v>
      </c>
      <c r="I49" s="1314">
        <f t="shared" si="2"/>
        <v>0</v>
      </c>
      <c r="J49" s="1314">
        <f t="shared" si="2"/>
        <v>0</v>
      </c>
      <c r="K49" s="1314">
        <f t="shared" si="2"/>
        <v>0</v>
      </c>
      <c r="L49" s="1314">
        <f t="shared" si="2"/>
        <v>0</v>
      </c>
      <c r="M49" s="1314">
        <f t="shared" si="3"/>
        <v>0</v>
      </c>
      <c r="N49" s="1314">
        <f>RBBD!I34</f>
        <v>0</v>
      </c>
      <c r="O49" s="1314">
        <f>RBBD!J34</f>
        <v>0</v>
      </c>
      <c r="P49" s="1314">
        <f>RBBD!K34</f>
        <v>0</v>
      </c>
      <c r="Q49" s="1314">
        <f>RBBD!L34</f>
        <v>0</v>
      </c>
      <c r="R49" s="1314">
        <f>RBBD!M34</f>
        <v>0</v>
      </c>
      <c r="S49" s="1314">
        <f>RBBD!N34</f>
        <v>0</v>
      </c>
      <c r="T49" s="1314">
        <f>RBBD!O34</f>
        <v>0</v>
      </c>
      <c r="U49" s="1314">
        <f>RBBD!P34</f>
        <v>0</v>
      </c>
      <c r="V49" s="1314">
        <f>RBBD!Q34</f>
        <v>0</v>
      </c>
      <c r="W49" s="1314">
        <f>RBBD!R34</f>
        <v>0</v>
      </c>
      <c r="X49" s="1314">
        <f>RBBD!S34</f>
        <v>0</v>
      </c>
      <c r="Y49" s="1314">
        <f>RBBD!T34</f>
        <v>0</v>
      </c>
      <c r="Z49" s="65"/>
      <c r="AA49" s="329">
        <f t="shared" si="5"/>
        <v>0</v>
      </c>
    </row>
    <row r="50" spans="2:27" hidden="1">
      <c r="B50" s="1314">
        <f>RBBD!B35</f>
        <v>0</v>
      </c>
      <c r="C50" s="1314">
        <f>RBBD!C35</f>
        <v>0</v>
      </c>
      <c r="D50" s="1314">
        <f>RBBD!D35</f>
        <v>0</v>
      </c>
      <c r="E50" s="1314">
        <f>RBBD!G35</f>
        <v>0</v>
      </c>
      <c r="F50" s="1314">
        <f>RBBD!H35</f>
        <v>0</v>
      </c>
      <c r="G50" s="1314">
        <f>RBBD!E35</f>
        <v>0</v>
      </c>
      <c r="H50" s="1314">
        <f>RBBD!F35</f>
        <v>0</v>
      </c>
      <c r="I50" s="1314">
        <f t="shared" si="2"/>
        <v>0</v>
      </c>
      <c r="J50" s="1314">
        <f t="shared" si="2"/>
        <v>0</v>
      </c>
      <c r="K50" s="1314">
        <f t="shared" si="2"/>
        <v>0</v>
      </c>
      <c r="L50" s="1314">
        <f t="shared" si="2"/>
        <v>0</v>
      </c>
      <c r="M50" s="1314">
        <f t="shared" si="3"/>
        <v>0</v>
      </c>
      <c r="N50" s="1314">
        <f>RBBD!I35</f>
        <v>0</v>
      </c>
      <c r="O50" s="1314">
        <f>RBBD!J35</f>
        <v>0</v>
      </c>
      <c r="P50" s="1314">
        <f>RBBD!K35</f>
        <v>0</v>
      </c>
      <c r="Q50" s="1314">
        <f>RBBD!L35</f>
        <v>0</v>
      </c>
      <c r="R50" s="1314">
        <f>RBBD!M35</f>
        <v>0</v>
      </c>
      <c r="S50" s="1314">
        <f>RBBD!N35</f>
        <v>0</v>
      </c>
      <c r="T50" s="1314">
        <f>RBBD!O35</f>
        <v>0</v>
      </c>
      <c r="U50" s="1314">
        <f>RBBD!P35</f>
        <v>0</v>
      </c>
      <c r="V50" s="1314">
        <f>RBBD!Q35</f>
        <v>0</v>
      </c>
      <c r="W50" s="1314">
        <f>RBBD!R35</f>
        <v>0</v>
      </c>
      <c r="X50" s="1314">
        <f>RBBD!S35</f>
        <v>0</v>
      </c>
      <c r="Y50" s="1314">
        <f>RBBD!T35</f>
        <v>0</v>
      </c>
      <c r="Z50" s="65"/>
      <c r="AA50" s="329">
        <f t="shared" si="5"/>
        <v>0</v>
      </c>
    </row>
    <row r="51" spans="2:27" hidden="1">
      <c r="B51" s="1314">
        <f>RBBD!B36</f>
        <v>0</v>
      </c>
      <c r="C51" s="1314">
        <f>RBBD!C36</f>
        <v>0</v>
      </c>
      <c r="D51" s="1314">
        <f>RBBD!D36</f>
        <v>0</v>
      </c>
      <c r="E51" s="1314">
        <f>RBBD!G36</f>
        <v>0</v>
      </c>
      <c r="F51" s="1314">
        <f>RBBD!H36</f>
        <v>0</v>
      </c>
      <c r="G51" s="1314">
        <f>RBBD!E36</f>
        <v>0</v>
      </c>
      <c r="H51" s="1314">
        <f>RBBD!F36</f>
        <v>0</v>
      </c>
      <c r="I51" s="1314">
        <f t="shared" si="2"/>
        <v>0</v>
      </c>
      <c r="J51" s="1314">
        <f t="shared" si="2"/>
        <v>0</v>
      </c>
      <c r="K51" s="1314">
        <f t="shared" si="2"/>
        <v>0</v>
      </c>
      <c r="L51" s="1314">
        <f t="shared" si="2"/>
        <v>0</v>
      </c>
      <c r="M51" s="1314">
        <f t="shared" si="3"/>
        <v>0</v>
      </c>
      <c r="N51" s="1314">
        <f>RBBD!I36</f>
        <v>0</v>
      </c>
      <c r="O51" s="1314">
        <f>RBBD!J36</f>
        <v>0</v>
      </c>
      <c r="P51" s="1314">
        <f>RBBD!K36</f>
        <v>0</v>
      </c>
      <c r="Q51" s="1314">
        <f>RBBD!L36</f>
        <v>0</v>
      </c>
      <c r="R51" s="1314">
        <f>RBBD!M36</f>
        <v>0</v>
      </c>
      <c r="S51" s="1314">
        <f>RBBD!N36</f>
        <v>0</v>
      </c>
      <c r="T51" s="1314">
        <f>RBBD!O36</f>
        <v>0</v>
      </c>
      <c r="U51" s="1314">
        <f>RBBD!P36</f>
        <v>0</v>
      </c>
      <c r="V51" s="1314">
        <f>RBBD!Q36</f>
        <v>0</v>
      </c>
      <c r="W51" s="1314">
        <f>RBBD!R36</f>
        <v>0</v>
      </c>
      <c r="X51" s="1314">
        <f>RBBD!S36</f>
        <v>0</v>
      </c>
      <c r="Y51" s="1314">
        <f>RBBD!T36</f>
        <v>0</v>
      </c>
      <c r="Z51" s="65"/>
      <c r="AA51" s="329">
        <f t="shared" si="5"/>
        <v>0</v>
      </c>
    </row>
    <row r="52" spans="2:27" hidden="1">
      <c r="B52" s="1314">
        <f>RBBD!B37</f>
        <v>0</v>
      </c>
      <c r="C52" s="1314">
        <f>RBBD!C37</f>
        <v>0</v>
      </c>
      <c r="D52" s="1314">
        <f>RBBD!D37</f>
        <v>0</v>
      </c>
      <c r="E52" s="1314">
        <f>RBBD!G37</f>
        <v>0</v>
      </c>
      <c r="F52" s="1314">
        <f>RBBD!H37</f>
        <v>0</v>
      </c>
      <c r="G52" s="1314">
        <f>RBBD!E37</f>
        <v>0</v>
      </c>
      <c r="H52" s="1314">
        <f>RBBD!F37</f>
        <v>0</v>
      </c>
      <c r="I52" s="1314">
        <f t="shared" si="2"/>
        <v>0</v>
      </c>
      <c r="J52" s="1314">
        <f t="shared" si="2"/>
        <v>0</v>
      </c>
      <c r="K52" s="1314">
        <f t="shared" si="2"/>
        <v>0</v>
      </c>
      <c r="L52" s="1314">
        <f t="shared" si="2"/>
        <v>0</v>
      </c>
      <c r="M52" s="1314">
        <f t="shared" si="3"/>
        <v>0</v>
      </c>
      <c r="N52" s="1314">
        <f>RBBD!I37</f>
        <v>0</v>
      </c>
      <c r="O52" s="1314">
        <f>RBBD!J37</f>
        <v>0</v>
      </c>
      <c r="P52" s="1314">
        <f>RBBD!K37</f>
        <v>0</v>
      </c>
      <c r="Q52" s="1314">
        <f>RBBD!L37</f>
        <v>0</v>
      </c>
      <c r="R52" s="1314">
        <f>RBBD!M37</f>
        <v>0</v>
      </c>
      <c r="S52" s="1314">
        <f>RBBD!N37</f>
        <v>0</v>
      </c>
      <c r="T52" s="1314">
        <f>RBBD!O37</f>
        <v>0</v>
      </c>
      <c r="U52" s="1314">
        <f>RBBD!P37</f>
        <v>0</v>
      </c>
      <c r="V52" s="1314">
        <f>RBBD!Q37</f>
        <v>0</v>
      </c>
      <c r="W52" s="1314">
        <f>RBBD!R37</f>
        <v>0</v>
      </c>
      <c r="X52" s="1314">
        <f>RBBD!S37</f>
        <v>0</v>
      </c>
      <c r="Y52" s="1314">
        <f>RBBD!T37</f>
        <v>0</v>
      </c>
      <c r="Z52" s="65"/>
      <c r="AA52" s="329">
        <f t="shared" si="5"/>
        <v>0</v>
      </c>
    </row>
    <row r="53" spans="2:27" hidden="1">
      <c r="B53" s="1314">
        <f>RBBD!B38</f>
        <v>0</v>
      </c>
      <c r="C53" s="1314">
        <f>RBBD!C38</f>
        <v>0</v>
      </c>
      <c r="D53" s="1314">
        <f>RBBD!D38</f>
        <v>0</v>
      </c>
      <c r="E53" s="1314">
        <f>RBBD!G38</f>
        <v>0</v>
      </c>
      <c r="F53" s="1314">
        <f>RBBD!H38</f>
        <v>0</v>
      </c>
      <c r="G53" s="1314">
        <f>RBBD!E38</f>
        <v>0</v>
      </c>
      <c r="H53" s="1314">
        <f>RBBD!F38</f>
        <v>0</v>
      </c>
      <c r="I53" s="1314">
        <f t="shared" si="2"/>
        <v>0</v>
      </c>
      <c r="J53" s="1314">
        <f t="shared" si="2"/>
        <v>0</v>
      </c>
      <c r="K53" s="1314">
        <f t="shared" si="2"/>
        <v>0</v>
      </c>
      <c r="L53" s="1314">
        <f t="shared" si="2"/>
        <v>0</v>
      </c>
      <c r="M53" s="1314">
        <f t="shared" si="3"/>
        <v>0</v>
      </c>
      <c r="N53" s="1314">
        <f>RBBD!I38</f>
        <v>0</v>
      </c>
      <c r="O53" s="1314">
        <f>RBBD!J38</f>
        <v>0</v>
      </c>
      <c r="P53" s="1314">
        <f>RBBD!K38</f>
        <v>0</v>
      </c>
      <c r="Q53" s="1314">
        <f>RBBD!L38</f>
        <v>0</v>
      </c>
      <c r="R53" s="1314">
        <f>RBBD!M38</f>
        <v>0</v>
      </c>
      <c r="S53" s="1314">
        <f>RBBD!N38</f>
        <v>0</v>
      </c>
      <c r="T53" s="1314">
        <f>RBBD!O38</f>
        <v>0</v>
      </c>
      <c r="U53" s="1314">
        <f>RBBD!P38</f>
        <v>0</v>
      </c>
      <c r="V53" s="1314">
        <f>RBBD!Q38</f>
        <v>0</v>
      </c>
      <c r="W53" s="1314">
        <f>RBBD!R38</f>
        <v>0</v>
      </c>
      <c r="X53" s="1314">
        <f>RBBD!S38</f>
        <v>0</v>
      </c>
      <c r="Y53" s="1314">
        <f>RBBD!T38</f>
        <v>0</v>
      </c>
      <c r="Z53" s="65"/>
      <c r="AA53" s="329">
        <f t="shared" si="5"/>
        <v>0</v>
      </c>
    </row>
    <row r="54" spans="2:27" hidden="1">
      <c r="B54" s="1314">
        <f>RBBD!B39</f>
        <v>0</v>
      </c>
      <c r="C54" s="1314">
        <f>RBBD!C39</f>
        <v>0</v>
      </c>
      <c r="D54" s="1314">
        <f>RBBD!D39</f>
        <v>0</v>
      </c>
      <c r="E54" s="1314">
        <f>RBBD!G39</f>
        <v>0</v>
      </c>
      <c r="F54" s="1314">
        <f>RBBD!H39</f>
        <v>0</v>
      </c>
      <c r="G54" s="1314">
        <f>RBBD!E39</f>
        <v>0</v>
      </c>
      <c r="H54" s="1314">
        <f>RBBD!F39</f>
        <v>0</v>
      </c>
      <c r="I54" s="1314">
        <f t="shared" si="2"/>
        <v>0</v>
      </c>
      <c r="J54" s="1314">
        <f t="shared" si="2"/>
        <v>0</v>
      </c>
      <c r="K54" s="1314">
        <f t="shared" si="2"/>
        <v>0</v>
      </c>
      <c r="L54" s="1314">
        <f t="shared" si="2"/>
        <v>0</v>
      </c>
      <c r="M54" s="1314">
        <f t="shared" si="3"/>
        <v>0</v>
      </c>
      <c r="N54" s="1314">
        <f>RBBD!I39</f>
        <v>0</v>
      </c>
      <c r="O54" s="1314">
        <f>RBBD!J39</f>
        <v>0</v>
      </c>
      <c r="P54" s="1314">
        <f>RBBD!K39</f>
        <v>0</v>
      </c>
      <c r="Q54" s="1314">
        <f>RBBD!L39</f>
        <v>0</v>
      </c>
      <c r="R54" s="1314">
        <f>RBBD!M39</f>
        <v>0</v>
      </c>
      <c r="S54" s="1314">
        <f>RBBD!N39</f>
        <v>0</v>
      </c>
      <c r="T54" s="1314">
        <f>RBBD!O39</f>
        <v>0</v>
      </c>
      <c r="U54" s="1314">
        <f>RBBD!P39</f>
        <v>0</v>
      </c>
      <c r="V54" s="1314">
        <f>RBBD!Q39</f>
        <v>0</v>
      </c>
      <c r="W54" s="1314">
        <f>RBBD!R39</f>
        <v>0</v>
      </c>
      <c r="X54" s="1314">
        <f>RBBD!S39</f>
        <v>0</v>
      </c>
      <c r="Y54" s="1314">
        <f>RBBD!T39</f>
        <v>0</v>
      </c>
      <c r="Z54" s="65"/>
      <c r="AA54" s="329">
        <f t="shared" si="5"/>
        <v>0</v>
      </c>
    </row>
    <row r="55" spans="2:27" hidden="1">
      <c r="B55" s="1314">
        <f>RBBD!B40</f>
        <v>0</v>
      </c>
      <c r="C55" s="1314">
        <f>RBBD!C40</f>
        <v>0</v>
      </c>
      <c r="D55" s="1314">
        <f>RBBD!D40</f>
        <v>0</v>
      </c>
      <c r="E55" s="1314">
        <f>RBBD!G40</f>
        <v>0</v>
      </c>
      <c r="F55" s="1314">
        <f>RBBD!H40</f>
        <v>0</v>
      </c>
      <c r="G55" s="1314">
        <f>RBBD!E40</f>
        <v>0</v>
      </c>
      <c r="H55" s="1314">
        <f>RBBD!F40</f>
        <v>0</v>
      </c>
      <c r="I55" s="1314">
        <f t="shared" si="2"/>
        <v>0</v>
      </c>
      <c r="J55" s="1314">
        <f t="shared" si="2"/>
        <v>0</v>
      </c>
      <c r="K55" s="1314">
        <f t="shared" si="2"/>
        <v>0</v>
      </c>
      <c r="L55" s="1314">
        <f t="shared" si="2"/>
        <v>0</v>
      </c>
      <c r="M55" s="1314">
        <f t="shared" si="3"/>
        <v>0</v>
      </c>
      <c r="N55" s="1314">
        <f>RBBD!I40</f>
        <v>0</v>
      </c>
      <c r="O55" s="1314">
        <f>RBBD!J40</f>
        <v>0</v>
      </c>
      <c r="P55" s="1314">
        <f>RBBD!K40</f>
        <v>0</v>
      </c>
      <c r="Q55" s="1314">
        <f>RBBD!L40</f>
        <v>0</v>
      </c>
      <c r="R55" s="1314">
        <f>RBBD!M40</f>
        <v>0</v>
      </c>
      <c r="S55" s="1314">
        <f>RBBD!N40</f>
        <v>0</v>
      </c>
      <c r="T55" s="1314">
        <f>RBBD!O40</f>
        <v>0</v>
      </c>
      <c r="U55" s="1314">
        <f>RBBD!P40</f>
        <v>0</v>
      </c>
      <c r="V55" s="1314">
        <f>RBBD!Q40</f>
        <v>0</v>
      </c>
      <c r="W55" s="1314">
        <f>RBBD!R40</f>
        <v>0</v>
      </c>
      <c r="X55" s="1314">
        <f>RBBD!S40</f>
        <v>0</v>
      </c>
      <c r="Y55" s="1314">
        <f>RBBD!T40</f>
        <v>0</v>
      </c>
      <c r="Z55" s="65"/>
      <c r="AA55" s="329">
        <f t="shared" si="5"/>
        <v>0</v>
      </c>
    </row>
    <row r="56" spans="2:27" hidden="1">
      <c r="B56" s="1314">
        <f>RBBD!B41</f>
        <v>0</v>
      </c>
      <c r="C56" s="1314">
        <f>RBBD!C41</f>
        <v>0</v>
      </c>
      <c r="D56" s="1314">
        <f>RBBD!D41</f>
        <v>0</v>
      </c>
      <c r="E56" s="1314">
        <f>RBBD!G41</f>
        <v>0</v>
      </c>
      <c r="F56" s="1314">
        <f>RBBD!H41</f>
        <v>0</v>
      </c>
      <c r="G56" s="1314">
        <f>RBBD!E41</f>
        <v>0</v>
      </c>
      <c r="H56" s="1314">
        <f>RBBD!F41</f>
        <v>0</v>
      </c>
      <c r="I56" s="1314">
        <f t="shared" si="2"/>
        <v>0</v>
      </c>
      <c r="J56" s="1314">
        <f t="shared" si="2"/>
        <v>0</v>
      </c>
      <c r="K56" s="1314">
        <f t="shared" si="2"/>
        <v>0</v>
      </c>
      <c r="L56" s="1314">
        <f t="shared" si="2"/>
        <v>0</v>
      </c>
      <c r="M56" s="1314">
        <f t="shared" si="3"/>
        <v>0</v>
      </c>
      <c r="N56" s="1314">
        <f>RBBD!I41</f>
        <v>0</v>
      </c>
      <c r="O56" s="1314">
        <f>RBBD!J41</f>
        <v>0</v>
      </c>
      <c r="P56" s="1314">
        <f>RBBD!K41</f>
        <v>0</v>
      </c>
      <c r="Q56" s="1314">
        <f>RBBD!L41</f>
        <v>0</v>
      </c>
      <c r="R56" s="1314">
        <f>RBBD!M41</f>
        <v>0</v>
      </c>
      <c r="S56" s="1314">
        <f>RBBD!N41</f>
        <v>0</v>
      </c>
      <c r="T56" s="1314">
        <f>RBBD!O41</f>
        <v>0</v>
      </c>
      <c r="U56" s="1314">
        <f>RBBD!P41</f>
        <v>0</v>
      </c>
      <c r="V56" s="1314">
        <f>RBBD!Q41</f>
        <v>0</v>
      </c>
      <c r="W56" s="1314">
        <f>RBBD!R41</f>
        <v>0</v>
      </c>
      <c r="X56" s="1314">
        <f>RBBD!S41</f>
        <v>0</v>
      </c>
      <c r="Y56" s="1314">
        <f>RBBD!T41</f>
        <v>0</v>
      </c>
      <c r="Z56" s="65"/>
      <c r="AA56" s="329">
        <f t="shared" si="5"/>
        <v>0</v>
      </c>
    </row>
    <row r="57" spans="2:27" hidden="1">
      <c r="B57" s="1314">
        <f>RBBD!B42</f>
        <v>0</v>
      </c>
      <c r="C57" s="1314">
        <f>RBBD!C42</f>
        <v>0</v>
      </c>
      <c r="D57" s="1314">
        <f>RBBD!D42</f>
        <v>0</v>
      </c>
      <c r="E57" s="1314">
        <f>RBBD!G42</f>
        <v>0</v>
      </c>
      <c r="F57" s="1314">
        <f>RBBD!H42</f>
        <v>0</v>
      </c>
      <c r="G57" s="1314">
        <f>RBBD!E42</f>
        <v>0</v>
      </c>
      <c r="H57" s="1314">
        <f>RBBD!F42</f>
        <v>0</v>
      </c>
      <c r="I57" s="1314">
        <f t="shared" si="2"/>
        <v>0</v>
      </c>
      <c r="J57" s="1314">
        <f t="shared" si="2"/>
        <v>0</v>
      </c>
      <c r="K57" s="1314">
        <f t="shared" si="2"/>
        <v>0</v>
      </c>
      <c r="L57" s="1314">
        <f t="shared" si="2"/>
        <v>0</v>
      </c>
      <c r="M57" s="1314">
        <f t="shared" si="3"/>
        <v>0</v>
      </c>
      <c r="N57" s="1314">
        <f>RBBD!I42</f>
        <v>0</v>
      </c>
      <c r="O57" s="1314">
        <f>RBBD!J42</f>
        <v>0</v>
      </c>
      <c r="P57" s="1314">
        <f>RBBD!K42</f>
        <v>0</v>
      </c>
      <c r="Q57" s="1314">
        <f>RBBD!L42</f>
        <v>0</v>
      </c>
      <c r="R57" s="1314">
        <f>RBBD!M42</f>
        <v>0</v>
      </c>
      <c r="S57" s="1314">
        <f>RBBD!N42</f>
        <v>0</v>
      </c>
      <c r="T57" s="1314">
        <f>RBBD!O42</f>
        <v>0</v>
      </c>
      <c r="U57" s="1314">
        <f>RBBD!P42</f>
        <v>0</v>
      </c>
      <c r="V57" s="1314">
        <f>RBBD!Q42</f>
        <v>0</v>
      </c>
      <c r="W57" s="1314">
        <f>RBBD!R42</f>
        <v>0</v>
      </c>
      <c r="X57" s="1314">
        <f>RBBD!S42</f>
        <v>0</v>
      </c>
      <c r="Y57" s="1314">
        <f>RBBD!T42</f>
        <v>0</v>
      </c>
      <c r="Z57" s="65"/>
      <c r="AA57" s="329">
        <f t="shared" si="5"/>
        <v>0</v>
      </c>
    </row>
    <row r="58" spans="2:27" hidden="1">
      <c r="B58" s="1314">
        <f>RBBD!B43</f>
        <v>0</v>
      </c>
      <c r="C58" s="1314">
        <f>RBBD!C43</f>
        <v>0</v>
      </c>
      <c r="D58" s="1314">
        <f>RBBD!D43</f>
        <v>0</v>
      </c>
      <c r="E58" s="1314">
        <f>RBBD!G43</f>
        <v>0</v>
      </c>
      <c r="F58" s="1314">
        <f>RBBD!H43</f>
        <v>0</v>
      </c>
      <c r="G58" s="1314">
        <f>RBBD!E43</f>
        <v>0</v>
      </c>
      <c r="H58" s="1314">
        <f>RBBD!F43</f>
        <v>0</v>
      </c>
      <c r="I58" s="1314">
        <f t="shared" si="2"/>
        <v>0</v>
      </c>
      <c r="J58" s="1314">
        <f t="shared" si="2"/>
        <v>0</v>
      </c>
      <c r="K58" s="1314">
        <f t="shared" si="2"/>
        <v>0</v>
      </c>
      <c r="L58" s="1314">
        <f t="shared" si="2"/>
        <v>0</v>
      </c>
      <c r="M58" s="1314">
        <f t="shared" si="3"/>
        <v>0</v>
      </c>
      <c r="N58" s="1314">
        <f>RBBD!I43</f>
        <v>0</v>
      </c>
      <c r="O58" s="1314">
        <f>RBBD!J43</f>
        <v>0</v>
      </c>
      <c r="P58" s="1314">
        <f>RBBD!K43</f>
        <v>0</v>
      </c>
      <c r="Q58" s="1314">
        <f>RBBD!L43</f>
        <v>0</v>
      </c>
      <c r="R58" s="1314">
        <f>RBBD!M43</f>
        <v>0</v>
      </c>
      <c r="S58" s="1314">
        <f>RBBD!N43</f>
        <v>0</v>
      </c>
      <c r="T58" s="1314">
        <f>RBBD!O43</f>
        <v>0</v>
      </c>
      <c r="U58" s="1314">
        <f>RBBD!P43</f>
        <v>0</v>
      </c>
      <c r="V58" s="1314">
        <f>RBBD!Q43</f>
        <v>0</v>
      </c>
      <c r="W58" s="1314">
        <f>RBBD!R43</f>
        <v>0</v>
      </c>
      <c r="X58" s="1314">
        <f>RBBD!S43</f>
        <v>0</v>
      </c>
      <c r="Y58" s="1314">
        <f>RBBD!T43</f>
        <v>0</v>
      </c>
      <c r="Z58" s="65"/>
      <c r="AA58" s="329">
        <f t="shared" si="5"/>
        <v>0</v>
      </c>
    </row>
    <row r="59" spans="2:27" hidden="1">
      <c r="B59" s="1314">
        <f>RBBD!B44</f>
        <v>0</v>
      </c>
      <c r="C59" s="1314">
        <f>RBBD!C44</f>
        <v>0</v>
      </c>
      <c r="D59" s="1314">
        <f>RBBD!D44</f>
        <v>0</v>
      </c>
      <c r="E59" s="1314">
        <f>RBBD!G44</f>
        <v>0</v>
      </c>
      <c r="F59" s="1314">
        <f>RBBD!H44</f>
        <v>0</v>
      </c>
      <c r="G59" s="1314">
        <f>RBBD!E44</f>
        <v>0</v>
      </c>
      <c r="H59" s="1314">
        <f>RBBD!F44</f>
        <v>0</v>
      </c>
      <c r="I59" s="1314">
        <f t="shared" si="2"/>
        <v>0</v>
      </c>
      <c r="J59" s="1314">
        <f t="shared" si="2"/>
        <v>0</v>
      </c>
      <c r="K59" s="1314">
        <f t="shared" si="2"/>
        <v>0</v>
      </c>
      <c r="L59" s="1314">
        <f t="shared" si="2"/>
        <v>0</v>
      </c>
      <c r="M59" s="1314">
        <f t="shared" si="3"/>
        <v>0</v>
      </c>
      <c r="N59" s="1314">
        <f>RBBD!I44</f>
        <v>0</v>
      </c>
      <c r="O59" s="1314">
        <f>RBBD!J44</f>
        <v>0</v>
      </c>
      <c r="P59" s="1314">
        <f>RBBD!K44</f>
        <v>0</v>
      </c>
      <c r="Q59" s="1314">
        <f>RBBD!L44</f>
        <v>0</v>
      </c>
      <c r="R59" s="1314">
        <f>RBBD!M44</f>
        <v>0</v>
      </c>
      <c r="S59" s="1314">
        <f>RBBD!N44</f>
        <v>0</v>
      </c>
      <c r="T59" s="1314">
        <f>RBBD!O44</f>
        <v>0</v>
      </c>
      <c r="U59" s="1314">
        <f>RBBD!P44</f>
        <v>0</v>
      </c>
      <c r="V59" s="1314">
        <f>RBBD!Q44</f>
        <v>0</v>
      </c>
      <c r="W59" s="1314">
        <f>RBBD!R44</f>
        <v>0</v>
      </c>
      <c r="X59" s="1314">
        <f>RBBD!S44</f>
        <v>0</v>
      </c>
      <c r="Y59" s="1314">
        <f>RBBD!T44</f>
        <v>0</v>
      </c>
      <c r="Z59" s="65"/>
      <c r="AA59" s="329">
        <f t="shared" si="5"/>
        <v>0</v>
      </c>
    </row>
    <row r="60" spans="2:27" hidden="1">
      <c r="B60" s="1314">
        <f>RBBD!B45</f>
        <v>0</v>
      </c>
      <c r="C60" s="1314">
        <f>RBBD!C45</f>
        <v>0</v>
      </c>
      <c r="D60" s="1314">
        <f>RBBD!D45</f>
        <v>0</v>
      </c>
      <c r="E60" s="1314">
        <f>RBBD!G45</f>
        <v>0</v>
      </c>
      <c r="F60" s="1314">
        <f>RBBD!H45</f>
        <v>0</v>
      </c>
      <c r="G60" s="1314">
        <f>RBBD!E45</f>
        <v>0</v>
      </c>
      <c r="H60" s="1314">
        <f>RBBD!F45</f>
        <v>0</v>
      </c>
      <c r="I60" s="1314">
        <f t="shared" si="2"/>
        <v>0</v>
      </c>
      <c r="J60" s="1314">
        <f t="shared" si="2"/>
        <v>0</v>
      </c>
      <c r="K60" s="1314">
        <f t="shared" si="2"/>
        <v>0</v>
      </c>
      <c r="L60" s="1314">
        <f t="shared" si="2"/>
        <v>0</v>
      </c>
      <c r="M60" s="1314">
        <f t="shared" si="3"/>
        <v>0</v>
      </c>
      <c r="N60" s="1314">
        <f>RBBD!I45</f>
        <v>0</v>
      </c>
      <c r="O60" s="1314">
        <f>RBBD!J45</f>
        <v>0</v>
      </c>
      <c r="P60" s="1314">
        <f>RBBD!K45</f>
        <v>0</v>
      </c>
      <c r="Q60" s="1314">
        <f>RBBD!L45</f>
        <v>0</v>
      </c>
      <c r="R60" s="1314">
        <f>RBBD!M45</f>
        <v>0</v>
      </c>
      <c r="S60" s="1314">
        <f>RBBD!N45</f>
        <v>0</v>
      </c>
      <c r="T60" s="1314">
        <f>RBBD!O45</f>
        <v>0</v>
      </c>
      <c r="U60" s="1314">
        <f>RBBD!P45</f>
        <v>0</v>
      </c>
      <c r="V60" s="1314">
        <f>RBBD!Q45</f>
        <v>0</v>
      </c>
      <c r="W60" s="1314">
        <f>RBBD!R45</f>
        <v>0</v>
      </c>
      <c r="X60" s="1314">
        <f>RBBD!S45</f>
        <v>0</v>
      </c>
      <c r="Y60" s="1314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15" t="s">
        <v>1248</v>
      </c>
      <c r="D62" s="1316"/>
      <c r="E62" s="1316">
        <f>SUM(I18:I61)/SUM(M18:M61)</f>
        <v>3885.746487098922</v>
      </c>
      <c r="F62" s="1316">
        <f>SUM(J18:J61)/SUM(M18:M61)</f>
        <v>6547.2297314660163</v>
      </c>
      <c r="G62" s="1316">
        <f>SUM(K18:K61)/SUM(M18:M61)</f>
        <v>2552.8703818345343</v>
      </c>
      <c r="H62" s="1316">
        <f>SUM(L18:L61)/SUM(M18:M61)</f>
        <v>4020.9258056603553</v>
      </c>
      <c r="I62" s="1317">
        <f>SUM(I16:I61)</f>
        <v>1330681.656</v>
      </c>
      <c r="J62" s="1317">
        <f>SUM(J16:J61)</f>
        <v>2242111.9160000002</v>
      </c>
      <c r="K62" s="1317">
        <f>SUM(K16:K61)</f>
        <v>874235.56799999997</v>
      </c>
      <c r="L62" s="1317">
        <f>SUM(L16:L61)</f>
        <v>1376974.084</v>
      </c>
      <c r="M62" s="1317">
        <f>SUM(M17:M61)</f>
        <v>342.452</v>
      </c>
      <c r="N62" s="1317">
        <f>SUM(N18:N61)</f>
        <v>22.996000000000002</v>
      </c>
      <c r="O62" s="1317">
        <f t="shared" ref="O62:Y62" si="6">SUM(O18:O61)</f>
        <v>22.996000000000002</v>
      </c>
      <c r="P62" s="1317">
        <f t="shared" si="6"/>
        <v>22.996000000000002</v>
      </c>
      <c r="Q62" s="1317">
        <f t="shared" si="6"/>
        <v>22.996000000000002</v>
      </c>
      <c r="R62" s="1317">
        <f t="shared" si="6"/>
        <v>22.996000000000002</v>
      </c>
      <c r="S62" s="1317">
        <f t="shared" si="6"/>
        <v>30.995999999999999</v>
      </c>
      <c r="T62" s="1317">
        <f t="shared" si="6"/>
        <v>32.745999999999995</v>
      </c>
      <c r="U62" s="1317">
        <f t="shared" si="6"/>
        <v>32.745999999999995</v>
      </c>
      <c r="V62" s="1317">
        <f t="shared" si="6"/>
        <v>32.745999999999995</v>
      </c>
      <c r="W62" s="1317">
        <f t="shared" si="6"/>
        <v>32.745999999999995</v>
      </c>
      <c r="X62" s="1317">
        <f t="shared" si="6"/>
        <v>32.745999999999995</v>
      </c>
      <c r="Y62" s="1317">
        <f t="shared" si="6"/>
        <v>32.745999999999995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E64" s="1640"/>
      <c r="F64" s="155"/>
      <c r="G64" s="1640"/>
      <c r="T64" s="68"/>
      <c r="U64" s="68"/>
      <c r="V64" s="68"/>
      <c r="W64" s="68"/>
    </row>
    <row r="65" spans="2:51">
      <c r="C65" s="159"/>
      <c r="D65" s="160"/>
      <c r="E65" s="1640"/>
      <c r="F65" s="161"/>
      <c r="G65" s="1640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0"/>
      <c r="F66" s="164"/>
      <c r="G66" s="1640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307" t="s">
        <v>1249</v>
      </c>
      <c r="C67" s="1307"/>
      <c r="D67" s="1307"/>
      <c r="E67" s="1640"/>
      <c r="F67" s="156"/>
      <c r="G67" s="1640"/>
      <c r="H67" s="1307"/>
      <c r="I67" s="1307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9"/>
      <c r="E69" s="1318">
        <f>IF(MONTH(E70)=7,E70,0)</f>
        <v>44378</v>
      </c>
      <c r="F69" s="1318">
        <f t="shared" ref="F69:P69" si="7">IF(MONTH(F70)=7,F70,0)</f>
        <v>0</v>
      </c>
      <c r="G69" s="1318">
        <f t="shared" si="7"/>
        <v>0</v>
      </c>
      <c r="H69" s="1318">
        <f t="shared" si="7"/>
        <v>0</v>
      </c>
      <c r="I69" s="1318">
        <f t="shared" si="7"/>
        <v>0</v>
      </c>
      <c r="J69" s="1318">
        <f t="shared" si="7"/>
        <v>0</v>
      </c>
      <c r="K69" s="1318">
        <f t="shared" si="7"/>
        <v>0</v>
      </c>
      <c r="L69" s="1318">
        <f t="shared" si="7"/>
        <v>0</v>
      </c>
      <c r="M69" s="1318">
        <f t="shared" si="7"/>
        <v>0</v>
      </c>
      <c r="N69" s="1318">
        <f t="shared" si="7"/>
        <v>0</v>
      </c>
      <c r="O69" s="1318">
        <f t="shared" si="7"/>
        <v>0</v>
      </c>
      <c r="P69" s="1318">
        <f t="shared" si="7"/>
        <v>0</v>
      </c>
      <c r="Q69" s="803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1250</v>
      </c>
      <c r="E70" s="1319">
        <f>G76</f>
        <v>44378</v>
      </c>
      <c r="F70" s="1319">
        <f>G77</f>
        <v>44409</v>
      </c>
      <c r="G70" s="1319">
        <f>G78</f>
        <v>44440</v>
      </c>
      <c r="H70" s="1319">
        <f>G79</f>
        <v>44470</v>
      </c>
      <c r="I70" s="1319">
        <f>G80</f>
        <v>44501</v>
      </c>
      <c r="J70" s="1319">
        <f>G81</f>
        <v>44531</v>
      </c>
      <c r="K70" s="1319">
        <f>G82</f>
        <v>44562</v>
      </c>
      <c r="L70" s="1319">
        <f>G83</f>
        <v>44593</v>
      </c>
      <c r="M70" s="1319">
        <f>G84</f>
        <v>44621</v>
      </c>
      <c r="N70" s="1319">
        <f>G85</f>
        <v>44652</v>
      </c>
      <c r="O70" s="1319">
        <f>G86</f>
        <v>44682</v>
      </c>
      <c r="P70" s="1319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20" t="s">
        <v>1251</v>
      </c>
      <c r="D71" s="1321">
        <f>SUM(E71:P71)</f>
        <v>0</v>
      </c>
      <c r="E71" s="1322">
        <f>SUMIF($G$76:$G$420,E70,$N$76:$N$420)</f>
        <v>0</v>
      </c>
      <c r="F71" s="1322">
        <f t="shared" ref="F71:P71" si="8">SUMIF($G$76:$G$420,F70,$N$76:$N$420)</f>
        <v>0</v>
      </c>
      <c r="G71" s="1322">
        <f t="shared" si="8"/>
        <v>0</v>
      </c>
      <c r="H71" s="1322">
        <f t="shared" si="8"/>
        <v>0</v>
      </c>
      <c r="I71" s="1322">
        <f t="shared" si="8"/>
        <v>0</v>
      </c>
      <c r="J71" s="1322">
        <f t="shared" si="8"/>
        <v>0</v>
      </c>
      <c r="K71" s="1322">
        <f t="shared" si="8"/>
        <v>0</v>
      </c>
      <c r="L71" s="1322">
        <f t="shared" si="8"/>
        <v>0</v>
      </c>
      <c r="M71" s="1322">
        <f t="shared" si="8"/>
        <v>0</v>
      </c>
      <c r="N71" s="1322">
        <f t="shared" si="8"/>
        <v>0</v>
      </c>
      <c r="O71" s="1322">
        <f t="shared" si="8"/>
        <v>0</v>
      </c>
      <c r="P71" s="1322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20" t="s">
        <v>1252</v>
      </c>
      <c r="D72" s="1321">
        <f>SUM(E72:P72)</f>
        <v>0</v>
      </c>
      <c r="E72" s="1322">
        <f>SUMIF(Indexador!$B$25:$B$48,'Rede Básica + Ajuste'!E70,Indexador!$J$25:$J$48)</f>
        <v>0</v>
      </c>
      <c r="F72" s="1322">
        <f>SUMIF(Indexador!$B$25:$B$48,'Rede Básica + Ajuste'!F70,Indexador!$J$25:$J$48)</f>
        <v>0</v>
      </c>
      <c r="G72" s="1322">
        <f>SUMIF(Indexador!$B$25:$B$48,'Rede Básica + Ajuste'!G70,Indexador!$J$25:$J$48)</f>
        <v>0</v>
      </c>
      <c r="H72" s="1322">
        <f>SUMIF(Indexador!$B$25:$B$48,'Rede Básica + Ajuste'!H70,Indexador!$J$25:$J$48)</f>
        <v>0</v>
      </c>
      <c r="I72" s="1322">
        <f>SUMIF(Indexador!$B$25:$B$48,'Rede Básica + Ajuste'!I70,Indexador!$J$25:$J$48)</f>
        <v>0</v>
      </c>
      <c r="J72" s="1322">
        <f>SUMIF(Indexador!$B$25:$B$48,'Rede Básica + Ajuste'!J70,Indexador!$J$25:$J$48)</f>
        <v>0</v>
      </c>
      <c r="K72" s="1322">
        <f>SUMIF(Indexador!$B$25:$B$48,'Rede Básica + Ajuste'!K70,Indexador!$J$25:$J$48)</f>
        <v>0</v>
      </c>
      <c r="L72" s="1322">
        <f>SUMIF(Indexador!$B$25:$B$48,'Rede Básica + Ajuste'!L70,Indexador!$J$25:$J$48)</f>
        <v>0</v>
      </c>
      <c r="M72" s="1322">
        <f>SUMIF(Indexador!$B$25:$B$48,'Rede Básica + Ajuste'!M70,Indexador!$J$25:$J$48)</f>
        <v>0</v>
      </c>
      <c r="N72" s="1322">
        <f>SUMIF(Indexador!$B$25:$B$48,'Rede Básica + Ajuste'!N70,Indexador!$J$25:$J$48)</f>
        <v>0</v>
      </c>
      <c r="O72" s="1322">
        <f>SUMIF(Indexador!$B$25:$B$48,'Rede Básica + Ajuste'!O70,Indexador!$J$25:$J$48)</f>
        <v>0</v>
      </c>
      <c r="P72" s="1322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807" t="s">
        <v>1253</v>
      </c>
      <c r="K74" s="1808"/>
      <c r="L74" s="1806" t="s">
        <v>1254</v>
      </c>
      <c r="M74" s="1806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809" t="s">
        <v>1236</v>
      </c>
      <c r="D75" s="1810"/>
      <c r="F75" s="275"/>
      <c r="G75" s="1323" t="s">
        <v>716</v>
      </c>
      <c r="H75" s="1324" t="s">
        <v>1255</v>
      </c>
      <c r="I75" s="1324" t="s">
        <v>1256</v>
      </c>
      <c r="J75" s="1325" t="s">
        <v>1257</v>
      </c>
      <c r="K75" s="1325" t="s">
        <v>1258</v>
      </c>
      <c r="L75" s="1325" t="s">
        <v>1257</v>
      </c>
      <c r="M75" s="1325" t="s">
        <v>1258</v>
      </c>
      <c r="N75" s="282" t="s">
        <v>1259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20" t="s">
        <v>1260</v>
      </c>
      <c r="D76" s="1326" t="str">
        <f>IF(D18="Ponta",B18,0)</f>
        <v>SANTO ANGELO2 - 23 kV (A)</v>
      </c>
      <c r="E76" s="18"/>
      <c r="F76" s="275"/>
      <c r="G76" s="1327">
        <f>DATE(YEAR(CAPA!C14),MONTH(CAPA!C14),1)</f>
        <v>44378</v>
      </c>
      <c r="H76" s="277">
        <f>SUMIFS($N$18:$N$60,$B$18:$B$60,$D$76,$D$18:$D$60,"Ponta")</f>
        <v>0</v>
      </c>
      <c r="I76" s="277">
        <f>SUMIFS($N$18:$N$60,$B$18:$B$60,$D$76,$D$18:$D$60,"Fora Ponta")</f>
        <v>0</v>
      </c>
      <c r="J76" s="277">
        <f>SUMIFS($E$18:$E$60,$B$18:$B$60,$D$76,$D$18:$D$60,"Ponta")</f>
        <v>0</v>
      </c>
      <c r="K76" s="277">
        <f>SUMIFS($E$18:$E$60,$B$18:$B$60,$D$76,$D$18:$D$60,"Fora Ponta")</f>
        <v>0</v>
      </c>
      <c r="L76" s="1328">
        <f>IF(MONTH(DataRevRea)=7,'Rede Básica + Ajuste'!J76,IF(G76&lt;$Q$69,(SUMIFS($E$18:$E$60,$B$18:$B$60,$D$76,$D$18:$D$60,"Ponta")),(SUMIFS($F$18:$F$60,$B$18:$B$60,$D$76,$D$18:$D$60,"Ponta"))))</f>
        <v>0</v>
      </c>
      <c r="M76" s="1328">
        <f>IF(MONTH(DataRevRea)=7,'Rede Básica + Ajuste'!K76,IF(G76&lt;$Q$69,(SUMIFS($E$18:$E$60,$B$18:$B$60,$D$76,$D$18:$D$60,"Fora Ponta")),(SUMIFS($F$18:$F$60,$B$18:$B$60,$D$76,$D$18:$D$60,"Fora Ponta"))))</f>
        <v>0</v>
      </c>
      <c r="N76" s="1329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0</v>
      </c>
      <c r="I77" s="277">
        <f>SUMIFS($O$18:$O$60,$B$18:$B$60,$D$76,$D$18:$D$60,"Fora Ponta")</f>
        <v>0</v>
      </c>
      <c r="J77" s="277">
        <f t="shared" ref="J77:J87" si="9">SUMIFS($E$18:$E$60,$B$18:$B$60,$D$76,$D$18:$D$60,"Ponta")</f>
        <v>0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0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30" t="s">
        <v>1261</v>
      </c>
      <c r="E78" s="1331" t="s">
        <v>1262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0</v>
      </c>
      <c r="I78" s="277">
        <f>SUMIFS($P$18:$P$60,$B$18:$B$60,$D$76,$D$18:$D$60,"Fora Ponta")</f>
        <v>0</v>
      </c>
      <c r="J78" s="277">
        <f t="shared" si="9"/>
        <v>0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0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32" t="str">
        <f>"Cobertura "&amp;YEAR(CAPA!C14)</f>
        <v>Cobertura 2021</v>
      </c>
      <c r="D79" s="1333">
        <f>SUMPRODUCT(H76:H87,J76:J87)</f>
        <v>0</v>
      </c>
      <c r="E79" s="1333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0</v>
      </c>
      <c r="I79" s="277">
        <f>SUMIFS($Q$18:$Q$60,$B$18:$B$60,$D$76,$D$18:$D$60,"Fora Ponta")</f>
        <v>0</v>
      </c>
      <c r="J79" s="277">
        <f t="shared" si="9"/>
        <v>0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0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32" t="s">
        <v>1263</v>
      </c>
      <c r="D80" s="1333">
        <f>SUMPRODUCT(H76:H87,L76:L87)</f>
        <v>0</v>
      </c>
      <c r="E80" s="1333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0</v>
      </c>
      <c r="I80" s="277">
        <f>SUMIFS($R$18:$R$60,$B$18:$B$60,$D$76,$D$18:$D$60,"Fora Ponta")</f>
        <v>0</v>
      </c>
      <c r="J80" s="277">
        <f t="shared" si="9"/>
        <v>0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0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3</v>
      </c>
      <c r="I81" s="277">
        <f>SUMIFS($S$18:$S$60,$B$18:$B$60,$D$76,$D$18:$D$60,"Fora Ponta")</f>
        <v>5</v>
      </c>
      <c r="J81" s="277">
        <f t="shared" si="9"/>
        <v>0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0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3</v>
      </c>
      <c r="I82" s="277">
        <f>SUMIFS($T$18:$T$60,$B$18:$B$60,$D$76,$D$18:$D$60,"Fora Ponta")</f>
        <v>6.25</v>
      </c>
      <c r="J82" s="277">
        <f t="shared" si="9"/>
        <v>0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0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3</v>
      </c>
      <c r="I83" s="277">
        <f>SUMIFS($U$18:$U$60,$B$18:$B$60,$D$76,$D$18:$D$60,"Fora Ponta")</f>
        <v>6.25</v>
      </c>
      <c r="J83" s="277">
        <f t="shared" si="9"/>
        <v>0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0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3</v>
      </c>
      <c r="I84" s="277">
        <f>SUMIFS($V$18:$V$60,$B$18:$B$60,$D$76,$D$18:$D$60,"Fora Ponta")</f>
        <v>6.25</v>
      </c>
      <c r="J84" s="277">
        <f t="shared" si="9"/>
        <v>0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0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3</v>
      </c>
      <c r="I85" s="277">
        <f>SUMIFS($W$18:$W$60,$B$18:$B$60,$D$76,$D$18:$D$60,"Fora Ponta")</f>
        <v>6.25</v>
      </c>
      <c r="J85" s="277">
        <f t="shared" si="9"/>
        <v>0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0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3</v>
      </c>
      <c r="I86" s="277">
        <f>SUMIFS($X$18:$X$60,$B$18:$B$60,$D$76,$D$18:$D$60,"Fora Ponta")</f>
        <v>6.25</v>
      </c>
      <c r="J86" s="277">
        <f t="shared" si="9"/>
        <v>0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0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34">
        <f t="shared" si="12"/>
        <v>44713</v>
      </c>
      <c r="H87" s="1335">
        <f>SUMIFS($Y$18:$Y$60,$B$18:$B$60,$D$76,$D$18:$D$60,"Ponta")</f>
        <v>3</v>
      </c>
      <c r="I87" s="1335">
        <f>SUMIFS($Y$18:$Y$60,$B$18:$B$60,$D$76,$D$18:$D$60,"Fora Ponta")</f>
        <v>6.25</v>
      </c>
      <c r="J87" s="1335">
        <f t="shared" si="9"/>
        <v>0</v>
      </c>
      <c r="K87" s="1335">
        <f t="shared" si="10"/>
        <v>0</v>
      </c>
      <c r="L87" s="1335">
        <f>IF(MONTH(DataRevRea)=7,'Rede Básica + Ajuste'!J87,IF(G87&lt;$Q$69,(SUMIFS($E$18:$E$60,$B$18:$B$60,$D$76,$D$18:$D$60,"Ponta")),(SUMIFS($F$18:$F$60,$B$18:$B$60,$D$76,$D$18:$D$60,"Ponta"))))</f>
        <v>0</v>
      </c>
      <c r="M87" s="1335">
        <f>IF(MONTH(DataRevRea)=7,'Rede Básica + Ajuste'!K87,IF(G87&lt;$Q$69,(SUMIFS($E$18:$E$60,$B$18:$B$60,$D$76,$D$18:$D$60,"Fora Ponta")),(SUMIFS($F$18:$F$60,$B$18:$B$60,$D$76,$D$18:$D$60,"Fora Ponta"))))</f>
        <v>0</v>
      </c>
      <c r="N87" s="1336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807" t="s">
        <v>1253</v>
      </c>
      <c r="K89" s="1808"/>
      <c r="L89" s="1806" t="s">
        <v>1254</v>
      </c>
      <c r="M89" s="1806"/>
      <c r="N89" s="283"/>
    </row>
    <row r="90" spans="2:50" ht="15.75">
      <c r="C90" s="1809" t="s">
        <v>1264</v>
      </c>
      <c r="D90" s="1810"/>
      <c r="F90" s="275"/>
      <c r="G90" s="1323" t="s">
        <v>716</v>
      </c>
      <c r="H90" s="1324" t="s">
        <v>1255</v>
      </c>
      <c r="I90" s="1324" t="s">
        <v>1256</v>
      </c>
      <c r="J90" s="1325" t="s">
        <v>1257</v>
      </c>
      <c r="K90" s="1325" t="s">
        <v>1258</v>
      </c>
      <c r="L90" s="1325" t="s">
        <v>1257</v>
      </c>
      <c r="M90" s="1325" t="s">
        <v>1258</v>
      </c>
      <c r="N90" s="282" t="s">
        <v>1259</v>
      </c>
    </row>
    <row r="91" spans="2:50" ht="15.75">
      <c r="C91" s="1320" t="s">
        <v>1260</v>
      </c>
      <c r="D91" s="1326" t="str">
        <f>IF(D18="Ponta",B18,0)</f>
        <v>SANTO ANGELO2 - 23 kV (A)</v>
      </c>
      <c r="E91" s="18"/>
      <c r="F91" s="275"/>
      <c r="G91" s="1327">
        <f>G76</f>
        <v>44378</v>
      </c>
      <c r="H91" s="277">
        <f>H76</f>
        <v>0</v>
      </c>
      <c r="I91" s="277">
        <f>I76</f>
        <v>0</v>
      </c>
      <c r="J91" s="277">
        <f>SUMIFS($G$18:$G$60,$B$18:$B$60,$D$76,$D$18:$D$60,"Ponta")</f>
        <v>0</v>
      </c>
      <c r="K91" s="277">
        <f>SUMIFS($G$18:$G$60,$B$18:$B$60,$D$76,$D$18:$D$60,"Fora Ponta")</f>
        <v>0</v>
      </c>
      <c r="L91" s="1328">
        <f>IF(MONTH(DataRevRea)=7,'Rede Básica + Ajuste'!J91,IF(G91&lt;$Q$69,(SUMIFS($G$18:$G$60,$B$18:$B$60,$D$91,$D$18:$D$60,"Ponta")),(SUMIFS($H$18:$H$60,$B$18:$B$60,$D$91,$D$18:$D$60,"Ponta"))))</f>
        <v>0</v>
      </c>
      <c r="M91" s="1328">
        <f>IF(MONTH(DataRevRea)=7,'Rede Básica + Ajuste'!K91,IF(G91&lt;$Q$69,(SUMIFS($G$18:$G$60,$B$18:$B$60,$D$91,$D$18:$D$60,"Fora Ponta")),(SUMIFS($H$18:$H$60,$B$18:$B$60,$D$91,$D$18:$D$60,"Fora Ponta"))))</f>
        <v>0</v>
      </c>
      <c r="N91" s="1329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0</v>
      </c>
      <c r="I92" s="277">
        <f t="shared" si="13"/>
        <v>0</v>
      </c>
      <c r="J92" s="277">
        <f t="shared" ref="J92:J102" si="14">SUMIFS($G$18:$G$60,$B$18:$B$60,$D$76,$D$18:$D$60,"Ponta")</f>
        <v>0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0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30" t="s">
        <v>1261</v>
      </c>
      <c r="E93" s="1331" t="s">
        <v>1262</v>
      </c>
      <c r="F93" s="275"/>
      <c r="G93" s="276">
        <f t="shared" si="13"/>
        <v>44440</v>
      </c>
      <c r="H93" s="277">
        <f t="shared" si="13"/>
        <v>0</v>
      </c>
      <c r="I93" s="277">
        <f t="shared" si="13"/>
        <v>0</v>
      </c>
      <c r="J93" s="277">
        <f t="shared" si="14"/>
        <v>0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0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32" t="str">
        <f>C79</f>
        <v>Cobertura 2021</v>
      </c>
      <c r="D94" s="1333">
        <f>SUMPRODUCT(H91:H102,J91:J102)</f>
        <v>0</v>
      </c>
      <c r="E94" s="1333">
        <f>SUMPRODUCT(I91:I102,K91:K102)</f>
        <v>0</v>
      </c>
      <c r="F94" s="275"/>
      <c r="G94" s="276">
        <f t="shared" si="13"/>
        <v>44470</v>
      </c>
      <c r="H94" s="277">
        <f t="shared" si="13"/>
        <v>0</v>
      </c>
      <c r="I94" s="277">
        <f t="shared" si="13"/>
        <v>0</v>
      </c>
      <c r="J94" s="277">
        <f t="shared" si="14"/>
        <v>0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0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32" t="s">
        <v>1263</v>
      </c>
      <c r="D95" s="1333">
        <f>SUMPRODUCT(H91:H102,L91:L102)</f>
        <v>0</v>
      </c>
      <c r="E95" s="1333">
        <f>SUMPRODUCT(I91:I102,M91:M102)</f>
        <v>0</v>
      </c>
      <c r="F95" s="275"/>
      <c r="G95" s="276">
        <f t="shared" si="13"/>
        <v>44501</v>
      </c>
      <c r="H95" s="277">
        <f t="shared" si="13"/>
        <v>0</v>
      </c>
      <c r="I95" s="277">
        <f t="shared" si="13"/>
        <v>0</v>
      </c>
      <c r="J95" s="277">
        <f t="shared" si="14"/>
        <v>0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0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3</v>
      </c>
      <c r="I96" s="277">
        <f t="shared" si="13"/>
        <v>5</v>
      </c>
      <c r="J96" s="277">
        <f t="shared" si="14"/>
        <v>0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0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3</v>
      </c>
      <c r="I97" s="277">
        <f t="shared" si="13"/>
        <v>6.25</v>
      </c>
      <c r="J97" s="277">
        <f t="shared" si="14"/>
        <v>0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0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3</v>
      </c>
      <c r="I98" s="277">
        <f t="shared" si="13"/>
        <v>6.25</v>
      </c>
      <c r="J98" s="277">
        <f t="shared" si="14"/>
        <v>0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0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3</v>
      </c>
      <c r="I99" s="277">
        <f t="shared" si="13"/>
        <v>6.25</v>
      </c>
      <c r="J99" s="277">
        <f t="shared" si="14"/>
        <v>0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0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3</v>
      </c>
      <c r="I100" s="277">
        <f t="shared" si="13"/>
        <v>6.25</v>
      </c>
      <c r="J100" s="277">
        <f t="shared" si="14"/>
        <v>0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0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3</v>
      </c>
      <c r="I101" s="277">
        <f t="shared" si="13"/>
        <v>6.25</v>
      </c>
      <c r="J101" s="277">
        <f t="shared" si="14"/>
        <v>0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0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34">
        <f t="shared" si="13"/>
        <v>44713</v>
      </c>
      <c r="H102" s="1335">
        <f t="shared" si="13"/>
        <v>3</v>
      </c>
      <c r="I102" s="1335">
        <f t="shared" si="13"/>
        <v>6.25</v>
      </c>
      <c r="J102" s="1335">
        <f t="shared" si="14"/>
        <v>0</v>
      </c>
      <c r="K102" s="1335">
        <f t="shared" si="15"/>
        <v>0</v>
      </c>
      <c r="L102" s="1335">
        <f>IF(MONTH(DataRevRea)=7,'Rede Básica + Ajuste'!J102,IF(G102&lt;$Q$69,(SUMIFS($G$18:$G$60,$B$18:$B$60,$D$91,$D$18:$D$60,"Ponta")),(SUMIFS($H$18:$H$60,$B$18:$B$60,$D$91,$D$18:$D$60,"Ponta"))))</f>
        <v>0</v>
      </c>
      <c r="M102" s="1335">
        <f>IF(MONTH(DataRevRea)=7,'Rede Básica + Ajuste'!K102,IF(G102&lt;$Q$69,(SUMIFS($G$18:$G$60,$B$18:$B$60,$D$91,$D$18:$D$60,"Fora Ponta")),(SUMIFS($H$18:$H$60,$B$18:$B$60,$D$91,$D$18:$D$60,"Fora Ponta"))))</f>
        <v>0</v>
      </c>
      <c r="N102" s="1336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807" t="s">
        <v>1253</v>
      </c>
      <c r="K104" s="1808"/>
      <c r="L104" s="1806" t="s">
        <v>1254</v>
      </c>
      <c r="M104" s="1806"/>
      <c r="N104" s="283"/>
    </row>
    <row r="105" spans="3:14" ht="15.75">
      <c r="C105" s="1809" t="s">
        <v>1236</v>
      </c>
      <c r="D105" s="1810"/>
      <c r="F105" s="275"/>
      <c r="G105" s="1323" t="s">
        <v>716</v>
      </c>
      <c r="H105" s="1324" t="s">
        <v>1255</v>
      </c>
      <c r="I105" s="1324" t="s">
        <v>1256</v>
      </c>
      <c r="J105" s="1325" t="s">
        <v>1257</v>
      </c>
      <c r="K105" s="1325" t="s">
        <v>1258</v>
      </c>
      <c r="L105" s="1325" t="s">
        <v>1257</v>
      </c>
      <c r="M105" s="1325" t="s">
        <v>1258</v>
      </c>
      <c r="N105" s="282" t="s">
        <v>1259</v>
      </c>
    </row>
    <row r="106" spans="3:14" ht="15.75">
      <c r="C106" s="1320" t="s">
        <v>1260</v>
      </c>
      <c r="D106" s="1337" t="str">
        <f>IF(D19="Ponta",B19,0)</f>
        <v>MISSOES - 69 kV (C)</v>
      </c>
      <c r="E106" s="18"/>
      <c r="F106" s="275"/>
      <c r="G106" s="1327">
        <f>G91</f>
        <v>44378</v>
      </c>
      <c r="H106" s="277">
        <f>SUMIFS($N$18:$N$60,$B$18:$B$60,$D$106,$D$18:$D$60,"Ponta")</f>
        <v>9.6959999999999997</v>
      </c>
      <c r="I106" s="277">
        <f>SUMIFS($N$18:$N$60,$B$18:$B$60,$D$106,$D$18:$D$60,"Fora Ponta")</f>
        <v>13.3</v>
      </c>
      <c r="J106" s="277">
        <f>SUMIFS($E$18:$E$60,$B$18:$B$60,$D$106,$D$18:$D$60,"Ponta")</f>
        <v>4378</v>
      </c>
      <c r="K106" s="277">
        <f>SUMIFS($E$18:$E$60,$B$18:$B$60,$D$106,$D$18:$D$60,"Fora Ponta")</f>
        <v>5051</v>
      </c>
      <c r="L106" s="1328">
        <f>IF(MONTH(DataRevRea)=7,'Rede Básica + Ajuste'!J106,IF(G106&lt;$Q$69,(SUMIFS($E$18:$E$60,$B$18:$B$60,$D$106,$D$18:$D$60,"Ponta")),(SUMIFS($F$18:$F$60,$B$18:$B$60,$D$106,$D$18:$D$60,"Ponta"))))</f>
        <v>4378</v>
      </c>
      <c r="M106" s="1328">
        <f>IF(MONTH(DataRevRea)=7,'Rede Básica + Ajuste'!K106,IF(G106&lt;$Q$69,(SUMIFS($E$18:$E$60,$B$18:$B$60,$D$106,$D$18:$D$60,"Fora Ponta")),(SUMIFS($F$18:$F$60,$B$18:$B$60,$D$106,$D$18:$D$60,"Fora Ponta"))))</f>
        <v>5051</v>
      </c>
      <c r="N106" s="1329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9.6959999999999997</v>
      </c>
      <c r="I107" s="277">
        <f>SUMIFS($O$18:$O$60,$B$18:$B$60,$D$106,$D$18:$D$60,"Fora Ponta")</f>
        <v>13.3</v>
      </c>
      <c r="J107" s="277">
        <f t="shared" ref="J107:J117" si="18">SUMIFS($E$18:$E$60,$B$18:$B$60,$D$106,$D$18:$D$60,"Ponta")</f>
        <v>4378</v>
      </c>
      <c r="K107" s="277">
        <f t="shared" ref="K107:K117" si="19">SUMIFS($E$18:$E$60,$B$18:$B$60,$D$106,$D$18:$D$60,"Fora Ponta")</f>
        <v>5051</v>
      </c>
      <c r="L107" s="277">
        <f>IF(MONTH(DataRevRea)=7,'Rede Básica + Ajuste'!J107,IF(G107&lt;$Q$69,(SUMIFS($E$18:$E$60,$B$18:$B$60,$D$106,$D$18:$D$60,"Ponta")),(SUMIFS($F$18:$F$60,$B$18:$B$60,$D$106,$D$18:$D$60,"Ponta"))))</f>
        <v>4378</v>
      </c>
      <c r="M107" s="277">
        <f>IF(MONTH(DataRevRea)=7,'Rede Básica + Ajuste'!K107,IF(G107&lt;$Q$69,(SUMIFS($E$18:$E$60,$B$18:$B$60,$D$106,$D$18:$D$60,"Fora Ponta")),(SUMIFS($F$18:$F$60,$B$18:$B$60,$D$106,$D$18:$D$60,"Fora Ponta"))))</f>
        <v>5051</v>
      </c>
      <c r="N107" s="284">
        <f t="shared" ref="N107:N117" si="20">+(H107*(L107-J107))+(I107*(M107-K107))</f>
        <v>0</v>
      </c>
    </row>
    <row r="108" spans="3:14" ht="15.75">
      <c r="C108" s="278"/>
      <c r="D108" s="1330" t="s">
        <v>1261</v>
      </c>
      <c r="E108" s="1331" t="s">
        <v>1262</v>
      </c>
      <c r="F108" s="275"/>
      <c r="G108" s="276">
        <f t="shared" si="17"/>
        <v>44440</v>
      </c>
      <c r="H108" s="277">
        <f>SUMIFS($P$18:$P$60,$B$18:$B$60,$D$106,$D$18:$D$60,"Ponta")</f>
        <v>9.6959999999999997</v>
      </c>
      <c r="I108" s="277">
        <f>SUMIFS($P$18:$P$60,$B$18:$B$60,$D$106,$D$18:$D$60,"Fora Ponta")</f>
        <v>13.3</v>
      </c>
      <c r="J108" s="277">
        <f t="shared" si="18"/>
        <v>4378</v>
      </c>
      <c r="K108" s="277">
        <f t="shared" si="19"/>
        <v>5051</v>
      </c>
      <c r="L108" s="277">
        <f>IF(MONTH(DataRevRea)=7,'Rede Básica + Ajuste'!J108,IF(G108&lt;$Q$69,(SUMIFS($E$18:$E$60,$B$18:$B$60,$D$106,$D$18:$D$60,"Ponta")),(SUMIFS($F$18:$F$60,$B$18:$B$60,$D$106,$D$18:$D$60,"Ponta"))))</f>
        <v>4378</v>
      </c>
      <c r="M108" s="277">
        <f>IF(MONTH(DataRevRea)=7,'Rede Básica + Ajuste'!K108,IF(G108&lt;$Q$69,(SUMIFS($E$18:$E$60,$B$18:$B$60,$D$106,$D$18:$D$60,"Fora Ponta")),(SUMIFS($F$18:$F$60,$B$18:$B$60,$D$106,$D$18:$D$60,"Fora Ponta"))))</f>
        <v>5051</v>
      </c>
      <c r="N108" s="284">
        <f t="shared" si="20"/>
        <v>0</v>
      </c>
    </row>
    <row r="109" spans="3:14" ht="15.75">
      <c r="C109" s="1332" t="str">
        <f>C94</f>
        <v>Cobertura 2021</v>
      </c>
      <c r="D109" s="1333">
        <f>SUMPRODUCT(H106:H117,J106:J117)</f>
        <v>509389.05599999992</v>
      </c>
      <c r="E109" s="1333">
        <f>SUMPRODUCT(I106:I117,K106:K117)</f>
        <v>821292.60000000021</v>
      </c>
      <c r="F109" s="275"/>
      <c r="G109" s="276">
        <f t="shared" si="17"/>
        <v>44470</v>
      </c>
      <c r="H109" s="277">
        <f>SUMIFS($Q$18:$Q$60,$B$18:$B$60,$D$106,$D$18:$D$60,"Ponta")</f>
        <v>9.6959999999999997</v>
      </c>
      <c r="I109" s="277">
        <f>SUMIFS($Q$18:$Q$60,$B$18:$B$60,$D$106,$D$18:$D$60,"Fora Ponta")</f>
        <v>13.3</v>
      </c>
      <c r="J109" s="277">
        <f t="shared" si="18"/>
        <v>4378</v>
      </c>
      <c r="K109" s="277">
        <f t="shared" si="19"/>
        <v>5051</v>
      </c>
      <c r="L109" s="277">
        <f>IF(MONTH(DataRevRea)=7,'Rede Básica + Ajuste'!J109,IF(G109&lt;$Q$69,(SUMIFS($E$18:$E$60,$B$18:$B$60,$D$106,$D$18:$D$60,"Ponta")),(SUMIFS($F$18:$F$60,$B$18:$B$60,$D$106,$D$18:$D$60,"Ponta"))))</f>
        <v>4378</v>
      </c>
      <c r="M109" s="277">
        <f>IF(MONTH(DataRevRea)=7,'Rede Básica + Ajuste'!K109,IF(G109&lt;$Q$69,(SUMIFS($E$18:$E$60,$B$18:$B$60,$D$106,$D$18:$D$60,"Fora Ponta")),(SUMIFS($F$18:$F$60,$B$18:$B$60,$D$106,$D$18:$D$60,"Fora Ponta"))))</f>
        <v>5051</v>
      </c>
      <c r="N109" s="284">
        <f t="shared" si="20"/>
        <v>0</v>
      </c>
    </row>
    <row r="110" spans="3:14" ht="15.75">
      <c r="C110" s="1332" t="s">
        <v>1263</v>
      </c>
      <c r="D110" s="1333">
        <f>SUMPRODUCT(H106:H117,L106:L117)</f>
        <v>509389.05599999992</v>
      </c>
      <c r="E110" s="1333">
        <f>SUMPRODUCT(I106:I117,M106:M117)</f>
        <v>821292.60000000021</v>
      </c>
      <c r="F110" s="275"/>
      <c r="G110" s="276">
        <f t="shared" si="17"/>
        <v>44501</v>
      </c>
      <c r="H110" s="277">
        <f>SUMIFS($R$18:$R$60,$B$18:$B$60,$D$106,$D$18:$D$60,"Ponta")</f>
        <v>9.6959999999999997</v>
      </c>
      <c r="I110" s="277">
        <f>SUMIFS($R$18:$R$60,$B$18:$B$60,$D$106,$D$18:$D$60,"Fora Ponta")</f>
        <v>13.3</v>
      </c>
      <c r="J110" s="277">
        <f t="shared" si="18"/>
        <v>4378</v>
      </c>
      <c r="K110" s="277">
        <f t="shared" si="19"/>
        <v>5051</v>
      </c>
      <c r="L110" s="277">
        <f>IF(MONTH(DataRevRea)=7,'Rede Básica + Ajuste'!J110,IF(G110&lt;$Q$69,(SUMIFS($E$18:$E$60,$B$18:$B$60,$D$106,$D$18:$D$60,"Ponta")),(SUMIFS($F$18:$F$60,$B$18:$B$60,$D$106,$D$18:$D$60,"Ponta"))))</f>
        <v>4378</v>
      </c>
      <c r="M110" s="277">
        <f>IF(MONTH(DataRevRea)=7,'Rede Básica + Ajuste'!K110,IF(G110&lt;$Q$69,(SUMIFS($E$18:$E$60,$B$18:$B$60,$D$106,$D$18:$D$60,"Fora Ponta")),(SUMIFS($F$18:$F$60,$B$18:$B$60,$D$106,$D$18:$D$60,"Fora Ponta"))))</f>
        <v>5051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9.6959999999999997</v>
      </c>
      <c r="I111" s="277">
        <f>SUMIFS($S$18:$S$60,$B$18:$B$60,$D$106,$D$18:$D$60,"Fora Ponta")</f>
        <v>13.3</v>
      </c>
      <c r="J111" s="277">
        <f t="shared" si="18"/>
        <v>4378</v>
      </c>
      <c r="K111" s="277">
        <f t="shared" si="19"/>
        <v>5051</v>
      </c>
      <c r="L111" s="277">
        <f>IF(MONTH(DataRevRea)=7,'Rede Básica + Ajuste'!J111,IF(G111&lt;$Q$69,(SUMIFS($E$18:$E$60,$B$18:$B$60,$D$106,$D$18:$D$60,"Ponta")),(SUMIFS($F$18:$F$60,$B$18:$B$60,$D$106,$D$18:$D$60,"Ponta"))))</f>
        <v>4378</v>
      </c>
      <c r="M111" s="277">
        <f>IF(MONTH(DataRevRea)=7,'Rede Básica + Ajuste'!K111,IF(G111&lt;$Q$69,(SUMIFS($E$18:$E$60,$B$18:$B$60,$D$106,$D$18:$D$60,"Fora Ponta")),(SUMIFS($F$18:$F$60,$B$18:$B$60,$D$106,$D$18:$D$60,"Fora Ponta"))))</f>
        <v>5051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9.6959999999999997</v>
      </c>
      <c r="I112" s="277">
        <f>SUMIFS($T$18:$T$60,$B$18:$B$60,$D$106,$D$18:$D$60,"Fora Ponta")</f>
        <v>13.8</v>
      </c>
      <c r="J112" s="277">
        <f t="shared" si="18"/>
        <v>4378</v>
      </c>
      <c r="K112" s="277">
        <f t="shared" si="19"/>
        <v>5051</v>
      </c>
      <c r="L112" s="277">
        <f>IF(MONTH(DataRevRea)=7,'Rede Básica + Ajuste'!J112,IF(G112&lt;$Q$69,(SUMIFS($E$18:$E$60,$B$18:$B$60,$D$106,$D$18:$D$60,"Ponta")),(SUMIFS($F$18:$F$60,$B$18:$B$60,$D$106,$D$18:$D$60,"Ponta"))))</f>
        <v>4378</v>
      </c>
      <c r="M112" s="277">
        <f>IF(MONTH(DataRevRea)=7,'Rede Básica + Ajuste'!K112,IF(G112&lt;$Q$69,(SUMIFS($E$18:$E$60,$B$18:$B$60,$D$106,$D$18:$D$60,"Fora Ponta")),(SUMIFS($F$18:$F$60,$B$18:$B$60,$D$106,$D$18:$D$60,"Fora Ponta"))))</f>
        <v>5051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9.6959999999999997</v>
      </c>
      <c r="I113" s="277">
        <f>SUMIFS($U$18:$U$60,$B$18:$B$60,$D$106,$D$18:$D$60,"Fora Ponta")</f>
        <v>13.8</v>
      </c>
      <c r="J113" s="277">
        <f t="shared" si="18"/>
        <v>4378</v>
      </c>
      <c r="K113" s="277">
        <f t="shared" si="19"/>
        <v>5051</v>
      </c>
      <c r="L113" s="277">
        <f>IF(MONTH(DataRevRea)=7,'Rede Básica + Ajuste'!J113,IF(G113&lt;$Q$69,(SUMIFS($E$18:$E$60,$B$18:$B$60,$D$106,$D$18:$D$60,"Ponta")),(SUMIFS($F$18:$F$60,$B$18:$B$60,$D$106,$D$18:$D$60,"Ponta"))))</f>
        <v>4378</v>
      </c>
      <c r="M113" s="277">
        <f>IF(MONTH(DataRevRea)=7,'Rede Básica + Ajuste'!K113,IF(G113&lt;$Q$69,(SUMIFS($E$18:$E$60,$B$18:$B$60,$D$106,$D$18:$D$60,"Fora Ponta")),(SUMIFS($F$18:$F$60,$B$18:$B$60,$D$106,$D$18:$D$60,"Fora Ponta"))))</f>
        <v>5051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9.6959999999999997</v>
      </c>
      <c r="I114" s="277">
        <f>SUMIFS($V$18:$V$60,$B$18:$B$60,$D$106,$D$18:$D$60,"Fora Ponta")</f>
        <v>13.8</v>
      </c>
      <c r="J114" s="277">
        <f t="shared" si="18"/>
        <v>4378</v>
      </c>
      <c r="K114" s="277">
        <f t="shared" si="19"/>
        <v>5051</v>
      </c>
      <c r="L114" s="277">
        <f>IF(MONTH(DataRevRea)=7,'Rede Básica + Ajuste'!J114,IF(G114&lt;$Q$69,(SUMIFS($E$18:$E$60,$B$18:$B$60,$D$106,$D$18:$D$60,"Ponta")),(SUMIFS($F$18:$F$60,$B$18:$B$60,$D$106,$D$18:$D$60,"Ponta"))))</f>
        <v>4378</v>
      </c>
      <c r="M114" s="277">
        <f>IF(MONTH(DataRevRea)=7,'Rede Básica + Ajuste'!K114,IF(G114&lt;$Q$69,(SUMIFS($E$18:$E$60,$B$18:$B$60,$D$106,$D$18:$D$60,"Fora Ponta")),(SUMIFS($F$18:$F$60,$B$18:$B$60,$D$106,$D$18:$D$60,"Fora Ponta"))))</f>
        <v>5051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9.6959999999999997</v>
      </c>
      <c r="I115" s="277">
        <f>SUMIFS($W$18:$W$60,$B$18:$B$60,$D$106,$D$18:$D$60,"Fora Ponta")</f>
        <v>13.8</v>
      </c>
      <c r="J115" s="277">
        <f t="shared" si="18"/>
        <v>4378</v>
      </c>
      <c r="K115" s="277">
        <f t="shared" si="19"/>
        <v>5051</v>
      </c>
      <c r="L115" s="277">
        <f>IF(MONTH(DataRevRea)=7,'Rede Básica + Ajuste'!J115,IF(G115&lt;$Q$69,(SUMIFS($E$18:$E$60,$B$18:$B$60,$D$106,$D$18:$D$60,"Ponta")),(SUMIFS($F$18:$F$60,$B$18:$B$60,$D$106,$D$18:$D$60,"Ponta"))))</f>
        <v>4378</v>
      </c>
      <c r="M115" s="277">
        <f>IF(MONTH(DataRevRea)=7,'Rede Básica + Ajuste'!K115,IF(G115&lt;$Q$69,(SUMIFS($E$18:$E$60,$B$18:$B$60,$D$106,$D$18:$D$60,"Fora Ponta")),(SUMIFS($F$18:$F$60,$B$18:$B$60,$D$106,$D$18:$D$60,"Fora Ponta"))))</f>
        <v>5051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9.6959999999999997</v>
      </c>
      <c r="I116" s="277">
        <f>SUMIFS($X$18:$X$60,$B$18:$B$60,$D$106,$D$18:$D$60,"Fora Ponta")</f>
        <v>13.8</v>
      </c>
      <c r="J116" s="277">
        <f t="shared" si="18"/>
        <v>4378</v>
      </c>
      <c r="K116" s="277">
        <f t="shared" si="19"/>
        <v>5051</v>
      </c>
      <c r="L116" s="277">
        <f>IF(MONTH(DataRevRea)=7,'Rede Básica + Ajuste'!J116,IF(G116&lt;$Q$69,(SUMIFS($E$18:$E$60,$B$18:$B$60,$D$106,$D$18:$D$60,"Ponta")),(SUMIFS($F$18:$F$60,$B$18:$B$60,$D$106,$D$18:$D$60,"Ponta"))))</f>
        <v>4378</v>
      </c>
      <c r="M116" s="277">
        <f>IF(MONTH(DataRevRea)=7,'Rede Básica + Ajuste'!K116,IF(G116&lt;$Q$69,(SUMIFS($E$18:$E$60,$B$18:$B$60,$D$106,$D$18:$D$60,"Fora Ponta")),(SUMIFS($F$18:$F$60,$B$18:$B$60,$D$106,$D$18:$D$60,"Fora Ponta"))))</f>
        <v>5051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34">
        <f t="shared" si="17"/>
        <v>44713</v>
      </c>
      <c r="H117" s="1335">
        <f>SUMIFS($Y$18:$Y$60,$B$18:$B$60,$D$106,$D$18:$D$60,"Ponta")</f>
        <v>9.6959999999999997</v>
      </c>
      <c r="I117" s="1335">
        <f>SUMIFS($Y$18:$Y$60,$B$18:$B$60,$D$106,$D$18:$D$60,"Fora Ponta")</f>
        <v>13.8</v>
      </c>
      <c r="J117" s="1335">
        <f t="shared" si="18"/>
        <v>4378</v>
      </c>
      <c r="K117" s="1335">
        <f t="shared" si="19"/>
        <v>5051</v>
      </c>
      <c r="L117" s="1335">
        <f>IF(MONTH(DataRevRea)=7,'Rede Básica + Ajuste'!J117,IF(G117&lt;$Q$69,(SUMIFS($E$18:$E$60,$B$18:$B$60,$D$106,$D$18:$D$60,"Ponta")),(SUMIFS($F$18:$F$60,$B$18:$B$60,$D$106,$D$18:$D$60,"Ponta"))))</f>
        <v>4378</v>
      </c>
      <c r="M117" s="1335">
        <f>IF(MONTH(DataRevRea)=7,'Rede Básica + Ajuste'!K117,IF(G117&lt;$Q$69,(SUMIFS($E$18:$E$60,$B$18:$B$60,$D$106,$D$18:$D$60,"Fora Ponta")),(SUMIFS($F$18:$F$60,$B$18:$B$60,$D$106,$D$18:$D$60,"Fora Ponta"))))</f>
        <v>5051</v>
      </c>
      <c r="N117" s="1336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807" t="s">
        <v>1253</v>
      </c>
      <c r="K119" s="1808"/>
      <c r="L119" s="1806" t="s">
        <v>1254</v>
      </c>
      <c r="M119" s="1806"/>
      <c r="N119" s="283"/>
    </row>
    <row r="120" spans="3:14" ht="15.75">
      <c r="C120" s="1809" t="s">
        <v>1264</v>
      </c>
      <c r="D120" s="1810"/>
      <c r="F120" s="275"/>
      <c r="G120" s="1323" t="s">
        <v>716</v>
      </c>
      <c r="H120" s="1324" t="s">
        <v>1255</v>
      </c>
      <c r="I120" s="1324" t="s">
        <v>1256</v>
      </c>
      <c r="J120" s="1325" t="s">
        <v>1257</v>
      </c>
      <c r="K120" s="1325" t="s">
        <v>1258</v>
      </c>
      <c r="L120" s="1325" t="s">
        <v>1257</v>
      </c>
      <c r="M120" s="1325" t="s">
        <v>1258</v>
      </c>
      <c r="N120" s="282" t="s">
        <v>1259</v>
      </c>
    </row>
    <row r="121" spans="3:14" ht="15.75">
      <c r="C121" s="1320" t="s">
        <v>1260</v>
      </c>
      <c r="D121" s="1337" t="str">
        <f>IF(D19="Ponta",B19,0)</f>
        <v>MISSOES - 69 kV (C)</v>
      </c>
      <c r="E121" s="18"/>
      <c r="F121" s="275"/>
      <c r="G121" s="1327">
        <f>G106</f>
        <v>44378</v>
      </c>
      <c r="H121" s="277">
        <f>H106</f>
        <v>9.6959999999999997</v>
      </c>
      <c r="I121" s="277">
        <f>I106</f>
        <v>13.3</v>
      </c>
      <c r="J121" s="277">
        <f>SUMIFS($G$18:$G$60,$B$18:$B$60,$D$121,$D$18:$D$60,"Ponta")</f>
        <v>3134</v>
      </c>
      <c r="K121" s="277">
        <f>SUMIFS($G$18:$G$60,$B$18:$B$60,$D$121,$D$18:$D$60,"Fora Ponta")</f>
        <v>3134</v>
      </c>
      <c r="L121" s="1328">
        <f>IF(MONTH(DataRevRea)=7,'Rede Básica + Ajuste'!J121,IF(G121&lt;$Q$69,(SUMIFS($G$18:$G$60,$B$18:$B$60,$D$121,$D$18:$D$60,"Ponta")),(SUMIFS($H$18:$H$60,$B$18:$B$60,$D$121,$D$18:$D$60,"Ponta"))))</f>
        <v>3134</v>
      </c>
      <c r="M121" s="1328">
        <f>IF(MONTH(DataRevRea)=7,'Rede Básica + Ajuste'!K121,IF(G121&lt;$Q$69,(SUMIFS($G$18:$G$60,$B$18:$B$60,$D$121,$D$18:$D$60,"Fora Ponta")),(SUMIFS($H$18:$H$60,$B$18:$B$60,$D$121,$D$18:$D$60,"Fora Ponta"))))</f>
        <v>3134</v>
      </c>
      <c r="N121" s="1329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9.6959999999999997</v>
      </c>
      <c r="I122" s="277">
        <f t="shared" si="21"/>
        <v>13.3</v>
      </c>
      <c r="J122" s="277">
        <f t="shared" ref="J122:J132" si="22">SUMIFS($G$18:$G$60,$B$18:$B$60,$D$121,$D$18:$D$60,"Ponta")</f>
        <v>3134</v>
      </c>
      <c r="K122" s="277">
        <f t="shared" ref="K122:K132" si="23">SUMIFS($G$18:$G$60,$B$18:$B$60,$D$121,$D$18:$D$60,"Fora Ponta")</f>
        <v>3134</v>
      </c>
      <c r="L122" s="277">
        <f>IF(MONTH(DataRevRea)=7,'Rede Básica + Ajuste'!J122,IF(G122&lt;$Q$69,(SUMIFS($G$18:$G$60,$B$18:$B$60,$D$121,$D$18:$D$60,"Ponta")),(SUMIFS($H$18:$H$60,$B$18:$B$60,$D$121,$D$18:$D$60,"Ponta"))))</f>
        <v>3134</v>
      </c>
      <c r="M122" s="277">
        <f>IF(MONTH(DataRevRea)=7,'Rede Básica + Ajuste'!K122,IF(G122&lt;$Q$69,(SUMIFS($G$18:$G$60,$B$18:$B$60,$D$121,$D$18:$D$60,"Fora Ponta")),(SUMIFS($H$18:$H$60,$B$18:$B$60,$D$121,$D$18:$D$60,"Fora Ponta"))))</f>
        <v>3134</v>
      </c>
      <c r="N122" s="284">
        <f t="shared" ref="N122:N132" si="24">+(H122*(L122-J122))+(I122*(M122-K122))</f>
        <v>0</v>
      </c>
    </row>
    <row r="123" spans="3:14" ht="15.75">
      <c r="C123" s="278"/>
      <c r="D123" s="1330" t="s">
        <v>1261</v>
      </c>
      <c r="E123" s="1331" t="s">
        <v>1262</v>
      </c>
      <c r="F123" s="275"/>
      <c r="G123" s="276">
        <f t="shared" si="21"/>
        <v>44440</v>
      </c>
      <c r="H123" s="277">
        <f t="shared" si="21"/>
        <v>9.6959999999999997</v>
      </c>
      <c r="I123" s="277">
        <f t="shared" si="21"/>
        <v>13.3</v>
      </c>
      <c r="J123" s="277">
        <f t="shared" si="22"/>
        <v>3134</v>
      </c>
      <c r="K123" s="277">
        <f t="shared" si="23"/>
        <v>3134</v>
      </c>
      <c r="L123" s="277">
        <f>IF(MONTH(DataRevRea)=7,'Rede Básica + Ajuste'!J123,IF(G123&lt;$Q$69,(SUMIFS($G$18:$G$60,$B$18:$B$60,$D$121,$D$18:$D$60,"Ponta")),(SUMIFS($H$18:$H$60,$B$18:$B$60,$D$121,$D$18:$D$60,"Ponta"))))</f>
        <v>3134</v>
      </c>
      <c r="M123" s="277">
        <f>IF(MONTH(DataRevRea)=7,'Rede Básica + Ajuste'!K123,IF(G123&lt;$Q$69,(SUMIFS($G$18:$G$60,$B$18:$B$60,$D$121,$D$18:$D$60,"Fora Ponta")),(SUMIFS($H$18:$H$60,$B$18:$B$60,$D$121,$D$18:$D$60,"Fora Ponta"))))</f>
        <v>3134</v>
      </c>
      <c r="N123" s="284">
        <f t="shared" si="24"/>
        <v>0</v>
      </c>
    </row>
    <row r="124" spans="3:14" ht="15.75">
      <c r="C124" s="1332" t="str">
        <f>C109</f>
        <v>Cobertura 2021</v>
      </c>
      <c r="D124" s="1333">
        <f>SUMPRODUCT(H121:H132,J121:J132)</f>
        <v>364647.16800000006</v>
      </c>
      <c r="E124" s="1333">
        <f>SUMPRODUCT(I121:I132,K121:K132)</f>
        <v>509588.40000000008</v>
      </c>
      <c r="F124" s="275"/>
      <c r="G124" s="276">
        <f t="shared" si="21"/>
        <v>44470</v>
      </c>
      <c r="H124" s="277">
        <f t="shared" si="21"/>
        <v>9.6959999999999997</v>
      </c>
      <c r="I124" s="277">
        <f t="shared" si="21"/>
        <v>13.3</v>
      </c>
      <c r="J124" s="277">
        <f t="shared" si="22"/>
        <v>3134</v>
      </c>
      <c r="K124" s="277">
        <f t="shared" si="23"/>
        <v>3134</v>
      </c>
      <c r="L124" s="277">
        <f>IF(MONTH(DataRevRea)=7,'Rede Básica + Ajuste'!J124,IF(G124&lt;$Q$69,(SUMIFS($G$18:$G$60,$B$18:$B$60,$D$121,$D$18:$D$60,"Ponta")),(SUMIFS($H$18:$H$60,$B$18:$B$60,$D$121,$D$18:$D$60,"Ponta"))))</f>
        <v>3134</v>
      </c>
      <c r="M124" s="277">
        <f>IF(MONTH(DataRevRea)=7,'Rede Básica + Ajuste'!K124,IF(G124&lt;$Q$69,(SUMIFS($G$18:$G$60,$B$18:$B$60,$D$121,$D$18:$D$60,"Fora Ponta")),(SUMIFS($H$18:$H$60,$B$18:$B$60,$D$121,$D$18:$D$60,"Fora Ponta"))))</f>
        <v>3134</v>
      </c>
      <c r="N124" s="284">
        <f t="shared" si="24"/>
        <v>0</v>
      </c>
    </row>
    <row r="125" spans="3:14" ht="15.75">
      <c r="C125" s="1332" t="s">
        <v>1263</v>
      </c>
      <c r="D125" s="1333">
        <f>SUMPRODUCT(H121:H132,L121:L132)</f>
        <v>364647.16800000006</v>
      </c>
      <c r="E125" s="1333">
        <f>SUMPRODUCT(I121:I132,M121:M132)</f>
        <v>509588.40000000008</v>
      </c>
      <c r="F125" s="275"/>
      <c r="G125" s="276">
        <f t="shared" si="21"/>
        <v>44501</v>
      </c>
      <c r="H125" s="277">
        <f t="shared" si="21"/>
        <v>9.6959999999999997</v>
      </c>
      <c r="I125" s="277">
        <f t="shared" si="21"/>
        <v>13.3</v>
      </c>
      <c r="J125" s="277">
        <f t="shared" si="22"/>
        <v>3134</v>
      </c>
      <c r="K125" s="277">
        <f t="shared" si="23"/>
        <v>3134</v>
      </c>
      <c r="L125" s="277">
        <f>IF(MONTH(DataRevRea)=7,'Rede Básica + Ajuste'!J125,IF(G125&lt;$Q$69,(SUMIFS($G$18:$G$60,$B$18:$B$60,$D$121,$D$18:$D$60,"Ponta")),(SUMIFS($H$18:$H$60,$B$18:$B$60,$D$121,$D$18:$D$60,"Ponta"))))</f>
        <v>3134</v>
      </c>
      <c r="M125" s="277">
        <f>IF(MONTH(DataRevRea)=7,'Rede Básica + Ajuste'!K125,IF(G125&lt;$Q$69,(SUMIFS($G$18:$G$60,$B$18:$B$60,$D$121,$D$18:$D$60,"Fora Ponta")),(SUMIFS($H$18:$H$60,$B$18:$B$60,$D$121,$D$18:$D$60,"Fora Ponta"))))</f>
        <v>3134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9.6959999999999997</v>
      </c>
      <c r="I126" s="277">
        <f t="shared" si="21"/>
        <v>13.3</v>
      </c>
      <c r="J126" s="277">
        <f t="shared" si="22"/>
        <v>3134</v>
      </c>
      <c r="K126" s="277">
        <f t="shared" si="23"/>
        <v>3134</v>
      </c>
      <c r="L126" s="277">
        <f>IF(MONTH(DataRevRea)=7,'Rede Básica + Ajuste'!J126,IF(G126&lt;$Q$69,(SUMIFS($G$18:$G$60,$B$18:$B$60,$D$121,$D$18:$D$60,"Ponta")),(SUMIFS($H$18:$H$60,$B$18:$B$60,$D$121,$D$18:$D$60,"Ponta"))))</f>
        <v>3134</v>
      </c>
      <c r="M126" s="277">
        <f>IF(MONTH(DataRevRea)=7,'Rede Básica + Ajuste'!K126,IF(G126&lt;$Q$69,(SUMIFS($G$18:$G$60,$B$18:$B$60,$D$121,$D$18:$D$60,"Fora Ponta")),(SUMIFS($H$18:$H$60,$B$18:$B$60,$D$121,$D$18:$D$60,"Fora Ponta"))))</f>
        <v>3134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9.6959999999999997</v>
      </c>
      <c r="I127" s="277">
        <f t="shared" si="21"/>
        <v>13.8</v>
      </c>
      <c r="J127" s="277">
        <f t="shared" si="22"/>
        <v>3134</v>
      </c>
      <c r="K127" s="277">
        <f t="shared" si="23"/>
        <v>3134</v>
      </c>
      <c r="L127" s="277">
        <f>IF(MONTH(DataRevRea)=7,'Rede Básica + Ajuste'!J127,IF(G127&lt;$Q$69,(SUMIFS($G$18:$G$60,$B$18:$B$60,$D$121,$D$18:$D$60,"Ponta")),(SUMIFS($H$18:$H$60,$B$18:$B$60,$D$121,$D$18:$D$60,"Ponta"))))</f>
        <v>3134</v>
      </c>
      <c r="M127" s="277">
        <f>IF(MONTH(DataRevRea)=7,'Rede Básica + Ajuste'!K127,IF(G127&lt;$Q$69,(SUMIFS($G$18:$G$60,$B$18:$B$60,$D$121,$D$18:$D$60,"Fora Ponta")),(SUMIFS($H$18:$H$60,$B$18:$B$60,$D$121,$D$18:$D$60,"Fora Ponta"))))</f>
        <v>3134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9.6959999999999997</v>
      </c>
      <c r="I128" s="277">
        <f t="shared" si="21"/>
        <v>13.8</v>
      </c>
      <c r="J128" s="277">
        <f t="shared" si="22"/>
        <v>3134</v>
      </c>
      <c r="K128" s="277">
        <f t="shared" si="23"/>
        <v>3134</v>
      </c>
      <c r="L128" s="277">
        <f>IF(MONTH(DataRevRea)=7,'Rede Básica + Ajuste'!J128,IF(G128&lt;$Q$69,(SUMIFS($G$18:$G$60,$B$18:$B$60,$D$121,$D$18:$D$60,"Ponta")),(SUMIFS($H$18:$H$60,$B$18:$B$60,$D$121,$D$18:$D$60,"Ponta"))))</f>
        <v>3134</v>
      </c>
      <c r="M128" s="277">
        <f>IF(MONTH(DataRevRea)=7,'Rede Básica + Ajuste'!K128,IF(G128&lt;$Q$69,(SUMIFS($G$18:$G$60,$B$18:$B$60,$D$121,$D$18:$D$60,"Fora Ponta")),(SUMIFS($H$18:$H$60,$B$18:$B$60,$D$121,$D$18:$D$60,"Fora Ponta"))))</f>
        <v>3134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9.6959999999999997</v>
      </c>
      <c r="I129" s="277">
        <f t="shared" si="21"/>
        <v>13.8</v>
      </c>
      <c r="J129" s="277">
        <f t="shared" si="22"/>
        <v>3134</v>
      </c>
      <c r="K129" s="277">
        <f t="shared" si="23"/>
        <v>3134</v>
      </c>
      <c r="L129" s="277">
        <f>IF(MONTH(DataRevRea)=7,'Rede Básica + Ajuste'!J129,IF(G129&lt;$Q$69,(SUMIFS($G$18:$G$60,$B$18:$B$60,$D$121,$D$18:$D$60,"Ponta")),(SUMIFS($H$18:$H$60,$B$18:$B$60,$D$121,$D$18:$D$60,"Ponta"))))</f>
        <v>3134</v>
      </c>
      <c r="M129" s="277">
        <f>IF(MONTH(DataRevRea)=7,'Rede Básica + Ajuste'!K129,IF(G129&lt;$Q$69,(SUMIFS($G$18:$G$60,$B$18:$B$60,$D$121,$D$18:$D$60,"Fora Ponta")),(SUMIFS($H$18:$H$60,$B$18:$B$60,$D$121,$D$18:$D$60,"Fora Ponta"))))</f>
        <v>3134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9.6959999999999997</v>
      </c>
      <c r="I130" s="277">
        <f t="shared" si="21"/>
        <v>13.8</v>
      </c>
      <c r="J130" s="277">
        <f t="shared" si="22"/>
        <v>3134</v>
      </c>
      <c r="K130" s="277">
        <f t="shared" si="23"/>
        <v>3134</v>
      </c>
      <c r="L130" s="277">
        <f>IF(MONTH(DataRevRea)=7,'Rede Básica + Ajuste'!J130,IF(G130&lt;$Q$69,(SUMIFS($G$18:$G$60,$B$18:$B$60,$D$121,$D$18:$D$60,"Ponta")),(SUMIFS($H$18:$H$60,$B$18:$B$60,$D$121,$D$18:$D$60,"Ponta"))))</f>
        <v>3134</v>
      </c>
      <c r="M130" s="277">
        <f>IF(MONTH(DataRevRea)=7,'Rede Básica + Ajuste'!K130,IF(G130&lt;$Q$69,(SUMIFS($G$18:$G$60,$B$18:$B$60,$D$121,$D$18:$D$60,"Fora Ponta")),(SUMIFS($H$18:$H$60,$B$18:$B$60,$D$121,$D$18:$D$60,"Fora Ponta"))))</f>
        <v>3134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9.6959999999999997</v>
      </c>
      <c r="I131" s="277">
        <f t="shared" si="21"/>
        <v>13.8</v>
      </c>
      <c r="J131" s="277">
        <f t="shared" si="22"/>
        <v>3134</v>
      </c>
      <c r="K131" s="277">
        <f t="shared" si="23"/>
        <v>3134</v>
      </c>
      <c r="L131" s="277">
        <f>IF(MONTH(DataRevRea)=7,'Rede Básica + Ajuste'!J131,IF(G131&lt;$Q$69,(SUMIFS($G$18:$G$60,$B$18:$B$60,$D$121,$D$18:$D$60,"Ponta")),(SUMIFS($H$18:$H$60,$B$18:$B$60,$D$121,$D$18:$D$60,"Ponta"))))</f>
        <v>3134</v>
      </c>
      <c r="M131" s="277">
        <f>IF(MONTH(DataRevRea)=7,'Rede Básica + Ajuste'!K131,IF(G131&lt;$Q$69,(SUMIFS($G$18:$G$60,$B$18:$B$60,$D$121,$D$18:$D$60,"Fora Ponta")),(SUMIFS($H$18:$H$60,$B$18:$B$60,$D$121,$D$18:$D$60,"Fora Ponta"))))</f>
        <v>3134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34">
        <f t="shared" si="21"/>
        <v>44713</v>
      </c>
      <c r="H132" s="1335">
        <f t="shared" si="21"/>
        <v>9.6959999999999997</v>
      </c>
      <c r="I132" s="1335">
        <f t="shared" si="21"/>
        <v>13.8</v>
      </c>
      <c r="J132" s="1335">
        <f t="shared" si="22"/>
        <v>3134</v>
      </c>
      <c r="K132" s="1335">
        <f t="shared" si="23"/>
        <v>3134</v>
      </c>
      <c r="L132" s="1335">
        <f>IF(MONTH(DataRevRea)=7,'Rede Básica + Ajuste'!J132,IF(G132&lt;$Q$69,(SUMIFS($G$18:$G$60,$B$18:$B$60,$D$121,$D$18:$D$60,"Ponta")),(SUMIFS($H$18:$H$60,$B$18:$B$60,$D$121,$D$18:$D$60,"Ponta"))))</f>
        <v>3134</v>
      </c>
      <c r="M132" s="1335">
        <f>IF(MONTH(DataRevRea)=7,'Rede Básica + Ajuste'!K132,IF(G132&lt;$Q$69,(SUMIFS($G$18:$G$60,$B$18:$B$60,$D$121,$D$18:$D$60,"Fora Ponta")),(SUMIFS($H$18:$H$60,$B$18:$B$60,$D$121,$D$18:$D$60,"Fora Ponta"))))</f>
        <v>3134</v>
      </c>
      <c r="N132" s="1336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807" t="s">
        <v>1253</v>
      </c>
      <c r="K134" s="1808"/>
      <c r="L134" s="1806" t="s">
        <v>1254</v>
      </c>
      <c r="M134" s="1806"/>
      <c r="N134" s="283"/>
    </row>
    <row r="135" spans="3:14" ht="15.75">
      <c r="C135" s="1809" t="s">
        <v>1236</v>
      </c>
      <c r="D135" s="1810"/>
      <c r="F135" s="275"/>
      <c r="G135" s="1323" t="s">
        <v>716</v>
      </c>
      <c r="H135" s="1324" t="s">
        <v>1255</v>
      </c>
      <c r="I135" s="1324" t="s">
        <v>1256</v>
      </c>
      <c r="J135" s="1325" t="s">
        <v>1257</v>
      </c>
      <c r="K135" s="1325" t="s">
        <v>1258</v>
      </c>
      <c r="L135" s="1325" t="s">
        <v>1257</v>
      </c>
      <c r="M135" s="1325" t="s">
        <v>1258</v>
      </c>
      <c r="N135" s="282" t="s">
        <v>1259</v>
      </c>
    </row>
    <row r="136" spans="3:14" ht="15.75">
      <c r="C136" s="1320" t="s">
        <v>1260</v>
      </c>
      <c r="D136" s="1337">
        <f>IF(D20="Ponta",B20,0)</f>
        <v>0</v>
      </c>
      <c r="E136" s="18"/>
      <c r="F136" s="275"/>
      <c r="G136" s="1327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28">
        <f>IF(MONTH(DataRevRea)=7,'Rede Básica + Ajuste'!J136,IF(G136&lt;$Q$69,(SUMIFS($E$18:$E$60,$B$18:$B$60,$D$136,$D$18:$D$60,"Ponta")),(SUMIFS($F$18:$F$60,$B$18:$B$60,$D$136,$D$18:$D$60,"Ponta"))))</f>
        <v>0</v>
      </c>
      <c r="M136" s="1328">
        <f>IF(MONTH(DataRevRea)=7,'Rede Básica + Ajuste'!K136,IF(G136&lt;$Q$69,(SUMIFS($E$18:$E$60,$B$18:$B$60,$D$136,$D$18:$D$60,"Fora Ponta")),(SUMIFS($F$18:$F$60,$B$18:$B$60,$D$136,$D$18:$D$60,"Fora Ponta"))))</f>
        <v>0</v>
      </c>
      <c r="N136" s="1329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4378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4378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30" t="s">
        <v>1261</v>
      </c>
      <c r="E138" s="1331" t="s">
        <v>1262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4378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4378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32" t="str">
        <f>C124</f>
        <v>Cobertura 2021</v>
      </c>
      <c r="D139" s="1333">
        <f>SUMPRODUCT(H136:H147,J136:J147)</f>
        <v>0</v>
      </c>
      <c r="E139" s="1333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4378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4378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32" t="s">
        <v>1263</v>
      </c>
      <c r="D140" s="1333">
        <f>SUMPRODUCT(H136:H147,L136:L147)</f>
        <v>0</v>
      </c>
      <c r="E140" s="1333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4378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4378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4378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4378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4378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4378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4378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4378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4378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4378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4378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4378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4378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4378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34">
        <f t="shared" si="25"/>
        <v>44713</v>
      </c>
      <c r="H147" s="1335">
        <f>SUMIFS($Y$18:$Y$60,$B$18:$B$60,$D$136,$D$18:$D$60,"Ponta")</f>
        <v>0</v>
      </c>
      <c r="I147" s="1335">
        <f>SUMIFS($Y$18:$Y$60,$B$18:$B$60,$D$136,$D$18:$D$60,"Fora Ponta")</f>
        <v>0</v>
      </c>
      <c r="J147" s="1335">
        <f t="shared" si="26"/>
        <v>4378</v>
      </c>
      <c r="K147" s="1335">
        <f t="shared" si="27"/>
        <v>0</v>
      </c>
      <c r="L147" s="1335">
        <f>IF(MONTH(DataRevRea)=7,'Rede Básica + Ajuste'!J147,IF(G147&lt;$Q$69,(SUMIFS($E$18:$E$60,$B$18:$B$60,$D$136,$D$18:$D$60,"Ponta")),(SUMIFS($F$18:$F$60,$B$18:$B$60,$D$136,$D$18:$D$60,"Ponta"))))</f>
        <v>4378</v>
      </c>
      <c r="M147" s="1335">
        <f>IF(MONTH(DataRevRea)=7,'Rede Básica + Ajuste'!K147,IF(G147&lt;$Q$69,(SUMIFS($E$18:$E$60,$B$18:$B$60,$D$136,$D$18:$D$60,"Fora Ponta")),(SUMIFS($F$18:$F$60,$B$18:$B$60,$D$136,$D$18:$D$60,"Fora Ponta"))))</f>
        <v>0</v>
      </c>
      <c r="N147" s="1336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807" t="s">
        <v>1253</v>
      </c>
      <c r="K149" s="1808"/>
      <c r="L149" s="1806" t="s">
        <v>1254</v>
      </c>
      <c r="M149" s="1806"/>
      <c r="N149" s="283"/>
    </row>
    <row r="150" spans="3:14" ht="15.75">
      <c r="C150" s="1809" t="s">
        <v>1264</v>
      </c>
      <c r="D150" s="1810"/>
      <c r="F150" s="275"/>
      <c r="G150" s="1323" t="s">
        <v>716</v>
      </c>
      <c r="H150" s="1324" t="s">
        <v>1255</v>
      </c>
      <c r="I150" s="1324" t="s">
        <v>1256</v>
      </c>
      <c r="J150" s="1325" t="s">
        <v>1257</v>
      </c>
      <c r="K150" s="1325" t="s">
        <v>1258</v>
      </c>
      <c r="L150" s="1325" t="s">
        <v>1257</v>
      </c>
      <c r="M150" s="1325" t="s">
        <v>1258</v>
      </c>
      <c r="N150" s="282" t="s">
        <v>1259</v>
      </c>
    </row>
    <row r="151" spans="3:14" ht="15.75">
      <c r="C151" s="1320" t="s">
        <v>1260</v>
      </c>
      <c r="D151" s="1337">
        <f>IF(D20="Ponta",B20,0)</f>
        <v>0</v>
      </c>
      <c r="E151" s="18"/>
      <c r="F151" s="275"/>
      <c r="G151" s="1327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28">
        <f>IF(MONTH(DataRevRea)=7,'Rede Básica + Ajuste'!J151,IF(G151&lt;$Q$69,(SUMIFS($G$18:$G$60,$B$18:$B$60,$D$151,$D$18:$D$60,"Ponta")),(SUMIFS($H$18:$H$60,$B$18:$B$60,$D$151,$D$18:$D$60,"Ponta"))))</f>
        <v>0</v>
      </c>
      <c r="M151" s="1328">
        <f>IF(MONTH(DataRevRea)=7,'Rede Básica + Ajuste'!K151,IF(G151&lt;$Q$69,(SUMIFS($G$18:$G$60,$B$18:$B$60,$D$151,$D$18:$D$60,"Fora Ponta")),(SUMIFS($H$18:$H$60,$B$18:$B$60,$D$151,$D$18:$D$60,"Fora Ponta"))))</f>
        <v>0</v>
      </c>
      <c r="N151" s="1329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30" t="s">
        <v>1261</v>
      </c>
      <c r="E153" s="1331" t="s">
        <v>1262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32" t="str">
        <f>C139</f>
        <v>Cobertura 2021</v>
      </c>
      <c r="D154" s="1333">
        <f>SUMPRODUCT(H151:H162,J151:J162)</f>
        <v>0</v>
      </c>
      <c r="E154" s="1333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32" t="s">
        <v>1263</v>
      </c>
      <c r="D155" s="1333">
        <f>SUMPRODUCT(H151:H162,L151:L162)</f>
        <v>0</v>
      </c>
      <c r="E155" s="1333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34">
        <f t="shared" si="29"/>
        <v>44713</v>
      </c>
      <c r="H162" s="1335">
        <f t="shared" si="29"/>
        <v>0</v>
      </c>
      <c r="I162" s="1335">
        <f t="shared" si="29"/>
        <v>0</v>
      </c>
      <c r="J162" s="1335">
        <f t="shared" si="30"/>
        <v>0</v>
      </c>
      <c r="K162" s="1335">
        <f t="shared" si="31"/>
        <v>0</v>
      </c>
      <c r="L162" s="1335">
        <f>IF(MONTH(DataRevRea)=7,'Rede Básica + Ajuste'!J162,IF(G162&lt;$Q$69,(SUMIFS($G$18:$G$60,$B$18:$B$60,$D$151,$D$18:$D$60,"Ponta")),(SUMIFS($H$18:$H$60,$B$18:$B$60,$D$151,$D$18:$D$60,"Ponta"))))</f>
        <v>0</v>
      </c>
      <c r="M162" s="1335">
        <f>IF(MONTH(DataRevRea)=7,'Rede Básica + Ajuste'!K162,IF(G162&lt;$Q$69,(SUMIFS($G$18:$G$60,$B$18:$B$60,$D$151,$D$18:$D$60,"Fora Ponta")),(SUMIFS($H$18:$H$60,$B$18:$B$60,$D$151,$D$18:$D$60,"Fora Ponta"))))</f>
        <v>0</v>
      </c>
      <c r="N162" s="1336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807" t="s">
        <v>1253</v>
      </c>
      <c r="K164" s="1808"/>
      <c r="L164" s="1806" t="s">
        <v>1254</v>
      </c>
      <c r="M164" s="1806"/>
      <c r="N164" s="283"/>
    </row>
    <row r="165" spans="3:14" ht="15.75">
      <c r="C165" s="1809" t="s">
        <v>1236</v>
      </c>
      <c r="D165" s="1810"/>
      <c r="F165" s="275"/>
      <c r="G165" s="1323" t="s">
        <v>716</v>
      </c>
      <c r="H165" s="1324" t="s">
        <v>1255</v>
      </c>
      <c r="I165" s="1324" t="s">
        <v>1256</v>
      </c>
      <c r="J165" s="1325" t="s">
        <v>1257</v>
      </c>
      <c r="K165" s="1325" t="s">
        <v>1258</v>
      </c>
      <c r="L165" s="1325" t="s">
        <v>1257</v>
      </c>
      <c r="M165" s="1325" t="s">
        <v>1258</v>
      </c>
      <c r="N165" s="282" t="s">
        <v>1259</v>
      </c>
    </row>
    <row r="166" spans="3:14" ht="15.75">
      <c r="C166" s="1320" t="s">
        <v>1260</v>
      </c>
      <c r="D166" s="1337">
        <f>IF(D21="Ponta",B21,0)</f>
        <v>0</v>
      </c>
      <c r="E166" s="18"/>
      <c r="F166" s="275"/>
      <c r="G166" s="1327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28">
        <f>IF(MONTH(DataRevRea)=7,'Rede Básica + Ajuste'!J166,IF(G166&lt;$Q$69,(SUMIFS($E$18:$E$60,$B$18:$B$60,$D$166,$D$18:$D$60,"Ponta")),(SUMIFS($F$18:$F$60,$B$18:$B$60,$D$166,$D$18:$D$60,"Ponta"))))</f>
        <v>0</v>
      </c>
      <c r="M166" s="1328">
        <f>IF(MONTH(DataRevRea)=7,'Rede Básica + Ajuste'!K166,IF(G166&lt;$Q$69,(SUMIFS($E$18:$E$60,$B$18:$B$60,$D$166,$D$18:$D$60,"Fora Ponta")),(SUMIFS($F$18:$F$60,$B$18:$B$60,$D$166,$D$18:$D$60,"Fora Ponta"))))</f>
        <v>0</v>
      </c>
      <c r="N166" s="1329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30" t="s">
        <v>1261</v>
      </c>
      <c r="E168" s="1331" t="s">
        <v>1262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32" t="str">
        <f>C154</f>
        <v>Cobertura 2021</v>
      </c>
      <c r="D169" s="1333">
        <f>SUMPRODUCT(H166:H177,J166:J177)</f>
        <v>0</v>
      </c>
      <c r="E169" s="1333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32" t="s">
        <v>1263</v>
      </c>
      <c r="D170" s="1333">
        <f>SUMPRODUCT(H166:H177,L166:L177)</f>
        <v>0</v>
      </c>
      <c r="E170" s="1333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34">
        <f t="shared" si="33"/>
        <v>44713</v>
      </c>
      <c r="H177" s="1335">
        <f>SUMIFS($Y$18:$Y$60,$B$18:$B$60,$D$166,$D$18:$D$60,"Ponta")</f>
        <v>0</v>
      </c>
      <c r="I177" s="1335">
        <f>SUMIFS($Y$18:$Y$60,$B$18:$B$60,$D$166,$D$18:$D$60,"Fora Ponta")</f>
        <v>0</v>
      </c>
      <c r="J177" s="1335">
        <f t="shared" si="34"/>
        <v>0</v>
      </c>
      <c r="K177" s="1335">
        <f t="shared" si="35"/>
        <v>0</v>
      </c>
      <c r="L177" s="1335">
        <f>IF(MONTH(DataRevRea)=7,'Rede Básica + Ajuste'!J177,IF(G177&lt;$Q$69,(SUMIFS($E$18:$E$60,$B$18:$B$60,$D$166,$D$18:$D$60,"Ponta")),(SUMIFS($F$18:$F$60,$B$18:$B$60,$D$166,$D$18:$D$60,"Ponta"))))</f>
        <v>0</v>
      </c>
      <c r="M177" s="1335">
        <f>IF(MONTH(DataRevRea)=7,'Rede Básica + Ajuste'!K177,IF(G177&lt;$Q$69,(SUMIFS($E$18:$E$60,$B$18:$B$60,$D$166,$D$18:$D$60,"Fora Ponta")),(SUMIFS($F$18:$F$60,$B$18:$B$60,$D$166,$D$18:$D$60,"Fora Ponta"))))</f>
        <v>0</v>
      </c>
      <c r="N177" s="1336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807" t="s">
        <v>1253</v>
      </c>
      <c r="K179" s="1808"/>
      <c r="L179" s="1806" t="s">
        <v>1254</v>
      </c>
      <c r="M179" s="1806"/>
      <c r="N179" s="283"/>
    </row>
    <row r="180" spans="3:14" ht="15.75">
      <c r="C180" s="1809" t="s">
        <v>1264</v>
      </c>
      <c r="D180" s="1810"/>
      <c r="F180" s="275"/>
      <c r="G180" s="1323" t="s">
        <v>716</v>
      </c>
      <c r="H180" s="1324" t="s">
        <v>1255</v>
      </c>
      <c r="I180" s="1324" t="s">
        <v>1256</v>
      </c>
      <c r="J180" s="1325" t="s">
        <v>1257</v>
      </c>
      <c r="K180" s="1325" t="s">
        <v>1258</v>
      </c>
      <c r="L180" s="1325" t="s">
        <v>1257</v>
      </c>
      <c r="M180" s="1325" t="s">
        <v>1258</v>
      </c>
      <c r="N180" s="282" t="s">
        <v>1259</v>
      </c>
    </row>
    <row r="181" spans="3:14" ht="15.75">
      <c r="C181" s="1320" t="s">
        <v>1260</v>
      </c>
      <c r="D181" s="1337">
        <f>IF(D21="Ponta",B21,0)</f>
        <v>0</v>
      </c>
      <c r="E181" s="18"/>
      <c r="F181" s="275"/>
      <c r="G181" s="1327">
        <f>G166</f>
        <v>44378</v>
      </c>
      <c r="H181" s="277">
        <f>H166</f>
        <v>0</v>
      </c>
      <c r="I181" s="277">
        <f>I166</f>
        <v>0</v>
      </c>
      <c r="J181" s="1328">
        <f>SUMIFS($G$18:$G$60,$B$18:$B$60,$D$181,$D$18:$D$60,"Ponta")</f>
        <v>0</v>
      </c>
      <c r="K181" s="1328">
        <f>SUMIFS($G$18:$G$60,$B$18:$B$60,$D$181,$D$18:$D$60,"Fora Ponta")</f>
        <v>0</v>
      </c>
      <c r="L181" s="1328">
        <f>IF(MONTH(DataRevRea)=7,'Rede Básica + Ajuste'!J181,IF(G181&lt;$Q$69,(SUMIFS($G$18:$G$60,$B$18:$B$60,$D$181,$D$18:$D$60,"Ponta")),(SUMIFS($H$18:$H$60,$B$18:$B$60,$D$181,$D$18:$D$60,"Ponta"))))</f>
        <v>0</v>
      </c>
      <c r="M181" s="1328">
        <f>IF(MONTH(DataRevRea)=7,'Rede Básica + Ajuste'!K181,IF(G181&lt;$Q$69,(SUMIFS($G$18:$G$60,$B$18:$B$60,$D$181,$D$18:$D$60,"Fora Ponta")),(SUMIFS($H$18:$H$60,$B$18:$B$60,$D$181,$D$18:$D$60,"Fora Ponta"))))</f>
        <v>0</v>
      </c>
      <c r="N181" s="1329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30" t="s">
        <v>1261</v>
      </c>
      <c r="E183" s="1331" t="s">
        <v>1262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32" t="str">
        <f>C169</f>
        <v>Cobertura 2021</v>
      </c>
      <c r="D184" s="1333">
        <f>SUMPRODUCT(H181:H192,J181:J192)</f>
        <v>0</v>
      </c>
      <c r="E184" s="1333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32" t="s">
        <v>1263</v>
      </c>
      <c r="D185" s="1333">
        <f>SUMPRODUCT(H181:H192,L181:L192)</f>
        <v>0</v>
      </c>
      <c r="E185" s="1333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34">
        <f t="shared" si="37"/>
        <v>44713</v>
      </c>
      <c r="H192" s="1335">
        <f t="shared" si="37"/>
        <v>0</v>
      </c>
      <c r="I192" s="1335">
        <f t="shared" si="37"/>
        <v>0</v>
      </c>
      <c r="J192" s="1335">
        <f t="shared" si="38"/>
        <v>0</v>
      </c>
      <c r="K192" s="1335">
        <f t="shared" si="39"/>
        <v>0</v>
      </c>
      <c r="L192" s="1335">
        <f>IF(MONTH(DataRevRea)=7,'Rede Básica + Ajuste'!J192,IF(G192&lt;$Q$69,(SUMIFS($G$18:$G$60,$B$18:$B$60,$D$181,$D$18:$D$60,"Ponta")),(SUMIFS($H$18:$H$60,$B$18:$B$60,$D$181,$D$18:$D$60,"Ponta"))))</f>
        <v>0</v>
      </c>
      <c r="M192" s="1335">
        <f>IF(MONTH(DataRevRea)=7,'Rede Básica + Ajuste'!K192,IF(G192&lt;$Q$69,(SUMIFS($G$18:$G$60,$B$18:$B$60,$D$181,$D$18:$D$60,"Fora Ponta")),(SUMIFS($H$18:$H$60,$B$18:$B$60,$D$181,$D$18:$D$60,"Fora Ponta"))))</f>
        <v>0</v>
      </c>
      <c r="N192" s="1336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807" t="s">
        <v>1253</v>
      </c>
      <c r="K194" s="1808"/>
      <c r="L194" s="1806" t="s">
        <v>1254</v>
      </c>
      <c r="M194" s="1806"/>
      <c r="N194" s="283"/>
    </row>
    <row r="195" spans="3:14" ht="15.75">
      <c r="C195" s="1809" t="s">
        <v>1236</v>
      </c>
      <c r="D195" s="1810"/>
      <c r="F195" s="275"/>
      <c r="G195" s="1323" t="s">
        <v>716</v>
      </c>
      <c r="H195" s="1324" t="s">
        <v>1255</v>
      </c>
      <c r="I195" s="1324" t="s">
        <v>1256</v>
      </c>
      <c r="J195" s="1325" t="s">
        <v>1257</v>
      </c>
      <c r="K195" s="1325" t="s">
        <v>1258</v>
      </c>
      <c r="L195" s="1325" t="s">
        <v>1257</v>
      </c>
      <c r="M195" s="1325" t="s">
        <v>1258</v>
      </c>
      <c r="N195" s="282" t="s">
        <v>1259</v>
      </c>
    </row>
    <row r="196" spans="3:14" ht="15.75">
      <c r="C196" s="1320" t="s">
        <v>1260</v>
      </c>
      <c r="D196" s="1337">
        <f>IF(D22="Ponta",B22,0)</f>
        <v>0</v>
      </c>
      <c r="E196" s="18"/>
      <c r="F196" s="275"/>
      <c r="G196" s="1327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28">
        <f>SUMIFS($E$18:$E$60,$B$18:$B$60,$D$196,$D$18:$D$60,"Ponta")</f>
        <v>0</v>
      </c>
      <c r="K196" s="1328">
        <f>SUMIFS($E$18:$E$60,$B$18:$B$60,$D$196,$D$18:$D$60,"Fora Ponta")</f>
        <v>0</v>
      </c>
      <c r="L196" s="1328">
        <f>IF(MONTH(DataRevRea)=7,'Rede Básica + Ajuste'!J196,IF(G196&lt;$Q$69,(SUMIFS($E$18:$E$60,$B$18:$B$60,$D$196,$D$18:$D$60,"Ponta")),(SUMIFS($F$18:$F$60,$B$18:$B$60,$D$196,$D$18:$D$60,"Ponta"))))</f>
        <v>0</v>
      </c>
      <c r="M196" s="1328">
        <f>IF(MONTH(DataRevRea)=7,'Rede Básica + Ajuste'!K196,IF(G196&lt;$Q$69,(SUMIFS($E$18:$E$60,$B$18:$B$60,$D$196,$D$18:$D$60,"Fora Ponta")),(SUMIFS($F$18:$F$60,$B$18:$B$60,$D$196,$D$18:$D$60,"Fora Ponta"))))</f>
        <v>0</v>
      </c>
      <c r="N196" s="1329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30" t="s">
        <v>1261</v>
      </c>
      <c r="E198" s="1331" t="s">
        <v>1262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32" t="str">
        <f>C184</f>
        <v>Cobertura 2021</v>
      </c>
      <c r="D199" s="1333">
        <f>SUMPRODUCT(H196:H207,J196:J207)</f>
        <v>0</v>
      </c>
      <c r="E199" s="1333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32" t="s">
        <v>1263</v>
      </c>
      <c r="D200" s="1333">
        <f>SUMPRODUCT(H196:H207,L196:L207)</f>
        <v>0</v>
      </c>
      <c r="E200" s="1333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34">
        <f t="shared" si="41"/>
        <v>44713</v>
      </c>
      <c r="H207" s="1335">
        <f>SUMIFS($Y$18:$Y$60,$B$18:$B$60,$D$196,$D$18:$D$60,"Ponta")</f>
        <v>0</v>
      </c>
      <c r="I207" s="1335">
        <f>SUMIFS($Y$18:$Y$60,$B$18:$B$60,$D$196,$D$18:$D$60,"Fora Ponta")</f>
        <v>0</v>
      </c>
      <c r="J207" s="1335">
        <f t="shared" si="42"/>
        <v>0</v>
      </c>
      <c r="K207" s="1335">
        <f t="shared" si="43"/>
        <v>0</v>
      </c>
      <c r="L207" s="1335">
        <f>IF(MONTH(DataRevRea)=7,'Rede Básica + Ajuste'!J207,IF(G207&lt;$Q$69,(SUMIFS($E$18:$E$60,$B$18:$B$60,$D$196,$D$18:$D$60,"Ponta")),(SUMIFS($F$18:$F$60,$B$18:$B$60,$D$196,$D$18:$D$60,"Ponta"))))</f>
        <v>0</v>
      </c>
      <c r="M207" s="1335">
        <f>IF(MONTH(DataRevRea)=7,'Rede Básica + Ajuste'!K207,IF(G207&lt;$Q$69,(SUMIFS($E$18:$E$60,$B$18:$B$60,$D$196,$D$18:$D$60,"Fora Ponta")),(SUMIFS($F$18:$F$60,$B$18:$B$60,$D$196,$D$18:$D$60,"Fora Ponta"))))</f>
        <v>0</v>
      </c>
      <c r="N207" s="1336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807" t="s">
        <v>1253</v>
      </c>
      <c r="K209" s="1808"/>
      <c r="L209" s="1806" t="s">
        <v>1254</v>
      </c>
      <c r="M209" s="1806"/>
      <c r="N209" s="283"/>
    </row>
    <row r="210" spans="3:14" ht="15.75">
      <c r="C210" s="1809" t="s">
        <v>1264</v>
      </c>
      <c r="D210" s="1810"/>
      <c r="F210" s="275"/>
      <c r="G210" s="1323" t="s">
        <v>716</v>
      </c>
      <c r="H210" s="1324" t="s">
        <v>1255</v>
      </c>
      <c r="I210" s="1324" t="s">
        <v>1256</v>
      </c>
      <c r="J210" s="1325" t="s">
        <v>1257</v>
      </c>
      <c r="K210" s="1325" t="s">
        <v>1258</v>
      </c>
      <c r="L210" s="1325" t="s">
        <v>1257</v>
      </c>
      <c r="M210" s="1325" t="s">
        <v>1258</v>
      </c>
      <c r="N210" s="282" t="s">
        <v>1259</v>
      </c>
    </row>
    <row r="211" spans="3:14" ht="15.75">
      <c r="C211" s="1320" t="s">
        <v>1260</v>
      </c>
      <c r="D211" s="1337">
        <f>IF(D22="Ponta",B22,0)</f>
        <v>0</v>
      </c>
      <c r="E211" s="18"/>
      <c r="F211" s="275"/>
      <c r="G211" s="1327">
        <f>G196</f>
        <v>44378</v>
      </c>
      <c r="H211" s="277">
        <f>H196</f>
        <v>0</v>
      </c>
      <c r="I211" s="277">
        <f>I196</f>
        <v>0</v>
      </c>
      <c r="J211" s="1328">
        <f>SUMIFS($G$18:$G$60,$B$18:$B$60,$D$211,$D$18:$D$60,"Ponta")</f>
        <v>0</v>
      </c>
      <c r="K211" s="1328">
        <f>SUMIFS($G$18:$G$60,$B$18:$B$60,$D$211,$D$18:$D$60,"Fora Ponta")</f>
        <v>0</v>
      </c>
      <c r="L211" s="1328">
        <f>IF(MONTH(DataRevRea)=7,'Rede Básica + Ajuste'!J211,IF(G211&lt;$Q$69,(SUMIFS($G$18:$G$60,$B$18:$B$60,$D$211,$D$18:$D$60,"Ponta")),(SUMIFS($H$18:$H$60,$B$18:$B$60,$D$211,$D$18:$D$60,"Ponta"))))</f>
        <v>0</v>
      </c>
      <c r="M211" s="1328">
        <f>IF(MONTH(DataRevRea)=7,'Rede Básica + Ajuste'!K211,IF(G211&lt;$Q$69,(SUMIFS($G$18:$G$60,$B$18:$B$60,$D$211,$D$18:$D$60,"Fora Ponta")),(SUMIFS($H$18:$H$60,$B$18:$B$60,$D$211,$D$18:$D$60,"Fora Ponta"))))</f>
        <v>0</v>
      </c>
      <c r="N211" s="1329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30" t="s">
        <v>1261</v>
      </c>
      <c r="E213" s="1331" t="s">
        <v>1262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32" t="str">
        <f>C199</f>
        <v>Cobertura 2021</v>
      </c>
      <c r="D214" s="1333">
        <f>SUMPRODUCT(H211:H222,J211:J222)</f>
        <v>0</v>
      </c>
      <c r="E214" s="1333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32" t="s">
        <v>1263</v>
      </c>
      <c r="D215" s="1333">
        <f>SUMPRODUCT(H211:H222,L211:L222)</f>
        <v>0</v>
      </c>
      <c r="E215" s="1333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34">
        <f t="shared" si="45"/>
        <v>44713</v>
      </c>
      <c r="H222" s="1335">
        <f t="shared" si="45"/>
        <v>0</v>
      </c>
      <c r="I222" s="1335">
        <f t="shared" si="45"/>
        <v>0</v>
      </c>
      <c r="J222" s="1335">
        <f t="shared" si="46"/>
        <v>0</v>
      </c>
      <c r="K222" s="1335">
        <f t="shared" si="47"/>
        <v>0</v>
      </c>
      <c r="L222" s="1335">
        <f>IF(MONTH(DataRevRea)=7,'Rede Básica + Ajuste'!J222,IF(G222&lt;$Q$69,(SUMIFS($G$18:$G$60,$B$18:$B$60,$D$211,$D$18:$D$60,"Ponta")),(SUMIFS($H$18:$H$60,$B$18:$B$60,$D$211,$D$18:$D$60,"Ponta"))))</f>
        <v>0</v>
      </c>
      <c r="M222" s="1335">
        <f>IF(MONTH(DataRevRea)=7,'Rede Básica + Ajuste'!K222,IF(G222&lt;$Q$69,(SUMIFS($G$18:$G$60,$B$18:$B$60,$D$211,$D$18:$D$60,"Fora Ponta")),(SUMIFS($H$18:$H$60,$B$18:$B$60,$D$211,$D$18:$D$60,"Fora Ponta"))))</f>
        <v>0</v>
      </c>
      <c r="N222" s="1336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53" priority="11" stopIfTrue="1" operator="equal">
      <formula>"d"</formula>
    </cfRule>
  </conditionalFormatting>
  <conditionalFormatting sqref="B16">
    <cfRule type="cellIs" dxfId="52" priority="10" stopIfTrue="1" operator="equal">
      <formula>"d"</formula>
    </cfRule>
  </conditionalFormatting>
  <conditionalFormatting sqref="B18:Y18 B20:Y60 B19:D19 F19:Y19">
    <cfRule type="cellIs" dxfId="51" priority="5" stopIfTrue="1" operator="equal">
      <formula>"d"</formula>
    </cfRule>
  </conditionalFormatting>
  <conditionalFormatting sqref="E19">
    <cfRule type="cellIs" dxfId="50" priority="4" stopIfTrue="1" operator="equal">
      <formula>"d"</formula>
    </cfRule>
  </conditionalFormatting>
  <conditionalFormatting sqref="E64 E66:E67">
    <cfRule type="cellIs" dxfId="49" priority="3" stopIfTrue="1" operator="equal">
      <formula>"d"</formula>
    </cfRule>
  </conditionalFormatting>
  <conditionalFormatting sqref="E65">
    <cfRule type="cellIs" dxfId="48" priority="2" stopIfTrue="1" operator="equal">
      <formula>"d"</formula>
    </cfRule>
  </conditionalFormatting>
  <conditionalFormatting sqref="G64:G67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994" t="s">
        <v>708</v>
      </c>
      <c r="C1" s="1091"/>
      <c r="D1" s="995"/>
      <c r="E1" s="1304"/>
      <c r="F1" s="1304"/>
      <c r="G1" s="1204" t="s">
        <v>953</v>
      </c>
      <c r="H1" s="1205">
        <f ca="1">LnkTXTIRTEco</f>
        <v>0.12970000000000001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1265</v>
      </c>
      <c r="AL1" s="185">
        <v>7947</v>
      </c>
      <c r="AM1" s="184" t="s">
        <v>1266</v>
      </c>
    </row>
    <row r="2" spans="2:39" ht="15" thickBot="1">
      <c r="B2" s="138" t="str">
        <f>CAPA!C9</f>
        <v>Cermissões</v>
      </c>
      <c r="C2" s="70"/>
      <c r="D2" s="70"/>
      <c r="G2" s="121" t="s">
        <v>957</v>
      </c>
      <c r="H2" s="122">
        <f ca="1">LnkTXTIRTTotal</f>
        <v>-9.4E-2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1267</v>
      </c>
      <c r="AL2" s="187">
        <v>7959</v>
      </c>
      <c r="AM2" s="188" t="s">
        <v>1268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1269</v>
      </c>
      <c r="AL4" s="171">
        <v>7972</v>
      </c>
      <c r="AM4" s="172" t="s">
        <v>1270</v>
      </c>
    </row>
    <row r="5" spans="2:39" ht="29.25" thickBot="1">
      <c r="B5" s="1308" t="s">
        <v>1271</v>
      </c>
      <c r="C5" s="1308" t="s">
        <v>1272</v>
      </c>
      <c r="D5" s="1308" t="s">
        <v>1273</v>
      </c>
      <c r="E5" s="1308" t="s">
        <v>1274</v>
      </c>
      <c r="F5" s="1308" t="s">
        <v>1275</v>
      </c>
      <c r="G5" s="1308" t="s">
        <v>1276</v>
      </c>
      <c r="J5" s="158" t="s">
        <v>1277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1278</v>
      </c>
      <c r="AL5" s="171">
        <v>7973</v>
      </c>
      <c r="AM5" s="172" t="s">
        <v>1279</v>
      </c>
    </row>
    <row r="6" spans="2:39" ht="15" thickBot="1">
      <c r="B6" s="394">
        <f>RBBD!B304</f>
        <v>0</v>
      </c>
      <c r="C6" s="395">
        <f>SUM(RBBD!D304:E304)</f>
        <v>0</v>
      </c>
      <c r="D6" s="396">
        <f>SUM(RBBD!F304:G304)</f>
        <v>0</v>
      </c>
      <c r="E6" s="396">
        <f>SUM(RBBD!H304:I304)</f>
        <v>0</v>
      </c>
      <c r="F6" s="395">
        <f>RBBD!C304</f>
        <v>0</v>
      </c>
      <c r="G6" s="395">
        <f>SUM(C6:E6)</f>
        <v>0</v>
      </c>
      <c r="J6" s="158" t="s">
        <v>849</v>
      </c>
      <c r="K6" s="169">
        <v>3</v>
      </c>
      <c r="AK6" s="170" t="s">
        <v>1280</v>
      </c>
      <c r="AL6" s="171">
        <v>7974</v>
      </c>
      <c r="AM6" s="172" t="s">
        <v>1281</v>
      </c>
    </row>
    <row r="7" spans="2:39" ht="15" thickBot="1">
      <c r="B7" s="394">
        <f>RBBD!B305</f>
        <v>0</v>
      </c>
      <c r="C7" s="395">
        <f>SUM(RBBD!D305:E305)</f>
        <v>0</v>
      </c>
      <c r="D7" s="396">
        <f>SUM(RBBD!F305:G305)</f>
        <v>0</v>
      </c>
      <c r="E7" s="396">
        <f>SUM(RBBD!H305:I305)</f>
        <v>0</v>
      </c>
      <c r="F7" s="395">
        <f>RBBD!C305</f>
        <v>0</v>
      </c>
      <c r="G7" s="395">
        <f>SUM(C7:E7)</f>
        <v>0</v>
      </c>
      <c r="J7" s="158"/>
      <c r="K7" s="158"/>
      <c r="AK7" s="170" t="s">
        <v>1282</v>
      </c>
      <c r="AL7" s="171">
        <v>7977</v>
      </c>
      <c r="AM7" s="172" t="s">
        <v>1283</v>
      </c>
    </row>
    <row r="8" spans="2:39" ht="15" thickBot="1">
      <c r="B8" s="394">
        <f>RBBD!B306</f>
        <v>0</v>
      </c>
      <c r="C8" s="395">
        <f>SUM(RBBD!D306:E306)</f>
        <v>0</v>
      </c>
      <c r="D8" s="396">
        <f>SUM(RBBD!F306:G306)</f>
        <v>0</v>
      </c>
      <c r="E8" s="396">
        <f>SUM(RBBD!H306:I306)</f>
        <v>0</v>
      </c>
      <c r="F8" s="395">
        <f>RBBD!C306</f>
        <v>0</v>
      </c>
      <c r="G8" s="395">
        <f>SUM(C8:E8)</f>
        <v>0</v>
      </c>
      <c r="AK8" s="170" t="s">
        <v>1284</v>
      </c>
      <c r="AL8" s="171">
        <v>7978</v>
      </c>
      <c r="AM8" s="172" t="s">
        <v>1285</v>
      </c>
    </row>
    <row r="9" spans="2:39" ht="15" thickBot="1">
      <c r="B9" s="394">
        <f>RBBD!B307</f>
        <v>0</v>
      </c>
      <c r="C9" s="395">
        <f>SUM(RBBD!D307:E307)</f>
        <v>0</v>
      </c>
      <c r="D9" s="396">
        <f>SUM(RBBD!F307:G307)</f>
        <v>0</v>
      </c>
      <c r="E9" s="396">
        <f>SUM(RBBD!H307:I307)</f>
        <v>0</v>
      </c>
      <c r="F9" s="395">
        <f>RBBD!C307</f>
        <v>0</v>
      </c>
      <c r="G9" s="395">
        <f>SUM(C9:E9)</f>
        <v>0</v>
      </c>
      <c r="AK9" s="170" t="s">
        <v>1286</v>
      </c>
      <c r="AL9" s="171">
        <v>7979</v>
      </c>
      <c r="AM9" s="172" t="s">
        <v>1287</v>
      </c>
    </row>
    <row r="10" spans="2:39" ht="15" thickBot="1">
      <c r="B10" s="394">
        <f>RBBD!B308</f>
        <v>0</v>
      </c>
      <c r="C10" s="395">
        <f>SUM(RBBD!D308:E308)</f>
        <v>0</v>
      </c>
      <c r="D10" s="396">
        <f>SUM(RBBD!F308:G308)</f>
        <v>0</v>
      </c>
      <c r="E10" s="396">
        <f>SUM(RBBD!H308:I308)</f>
        <v>0</v>
      </c>
      <c r="F10" s="395">
        <f>RBBD!C308</f>
        <v>0</v>
      </c>
      <c r="G10" s="395">
        <f>SUM(C10:E10)</f>
        <v>0</v>
      </c>
      <c r="AK10" s="170" t="s">
        <v>1288</v>
      </c>
      <c r="AL10" s="171">
        <v>8047</v>
      </c>
      <c r="AM10" s="172" t="s">
        <v>1289</v>
      </c>
    </row>
    <row r="11" spans="2:39" ht="15" thickBot="1">
      <c r="B11" s="1338" t="s">
        <v>837</v>
      </c>
      <c r="C11" s="1339">
        <f>SUM(C6:C10)</f>
        <v>0</v>
      </c>
      <c r="D11" s="1339">
        <f>SUM(D6:D10)</f>
        <v>0</v>
      </c>
      <c r="E11" s="1340">
        <f>SUM(E6:E10)</f>
        <v>0</v>
      </c>
      <c r="F11" s="1341"/>
      <c r="G11" s="1342">
        <f>SUM(G6:G10)</f>
        <v>0</v>
      </c>
      <c r="AK11" s="170" t="s">
        <v>1290</v>
      </c>
      <c r="AL11" s="171">
        <v>8049</v>
      </c>
      <c r="AM11" s="172" t="s">
        <v>1291</v>
      </c>
    </row>
    <row r="12" spans="2:39" ht="15" thickBot="1">
      <c r="B12" s="166"/>
      <c r="C12" s="165"/>
      <c r="D12" s="1343" t="s">
        <v>1292</v>
      </c>
      <c r="E12" s="1343"/>
      <c r="F12" s="1344">
        <f>IF(MONTH(CAPA!C15)&gt;6,DATE(YEAR(CAPA!C15),6,1),DATE(YEAR(CAPA!C15)-1,6,1))</f>
        <v>44713</v>
      </c>
      <c r="G12" s="189"/>
      <c r="AK12" s="170" t="s">
        <v>1293</v>
      </c>
      <c r="AL12" s="171">
        <v>8050</v>
      </c>
      <c r="AM12" s="172" t="s">
        <v>1294</v>
      </c>
    </row>
    <row r="13" spans="2:39" ht="15" thickBot="1">
      <c r="B13" s="182"/>
      <c r="C13" s="182"/>
      <c r="D13" s="182"/>
      <c r="F13" s="183" t="s">
        <v>1295</v>
      </c>
      <c r="AK13" s="170"/>
      <c r="AL13" s="171"/>
      <c r="AM13" s="172"/>
    </row>
    <row r="14" spans="2:39" ht="15" thickBot="1">
      <c r="B14" s="182"/>
      <c r="C14" s="182"/>
      <c r="AK14" s="170" t="s">
        <v>1296</v>
      </c>
      <c r="AL14" s="171">
        <v>8051</v>
      </c>
      <c r="AM14" s="172" t="s">
        <v>1297</v>
      </c>
    </row>
    <row r="15" spans="2:39" ht="29.25" thickBot="1">
      <c r="B15" s="1308" t="s">
        <v>1271</v>
      </c>
      <c r="C15" s="1308" t="s">
        <v>1272</v>
      </c>
      <c r="D15" s="1308" t="s">
        <v>1298</v>
      </c>
      <c r="E15" s="1308" t="s">
        <v>1299</v>
      </c>
      <c r="F15" s="151"/>
      <c r="AK15" s="170" t="s">
        <v>1300</v>
      </c>
      <c r="AL15" s="171">
        <v>8057</v>
      </c>
      <c r="AM15" s="172" t="s">
        <v>1301</v>
      </c>
    </row>
    <row r="16" spans="2:39" ht="15" thickBot="1">
      <c r="B16" s="190">
        <f>B6</f>
        <v>0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2"/>
      <c r="E16" s="191">
        <f>SUM(C16:D16)</f>
        <v>0</v>
      </c>
      <c r="F16" s="151"/>
      <c r="AK16" s="170" t="s">
        <v>1302</v>
      </c>
      <c r="AL16" s="171">
        <v>8058</v>
      </c>
      <c r="AM16" s="172" t="s">
        <v>1303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1304</v>
      </c>
      <c r="AL17" s="171">
        <v>8220</v>
      </c>
      <c r="AM17" s="172" t="s">
        <v>1305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1306</v>
      </c>
      <c r="AL18" s="171">
        <v>8221</v>
      </c>
      <c r="AM18" s="172" t="s">
        <v>1307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1308</v>
      </c>
      <c r="AL19" s="171">
        <v>8231</v>
      </c>
      <c r="AM19" s="172" t="s">
        <v>1309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1310</v>
      </c>
      <c r="AL20" s="171">
        <v>8261</v>
      </c>
      <c r="AM20" s="172" t="s">
        <v>1311</v>
      </c>
    </row>
    <row r="21" spans="2:39">
      <c r="B21" s="1338" t="s">
        <v>837</v>
      </c>
      <c r="C21" s="1345">
        <f>SUM(C16:C20)</f>
        <v>0</v>
      </c>
      <c r="D21" s="1345">
        <f>SUM(D16:D20)</f>
        <v>0</v>
      </c>
      <c r="E21" s="1345">
        <f>SUM(E16:E20)</f>
        <v>0</v>
      </c>
      <c r="F21" s="151"/>
      <c r="AK21" s="173" t="s">
        <v>1312</v>
      </c>
      <c r="AL21" s="174">
        <v>8263</v>
      </c>
      <c r="AM21" s="175" t="s">
        <v>1313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 filterMode="1">
    <tabColor theme="0"/>
  </sheetPr>
  <dimension ref="A1:P67"/>
  <sheetViews>
    <sheetView showGridLines="0" topLeftCell="C1" zoomScale="80" zoomScaleNormal="80" workbookViewId="0">
      <selection activeCell="E5" sqref="E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94" t="s">
        <v>1032</v>
      </c>
      <c r="C1" s="1091"/>
      <c r="D1" s="1346"/>
      <c r="E1" s="1347"/>
      <c r="F1" s="1347"/>
      <c r="G1" s="1204" t="s">
        <v>953</v>
      </c>
      <c r="H1" s="1306">
        <f ca="1">LnkTXTIRTEco</f>
        <v>0.12970000000000001</v>
      </c>
    </row>
    <row r="2" spans="1:16" ht="46.5" customHeight="1">
      <c r="B2" s="138" t="str">
        <f>CAPA!C9</f>
        <v>Cermissões</v>
      </c>
      <c r="C2" s="70"/>
      <c r="D2" s="70"/>
      <c r="G2" s="121" t="s">
        <v>957</v>
      </c>
      <c r="H2" s="148">
        <f ca="1">LnkTXTIRTTotal</f>
        <v>-9.4E-2</v>
      </c>
      <c r="I2" s="91" t="s">
        <v>1314</v>
      </c>
    </row>
    <row r="3" spans="1:16">
      <c r="B3" s="1348" t="s">
        <v>1315</v>
      </c>
      <c r="C3" s="1349">
        <f>SUMPRODUCT(J6:J44,H6:H44)</f>
        <v>13082722.717433799</v>
      </c>
      <c r="D3" s="73"/>
      <c r="E3" s="1348" t="s">
        <v>1206</v>
      </c>
      <c r="F3" s="68" t="s">
        <v>1316</v>
      </c>
      <c r="G3" s="1350">
        <f>LnkTXTDescTusdAnte</f>
        <v>0</v>
      </c>
      <c r="H3" s="91"/>
      <c r="I3" s="1351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1317</v>
      </c>
      <c r="B5" s="1352" t="s">
        <v>27</v>
      </c>
      <c r="C5" s="1352" t="s">
        <v>21</v>
      </c>
      <c r="D5" s="1352" t="s">
        <v>22</v>
      </c>
      <c r="E5" s="1352" t="s">
        <v>78</v>
      </c>
      <c r="F5" s="1352" t="s">
        <v>894</v>
      </c>
      <c r="G5" s="1352" t="s">
        <v>1318</v>
      </c>
      <c r="H5" s="1352" t="s">
        <v>60</v>
      </c>
      <c r="I5" s="1352" t="s">
        <v>1207</v>
      </c>
      <c r="J5" s="1352" t="s">
        <v>1208</v>
      </c>
      <c r="L5" s="68"/>
      <c r="M5" s="69"/>
    </row>
    <row r="6" spans="1:16" hidden="1">
      <c r="A6" s="68" t="s">
        <v>2319</v>
      </c>
      <c r="B6" s="149" t="s">
        <v>2320</v>
      </c>
      <c r="C6" s="149" t="s">
        <v>215</v>
      </c>
      <c r="D6" s="149" t="s">
        <v>218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152973.15</v>
      </c>
      <c r="H6" s="149">
        <f>IF(B6="","",IF(LEFT(D6,7)="Demanda",G6,G6/1000))</f>
        <v>152973.15</v>
      </c>
      <c r="I6" s="149">
        <f>IF(ISERROR(VLOOKUP(CONCATENATE(A6,A41,E6,F6),BD!$H$6:$V$30,14,FALSE)),"",VLOOKUP(CONCATENATE(A6,A41,E6,F6),BD!$H$6:$V$30,14,FALSE))</f>
        <v>16.11</v>
      </c>
      <c r="J6" s="149">
        <f t="shared" ref="J6:J13" si="0">IF(ISERROR(I6*(1-$G$3)),"",I6*(1-$G$3))</f>
        <v>16.11</v>
      </c>
      <c r="L6" s="68"/>
      <c r="M6" s="69"/>
      <c r="N6" s="69"/>
    </row>
    <row r="7" spans="1:16" hidden="1">
      <c r="A7" s="68" t="s">
        <v>2319</v>
      </c>
      <c r="B7" s="149" t="s">
        <v>2320</v>
      </c>
      <c r="C7" s="149" t="s">
        <v>215</v>
      </c>
      <c r="D7" s="149" t="s">
        <v>220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52918.29</v>
      </c>
      <c r="H7" s="149">
        <f t="shared" ref="H7:H30" si="3">IF(B7="","",IF(LEFT(D7,7)="Demanda",G7,G7/1000))</f>
        <v>52918.29</v>
      </c>
      <c r="I7" s="149">
        <f>IF(ISERROR(VLOOKUP(CONCATENATE(A7,A42,E7,F7),BD!$H$6:$V$30,14,FALSE)),"",VLOOKUP(CONCATENATE(A7,A42,E7,F7),BD!$H$6:$V$30,14,FALSE))</f>
        <v>18.95</v>
      </c>
      <c r="J7" s="149">
        <f t="shared" si="0"/>
        <v>18.95</v>
      </c>
    </row>
    <row r="8" spans="1:16" hidden="1">
      <c r="A8" s="68" t="s">
        <v>2319</v>
      </c>
      <c r="B8" s="149" t="s">
        <v>2320</v>
      </c>
      <c r="C8" s="149" t="s">
        <v>2179</v>
      </c>
      <c r="D8" s="149" t="s">
        <v>218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210273.09999999998</v>
      </c>
      <c r="H8" s="149">
        <f t="shared" si="3"/>
        <v>210273.09999999998</v>
      </c>
      <c r="I8" s="149">
        <f>IF(ISERROR(VLOOKUP(CONCATENATE(A8,A43,E8,F8),BD!$H$6:$V$30,14,FALSE)),"",VLOOKUP(CONCATENATE(A8,A43,E8,F8),BD!$H$6:$V$30,14,FALSE))</f>
        <v>19.98</v>
      </c>
      <c r="J8" s="149">
        <f t="shared" si="0"/>
        <v>19.98</v>
      </c>
      <c r="L8" s="68"/>
      <c r="M8" s="69"/>
    </row>
    <row r="9" spans="1:16" hidden="1">
      <c r="A9" s="68" t="s">
        <v>2319</v>
      </c>
      <c r="B9" s="149" t="s">
        <v>2320</v>
      </c>
      <c r="C9" s="149" t="s">
        <v>2179</v>
      </c>
      <c r="D9" s="149" t="s">
        <v>220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166202.32</v>
      </c>
      <c r="H9" s="149">
        <f t="shared" si="3"/>
        <v>166202.32</v>
      </c>
      <c r="I9" s="149">
        <f>IF(ISERROR(VLOOKUP(CONCATENATE(A9,A44,E9,F9),BD!$H$6:$V$30,14,FALSE)),"",VLOOKUP(CONCATENATE(A9,A44,E9,F9),BD!$H$6:$V$30,14,FALSE))</f>
        <v>26.9</v>
      </c>
      <c r="J9" s="149">
        <f t="shared" si="0"/>
        <v>26.9</v>
      </c>
      <c r="L9" s="68"/>
      <c r="M9" s="69"/>
    </row>
    <row r="10" spans="1:16">
      <c r="A10" s="68" t="s">
        <v>2319</v>
      </c>
      <c r="B10" s="149" t="s">
        <v>2320</v>
      </c>
      <c r="C10" s="149" t="s">
        <v>215</v>
      </c>
      <c r="D10" s="149" t="s">
        <v>222</v>
      </c>
      <c r="E10" s="149" t="str">
        <f t="shared" si="1"/>
        <v>Não se aplica</v>
      </c>
      <c r="F10" s="149" t="str">
        <f t="shared" si="2"/>
        <v>Energia</v>
      </c>
      <c r="G10" s="149">
        <f>IF(B10="","",SUMIFS(Faturas!V:V,Faturas!R:R,CUSD!B10,Faturas!S:S,CUSD!C10,Faturas!U:U,CUSD!D10))</f>
        <v>41031521.210000001</v>
      </c>
      <c r="H10" s="149">
        <f t="shared" si="3"/>
        <v>41031.521209999999</v>
      </c>
      <c r="I10" s="149">
        <f>IF(ISERROR(VLOOKUP(CONCATENATE(A10,A45,E10,F10),BD!$H$6:$V$30,14,FALSE)),"",VLOOKUP(CONCATENATE(A10,A45,E10,F10),BD!$H$6:$V$30,14,FALSE))</f>
        <v>5.15</v>
      </c>
      <c r="J10" s="149">
        <f t="shared" si="0"/>
        <v>5.15</v>
      </c>
      <c r="L10" s="68"/>
      <c r="M10" s="69"/>
    </row>
    <row r="11" spans="1:16">
      <c r="A11" s="68" t="s">
        <v>2319</v>
      </c>
      <c r="B11" s="149" t="s">
        <v>2320</v>
      </c>
      <c r="C11" s="149" t="s">
        <v>215</v>
      </c>
      <c r="D11" s="149" t="s">
        <v>224</v>
      </c>
      <c r="E11" s="149" t="str">
        <f t="shared" si="1"/>
        <v>Não se aplica</v>
      </c>
      <c r="F11" s="149" t="str">
        <f t="shared" si="2"/>
        <v>Energia</v>
      </c>
      <c r="G11" s="149">
        <f>IF(B11="","",SUMIFS(Faturas!V:V,Faturas!R:R,CUSD!B11,Faturas!S:S,CUSD!C11,Faturas!U:U,CUSD!D11))</f>
        <v>3191038.8499999996</v>
      </c>
      <c r="H11" s="149">
        <f t="shared" si="3"/>
        <v>3191.0388499999995</v>
      </c>
      <c r="I11" s="149">
        <f>IF(ISERROR(VLOOKUP(CONCATENATE(A11,A46,E11,F11),BD!$H$6:$V$30,14,FALSE)),"",VLOOKUP(CONCATENATE(A11,A46,E11,F11),BD!$H$6:$V$30,14,FALSE))</f>
        <v>5.15</v>
      </c>
      <c r="J11" s="149">
        <f t="shared" ref="J11" si="4">IF(ISERROR(I11*(1-$G$3)),"",I11*(1-$G$3))</f>
        <v>5.15</v>
      </c>
      <c r="L11" s="752"/>
      <c r="M11" s="243"/>
      <c r="N11" s="244"/>
      <c r="O11" s="244"/>
      <c r="P11" s="244"/>
    </row>
    <row r="12" spans="1:16">
      <c r="A12" s="68" t="s">
        <v>2319</v>
      </c>
      <c r="B12" s="149" t="s">
        <v>2320</v>
      </c>
      <c r="C12" s="149" t="s">
        <v>2179</v>
      </c>
      <c r="D12" s="149" t="s">
        <v>222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55787404.959999993</v>
      </c>
      <c r="H12" s="149">
        <f t="shared" si="3"/>
        <v>55787.404959999993</v>
      </c>
      <c r="I12" s="149">
        <f>IF(ISERROR(VLOOKUP(CONCATENATE(A12,A47,E12,F12),BD!$H$6:$V$30,14,FALSE)),"",VLOOKUP(CONCATENATE(A12,A47,E12,F12),BD!$H$6:$V$30,14,FALSE))</f>
        <v>11.36</v>
      </c>
      <c r="J12" s="149">
        <f t="shared" si="0"/>
        <v>11.36</v>
      </c>
      <c r="N12" s="244"/>
      <c r="O12" s="244"/>
      <c r="P12" s="244"/>
    </row>
    <row r="13" spans="1:16">
      <c r="A13" s="68" t="s">
        <v>2319</v>
      </c>
      <c r="B13" s="149" t="s">
        <v>2320</v>
      </c>
      <c r="C13" s="149" t="s">
        <v>2179</v>
      </c>
      <c r="D13" s="149" t="s">
        <v>224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7212466.9699999997</v>
      </c>
      <c r="H13" s="149">
        <f t="shared" si="3"/>
        <v>7212.4669699999995</v>
      </c>
      <c r="I13" s="149">
        <f>IF(ISERROR(VLOOKUP(CONCATENATE(A13,A48,E13,F13),BD!$H$6:$V$30,14,FALSE)),"",VLOOKUP(CONCATENATE(A13,A48,E13,F13),BD!$H$6:$V$30,14,FALSE))</f>
        <v>11.36</v>
      </c>
      <c r="J13" s="149">
        <f t="shared" si="0"/>
        <v>11.36</v>
      </c>
      <c r="K13" s="69"/>
      <c r="L13" s="68"/>
      <c r="M13" s="243"/>
      <c r="N13" s="244"/>
      <c r="O13" s="244"/>
      <c r="P13" s="244"/>
    </row>
    <row r="14" spans="1:16" hidden="1">
      <c r="B14" s="149"/>
      <c r="C14" s="149"/>
      <c r="D14" s="149"/>
      <c r="E14" s="149" t="str">
        <f t="shared" si="1"/>
        <v/>
      </c>
      <c r="F14" s="149" t="str">
        <f t="shared" si="2"/>
        <v/>
      </c>
      <c r="G14" s="149" t="str">
        <f>IF(B14="","",SUMIFS(Faturas!V:V,Faturas!R:R,CUSD!B14,Faturas!S:S,CUSD!C14,Faturas!U:U,CUSD!D14))</f>
        <v/>
      </c>
      <c r="H14" s="149" t="str">
        <f t="shared" si="3"/>
        <v/>
      </c>
      <c r="I14" s="149" t="str">
        <f>IF(ISERROR(VLOOKUP(CONCATENATE(A14,A49,E14,F14),BD!$H$6:$V$30,14,FALSE)),"",VLOOKUP(CONCATENATE(A14,A49,E14,F14),BD!$H$6:$V$30,14,FALSE))</f>
        <v/>
      </c>
      <c r="J14" s="149" t="str">
        <f t="shared" ref="J14:J30" si="5">IF(ISERROR(I14*(1-$G$3)),"",I14*(1-$G$3))</f>
        <v/>
      </c>
      <c r="K14" s="69"/>
      <c r="L14" s="243"/>
      <c r="M14" s="243"/>
      <c r="N14" s="244"/>
      <c r="O14" s="244"/>
      <c r="P14" s="244"/>
    </row>
    <row r="15" spans="1:16" hidden="1">
      <c r="B15" s="149"/>
      <c r="C15" s="149"/>
      <c r="D15" s="149"/>
      <c r="E15" s="149" t="str">
        <f t="shared" si="1"/>
        <v/>
      </c>
      <c r="F15" s="149" t="str">
        <f t="shared" si="2"/>
        <v/>
      </c>
      <c r="G15" s="149" t="str">
        <f>IF(B15="","",SUMIFS(Faturas!V:V,Faturas!R:R,CUSD!B15,Faturas!S:S,CUSD!C15,Faturas!U:U,CUSD!D15))</f>
        <v/>
      </c>
      <c r="H15" s="149" t="str">
        <f t="shared" si="3"/>
        <v/>
      </c>
      <c r="I15" s="149" t="str">
        <f>IF(ISERROR(VLOOKUP(CONCATENATE(A15,A50,E15,F15),BD!$H$6:$V$30,14,FALSE)),"",VLOOKUP(CONCATENATE(A15,A50,E15,F15),BD!$H$6:$V$30,14,FALSE))</f>
        <v/>
      </c>
      <c r="J15" s="149" t="str">
        <f t="shared" si="5"/>
        <v/>
      </c>
      <c r="K15" s="69"/>
      <c r="L15" s="243"/>
      <c r="M15" s="243"/>
      <c r="N15" s="245"/>
      <c r="O15" s="245"/>
      <c r="P15" s="244"/>
    </row>
    <row r="16" spans="1:16" hidden="1">
      <c r="B16" s="149"/>
      <c r="C16" s="149"/>
      <c r="D16" s="149"/>
      <c r="E16" s="149" t="str">
        <f t="shared" si="1"/>
        <v/>
      </c>
      <c r="F16" s="149" t="str">
        <f t="shared" si="2"/>
        <v/>
      </c>
      <c r="G16" s="149" t="str">
        <f>IF(B16="","",SUMIFS(Faturas!V:V,Faturas!R:R,CUSD!B16,Faturas!S:S,CUSD!C16,Faturas!U:U,CUSD!D16))</f>
        <v/>
      </c>
      <c r="H16" s="149" t="str">
        <f t="shared" si="3"/>
        <v/>
      </c>
      <c r="I16" s="149" t="str">
        <f>IF(ISERROR(VLOOKUP(CONCATENATE(A16,A51,E16,F16),BD!$H$6:$V$30,14,FALSE)),"",VLOOKUP(CONCATENATE(A16,A51,E16,F16),BD!$H$6:$V$30,14,FALSE))</f>
        <v/>
      </c>
      <c r="J16" s="149" t="str">
        <f t="shared" si="5"/>
        <v/>
      </c>
      <c r="K16" s="243"/>
      <c r="L16" s="243"/>
      <c r="M16" s="243"/>
      <c r="N16" s="245"/>
      <c r="O16" s="245"/>
      <c r="P16" s="244"/>
    </row>
    <row r="17" spans="2:16" hidden="1">
      <c r="B17" s="149"/>
      <c r="C17" s="149"/>
      <c r="D17" s="149"/>
      <c r="E17" s="149" t="str">
        <f t="shared" si="1"/>
        <v/>
      </c>
      <c r="F17" s="149" t="str">
        <f t="shared" si="2"/>
        <v/>
      </c>
      <c r="G17" s="149" t="str">
        <f>IF(B17="","",SUMIFS(Faturas!V:V,Faturas!R:R,CUSD!B17,Faturas!S:S,CUSD!C17,Faturas!U:U,CUSD!D17))</f>
        <v/>
      </c>
      <c r="H17" s="149" t="str">
        <f t="shared" si="3"/>
        <v/>
      </c>
      <c r="I17" s="149" t="str">
        <f>IF(ISERROR(VLOOKUP(CONCATENATE(A17,A52,E17,F17),BD!$H$6:$V$30,14,FALSE)),"",VLOOKUP(CONCATENATE(A17,A52,E17,F17),BD!$H$6:$V$30,14,FALSE))</f>
        <v/>
      </c>
      <c r="J17" s="149" t="str">
        <f t="shared" si="5"/>
        <v/>
      </c>
      <c r="K17" s="69"/>
      <c r="M17" s="243"/>
      <c r="N17" s="246"/>
      <c r="O17" s="246"/>
      <c r="P17" s="244"/>
    </row>
    <row r="18" spans="2:16" hidden="1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2:16" hidden="1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2:16" hidden="1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2:16" hidden="1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2:16" hidden="1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2:16" hidden="1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2:16" hidden="1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2:16" hidden="1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2:16" hidden="1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2:16" hidden="1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2:16" hidden="1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2:16" hidden="1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2:16" hidden="1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2:16">
      <c r="B31" s="377"/>
      <c r="C31" s="377"/>
      <c r="D31" s="377"/>
      <c r="E31" s="377"/>
      <c r="F31" s="377"/>
      <c r="G31" s="378"/>
      <c r="H31" s="378"/>
      <c r="I31" s="378"/>
      <c r="J31" s="142"/>
      <c r="O31" s="69"/>
    </row>
    <row r="32" spans="2:16">
      <c r="B32" s="377"/>
      <c r="C32" s="377"/>
      <c r="D32" s="377"/>
      <c r="E32" s="377"/>
      <c r="F32" s="377"/>
      <c r="G32" s="378"/>
      <c r="H32" s="378"/>
      <c r="I32" s="378"/>
      <c r="J32" s="142"/>
      <c r="O32" s="69"/>
    </row>
    <row r="33" spans="1:15">
      <c r="B33" s="377"/>
      <c r="C33" s="377"/>
      <c r="D33" s="377"/>
      <c r="E33" s="377"/>
      <c r="F33" s="377"/>
      <c r="G33" s="378"/>
      <c r="H33" s="378"/>
      <c r="I33" s="378"/>
      <c r="O33" s="69"/>
    </row>
    <row r="34" spans="1:15" ht="16.5">
      <c r="B34" s="377"/>
      <c r="C34" s="377"/>
      <c r="D34" s="377"/>
      <c r="E34" s="377"/>
      <c r="F34" s="377"/>
      <c r="G34" s="378"/>
      <c r="H34" s="378"/>
      <c r="I34" s="378"/>
      <c r="O34" s="234"/>
    </row>
    <row r="35" spans="1:15">
      <c r="A35" s="68" t="s">
        <v>1319</v>
      </c>
      <c r="B35" s="377"/>
      <c r="C35" s="377"/>
      <c r="D35" s="377"/>
      <c r="E35" s="377"/>
      <c r="F35" s="377"/>
      <c r="G35" s="378"/>
      <c r="H35" s="378"/>
      <c r="I35" s="378"/>
      <c r="O35" s="69"/>
    </row>
    <row r="36" spans="1:15">
      <c r="A36" s="149" t="s">
        <v>218</v>
      </c>
      <c r="B36" s="292" t="s">
        <v>1320</v>
      </c>
      <c r="C36" s="292" t="s">
        <v>1321</v>
      </c>
      <c r="D36" s="292"/>
      <c r="E36" s="292"/>
      <c r="F36" s="377"/>
      <c r="G36" s="378"/>
      <c r="H36" s="292"/>
      <c r="I36" s="292"/>
      <c r="O36" s="69"/>
    </row>
    <row r="37" spans="1:15">
      <c r="A37" s="149" t="s">
        <v>220</v>
      </c>
      <c r="B37" s="292" t="s">
        <v>973</v>
      </c>
      <c r="C37" s="292" t="s">
        <v>1321</v>
      </c>
      <c r="D37" s="292"/>
      <c r="E37" s="292"/>
      <c r="F37" s="377"/>
      <c r="G37" s="378"/>
      <c r="H37" s="292"/>
      <c r="I37" s="292"/>
      <c r="O37" s="69"/>
    </row>
    <row r="38" spans="1:15">
      <c r="A38" s="149" t="s">
        <v>222</v>
      </c>
      <c r="B38" s="292" t="s">
        <v>1322</v>
      </c>
      <c r="C38" s="292" t="s">
        <v>120</v>
      </c>
      <c r="D38" s="292"/>
      <c r="E38" s="292"/>
      <c r="F38" s="377"/>
      <c r="G38" s="378"/>
      <c r="H38" s="292"/>
      <c r="I38" s="292"/>
      <c r="O38" s="69"/>
    </row>
    <row r="39" spans="1:15">
      <c r="A39" s="149" t="s">
        <v>224</v>
      </c>
      <c r="B39" s="292" t="s">
        <v>1322</v>
      </c>
      <c r="C39" s="292" t="s">
        <v>120</v>
      </c>
      <c r="D39" s="292"/>
      <c r="E39" s="292"/>
      <c r="F39" s="377"/>
      <c r="G39" s="378"/>
      <c r="H39" s="292"/>
      <c r="I39" s="292"/>
      <c r="O39" s="69"/>
    </row>
    <row r="40" spans="1:15">
      <c r="B40" s="292"/>
      <c r="C40" s="292"/>
      <c r="D40" s="292"/>
      <c r="E40" s="292"/>
      <c r="F40" s="377"/>
      <c r="G40" s="378"/>
      <c r="H40" s="292"/>
      <c r="I40" s="292"/>
      <c r="O40" s="69"/>
    </row>
    <row r="41" spans="1:15">
      <c r="A41" s="68" t="str">
        <f>IF(LEFT(C6,1)="B","B",TRIM(LEFT(C6,3)))</f>
        <v>A3</v>
      </c>
      <c r="B41" s="292"/>
      <c r="C41" s="292"/>
      <c r="D41" s="292"/>
      <c r="E41" s="292"/>
      <c r="F41" s="377"/>
      <c r="G41" s="378"/>
      <c r="H41" s="292"/>
      <c r="I41" s="292"/>
      <c r="O41" s="69"/>
    </row>
    <row r="42" spans="1:15">
      <c r="A42" s="68" t="str">
        <f t="shared" ref="A42:A52" si="6">IF(LEFT(C7,1)="B","B",TRIM(LEFT(C7,3)))</f>
        <v>A3</v>
      </c>
      <c r="B42" s="292"/>
      <c r="C42" s="292"/>
      <c r="D42" s="292"/>
      <c r="E42" s="292"/>
      <c r="F42" s="377"/>
      <c r="G42" s="378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7"/>
      <c r="G43" s="378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7"/>
      <c r="G44" s="378"/>
      <c r="H44" s="292"/>
      <c r="I44" s="292"/>
      <c r="O44" s="69"/>
    </row>
    <row r="45" spans="1:15">
      <c r="A45" s="68" t="str">
        <f t="shared" si="6"/>
        <v>A3</v>
      </c>
    </row>
    <row r="46" spans="1:15">
      <c r="A46" s="68" t="str">
        <f t="shared" si="6"/>
        <v>A3</v>
      </c>
    </row>
    <row r="47" spans="1:15">
      <c r="A47" s="68" t="str">
        <f t="shared" si="6"/>
        <v>A4</v>
      </c>
    </row>
    <row r="48" spans="1:15">
      <c r="A48" s="68" t="str">
        <f t="shared" si="6"/>
        <v>A4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autoFilter ref="A5:J30" xr:uid="{00000000-0001-0000-0400-000000000000}">
    <filterColumn colId="4">
      <filters>
        <filter val="Não se aplica"/>
      </filters>
    </filterColumn>
  </autoFilter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D10" zoomScale="115" zoomScaleNormal="115" workbookViewId="0">
      <selection activeCell="I21" sqref="I21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994" t="s">
        <v>820</v>
      </c>
      <c r="C1" s="1303"/>
      <c r="D1" s="1303"/>
      <c r="E1" s="1303"/>
      <c r="F1" s="995"/>
      <c r="G1" s="995"/>
      <c r="H1" s="1204" t="s">
        <v>953</v>
      </c>
      <c r="I1" s="1205">
        <f ca="1">LnkTXTIRTEco</f>
        <v>0.12970000000000001</v>
      </c>
      <c r="J1" s="195"/>
      <c r="K1" s="196"/>
    </row>
    <row r="2" spans="1:15" s="197" customFormat="1" ht="27" customHeight="1">
      <c r="B2" s="138" t="str">
        <f>CAPA!C9</f>
        <v>Cermissões</v>
      </c>
      <c r="C2" s="70"/>
      <c r="D2" s="70"/>
      <c r="E2" s="70"/>
      <c r="F2" s="70"/>
      <c r="G2" s="70"/>
      <c r="H2" s="121" t="s">
        <v>957</v>
      </c>
      <c r="I2" s="122">
        <f ca="1">LnkTXTIRTTotal</f>
        <v>-9.4E-2</v>
      </c>
    </row>
    <row r="3" spans="1:15">
      <c r="B3" s="998" t="s">
        <v>1323</v>
      </c>
      <c r="C3" s="820"/>
      <c r="E3" s="820" t="str">
        <f>"Encargos "&amp;YEAR(CAPA!C14)</f>
        <v>Encargos 2021</v>
      </c>
      <c r="F3" s="820"/>
      <c r="H3" s="820"/>
      <c r="I3" s="820"/>
      <c r="J3" s="820"/>
      <c r="K3" s="820"/>
      <c r="L3" s="820"/>
      <c r="M3" s="820"/>
      <c r="N3" s="820"/>
      <c r="O3" s="820"/>
    </row>
    <row r="4" spans="1:15">
      <c r="E4" s="1308" t="s">
        <v>72</v>
      </c>
      <c r="F4" s="1308" t="s">
        <v>1324</v>
      </c>
      <c r="H4" s="72"/>
      <c r="I4" s="72"/>
    </row>
    <row r="5" spans="1:15">
      <c r="B5" s="1308" t="s">
        <v>72</v>
      </c>
      <c r="C5" s="1308" t="s">
        <v>37</v>
      </c>
      <c r="E5" s="68" t="s">
        <v>40</v>
      </c>
      <c r="F5" s="116">
        <f>CAPA!D42</f>
        <v>219625.82160260301</v>
      </c>
      <c r="H5" s="1829" t="s">
        <v>1325</v>
      </c>
      <c r="I5" s="1829"/>
      <c r="K5" s="1829" t="s">
        <v>1326</v>
      </c>
      <c r="L5" s="1829"/>
      <c r="N5" s="1829" t="s">
        <v>1327</v>
      </c>
      <c r="O5" s="1829"/>
    </row>
    <row r="6" spans="1:15">
      <c r="B6" s="68" t="s">
        <v>40</v>
      </c>
      <c r="C6" s="80">
        <f ca="1">L14</f>
        <v>285157.16397649358</v>
      </c>
      <c r="E6" s="68" t="s">
        <v>41</v>
      </c>
      <c r="F6" s="116">
        <f>CAPA!D43</f>
        <v>7642650.4989</v>
      </c>
      <c r="H6" s="201" t="s">
        <v>1328</v>
      </c>
      <c r="I6" s="202">
        <f ca="1">FornecimentoE+LivreE-Calc_Mercado!C16</f>
        <v>140425.60200000004</v>
      </c>
      <c r="K6" s="518" t="s">
        <v>822</v>
      </c>
      <c r="L6" s="422">
        <f ca="1">LnkTXTER</f>
        <v>162796.20629000006</v>
      </c>
      <c r="N6" s="203" t="s">
        <v>1329</v>
      </c>
      <c r="O6" s="403">
        <v>1E-14</v>
      </c>
    </row>
    <row r="7" spans="1:15" ht="13.5" customHeight="1">
      <c r="B7" s="68" t="s">
        <v>41</v>
      </c>
      <c r="C7" s="80">
        <f ca="1">I22</f>
        <v>9848895.706620004</v>
      </c>
      <c r="D7" s="198"/>
      <c r="E7" s="68" t="s">
        <v>126</v>
      </c>
      <c r="F7" s="116">
        <f>CAPA!D44</f>
        <v>0</v>
      </c>
      <c r="H7" s="1353" t="s">
        <v>1330</v>
      </c>
      <c r="I7" s="1354">
        <v>14.13</v>
      </c>
      <c r="K7" s="518" t="s">
        <v>1168</v>
      </c>
      <c r="L7" s="422">
        <f ca="1">Energia!M7</f>
        <v>0</v>
      </c>
      <c r="N7" s="203" t="s">
        <v>1331</v>
      </c>
      <c r="O7" s="204">
        <f ca="1">SUM(C12+C6+C9+C10+C8)</f>
        <v>7097731.7532417774</v>
      </c>
    </row>
    <row r="8" spans="1:15">
      <c r="B8" s="68" t="s">
        <v>126</v>
      </c>
      <c r="C8" s="80">
        <v>0</v>
      </c>
      <c r="D8" s="198"/>
      <c r="E8" s="68" t="s">
        <v>845</v>
      </c>
      <c r="F8" s="116">
        <f>CAPA!D45</f>
        <v>363200.09499999997</v>
      </c>
      <c r="K8" s="518" t="s">
        <v>1171</v>
      </c>
      <c r="L8" s="422">
        <f ca="1">LnkTXTPerdas</f>
        <v>19510.137289999999</v>
      </c>
      <c r="N8" s="203" t="s">
        <v>794</v>
      </c>
      <c r="O8" s="269">
        <f>Resultado!D24</f>
        <v>16701808.717433799</v>
      </c>
    </row>
    <row r="9" spans="1:15">
      <c r="B9" s="68" t="s">
        <v>1332</v>
      </c>
      <c r="C9" s="847">
        <f>IFERROR(VLOOKUP("ESS/EER",TabEncargosBancoConsolidados[],2,FALSE),0)</f>
        <v>4828360.833005284</v>
      </c>
      <c r="D9" s="69"/>
      <c r="E9" s="68" t="s">
        <v>47</v>
      </c>
      <c r="F9" s="116">
        <f>CAPA!D46</f>
        <v>1233168.8379599999</v>
      </c>
      <c r="H9" s="1829" t="s">
        <v>1333</v>
      </c>
      <c r="I9" s="1829"/>
      <c r="K9" s="518" t="s">
        <v>1334</v>
      </c>
      <c r="L9" s="422">
        <f ca="1">SUM(L6:L7,-L8)</f>
        <v>143286.06900000008</v>
      </c>
      <c r="N9" s="203" t="s">
        <v>120</v>
      </c>
      <c r="O9" s="268">
        <f ca="1">Resultado!D33</f>
        <v>24739687.473364118</v>
      </c>
    </row>
    <row r="10" spans="1:15">
      <c r="B10" s="68" t="s">
        <v>47</v>
      </c>
      <c r="C10" s="80">
        <f ca="1">IFERROR(Encargos!I7*I6,0)</f>
        <v>1984213.7562600006</v>
      </c>
      <c r="D10" s="198"/>
      <c r="E10" s="68" t="s">
        <v>49</v>
      </c>
      <c r="F10" s="116">
        <f>CAPA!D48</f>
        <v>0</v>
      </c>
      <c r="H10" s="1355" t="s">
        <v>1335</v>
      </c>
      <c r="I10" s="1356">
        <f ca="1">FornecimentoE_A1+Calc_Mercado!C10+Calc_Mercado!C11+Calc_Mercado!C114+Calc_Mercado!C115</f>
        <v>0</v>
      </c>
      <c r="K10" s="518" t="s">
        <v>1336</v>
      </c>
      <c r="L10" s="422">
        <f ca="1">SUM(L6:L7)</f>
        <v>162796.20629000006</v>
      </c>
      <c r="N10" s="203" t="s">
        <v>1337</v>
      </c>
      <c r="O10" s="204">
        <f>Resultado!D39</f>
        <v>60335559.834578</v>
      </c>
    </row>
    <row r="11" spans="1:15">
      <c r="B11" s="68" t="s">
        <v>1338</v>
      </c>
      <c r="C11" s="80">
        <v>1E-4</v>
      </c>
      <c r="D11" s="198"/>
      <c r="E11" s="820" t="s">
        <v>2177</v>
      </c>
      <c r="F11" s="1226">
        <f>CAPA!D47</f>
        <v>0</v>
      </c>
      <c r="H11" s="201" t="s">
        <v>1339</v>
      </c>
      <c r="I11" s="141">
        <f ca="1">Calc_Mercado!C12+Calc_Mercado!C13+Calc_Mercado!C14+Calc_Mercado!C116+Calc_Mercado!C117</f>
        <v>50254.15199999998</v>
      </c>
      <c r="K11" s="518" t="s">
        <v>1340</v>
      </c>
      <c r="L11" s="422">
        <f>BD!C32</f>
        <v>0.76946233409201359</v>
      </c>
      <c r="N11" s="203" t="s">
        <v>1341</v>
      </c>
      <c r="O11" s="205">
        <f ca="1">IF(O6=0,0,O6*(SUM(O7:O10)-Q7))</f>
        <v>1.088747877786177E-6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20" t="str">
        <f>"Encargos "&amp;YEAR(CAPA!C14)-1</f>
        <v>Encargos 2020</v>
      </c>
      <c r="F12" s="820"/>
      <c r="H12" s="201" t="s">
        <v>1342</v>
      </c>
      <c r="I12" s="141">
        <f ca="1">FornecimentoE_BT-Calc_Mercado!C16+Calc_Mercado!C119+Calc_Mercado!C118</f>
        <v>90171.450000000055</v>
      </c>
      <c r="K12" s="518" t="s">
        <v>1343</v>
      </c>
      <c r="L12" s="45">
        <v>4.0000000000000001E-3</v>
      </c>
      <c r="N12" s="203" t="s">
        <v>1344</v>
      </c>
      <c r="O12" s="205">
        <f ca="1">Financeiros!D7</f>
        <v>-23509390.82677171</v>
      </c>
    </row>
    <row r="13" spans="1:15">
      <c r="B13" s="1357" t="s">
        <v>846</v>
      </c>
      <c r="C13" s="1358">
        <f ca="1">SUM(C6:C12)</f>
        <v>16946627.459961783</v>
      </c>
      <c r="D13" s="198"/>
      <c r="E13" s="1308" t="s">
        <v>72</v>
      </c>
      <c r="F13" s="1308" t="s">
        <v>1324</v>
      </c>
      <c r="H13" s="1359" t="s">
        <v>1345</v>
      </c>
      <c r="I13" s="1360">
        <v>23.38</v>
      </c>
      <c r="K13" s="1361" t="s">
        <v>1346</v>
      </c>
      <c r="L13" s="1362">
        <f ca="1">LnkTXTIParcelaBcomSub+Energia!F18</f>
        <v>62323519.847293466</v>
      </c>
      <c r="N13" s="1363" t="s">
        <v>1347</v>
      </c>
      <c r="O13" s="1364">
        <f ca="1">O12*O6+O11</f>
        <v>8.5365396951845994E-7</v>
      </c>
    </row>
    <row r="14" spans="1:15">
      <c r="E14" s="68" t="s">
        <v>40</v>
      </c>
      <c r="F14" s="1365">
        <f>BD!C37</f>
        <v>227122.28934172067</v>
      </c>
      <c r="H14" s="262" t="s">
        <v>1348</v>
      </c>
      <c r="I14" s="854">
        <v>31.67</v>
      </c>
      <c r="K14" s="1366" t="s">
        <v>40</v>
      </c>
      <c r="L14" s="1367">
        <f ca="1">L12*1/L11*L9/L10*L13</f>
        <v>285157.16397649358</v>
      </c>
    </row>
    <row r="15" spans="1:15">
      <c r="E15" s="68" t="s">
        <v>41</v>
      </c>
      <c r="F15" s="80">
        <f>BD!C35</f>
        <v>7167018.2937000003</v>
      </c>
      <c r="H15" s="1368" t="s">
        <v>1349</v>
      </c>
      <c r="I15" s="1369">
        <v>37.700000000000003</v>
      </c>
    </row>
    <row r="16" spans="1:15">
      <c r="E16" s="68" t="s">
        <v>126</v>
      </c>
      <c r="F16" s="80">
        <v>0</v>
      </c>
      <c r="H16" s="1260" t="s">
        <v>1350</v>
      </c>
      <c r="I16" s="1360">
        <v>55.4</v>
      </c>
      <c r="K16" s="1829" t="s">
        <v>845</v>
      </c>
      <c r="L16" s="1829"/>
    </row>
    <row r="17" spans="2:14">
      <c r="E17" s="68" t="s">
        <v>845</v>
      </c>
      <c r="F17" s="80">
        <v>0</v>
      </c>
      <c r="H17" s="68" t="s">
        <v>1351</v>
      </c>
      <c r="I17" s="854">
        <v>75.06</v>
      </c>
      <c r="K17" s="1355" t="s">
        <v>2199</v>
      </c>
      <c r="L17" s="1356">
        <f>IFERROR(VLOOKUP("EER",TabEncargosBancoConsolidados[],2,FALSE),0)</f>
        <v>4744058.7493197145</v>
      </c>
    </row>
    <row r="18" spans="2:14">
      <c r="C18" s="108"/>
      <c r="D18" s="108"/>
      <c r="E18" s="68" t="s">
        <v>47</v>
      </c>
      <c r="F18" s="80">
        <f>BD!C36</f>
        <v>963037.47362000006</v>
      </c>
      <c r="G18" s="108"/>
      <c r="H18" s="820" t="s">
        <v>1352</v>
      </c>
      <c r="I18" s="1369">
        <v>89.35</v>
      </c>
      <c r="K18" s="201" t="s">
        <v>2203</v>
      </c>
      <c r="L18" s="141">
        <f>C9-L17</f>
        <v>84302.083685569465</v>
      </c>
    </row>
    <row r="19" spans="2:14">
      <c r="C19" s="108"/>
      <c r="D19" s="108"/>
      <c r="E19" s="820" t="s">
        <v>49</v>
      </c>
      <c r="F19" s="1370">
        <v>0</v>
      </c>
      <c r="G19" s="108"/>
      <c r="H19" s="68" t="s">
        <v>1353</v>
      </c>
      <c r="I19" s="69">
        <f ca="1">IF(CAPA!C10="S/SE/CO",Encargos!I10*Encargos!I16+Encargos!I11*Encargos!I17+Encargos!I12*Encargos!I18,Encargos!I10*Encargos!I13+Encargos!I11*Encargos!I14+Encargos!I12*Encargos!I15)</f>
        <v>11828895.706620004</v>
      </c>
      <c r="K19" s="1308" t="s">
        <v>846</v>
      </c>
      <c r="L19" s="1576">
        <f>SUM(L17:L18)</f>
        <v>4828360.833005284</v>
      </c>
    </row>
    <row r="20" spans="2:14">
      <c r="C20" s="108"/>
      <c r="D20" s="108"/>
      <c r="F20" s="80"/>
      <c r="G20" s="108"/>
      <c r="H20" s="1371" t="s">
        <v>1354</v>
      </c>
      <c r="I20" s="1372">
        <f>IFERROR(VLOOKUP("CDE Covid",TabEncargosBancoConsolidados[],2,FALSE),0)</f>
        <v>0</v>
      </c>
    </row>
    <row r="21" spans="2:14">
      <c r="C21" s="108"/>
      <c r="D21" s="108"/>
      <c r="F21" s="80"/>
      <c r="G21" s="108"/>
      <c r="H21" s="68" t="s">
        <v>2200</v>
      </c>
      <c r="I21" s="69">
        <f>IFERROR(VLOOKUP("CDE Eletrobras",TabEncargosBancoConsolidados[],2,FALSE),0)</f>
        <v>-1979999.9999999998</v>
      </c>
    </row>
    <row r="22" spans="2:14">
      <c r="C22" s="108"/>
      <c r="D22" s="108"/>
      <c r="F22" s="80"/>
      <c r="G22" s="108"/>
      <c r="H22" s="1308" t="s">
        <v>2204</v>
      </c>
      <c r="I22" s="1576">
        <f ca="1">I19+I20+I21</f>
        <v>9848895.706620004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998" t="s">
        <v>1355</v>
      </c>
      <c r="C27" s="820"/>
      <c r="D27" s="820"/>
      <c r="E27" s="820"/>
      <c r="F27" s="820"/>
      <c r="G27" s="820"/>
      <c r="J27" s="820"/>
      <c r="K27" s="820"/>
      <c r="L27" s="820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1356</v>
      </c>
      <c r="E29" s="198"/>
      <c r="F29" s="198"/>
      <c r="G29" s="198"/>
      <c r="L29" s="193"/>
      <c r="M29" s="194"/>
    </row>
    <row r="30" spans="2:14" ht="16.5" customHeight="1">
      <c r="C30" s="1308" t="s">
        <v>2233</v>
      </c>
      <c r="D30" s="1308" t="s">
        <v>46</v>
      </c>
      <c r="E30" s="1308" t="s">
        <v>40</v>
      </c>
      <c r="F30" s="1308" t="s">
        <v>41</v>
      </c>
      <c r="G30" s="1308" t="s">
        <v>47</v>
      </c>
      <c r="H30" s="1583" t="s">
        <v>2234</v>
      </c>
      <c r="I30" s="1583" t="s">
        <v>2263</v>
      </c>
      <c r="J30" s="1308" t="s">
        <v>1357</v>
      </c>
      <c r="L30" s="1828" t="s">
        <v>1358</v>
      </c>
      <c r="M30" s="1828"/>
      <c r="N30" s="273"/>
    </row>
    <row r="31" spans="2:14">
      <c r="B31" s="272">
        <f>Indexador!B68</f>
        <v>44378</v>
      </c>
      <c r="C31" s="1217">
        <f ca="1">IFERROR(IF(CAPA!$C$113="Não",C47-C62,IF(Indexador!$B68&lt;CAPA!$C$114,0,C47-C62)),0)</f>
        <v>0</v>
      </c>
      <c r="D31" s="1217">
        <f ca="1">IF(CAPA!$C$113="Não",D47-D62,IF(Indexador!$B68&lt;CAPA!$C$114,0,D47-D62))</f>
        <v>9995.6181765307119</v>
      </c>
      <c r="E31" s="1217">
        <f ca="1">IF(CAPA!$C$113="Não",E47-E62,IF(Indexador!$B68&lt;CAPA!$C$114,0,E47-E62))</f>
        <v>5374.7699616019199</v>
      </c>
      <c r="F31" s="1217">
        <f ca="1">IF(CAPA!$C$113="Não",F47-F62,IF(Indexador!$B68&lt;CAPA!$C$114,0,F47-F62))</f>
        <v>201798.30139952077</v>
      </c>
      <c r="G31" s="1217">
        <f ca="1">IF(CAPA!$C$113="Não",G47-G62,IF(Indexador!$B68&lt;CAPA!$C$114,0,G47-G62))</f>
        <v>34290.855513116447</v>
      </c>
      <c r="H31" s="1217">
        <f ca="1">IF(CAPA!$C$113="Não",H47-H62,IF(Indexador!$B68&lt;CAPA!$C$114,0,H47-H62))</f>
        <v>0</v>
      </c>
      <c r="I31" s="1217">
        <f ca="1">IF(CAPA!$C$113="Não",I47-I62,IF(Indexador!$B68&lt;CAPA!$C$114,0,I47-I62))</f>
        <v>0</v>
      </c>
      <c r="J31" s="1217">
        <f ca="1">IF(CAPA!$C$113="Não",J47-J62,IF(Indexador!$B68&lt;CAPA!$C$114,0,J47-J62))</f>
        <v>251459.54505076981</v>
      </c>
      <c r="L31" s="68" t="s">
        <v>40</v>
      </c>
      <c r="M31" s="116">
        <f ca="1">Indexador!H80</f>
        <v>-12359.111379595555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0</v>
      </c>
      <c r="D32" s="116">
        <f ca="1">IF(CAPA!$C$113="Não",D48-D63,IF(Indexador!$B69&lt;CAPA!$C$114,0,D48-D63))</f>
        <v>6247.4058608817468</v>
      </c>
      <c r="E32" s="116">
        <f ca="1">IF(CAPA!$C$113="Não",E48-E63,IF(Indexador!$B69&lt;CAPA!$C$114,0,E48-E63))</f>
        <v>3475.0143936146615</v>
      </c>
      <c r="F32" s="116">
        <f ca="1">IF(CAPA!$C$113="Não",F48-F63,IF(Indexador!$B69&lt;CAPA!$C$114,0,F48-F63))</f>
        <v>128131.401588796</v>
      </c>
      <c r="G32" s="116">
        <f ca="1">IF(CAPA!$C$113="Não",G48-G63,IF(Indexador!$B69&lt;CAPA!$C$114,0,G48-G63))</f>
        <v>21453.146723082085</v>
      </c>
      <c r="H32" s="116">
        <f ca="1">IF(CAPA!$C$113="Não",H48-H63,IF(Indexador!$B69&lt;CAPA!$C$114,0,H48-H63))</f>
        <v>0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159306.9685663745</v>
      </c>
      <c r="L32" s="68" t="s">
        <v>1359</v>
      </c>
      <c r="M32" s="116">
        <f ca="1">Indexador!J80+Indexador!L80</f>
        <v>-453757.159116606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0</v>
      </c>
      <c r="D33" s="116">
        <f ca="1">IF(CAPA!$C$113="Não",D49-D64,IF(Indexador!$B70&lt;CAPA!$C$114,0,D49-D64))</f>
        <v>8011.1600375338712</v>
      </c>
      <c r="E33" s="116">
        <f ca="1">IF(CAPA!$C$113="Não",E49-E64,IF(Indexador!$B70&lt;CAPA!$C$114,0,E49-E64))</f>
        <v>4290.4085859872521</v>
      </c>
      <c r="F33" s="116">
        <f ca="1">IF(CAPA!$C$113="Não",F49-F64,IF(Indexador!$B70&lt;CAPA!$C$114,0,F49-F64))</f>
        <v>162565.342636802</v>
      </c>
      <c r="G33" s="116">
        <f ca="1">IF(CAPA!$C$113="Não",G49-G64,IF(Indexador!$B70&lt;CAPA!$C$114,0,G49-G64))</f>
        <v>27654.532932538103</v>
      </c>
      <c r="H33" s="116">
        <f ca="1">IF(CAPA!$C$113="Não",H49-H64,IF(Indexador!$B70&lt;CAPA!$C$114,0,H49-H64))</f>
        <v>0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202521.44419286121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0</v>
      </c>
      <c r="D34" s="116">
        <f ca="1">IF(CAPA!$C$113="Não",D50-D65,IF(Indexador!$B71&lt;CAPA!$C$114,0,D50-D65))</f>
        <v>3071.784104616705</v>
      </c>
      <c r="E34" s="116">
        <f ca="1">IF(CAPA!$C$113="Não",E50-E65,IF(Indexador!$B71&lt;CAPA!$C$114,0,E50-E65))</f>
        <v>1890.4540265330506</v>
      </c>
      <c r="F34" s="116">
        <f ca="1">IF(CAPA!$C$113="Não",F50-F65,IF(Indexador!$B71&lt;CAPA!$C$114,0,F50-F65))</f>
        <v>66366.35954175971</v>
      </c>
      <c r="G34" s="116">
        <f ca="1">IF(CAPA!$C$113="Não",G50-G65,IF(Indexador!$B71&lt;CAPA!$C$114,0,G50-G65))</f>
        <v>10614.370463255342</v>
      </c>
      <c r="H34" s="116">
        <f ca="1">IF(CAPA!$C$113="Não",H50-H65,IF(Indexador!$B71&lt;CAPA!$C$114,0,H50-H65))</f>
        <v>0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81942.968136164825</v>
      </c>
      <c r="L34" s="68" t="s">
        <v>46</v>
      </c>
      <c r="M34" s="116">
        <f ca="1">Indexador!F80</f>
        <v>-25093.72283743892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0</v>
      </c>
      <c r="D35" s="116">
        <f ca="1">IF(CAPA!$C$113="Não",D51-D66,IF(Indexador!$B72&lt;CAPA!$C$114,0,D51-D66))</f>
        <v>-16632.373360217189</v>
      </c>
      <c r="E35" s="116">
        <f ca="1">IF(CAPA!$C$113="Não",E51-E66,IF(Indexador!$B72&lt;CAPA!$C$114,0,E51-E66))</f>
        <v>-8184.479275099995</v>
      </c>
      <c r="F35" s="116">
        <f ca="1">IF(CAPA!$C$113="Não",F51-F66,IF(Indexador!$B72&lt;CAPA!$C$114,0,F51-F66))</f>
        <v>-324430.30096419004</v>
      </c>
      <c r="G35" s="116">
        <f ca="1">IF(CAPA!$C$113="Não",G51-G66,IF(Indexador!$B72&lt;CAPA!$C$114,0,G51-G66))</f>
        <v>-57199.086235212628</v>
      </c>
      <c r="H35" s="116">
        <f ca="1">IF(CAPA!$C$113="Não",H51-H66,IF(Indexador!$B72&lt;CAPA!$C$114,0,H51-H66))</f>
        <v>0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-406446.2398347198</v>
      </c>
      <c r="L35" s="68" t="s">
        <v>47</v>
      </c>
      <c r="M35" s="116">
        <f ca="1">Indexador!N80</f>
        <v>-80750.608347880712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0</v>
      </c>
      <c r="D36" s="116">
        <f ca="1">IF(CAPA!$C$113="Não",D52-D67,IF(Indexador!$B73&lt;CAPA!$C$114,0,D52-D67))</f>
        <v>-23058.545559011818</v>
      </c>
      <c r="E36" s="116">
        <f ca="1">IF(CAPA!$C$113="Não",E52-E67,IF(Indexador!$B73&lt;CAPA!$C$114,0,E52-E67))</f>
        <v>-11509.154801747467</v>
      </c>
      <c r="F36" s="116">
        <f ca="1">IF(CAPA!$C$113="Não",F52-F67,IF(Indexador!$B73&lt;CAPA!$C$114,0,F52-F67))</f>
        <v>-452736.88974490401</v>
      </c>
      <c r="G36" s="116">
        <f ca="1">IF(CAPA!$C$113="Não",G52-G67,IF(Indexador!$B73&lt;CAPA!$C$114,0,G52-G67))</f>
        <v>-79350.249724919035</v>
      </c>
      <c r="H36" s="116">
        <f ca="1">IF(CAPA!$C$113="Não",H52-H67,IF(Indexador!$B73&lt;CAPA!$C$114,0,H52-H67))</f>
        <v>0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-566654.8398305825</v>
      </c>
      <c r="L36" s="68" t="s">
        <v>2233</v>
      </c>
      <c r="M36" s="116">
        <f ca="1">Indexador!D80</f>
        <v>0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0</v>
      </c>
      <c r="D37" s="116">
        <f ca="1">IF(CAPA!$C$113="Não",D53-D68,IF(Indexador!$B74&lt;CAPA!$C$114,0,D53-D68))</f>
        <v>-18142.143944610285</v>
      </c>
      <c r="E37" s="116">
        <f ca="1">IF(CAPA!$C$113="Não",E53-E68,IF(Indexador!$B74&lt;CAPA!$C$114,0,E53-E68))</f>
        <v>-9790.6647325692029</v>
      </c>
      <c r="F37" s="116">
        <f ca="1">IF(CAPA!$C$113="Não",F53-F68,IF(Indexador!$B74&lt;CAPA!$C$114,0,F53-F68))</f>
        <v>-364693.8319865251</v>
      </c>
      <c r="G37" s="116">
        <f ca="1">IF(CAPA!$C$113="Não",G53-G68,IF(Indexador!$B74&lt;CAPA!$C$114,0,G53-G68))</f>
        <v>-61906.902017966728</v>
      </c>
      <c r="H37" s="116">
        <f ca="1">IF(CAPA!$C$113="Não",H53-H68,IF(Indexador!$B74&lt;CAPA!$C$114,0,H53-H68))</f>
        <v>0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-454533.54268167145</v>
      </c>
      <c r="L37" s="820" t="s">
        <v>48</v>
      </c>
      <c r="M37" s="1257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0</v>
      </c>
      <c r="D38" s="116">
        <f ca="1">IF(CAPA!$C$113="Não",D54-D69,IF(Indexador!$B75&lt;CAPA!$C$114,0,D54-D69))</f>
        <v>-15330.033042297498</v>
      </c>
      <c r="E38" s="116">
        <f ca="1">IF(CAPA!$C$113="Não",E54-E69,IF(Indexador!$B75&lt;CAPA!$C$114,0,E54-E69))</f>
        <v>-8689.1700739717235</v>
      </c>
      <c r="F38" s="116">
        <f ca="1">IF(CAPA!$C$113="Não",F54-F69,IF(Indexador!$B75&lt;CAPA!$C$114,0,F54-F69))</f>
        <v>-313826.09736311564</v>
      </c>
      <c r="G38" s="116">
        <f ca="1">IF(CAPA!$C$113="Não",G54-G69,IF(Indexador!$B75&lt;CAPA!$C$114,0,G54-G69))</f>
        <v>-52146.984359018388</v>
      </c>
      <c r="H38" s="116">
        <f ca="1">IF(CAPA!$C$113="Não",H54-H69,IF(Indexador!$B75&lt;CAPA!$C$114,0,H54-H69))</f>
        <v>0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-389992.28483840334</v>
      </c>
      <c r="L38" s="71" t="s">
        <v>837</v>
      </c>
      <c r="M38" s="274">
        <f ca="1">SUM(M31:M36)</f>
        <v>-571960.60168152116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0</v>
      </c>
      <c r="D39" s="116">
        <f ca="1">IF(CAPA!$C$113="Não",D55-D70,IF(Indexador!$B76&lt;CAPA!$C$114,0,D55-D70))</f>
        <v>-1455.957494995233</v>
      </c>
      <c r="E39" s="116">
        <f ca="1">IF(CAPA!$C$113="Não",E55-E70,IF(Indexador!$B76&lt;CAPA!$C$114,0,E55-E70))</f>
        <v>-1202.6413274800725</v>
      </c>
      <c r="F39" s="116">
        <f ca="1">IF(CAPA!$C$113="Não",F55-F70,IF(Indexador!$B76&lt;CAPA!$C$114,0,F55-F70))</f>
        <v>-27180.054205146967</v>
      </c>
      <c r="G39" s="116">
        <f ca="1">IF(CAPA!$C$113="Não",G55-G70,IF(Indexador!$B76&lt;CAPA!$C$114,0,G55-G70))</f>
        <v>-3604.6165243748692</v>
      </c>
      <c r="H39" s="116">
        <f ca="1">IF(CAPA!$C$113="Não",H55-H70,IF(Indexador!$B76&lt;CAPA!$C$114,0,H55-H70))</f>
        <v>0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-33443.269551997189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0</v>
      </c>
      <c r="D40" s="116">
        <f ca="1">IF(CAPA!$C$113="Não",D56-D71,IF(Indexador!$B77&lt;CAPA!$C$114,0,D56-D71))</f>
        <v>6374.6864430360074</v>
      </c>
      <c r="E40" s="116">
        <f ca="1">IF(CAPA!$C$113="Não",E56-E71,IF(Indexador!$B77&lt;CAPA!$C$114,0,E56-E71))</f>
        <v>3293.7902121069565</v>
      </c>
      <c r="F40" s="116">
        <f ca="1">IF(CAPA!$C$113="Não",F56-F71,IF(Indexador!$B77&lt;CAPA!$C$114,0,F56-F71))</f>
        <v>133864.99673511536</v>
      </c>
      <c r="G40" s="116">
        <f ca="1">IF(CAPA!$C$113="Não",G56-G71,IF(Indexador!$B77&lt;CAPA!$C$114,0,G56-G71))</f>
        <v>23002.108677446566</v>
      </c>
      <c r="H40" s="116">
        <f ca="1">IF(CAPA!$C$113="Não",H56-H71,IF(Indexador!$B77&lt;CAPA!$C$114,0,H56-H71))</f>
        <v>0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166535.58206770488</v>
      </c>
      <c r="L40" s="1828" t="s">
        <v>2262</v>
      </c>
      <c r="M40" s="1828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0</v>
      </c>
      <c r="D41" s="116">
        <f ca="1">IF(CAPA!$C$113="Não",D57-D72,IF(Indexador!$B78&lt;CAPA!$C$114,0,D57-D72))</f>
        <v>8533.5277064831389</v>
      </c>
      <c r="E41" s="116">
        <f ca="1">IF(CAPA!$C$113="Não",E57-E72,IF(Indexador!$B78&lt;CAPA!$C$114,0,E57-E72))</f>
        <v>4630.3845564245094</v>
      </c>
      <c r="F41" s="116">
        <f ca="1">IF(CAPA!$C$113="Não",F57-F72,IF(Indexador!$B78&lt;CAPA!$C$114,0,F57-F72))</f>
        <v>179481.63340646244</v>
      </c>
      <c r="G41" s="116">
        <f ca="1">IF(CAPA!$C$113="Não",G57-G72,IF(Indexador!$B78&lt;CAPA!$C$114,0,G57-G72))</f>
        <v>30283.44614100999</v>
      </c>
      <c r="H41" s="116">
        <f ca="1">IF(CAPA!$C$113="Não",H57-H72,IF(Indexador!$B78&lt;CAPA!$C$114,0,H57-H72))</f>
        <v>0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222928.99181038013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72">
        <f>Indexador!B79</f>
        <v>44713</v>
      </c>
      <c r="C42" s="1226">
        <f ca="1">IFERROR(IF(CAPA!$C$113="Não",C58-C73,IF(Indexador!$B79&lt;CAPA!$C$114,0,C58-C73)),0)</f>
        <v>0</v>
      </c>
      <c r="D42" s="1226">
        <f ca="1">IF(CAPA!$C$113="Não",D58-D73,IF(Indexador!$B79&lt;CAPA!$C$114,0,D58-D73))</f>
        <v>8533.5277064831389</v>
      </c>
      <c r="E42" s="1226">
        <f ca="1">IF(CAPA!$C$113="Não",E58-E73,IF(Indexador!$B79&lt;CAPA!$C$114,0,E58-E73))</f>
        <v>4630.3845564245094</v>
      </c>
      <c r="F42" s="1226">
        <f ca="1">IF(CAPA!$C$113="Não",F58-F73,IF(Indexador!$B79&lt;CAPA!$C$114,0,F58-F73))</f>
        <v>179481.63340646244</v>
      </c>
      <c r="G42" s="1226">
        <f ca="1">IF(CAPA!$C$113="Não",G58-G73,IF(Indexador!$B79&lt;CAPA!$C$114,0,G58-G73))</f>
        <v>30283.44614100999</v>
      </c>
      <c r="H42" s="1226">
        <f ca="1">IF(CAPA!$C$113="Não",H58-H73,IF(Indexador!$B79&lt;CAPA!$C$114,0,H58-H73))</f>
        <v>0</v>
      </c>
      <c r="I42" s="1226">
        <f ca="1">IF(CAPA!$C$113="Não",I58-I73,IF(Indexador!$B79&lt;CAPA!$C$114,0,I58-I73))</f>
        <v>0</v>
      </c>
      <c r="J42" s="1226">
        <f ca="1">IF(CAPA!$C$113="Não",J58-J73,IF(Indexador!$B79&lt;CAPA!$C$114,0,J58-J73))</f>
        <v>222928.99181038013</v>
      </c>
      <c r="L42" s="820" t="str">
        <f>I30</f>
        <v>Crédito Pis Cofins</v>
      </c>
      <c r="M42" s="1257">
        <f ca="1">Indexador!R80</f>
        <v>0</v>
      </c>
      <c r="N42" s="80"/>
    </row>
    <row r="43" spans="2:14">
      <c r="L43" s="71" t="s">
        <v>846</v>
      </c>
      <c r="M43" s="274">
        <f ca="1">SUM(M41:M42)</f>
        <v>0</v>
      </c>
    </row>
    <row r="44" spans="2:14">
      <c r="K44" s="142"/>
    </row>
    <row r="45" spans="2:14">
      <c r="C45" s="198" t="s">
        <v>1324</v>
      </c>
      <c r="D45" s="198"/>
      <c r="E45" s="198"/>
      <c r="F45" s="198"/>
      <c r="K45" s="142"/>
    </row>
    <row r="46" spans="2:14" ht="28.5">
      <c r="C46" s="1308" t="s">
        <v>2233</v>
      </c>
      <c r="D46" s="1308" t="s">
        <v>46</v>
      </c>
      <c r="E46" s="1308" t="s">
        <v>40</v>
      </c>
      <c r="F46" s="1308" t="s">
        <v>41</v>
      </c>
      <c r="G46" s="1308" t="s">
        <v>47</v>
      </c>
      <c r="H46" s="1583" t="s">
        <v>2234</v>
      </c>
      <c r="I46" s="1583" t="s">
        <v>2259</v>
      </c>
      <c r="J46" s="1308" t="s">
        <v>1360</v>
      </c>
      <c r="K46" s="142"/>
    </row>
    <row r="47" spans="2:14">
      <c r="B47" s="272">
        <f>Indexador!B37</f>
        <v>44378</v>
      </c>
      <c r="C47" s="1541">
        <f>$F$11/12</f>
        <v>0</v>
      </c>
      <c r="D47" s="1373">
        <f>$F$8/12</f>
        <v>30266.67458333333</v>
      </c>
      <c r="E47" s="1217">
        <f t="shared" ref="E47:E58" si="0">$F$5/12</f>
        <v>18302.151800216918</v>
      </c>
      <c r="F47" s="116">
        <f t="shared" ref="F47:F58" si="1">$F$6/12</f>
        <v>636887.54157500004</v>
      </c>
      <c r="G47" s="116">
        <f t="shared" ref="G47:G58" si="2">$F$9/12</f>
        <v>102764.06982999999</v>
      </c>
      <c r="H47" s="116">
        <f>IFERROR((VLOOKUP("Parcela B",TabFinanCovid[],4,FALSE)/12),0)</f>
        <v>0</v>
      </c>
      <c r="I47" s="116">
        <f>IFERROR(VLOOKUP("Créditos de Pis/Cofins",TabFinanNeutralidade[[#All],[Detalhe_Grupo_TARIFA]:[valor]],2,FALSE)/12,0)</f>
        <v>0</v>
      </c>
      <c r="J47" s="1374">
        <f>SUM(C47:G47)</f>
        <v>788220.43778855028</v>
      </c>
      <c r="K47" s="142"/>
    </row>
    <row r="48" spans="2:14">
      <c r="B48" s="272">
        <f>Indexador!B38</f>
        <v>44409</v>
      </c>
      <c r="C48" s="116">
        <f t="shared" ref="C48:C58" si="3">$F$11/12</f>
        <v>0</v>
      </c>
      <c r="D48" s="142">
        <f t="shared" ref="D48:D58" si="4">$F$8/12</f>
        <v>30266.67458333333</v>
      </c>
      <c r="E48" s="116">
        <f t="shared" si="0"/>
        <v>18302.151800216918</v>
      </c>
      <c r="F48" s="116">
        <f t="shared" si="1"/>
        <v>636887.54157500004</v>
      </c>
      <c r="G48" s="116">
        <f t="shared" si="2"/>
        <v>102764.06982999999</v>
      </c>
      <c r="H48" s="116">
        <f>IFERROR((VLOOKUP("Parcela B",TabFinanCovid[],4,FALSE)/12),0)</f>
        <v>0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788220.43778855028</v>
      </c>
      <c r="K48" s="142"/>
    </row>
    <row r="49" spans="2:12">
      <c r="B49" s="272">
        <f>Indexador!B39</f>
        <v>44440</v>
      </c>
      <c r="C49" s="116">
        <f t="shared" si="3"/>
        <v>0</v>
      </c>
      <c r="D49" s="142">
        <f t="shared" si="4"/>
        <v>30266.67458333333</v>
      </c>
      <c r="E49" s="116">
        <f t="shared" si="0"/>
        <v>18302.151800216918</v>
      </c>
      <c r="F49" s="116">
        <f t="shared" si="1"/>
        <v>636887.54157500004</v>
      </c>
      <c r="G49" s="116">
        <f t="shared" si="2"/>
        <v>102764.06982999999</v>
      </c>
      <c r="H49" s="116">
        <f>IFERROR((VLOOKUP("Parcela B",TabFinanCovid[],4,FALSE)/12),0)</f>
        <v>0</v>
      </c>
      <c r="I49" s="116">
        <f>IFERROR(VLOOKUP("Créditos de Pis/Cofins",TabFinanNeutralidade[[#All],[Detalhe_Grupo_TARIFA]:[valor]],2,FALSE)/12,0)</f>
        <v>0</v>
      </c>
      <c r="J49" s="144">
        <f t="shared" si="5"/>
        <v>788220.43778855028</v>
      </c>
      <c r="K49" s="142"/>
    </row>
    <row r="50" spans="2:12">
      <c r="B50" s="272">
        <f>Indexador!B40</f>
        <v>44470</v>
      </c>
      <c r="C50" s="116">
        <f t="shared" si="3"/>
        <v>0</v>
      </c>
      <c r="D50" s="142">
        <f t="shared" si="4"/>
        <v>30266.67458333333</v>
      </c>
      <c r="E50" s="116">
        <f t="shared" si="0"/>
        <v>18302.151800216918</v>
      </c>
      <c r="F50" s="116">
        <f t="shared" si="1"/>
        <v>636887.54157500004</v>
      </c>
      <c r="G50" s="116">
        <f t="shared" si="2"/>
        <v>102764.06982999999</v>
      </c>
      <c r="H50" s="116">
        <f>IFERROR((VLOOKUP("Parcela B",TabFinanCovid[],4,FALSE)/12),0)</f>
        <v>0</v>
      </c>
      <c r="I50" s="116">
        <f>IFERROR(VLOOKUP("Créditos de Pis/Cofins",TabFinanNeutralidade[[#All],[Detalhe_Grupo_TARIFA]:[valor]],2,FALSE)/12,0)</f>
        <v>0</v>
      </c>
      <c r="J50" s="144">
        <f t="shared" si="5"/>
        <v>788220.43778855028</v>
      </c>
      <c r="K50" s="142"/>
    </row>
    <row r="51" spans="2:12">
      <c r="B51" s="272">
        <f>Indexador!B41</f>
        <v>44501</v>
      </c>
      <c r="C51" s="116">
        <f t="shared" si="3"/>
        <v>0</v>
      </c>
      <c r="D51" s="142">
        <f t="shared" si="4"/>
        <v>30266.67458333333</v>
      </c>
      <c r="E51" s="116">
        <f t="shared" si="0"/>
        <v>18302.151800216918</v>
      </c>
      <c r="F51" s="116">
        <f t="shared" si="1"/>
        <v>636887.54157500004</v>
      </c>
      <c r="G51" s="116">
        <f t="shared" si="2"/>
        <v>102764.06982999999</v>
      </c>
      <c r="H51" s="116">
        <f>IFERROR((VLOOKUP("Parcela B",TabFinanCovid[],4,FALSE)/12),0)</f>
        <v>0</v>
      </c>
      <c r="I51" s="116">
        <f>IFERROR(VLOOKUP("Créditos de Pis/Cofins",TabFinanNeutralidade[[#All],[Detalhe_Grupo_TARIFA]:[valor]],2,FALSE)/12,0)</f>
        <v>0</v>
      </c>
      <c r="J51" s="144">
        <f t="shared" si="5"/>
        <v>788220.43778855028</v>
      </c>
    </row>
    <row r="52" spans="2:12">
      <c r="B52" s="272">
        <f>Indexador!B42</f>
        <v>44531</v>
      </c>
      <c r="C52" s="116">
        <f t="shared" si="3"/>
        <v>0</v>
      </c>
      <c r="D52" s="142">
        <f t="shared" si="4"/>
        <v>30266.67458333333</v>
      </c>
      <c r="E52" s="116">
        <f t="shared" si="0"/>
        <v>18302.151800216918</v>
      </c>
      <c r="F52" s="116">
        <f t="shared" si="1"/>
        <v>636887.54157500004</v>
      </c>
      <c r="G52" s="116">
        <f t="shared" si="2"/>
        <v>102764.06982999999</v>
      </c>
      <c r="H52" s="116">
        <f>IFERROR((VLOOKUP("Parcela B",TabFinanCovid[],4,FALSE)/12),0)</f>
        <v>0</v>
      </c>
      <c r="I52" s="116">
        <f>IFERROR(VLOOKUP("Créditos de Pis/Cofins",TabFinanNeutralidade[[#All],[Detalhe_Grupo_TARIFA]:[valor]],2,FALSE)/12,0)</f>
        <v>0</v>
      </c>
      <c r="J52" s="144">
        <f t="shared" si="5"/>
        <v>788220.43778855028</v>
      </c>
    </row>
    <row r="53" spans="2:12">
      <c r="B53" s="272">
        <f>Indexador!B43</f>
        <v>44562</v>
      </c>
      <c r="C53" s="116">
        <f t="shared" si="3"/>
        <v>0</v>
      </c>
      <c r="D53" s="142">
        <f t="shared" si="4"/>
        <v>30266.67458333333</v>
      </c>
      <c r="E53" s="116">
        <f t="shared" si="0"/>
        <v>18302.151800216918</v>
      </c>
      <c r="F53" s="116">
        <f t="shared" si="1"/>
        <v>636887.54157500004</v>
      </c>
      <c r="G53" s="116">
        <f t="shared" si="2"/>
        <v>102764.06982999999</v>
      </c>
      <c r="H53" s="116">
        <f>IFERROR((VLOOKUP("Parcela B",TabFinanCovid[],4,FALSE)/12),0)</f>
        <v>0</v>
      </c>
      <c r="I53" s="116">
        <f>IFERROR(VLOOKUP("Créditos de Pis/Cofins",TabFinanNeutralidade[[#All],[Detalhe_Grupo_TARIFA]:[valor]],2,FALSE)/12,0)</f>
        <v>0</v>
      </c>
      <c r="J53" s="144">
        <f t="shared" si="5"/>
        <v>788220.43778855028</v>
      </c>
    </row>
    <row r="54" spans="2:12">
      <c r="B54" s="272">
        <f>Indexador!B44</f>
        <v>44593</v>
      </c>
      <c r="C54" s="116">
        <f t="shared" si="3"/>
        <v>0</v>
      </c>
      <c r="D54" s="142">
        <f t="shared" si="4"/>
        <v>30266.67458333333</v>
      </c>
      <c r="E54" s="116">
        <f t="shared" si="0"/>
        <v>18302.151800216918</v>
      </c>
      <c r="F54" s="116">
        <f t="shared" si="1"/>
        <v>636887.54157500004</v>
      </c>
      <c r="G54" s="116">
        <f t="shared" si="2"/>
        <v>102764.06982999999</v>
      </c>
      <c r="H54" s="116">
        <f>IFERROR((VLOOKUP("Parcela B",TabFinanCovid[],4,FALSE)/12),0)</f>
        <v>0</v>
      </c>
      <c r="I54" s="116">
        <f>IFERROR(VLOOKUP("Créditos de Pis/Cofins",TabFinanNeutralidade[[#All],[Detalhe_Grupo_TARIFA]:[valor]],2,FALSE)/12,0)</f>
        <v>0</v>
      </c>
      <c r="J54" s="144">
        <f t="shared" si="5"/>
        <v>788220.43778855028</v>
      </c>
    </row>
    <row r="55" spans="2:12">
      <c r="B55" s="272">
        <f>Indexador!B45</f>
        <v>44621</v>
      </c>
      <c r="C55" s="116">
        <f t="shared" si="3"/>
        <v>0</v>
      </c>
      <c r="D55" s="142">
        <f t="shared" si="4"/>
        <v>30266.67458333333</v>
      </c>
      <c r="E55" s="116">
        <f t="shared" si="0"/>
        <v>18302.151800216918</v>
      </c>
      <c r="F55" s="116">
        <f t="shared" si="1"/>
        <v>636887.54157500004</v>
      </c>
      <c r="G55" s="116">
        <f t="shared" si="2"/>
        <v>102764.06982999999</v>
      </c>
      <c r="H55" s="116">
        <f>IFERROR((VLOOKUP("Parcela B",TabFinanCovid[],4,FALSE)/12),0)</f>
        <v>0</v>
      </c>
      <c r="I55" s="116">
        <f>IFERROR(VLOOKUP("Créditos de Pis/Cofins",TabFinanNeutralidade[[#All],[Detalhe_Grupo_TARIFA]:[valor]],2,FALSE)/12,0)</f>
        <v>0</v>
      </c>
      <c r="J55" s="144">
        <f t="shared" si="5"/>
        <v>788220.43778855028</v>
      </c>
    </row>
    <row r="56" spans="2:12">
      <c r="B56" s="272">
        <f>Indexador!B46</f>
        <v>44652</v>
      </c>
      <c r="C56" s="116">
        <f t="shared" si="3"/>
        <v>0</v>
      </c>
      <c r="D56" s="142">
        <f t="shared" si="4"/>
        <v>30266.67458333333</v>
      </c>
      <c r="E56" s="116">
        <f t="shared" si="0"/>
        <v>18302.151800216918</v>
      </c>
      <c r="F56" s="116">
        <f t="shared" si="1"/>
        <v>636887.54157500004</v>
      </c>
      <c r="G56" s="116">
        <f t="shared" si="2"/>
        <v>102764.06982999999</v>
      </c>
      <c r="H56" s="116">
        <f>IFERROR((VLOOKUP("Parcela B",TabFinanCovid[],4,FALSE)/12),0)</f>
        <v>0</v>
      </c>
      <c r="I56" s="116">
        <f>IFERROR(VLOOKUP("Créditos de Pis/Cofins",TabFinanNeutralidade[[#All],[Detalhe_Grupo_TARIFA]:[valor]],2,FALSE)/12,0)</f>
        <v>0</v>
      </c>
      <c r="J56" s="144">
        <f t="shared" si="5"/>
        <v>788220.43778855028</v>
      </c>
    </row>
    <row r="57" spans="2:12">
      <c r="B57" s="272">
        <f>Indexador!B47</f>
        <v>44682</v>
      </c>
      <c r="C57" s="116">
        <f t="shared" si="3"/>
        <v>0</v>
      </c>
      <c r="D57" s="142">
        <f t="shared" si="4"/>
        <v>30266.67458333333</v>
      </c>
      <c r="E57" s="116">
        <f t="shared" si="0"/>
        <v>18302.151800216918</v>
      </c>
      <c r="F57" s="116">
        <f t="shared" si="1"/>
        <v>636887.54157500004</v>
      </c>
      <c r="G57" s="116">
        <f t="shared" si="2"/>
        <v>102764.06982999999</v>
      </c>
      <c r="H57" s="116">
        <f>IFERROR((VLOOKUP("Parcela B",TabFinanCovid[],4,FALSE)/12),0)</f>
        <v>0</v>
      </c>
      <c r="I57" s="116">
        <f>IFERROR(VLOOKUP("Créditos de Pis/Cofins",TabFinanNeutralidade[[#All],[Detalhe_Grupo_TARIFA]:[valor]],2,FALSE)/12,0)</f>
        <v>0</v>
      </c>
      <c r="J57" s="144">
        <f t="shared" si="5"/>
        <v>788220.43778855028</v>
      </c>
    </row>
    <row r="58" spans="2:12">
      <c r="B58" s="272">
        <f>Indexador!B48</f>
        <v>44713</v>
      </c>
      <c r="C58" s="1226">
        <f t="shared" si="3"/>
        <v>0</v>
      </c>
      <c r="D58" s="1375">
        <f t="shared" si="4"/>
        <v>30266.67458333333</v>
      </c>
      <c r="E58" s="1226">
        <f t="shared" si="0"/>
        <v>18302.151800216918</v>
      </c>
      <c r="F58" s="1226">
        <f t="shared" si="1"/>
        <v>636887.54157500004</v>
      </c>
      <c r="G58" s="1226">
        <f t="shared" si="2"/>
        <v>102764.06982999999</v>
      </c>
      <c r="H58" s="1226">
        <f>IFERROR((VLOOKUP("Parcela B",TabFinanCovid[],4,FALSE)/12),0)</f>
        <v>0</v>
      </c>
      <c r="I58" s="1226">
        <f>IFERROR(VLOOKUP("Créditos de Pis/Cofins",TabFinanNeutralidade[[#All],[Detalhe_Grupo_TARIFA]:[valor]],2,FALSE)/12,0)</f>
        <v>0</v>
      </c>
      <c r="J58" s="1376">
        <f t="shared" si="5"/>
        <v>788220.43778855028</v>
      </c>
    </row>
    <row r="60" spans="2:12">
      <c r="C60" s="68" t="s">
        <v>1361</v>
      </c>
      <c r="L60" s="198">
        <v>42491</v>
      </c>
    </row>
    <row r="61" spans="2:12" ht="28.5">
      <c r="C61" s="1542" t="s">
        <v>2233</v>
      </c>
      <c r="D61" s="1308" t="s">
        <v>46</v>
      </c>
      <c r="E61" s="1308" t="s">
        <v>40</v>
      </c>
      <c r="F61" s="1308" t="s">
        <v>41</v>
      </c>
      <c r="G61" s="1308" t="s">
        <v>47</v>
      </c>
      <c r="H61" s="1583" t="s">
        <v>2234</v>
      </c>
      <c r="I61" s="1583" t="s">
        <v>2257</v>
      </c>
      <c r="J61" s="1308" t="s">
        <v>1360</v>
      </c>
      <c r="L61" s="1308" t="s">
        <v>48</v>
      </c>
    </row>
    <row r="62" spans="2:12">
      <c r="B62" s="272">
        <f t="shared" ref="B62:B73" si="6">B47</f>
        <v>44378</v>
      </c>
      <c r="C62" s="1377">
        <f ca="1">Calc_Mercado!S63</f>
        <v>0</v>
      </c>
      <c r="D62" s="1377">
        <f ca="1">Calc_Mercado!F63</f>
        <v>20271.056406802618</v>
      </c>
      <c r="E62" s="1217">
        <f ca="1">Calc_Mercado!I63</f>
        <v>12927.381838614998</v>
      </c>
      <c r="F62" s="1365">
        <f ca="1">Calc_Mercado!H63</f>
        <v>435089.24017547927</v>
      </c>
      <c r="G62" s="1365">
        <f ca="1">Calc_Mercado!G63</f>
        <v>68473.214316883546</v>
      </c>
      <c r="H62" s="1584">
        <f ca="1">IFERROR((VLOOKUP("Parcela B",TabFinanCovid[],4,FALSE)/VLOOKUP("Parcela B",TabFinanNeutralidade[],3,FALSE))*Calc_Mercado!T63,0)</f>
        <v>0</v>
      </c>
      <c r="I62" s="1584">
        <f ca="1">Calc_Mercado!U63</f>
        <v>0</v>
      </c>
      <c r="J62" s="1374">
        <f t="shared" ref="J62:J73" ca="1" si="7">SUM(C62:G62)</f>
        <v>536760.89273778046</v>
      </c>
      <c r="L62" s="1377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0</v>
      </c>
      <c r="D63" s="143">
        <f ca="1">Calc_Mercado!F64</f>
        <v>24019.268722451583</v>
      </c>
      <c r="E63" s="116">
        <f ca="1">Calc_Mercado!I64</f>
        <v>14827.137406602256</v>
      </c>
      <c r="F63" s="80">
        <f ca="1">Calc_Mercado!H64</f>
        <v>508756.13998620404</v>
      </c>
      <c r="G63" s="80">
        <f ca="1">Calc_Mercado!G64</f>
        <v>81310.923106917908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4">
        <f t="shared" ca="1" si="7"/>
        <v>628913.46922217577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0</v>
      </c>
      <c r="D64" s="143">
        <f ca="1">Calc_Mercado!F65</f>
        <v>22255.514545799459</v>
      </c>
      <c r="E64" s="116">
        <f ca="1">Calc_Mercado!I65</f>
        <v>14011.743214229666</v>
      </c>
      <c r="F64" s="80">
        <f ca="1">Calc_Mercado!H65</f>
        <v>474322.19893819804</v>
      </c>
      <c r="G64" s="80">
        <f ca="1">Calc_Mercado!G65</f>
        <v>75109.53689746189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4">
        <f t="shared" ca="1" si="7"/>
        <v>585698.99359568907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0</v>
      </c>
      <c r="D65" s="143">
        <f ca="1">Calc_Mercado!F66</f>
        <v>27194.890478716625</v>
      </c>
      <c r="E65" s="116">
        <f ca="1">Calc_Mercado!I66</f>
        <v>16411.697773683867</v>
      </c>
      <c r="F65" s="80">
        <f ca="1">Calc_Mercado!H66</f>
        <v>570521.18203324033</v>
      </c>
      <c r="G65" s="80">
        <f ca="1">Calc_Mercado!G66</f>
        <v>92149.699366744651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4">
        <f t="shared" ca="1" si="7"/>
        <v>706277.46965238545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0</v>
      </c>
      <c r="D66" s="143">
        <f ca="1">Calc_Mercado!F67</f>
        <v>46899.047943550519</v>
      </c>
      <c r="E66" s="116">
        <f ca="1">Calc_Mercado!I67</f>
        <v>26486.631075316913</v>
      </c>
      <c r="F66" s="80">
        <f ca="1">Calc_Mercado!H67</f>
        <v>961317.84253919008</v>
      </c>
      <c r="G66" s="80">
        <f ca="1">Calc_Mercado!G67</f>
        <v>159963.15606521262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4">
        <f t="shared" ca="1" si="7"/>
        <v>1194666.6776232701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0</v>
      </c>
      <c r="D67" s="143">
        <f ca="1">Calc_Mercado!F68</f>
        <v>53325.220142345148</v>
      </c>
      <c r="E67" s="116">
        <f ca="1">Calc_Mercado!I68</f>
        <v>29811.306601964385</v>
      </c>
      <c r="F67" s="80">
        <f ca="1">Calc_Mercado!H68</f>
        <v>1089624.431319904</v>
      </c>
      <c r="G67" s="80">
        <f ca="1">Calc_Mercado!G68</f>
        <v>182114.31955491903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4">
        <f t="shared" ca="1" si="7"/>
        <v>1354875.2776191328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0</v>
      </c>
      <c r="D68" s="143">
        <f ca="1">Calc_Mercado!F69</f>
        <v>48408.818527943615</v>
      </c>
      <c r="E68" s="116">
        <f ca="1">Calc_Mercado!I69</f>
        <v>28092.816532786121</v>
      </c>
      <c r="F68" s="80">
        <f ca="1">Calc_Mercado!H69</f>
        <v>1001581.3735615251</v>
      </c>
      <c r="G68" s="80">
        <f ca="1">Calc_Mercado!G69</f>
        <v>164670.97184796672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4">
        <f t="shared" ca="1" si="7"/>
        <v>1242753.9804702217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0</v>
      </c>
      <c r="D69" s="143">
        <f ca="1">Calc_Mercado!F70</f>
        <v>45596.707625630828</v>
      </c>
      <c r="E69" s="116">
        <f ca="1">Calc_Mercado!I70</f>
        <v>26991.321874188641</v>
      </c>
      <c r="F69" s="80">
        <f ca="1">Calc_Mercado!H70</f>
        <v>950713.63893811568</v>
      </c>
      <c r="G69" s="80">
        <f ca="1">Calc_Mercado!G70</f>
        <v>154911.05418901838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4">
        <f t="shared" ca="1" si="7"/>
        <v>1178212.7226269536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0</v>
      </c>
      <c r="D70" s="143">
        <f ca="1">Calc_Mercado!F71</f>
        <v>31722.632078328563</v>
      </c>
      <c r="E70" s="116">
        <f ca="1">Calc_Mercado!I71</f>
        <v>19504.79312769699</v>
      </c>
      <c r="F70" s="80">
        <f ca="1">Calc_Mercado!H71</f>
        <v>664067.59578014701</v>
      </c>
      <c r="G70" s="80">
        <f ca="1">Calc_Mercado!G71</f>
        <v>106368.68635437486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4">
        <f t="shared" ca="1" si="7"/>
        <v>821663.70734054747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0</v>
      </c>
      <c r="D71" s="143">
        <f ca="1">Calc_Mercado!F72</f>
        <v>23891.988140297322</v>
      </c>
      <c r="E71" s="116">
        <f ca="1">Calc_Mercado!I72</f>
        <v>15008.361588109961</v>
      </c>
      <c r="F71" s="80">
        <f ca="1">Calc_Mercado!H72</f>
        <v>503022.54483988468</v>
      </c>
      <c r="G71" s="80">
        <f ca="1">Calc_Mercado!G72</f>
        <v>79761.961152553427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4">
        <f t="shared" ca="1" si="7"/>
        <v>621684.8557208454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0</v>
      </c>
      <c r="D72" s="143">
        <f ca="1">Calc_Mercado!F73</f>
        <v>21733.146876850191</v>
      </c>
      <c r="E72" s="116">
        <f ca="1">Calc_Mercado!I73</f>
        <v>13671.767243792408</v>
      </c>
      <c r="F72" s="80">
        <f ca="1">Calc_Mercado!H73</f>
        <v>457405.9081685376</v>
      </c>
      <c r="G72" s="80">
        <f ca="1">Calc_Mercado!G73</f>
        <v>72480.623688990003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4">
        <f t="shared" ca="1" si="7"/>
        <v>565291.44597817014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78">
        <f ca="1">Calc_Mercado!S74</f>
        <v>0</v>
      </c>
      <c r="D73" s="1378">
        <f ca="1">Calc_Mercado!F74</f>
        <v>21733.146876850191</v>
      </c>
      <c r="E73" s="1226">
        <f ca="1">Calc_Mercado!I74</f>
        <v>13671.767243792408</v>
      </c>
      <c r="F73" s="1370">
        <f ca="1">Calc_Mercado!H74</f>
        <v>457405.9081685376</v>
      </c>
      <c r="G73" s="1370">
        <f ca="1">Calc_Mercado!G74</f>
        <v>72480.623688990003</v>
      </c>
      <c r="H73" s="1370">
        <f ca="1">IFERROR((VLOOKUP("Parcela B",TabFinanCovid[],4,FALSE)/VLOOKUP("Parcela B",TabFinanNeutralidade[],3,FALSE))*Calc_Mercado!T74,0)</f>
        <v>0</v>
      </c>
      <c r="I73" s="1370">
        <f ca="1">Calc_Mercado!U74</f>
        <v>0</v>
      </c>
      <c r="J73" s="1376">
        <f t="shared" ca="1" si="7"/>
        <v>565291.44597817014</v>
      </c>
      <c r="L73" s="1378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D2" zoomScale="86" zoomScaleNormal="86" workbookViewId="0">
      <selection activeCell="D12" sqref="D12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4.28515625" style="108" bestFit="1" customWidth="1"/>
    <col min="5" max="5" width="16.28515625" style="960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20" ht="23.25" customHeight="1">
      <c r="C1" s="994" t="s">
        <v>801</v>
      </c>
      <c r="D1" s="1379"/>
      <c r="E1" s="1380"/>
      <c r="F1" s="820"/>
      <c r="G1" s="1204" t="s">
        <v>953</v>
      </c>
      <c r="H1" s="1205">
        <f ca="1">LnkTXTIRTEco</f>
        <v>0.12970000000000001</v>
      </c>
    </row>
    <row r="2" spans="3:20" ht="16.5">
      <c r="C2" s="637" t="str">
        <f>CAPA!B2</f>
        <v>Cermissões</v>
      </c>
      <c r="D2" s="639"/>
      <c r="E2" s="954"/>
      <c r="F2" s="640"/>
      <c r="G2" s="641" t="s">
        <v>957</v>
      </c>
      <c r="H2" s="642">
        <f ca="1">LnkTXTIRTTotal</f>
        <v>-9.4E-2</v>
      </c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8" t="s">
        <v>1051</v>
      </c>
      <c r="T2" s="68" t="s">
        <v>830</v>
      </c>
    </row>
    <row r="3" spans="3:20" ht="16.5">
      <c r="C3" s="643"/>
      <c r="D3" s="639"/>
      <c r="E3" s="954"/>
      <c r="F3" s="641"/>
      <c r="G3" s="642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8">
        <v>0.67686259638624935</v>
      </c>
      <c r="T3" s="68">
        <v>0.32313740361375065</v>
      </c>
    </row>
    <row r="4" spans="3:20" ht="16.5">
      <c r="C4" s="1381" t="s">
        <v>1362</v>
      </c>
      <c r="D4" s="1382">
        <f ca="1">LnkTXTRA0</f>
        <v>105092899.89447996</v>
      </c>
      <c r="E4" s="955"/>
      <c r="F4" s="640"/>
      <c r="G4" s="640"/>
      <c r="H4" s="640"/>
      <c r="I4" s="640"/>
      <c r="J4" s="644"/>
      <c r="K4" s="640"/>
      <c r="L4" s="640"/>
      <c r="M4" s="640"/>
      <c r="N4" s="640"/>
      <c r="O4" s="640"/>
      <c r="P4" s="640"/>
      <c r="Q4" s="640"/>
      <c r="R4" s="640"/>
    </row>
    <row r="5" spans="3:20" ht="16.5">
      <c r="C5" s="1383" t="s">
        <v>1363</v>
      </c>
      <c r="D5" s="1384">
        <f ca="1">IF(CAPA!P1="VERDADEIRO",D7,IFERROR(D7/(1+IF(Calc_Mercado!J15&gt;0,Calc_Mercado!J15,0)),0))</f>
        <v>-23509390.82677171</v>
      </c>
      <c r="E5" s="956"/>
      <c r="F5" s="735"/>
      <c r="G5" s="640"/>
      <c r="H5" s="640"/>
      <c r="I5" s="640"/>
      <c r="J5" s="644"/>
      <c r="K5" s="640"/>
      <c r="L5" s="640"/>
      <c r="M5" s="640"/>
      <c r="N5" s="640"/>
      <c r="O5" s="640"/>
      <c r="P5" s="640"/>
      <c r="Q5" s="640"/>
      <c r="R5" s="640"/>
    </row>
    <row r="6" spans="3:20" ht="16.5">
      <c r="C6" s="640"/>
      <c r="D6" s="1385"/>
      <c r="E6" s="957"/>
      <c r="F6" s="640"/>
      <c r="G6" s="640"/>
      <c r="H6" s="644"/>
      <c r="I6" s="645"/>
      <c r="J6" s="640"/>
      <c r="K6" s="640"/>
      <c r="L6" s="640"/>
      <c r="M6" s="640"/>
      <c r="N6" s="640"/>
      <c r="O6" s="640"/>
      <c r="P6" s="640"/>
      <c r="Q6" s="640"/>
      <c r="R6" s="640"/>
    </row>
    <row r="7" spans="3:20" ht="16.5">
      <c r="C7" s="1386" t="s">
        <v>1364</v>
      </c>
      <c r="D7" s="1387">
        <f ca="1">SUM(D10:D82)-LnkTxTAjusteCUST-D31</f>
        <v>-23509390.82677171</v>
      </c>
      <c r="E7" s="1388">
        <f ca="1">SUM(E10:E82)-E26-E31</f>
        <v>-0.22370103832301388</v>
      </c>
      <c r="F7" s="646" t="s">
        <v>1365</v>
      </c>
      <c r="G7" s="640"/>
      <c r="H7" s="640"/>
      <c r="I7" s="640"/>
      <c r="J7" s="640"/>
      <c r="K7" s="640"/>
      <c r="L7" s="640"/>
      <c r="M7" s="640"/>
      <c r="N7" s="640"/>
      <c r="O7" s="640"/>
      <c r="P7" s="640"/>
      <c r="Q7" s="640"/>
      <c r="R7" s="640"/>
    </row>
    <row r="8" spans="3:20" ht="16.5">
      <c r="C8" s="1389" t="s">
        <v>1366</v>
      </c>
      <c r="D8" s="1390" t="s">
        <v>37</v>
      </c>
      <c r="E8" s="1391" t="s">
        <v>1367</v>
      </c>
      <c r="F8" s="1389" t="s">
        <v>1368</v>
      </c>
      <c r="G8" s="1389" t="s">
        <v>1369</v>
      </c>
      <c r="H8" s="1389" t="s">
        <v>1370</v>
      </c>
      <c r="I8" s="1389" t="s">
        <v>1371</v>
      </c>
      <c r="J8" s="1389" t="s">
        <v>1372</v>
      </c>
      <c r="K8" s="1389" t="s">
        <v>1373</v>
      </c>
      <c r="L8" s="1389" t="s">
        <v>803</v>
      </c>
      <c r="M8" s="640"/>
      <c r="N8" s="640"/>
      <c r="O8" s="640"/>
      <c r="P8" s="640"/>
      <c r="Q8" s="640"/>
      <c r="R8" s="640"/>
    </row>
    <row r="9" spans="3:20" ht="16.5">
      <c r="C9" s="647" t="s">
        <v>1374</v>
      </c>
      <c r="D9" s="648">
        <f>ABS(Indexador!D49)</f>
        <v>1855892.7636633427</v>
      </c>
      <c r="E9" s="958">
        <f t="shared" ref="E9:E76" ca="1" si="0">IF(ISERROR(D9/$D$4),0,D9/$D$4)</f>
        <v>1.7659544703084399E-2</v>
      </c>
      <c r="F9" s="647"/>
      <c r="G9" s="647"/>
      <c r="H9" s="647"/>
      <c r="I9" s="647"/>
      <c r="J9" s="647"/>
      <c r="K9" s="647"/>
      <c r="L9" s="640"/>
      <c r="M9" s="640"/>
      <c r="N9" s="640"/>
      <c r="O9" s="640"/>
      <c r="P9" s="640"/>
      <c r="Q9" s="640"/>
      <c r="R9" s="640"/>
      <c r="S9" s="398"/>
    </row>
    <row r="10" spans="3:20" ht="16.5">
      <c r="C10" s="640" t="s">
        <v>1375</v>
      </c>
      <c r="D10" s="867">
        <f>LnkTXTPISCOFINS*T3</f>
        <v>599708.36903572071</v>
      </c>
      <c r="E10" s="959">
        <f ca="1">IF(ISERROR(D10/$D$4),0,D10/$D$4)</f>
        <v>5.7064594243556562E-3</v>
      </c>
      <c r="F10" s="640">
        <v>22</v>
      </c>
      <c r="G10" s="640">
        <v>60</v>
      </c>
      <c r="H10" s="640">
        <v>999</v>
      </c>
      <c r="I10" s="640">
        <v>1</v>
      </c>
      <c r="J10" s="640">
        <v>7</v>
      </c>
      <c r="K10" s="640">
        <v>9</v>
      </c>
      <c r="L10" s="640"/>
      <c r="M10" s="640"/>
      <c r="N10" s="640"/>
      <c r="O10" s="640"/>
      <c r="P10" s="640"/>
      <c r="Q10" s="793"/>
      <c r="R10" s="640"/>
    </row>
    <row r="11" spans="3:20" ht="16.5">
      <c r="C11" s="640" t="s">
        <v>1376</v>
      </c>
      <c r="D11" s="867">
        <f>LnkTXTPISCOFINS*S3</f>
        <v>1256184.3946276219</v>
      </c>
      <c r="E11" s="959">
        <f ca="1">IF(ISERROR(D11/$D$4),0,D11/$D$4)</f>
        <v>1.1953085278728744E-2</v>
      </c>
      <c r="F11" s="640">
        <v>22</v>
      </c>
      <c r="G11" s="640">
        <v>60</v>
      </c>
      <c r="H11" s="640">
        <v>999</v>
      </c>
      <c r="I11" s="640">
        <v>2</v>
      </c>
      <c r="J11" s="640">
        <v>30</v>
      </c>
      <c r="K11" s="640">
        <v>9</v>
      </c>
      <c r="L11" s="640"/>
      <c r="M11" s="649" t="s">
        <v>22</v>
      </c>
      <c r="N11" s="649" t="s">
        <v>1377</v>
      </c>
      <c r="O11" s="649" t="s">
        <v>37</v>
      </c>
      <c r="P11" s="650" t="s">
        <v>1367</v>
      </c>
      <c r="Q11" s="793"/>
      <c r="R11" s="640"/>
    </row>
    <row r="12" spans="3:20" ht="16.5">
      <c r="C12" s="640" t="str">
        <f>"(Neutralidade) "&amp;Encargos!E5</f>
        <v>(Neutralidade) TFSEE</v>
      </c>
      <c r="D12" s="867">
        <f ca="1">Encargos!M31</f>
        <v>-12359.111379595555</v>
      </c>
      <c r="E12" s="959">
        <f t="shared" ca="1" si="0"/>
        <v>-1.1760177321212849E-4</v>
      </c>
      <c r="F12" s="640">
        <v>20</v>
      </c>
      <c r="G12" s="640">
        <v>60</v>
      </c>
      <c r="H12" s="640">
        <v>20</v>
      </c>
      <c r="I12" s="640">
        <v>3</v>
      </c>
      <c r="J12" s="640">
        <v>14</v>
      </c>
      <c r="K12" s="640">
        <v>9</v>
      </c>
      <c r="L12" s="640"/>
      <c r="M12" s="640" t="str">
        <f t="shared" ref="M12:M27" ca="1" si="1">IF(O12=0,,"CVA")</f>
        <v>CVA</v>
      </c>
      <c r="N12" s="640" t="str">
        <f ca="1">IF(Tabela1[[#This Row],[Percentual]]=0,,Tabela1[[#This Row],[Nome do Financeiro]])</f>
        <v>(Neutralidade) TFSEE</v>
      </c>
      <c r="O12" s="640">
        <f ca="1">IF(ISNUMBER(Tabela1[[#This Row],[Valor]]),Tabela1[[#This Row],[Valor]],)</f>
        <v>-12359.111379595555</v>
      </c>
      <c r="P12" s="640">
        <f ca="1">IF(Tabela1[[#This Row],[Percentual]]=0,,Tabela1[[#This Row],[Percentual]])</f>
        <v>-1.1760177321212849E-4</v>
      </c>
      <c r="Q12" s="644"/>
      <c r="R12" s="640"/>
    </row>
    <row r="13" spans="3:20" ht="16.5">
      <c r="C13" s="640" t="str">
        <f>"(Neutralidade) "&amp;Encargos!E6&amp;""</f>
        <v>(Neutralidade) CDE</v>
      </c>
      <c r="D13" s="867">
        <f ca="1">IFERROR(Encargos!M32,0)</f>
        <v>-453757.159116606</v>
      </c>
      <c r="E13" s="959">
        <f ca="1">IF(ISERROR(D13/$D$4),0,D13/$D$4)</f>
        <v>-4.3176766420206063E-3</v>
      </c>
      <c r="F13" s="640">
        <v>20</v>
      </c>
      <c r="G13" s="640">
        <v>60</v>
      </c>
      <c r="H13" s="640">
        <v>20</v>
      </c>
      <c r="I13" s="640">
        <v>3</v>
      </c>
      <c r="J13" s="640">
        <v>15</v>
      </c>
      <c r="K13" s="640">
        <v>9</v>
      </c>
      <c r="L13" s="640"/>
      <c r="M13" s="640" t="str">
        <f t="shared" ca="1" si="1"/>
        <v>CVA</v>
      </c>
      <c r="N13" s="640" t="str">
        <f ca="1">IF(Tabela1[[#This Row],[Percentual]]=0,,Tabela1[[#This Row],[Nome do Financeiro]])</f>
        <v>(Neutralidade) CDE</v>
      </c>
      <c r="O13" s="640">
        <f ca="1">IF(ISNUMBER(Tabela1[[#This Row],[Valor]]),Tabela1[[#This Row],[Valor]],)</f>
        <v>-453757.159116606</v>
      </c>
      <c r="P13" s="640">
        <f ca="1">IF(Tabela1[[#This Row],[Percentual]]=0,,Tabela1[[#This Row],[Percentual]])</f>
        <v>-4.3176766420206063E-3</v>
      </c>
      <c r="Q13" s="644"/>
      <c r="R13" s="640"/>
    </row>
    <row r="14" spans="3:20" ht="16.5">
      <c r="C14" s="640" t="str">
        <f>"(Neutralidade) "&amp;Encargos!E7</f>
        <v>(Neutralidade) CFURH</v>
      </c>
      <c r="D14" s="867">
        <f>Encargos!M33</f>
        <v>0</v>
      </c>
      <c r="E14" s="959">
        <f t="shared" ca="1" si="0"/>
        <v>0</v>
      </c>
      <c r="F14" s="640">
        <v>20</v>
      </c>
      <c r="G14" s="640">
        <v>60</v>
      </c>
      <c r="H14" s="640">
        <v>20</v>
      </c>
      <c r="I14" s="640">
        <v>3</v>
      </c>
      <c r="J14" s="640">
        <v>16</v>
      </c>
      <c r="K14" s="640">
        <v>9</v>
      </c>
      <c r="L14" s="640"/>
      <c r="M14" s="640">
        <f t="shared" si="1"/>
        <v>0</v>
      </c>
      <c r="N14" s="640">
        <f ca="1">IF(Tabela1[[#This Row],[Percentual]]=0,,Tabela1[[#This Row],[Nome do Financeiro]])</f>
        <v>0</v>
      </c>
      <c r="O14" s="640">
        <f>IF(ISNUMBER(Tabela1[[#This Row],[Valor]]),Tabela1[[#This Row],[Valor]],)</f>
        <v>0</v>
      </c>
      <c r="P14" s="640">
        <f ca="1">IF(Tabela1[[#This Row],[Percentual]]=0,,Tabela1[[#This Row],[Percentual]])</f>
        <v>0</v>
      </c>
      <c r="Q14" s="644"/>
      <c r="R14" s="640"/>
    </row>
    <row r="15" spans="3:20" ht="16.5">
      <c r="C15" s="640" t="str">
        <f>"(Neutralidade) "&amp;Encargos!E8</f>
        <v>(Neutralidade) ESS/EER</v>
      </c>
      <c r="D15" s="867">
        <f ca="1">Encargos!M34</f>
        <v>-25093.72283743892</v>
      </c>
      <c r="E15" s="959">
        <f t="shared" ca="1" si="0"/>
        <v>-2.387765763684762E-4</v>
      </c>
      <c r="F15" s="640">
        <v>20</v>
      </c>
      <c r="G15" s="640">
        <v>60</v>
      </c>
      <c r="H15" s="640">
        <v>20</v>
      </c>
      <c r="I15" s="640">
        <v>3</v>
      </c>
      <c r="J15" s="640">
        <v>17</v>
      </c>
      <c r="K15" s="640">
        <v>9</v>
      </c>
      <c r="L15" s="640"/>
      <c r="M15" s="640" t="str">
        <f t="shared" ca="1" si="1"/>
        <v>CVA</v>
      </c>
      <c r="N15" s="640" t="str">
        <f ca="1">IF(Tabela1[[#This Row],[Percentual]]=0,,Tabela1[[#This Row],[Nome do Financeiro]])</f>
        <v>(Neutralidade) ESS/EER</v>
      </c>
      <c r="O15" s="640">
        <f ca="1">IF(ISNUMBER(Tabela1[[#This Row],[Valor]]),Tabela1[[#This Row],[Valor]],)</f>
        <v>-25093.72283743892</v>
      </c>
      <c r="P15" s="640">
        <f ca="1">IF(Tabela1[[#This Row],[Percentual]]=0,,Tabela1[[#This Row],[Percentual]])</f>
        <v>-2.387765763684762E-4</v>
      </c>
      <c r="Q15" s="644"/>
      <c r="R15" s="640"/>
    </row>
    <row r="16" spans="3:20" ht="16.5">
      <c r="C16" s="640" t="str">
        <f>"(Neutralidade) "&amp;Encargos!E9</f>
        <v>(Neutralidade) PROINFA</v>
      </c>
      <c r="D16" s="867">
        <f ca="1">Encargos!M35</f>
        <v>-80750.608347880712</v>
      </c>
      <c r="E16" s="959">
        <f t="shared" ca="1" si="0"/>
        <v>-7.6837358593168071E-4</v>
      </c>
      <c r="F16" s="640">
        <v>20</v>
      </c>
      <c r="G16" s="640">
        <v>60</v>
      </c>
      <c r="H16" s="640">
        <v>20</v>
      </c>
      <c r="I16" s="640">
        <v>3</v>
      </c>
      <c r="J16" s="640">
        <v>18</v>
      </c>
      <c r="K16" s="640">
        <v>9</v>
      </c>
      <c r="L16" s="640"/>
      <c r="M16" s="640" t="str">
        <f t="shared" ca="1" si="1"/>
        <v>CVA</v>
      </c>
      <c r="N16" s="640" t="str">
        <f ca="1">IF(Tabela1[[#This Row],[Percentual]]=0,,Tabela1[[#This Row],[Nome do Financeiro]])</f>
        <v>(Neutralidade) PROINFA</v>
      </c>
      <c r="O16" s="640">
        <f ca="1">IF(ISNUMBER(Tabela1[[#This Row],[Valor]]),Tabela1[[#This Row],[Valor]],)</f>
        <v>-80750.608347880712</v>
      </c>
      <c r="P16" s="640">
        <f ca="1">IF(Tabela1[[#This Row],[Percentual]]=0,,Tabela1[[#This Row],[Percentual]])</f>
        <v>-7.6837358593168071E-4</v>
      </c>
      <c r="Q16" s="644"/>
      <c r="R16" s="640"/>
    </row>
    <row r="17" spans="3:23" ht="16.5">
      <c r="C17" s="640" t="str">
        <f>"(Neutralidade) "&amp;Encargos!B11</f>
        <v>(Neutralidade) P&amp;D e PEE</v>
      </c>
      <c r="D17" s="867"/>
      <c r="E17" s="959">
        <f t="shared" ca="1" si="0"/>
        <v>0</v>
      </c>
      <c r="F17" s="640">
        <v>20</v>
      </c>
      <c r="G17" s="640">
        <v>60</v>
      </c>
      <c r="H17" s="640">
        <v>20</v>
      </c>
      <c r="I17" s="640">
        <v>3</v>
      </c>
      <c r="J17" s="640">
        <v>19</v>
      </c>
      <c r="K17" s="640">
        <v>9</v>
      </c>
      <c r="L17" s="640"/>
      <c r="M17" s="640">
        <f t="shared" si="1"/>
        <v>0</v>
      </c>
      <c r="N17" s="640">
        <f ca="1">IF(Tabela1[[#This Row],[Percentual]]=0,,Tabela1[[#This Row],[Nome do Financeiro]])</f>
        <v>0</v>
      </c>
      <c r="O17" s="640">
        <f>IF(ISNUMBER(Tabela1[[#This Row],[Valor]]),Tabela1[[#This Row],[Valor]],)</f>
        <v>0</v>
      </c>
      <c r="P17" s="640">
        <f ca="1">IF(Tabela1[[#This Row],[Percentual]]=0,,Tabela1[[#This Row],[Percentual]])</f>
        <v>0</v>
      </c>
      <c r="Q17" s="644"/>
      <c r="R17" s="640"/>
    </row>
    <row r="18" spans="3:23" ht="16.5">
      <c r="C18" s="640" t="str">
        <f>"(Neutralidade) "&amp; "CDE conta covid-19"</f>
        <v>(Neutralidade) CDE conta covid-19</v>
      </c>
      <c r="D18" s="867">
        <f ca="1">Encargos!M36</f>
        <v>0</v>
      </c>
      <c r="E18" s="959">
        <f t="shared" ca="1" si="0"/>
        <v>0</v>
      </c>
      <c r="F18" s="1638">
        <v>20</v>
      </c>
      <c r="G18" s="1638">
        <v>60</v>
      </c>
      <c r="H18" s="1638">
        <v>73</v>
      </c>
      <c r="I18" s="1638">
        <v>3</v>
      </c>
      <c r="J18" s="1638">
        <v>12</v>
      </c>
      <c r="K18" s="1638">
        <v>9</v>
      </c>
      <c r="L18" s="640"/>
      <c r="M18" s="640">
        <f t="shared" ca="1" si="1"/>
        <v>0</v>
      </c>
      <c r="N18" s="640">
        <f ca="1">IF(Tabela1[[#This Row],[Percentual]]=0,,Tabela1[[#This Row],[Nome do Financeiro]])</f>
        <v>0</v>
      </c>
      <c r="O18" s="640">
        <f ca="1">IF(ISNUMBER(Tabela1[[#This Row],[Valor]]),Tabela1[[#This Row],[Valor]],)</f>
        <v>0</v>
      </c>
      <c r="P18" s="640">
        <f ca="1">IF(Tabela1[[#This Row],[Percentual]]=0,,Tabela1[[#This Row],[Percentual]])</f>
        <v>0</v>
      </c>
      <c r="Q18" s="644"/>
      <c r="R18" s="640"/>
      <c r="S18" s="398"/>
    </row>
    <row r="19" spans="3:23" ht="16.5">
      <c r="C19" s="640" t="str">
        <f>"(Neutralidade)" &amp; Encargos!L41</f>
        <v>(Neutralidade)Financeiro Covid</v>
      </c>
      <c r="D19" s="867">
        <f ca="1">Encargos!M41</f>
        <v>0</v>
      </c>
      <c r="E19" s="959">
        <f t="shared" ca="1" si="0"/>
        <v>0</v>
      </c>
      <c r="F19" s="640">
        <v>20</v>
      </c>
      <c r="G19" s="640">
        <v>60</v>
      </c>
      <c r="H19" s="640">
        <v>235</v>
      </c>
      <c r="I19" s="640">
        <v>4</v>
      </c>
      <c r="J19" s="640">
        <v>999</v>
      </c>
      <c r="K19" s="640">
        <v>9</v>
      </c>
      <c r="L19" s="640"/>
      <c r="M19" s="640"/>
      <c r="N19" s="640"/>
      <c r="O19" s="640"/>
      <c r="P19" s="640"/>
      <c r="Q19" s="644"/>
      <c r="R19" s="640"/>
      <c r="S19" s="398"/>
    </row>
    <row r="20" spans="3:23" ht="16.5">
      <c r="C20" s="640" t="str">
        <f>"(Neutralidade)" &amp; Encargos!L42</f>
        <v>(Neutralidade)Crédito Pis Cofins</v>
      </c>
      <c r="D20" s="867">
        <f ca="1">Encargos!M42</f>
        <v>0</v>
      </c>
      <c r="E20" s="959">
        <f t="shared" ca="1" si="0"/>
        <v>0</v>
      </c>
      <c r="F20" s="640">
        <v>20</v>
      </c>
      <c r="G20" s="640">
        <v>60</v>
      </c>
      <c r="H20" s="640">
        <v>179</v>
      </c>
      <c r="I20" s="640">
        <v>99</v>
      </c>
      <c r="J20" s="640">
        <v>999</v>
      </c>
      <c r="K20" s="640">
        <v>3</v>
      </c>
      <c r="L20" s="640"/>
      <c r="M20" s="640"/>
      <c r="N20" s="640"/>
      <c r="O20" s="640"/>
      <c r="P20" s="640"/>
      <c r="Q20" s="644"/>
      <c r="R20" s="640"/>
      <c r="S20" s="398"/>
    </row>
    <row r="21" spans="3:23" ht="16.5">
      <c r="C21" s="640" t="s">
        <v>1378</v>
      </c>
      <c r="D21" s="867">
        <f>IFERROR(LnkTxTAjusteCUST*Resultado!D25/(Resultado!D25+Resultado!D26),0)</f>
        <v>190942.87842270665</v>
      </c>
      <c r="E21" s="959">
        <f ca="1">IF(ISERROR(D21/$D$4),0,D21/$D$4)</f>
        <v>1.8168960854103903E-3</v>
      </c>
      <c r="F21" s="640">
        <v>22</v>
      </c>
      <c r="G21" s="640">
        <v>60</v>
      </c>
      <c r="H21" s="640">
        <v>999</v>
      </c>
      <c r="I21" s="640">
        <v>1</v>
      </c>
      <c r="J21" s="640">
        <v>1</v>
      </c>
      <c r="K21" s="640">
        <v>9</v>
      </c>
      <c r="L21" s="640"/>
      <c r="M21" s="640" t="str">
        <f t="shared" si="1"/>
        <v>CVA</v>
      </c>
      <c r="N21" s="640" t="str">
        <f ca="1">IF(Tabela1[[#This Row],[Percentual]]=0,,Tabela1[[#This Row],[Nome do Financeiro]])</f>
        <v>Ajuste CUST RB + PIS Cofins RB</v>
      </c>
      <c r="O21" s="640">
        <f>IF(ISNUMBER(Tabela1[[#This Row],[Valor]]),Tabela1[[#This Row],[Valor]],)</f>
        <v>190942.87842270665</v>
      </c>
      <c r="P21" s="640">
        <f ca="1">IF(Tabela1[[#This Row],[Percentual]]=0,,Tabela1[[#This Row],[Percentual]])</f>
        <v>1.8168960854103903E-3</v>
      </c>
      <c r="Q21" s="644"/>
      <c r="R21" s="640"/>
    </row>
    <row r="22" spans="3:23" ht="16.5">
      <c r="C22" s="640" t="s">
        <v>1379</v>
      </c>
      <c r="D22" s="867">
        <f>IFERROR(LnkTxTAjusteCUST*Resultado!D26/(Resultado!D25+Resultado!D26),0)</f>
        <v>117265.95502935181</v>
      </c>
      <c r="E22" s="959">
        <f ca="1">IF(ISERROR(D22/$D$4),0,D22/$D$4)</f>
        <v>1.1158313753554653E-3</v>
      </c>
      <c r="F22" s="640">
        <v>22</v>
      </c>
      <c r="G22" s="640">
        <v>60</v>
      </c>
      <c r="H22" s="640">
        <v>999</v>
      </c>
      <c r="I22" s="640">
        <v>1</v>
      </c>
      <c r="J22" s="640">
        <v>2</v>
      </c>
      <c r="K22" s="640">
        <v>9</v>
      </c>
      <c r="L22" s="640"/>
      <c r="M22" s="640" t="str">
        <f t="shared" si="1"/>
        <v>CVA</v>
      </c>
      <c r="N22" s="640" t="str">
        <f ca="1">IF(Tabela1[[#This Row],[Percentual]]=0,,Tabela1[[#This Row],[Nome do Financeiro]])</f>
        <v>Ajuste CUST RB Fronteira + PIS Cofins RB Fronteira</v>
      </c>
      <c r="O22" s="640">
        <f>IF(ISNUMBER(Tabela1[[#This Row],[Valor]]),Tabela1[[#This Row],[Valor]],)</f>
        <v>117265.95502935181</v>
      </c>
      <c r="P22" s="640">
        <f ca="1">IF(Tabela1[[#This Row],[Percentual]]=0,,Tabela1[[#This Row],[Percentual]])</f>
        <v>1.1158313753554653E-3</v>
      </c>
      <c r="Q22" s="644"/>
      <c r="R22" s="640"/>
      <c r="S22" s="143"/>
    </row>
    <row r="23" spans="3:23" ht="16.5">
      <c r="C23" s="640" t="s">
        <v>1380</v>
      </c>
      <c r="D23" s="867">
        <v>0</v>
      </c>
      <c r="E23" s="959">
        <f t="shared" ca="1" si="0"/>
        <v>0</v>
      </c>
      <c r="F23" s="640">
        <v>22</v>
      </c>
      <c r="G23" s="640">
        <v>60</v>
      </c>
      <c r="H23" s="640">
        <v>167</v>
      </c>
      <c r="I23" s="640">
        <v>4</v>
      </c>
      <c r="J23" s="640">
        <v>999</v>
      </c>
      <c r="K23" s="640">
        <v>9</v>
      </c>
      <c r="L23" s="640"/>
      <c r="M23" s="640">
        <f t="shared" si="1"/>
        <v>0</v>
      </c>
      <c r="N23" s="640">
        <f ca="1">IF(Tabela1[[#This Row],[Percentual]]=0,,Tabela1[[#This Row],[Nome do Financeiro]])</f>
        <v>0</v>
      </c>
      <c r="O23" s="640">
        <f>IF(ISNUMBER(Tabela1[[#This Row],[Valor]]),Tabela1[[#This Row],[Valor]],)</f>
        <v>0</v>
      </c>
      <c r="P23" s="640">
        <f ca="1">IF(Tabela1[[#This Row],[Percentual]]=0,,Tabela1[[#This Row],[Percentual]])</f>
        <v>0</v>
      </c>
      <c r="Q23" s="644"/>
      <c r="R23" s="640"/>
    </row>
    <row r="24" spans="3:23" ht="16.5">
      <c r="C24" s="640" t="s">
        <v>2215</v>
      </c>
      <c r="D24" s="867"/>
      <c r="E24" s="959">
        <f t="shared" ca="1" si="0"/>
        <v>0</v>
      </c>
      <c r="F24" s="640">
        <v>22</v>
      </c>
      <c r="G24" s="640">
        <v>60</v>
      </c>
      <c r="H24" s="640">
        <v>999</v>
      </c>
      <c r="I24" s="640">
        <v>3</v>
      </c>
      <c r="J24" s="640">
        <v>28</v>
      </c>
      <c r="K24" s="640">
        <v>9</v>
      </c>
      <c r="L24" s="640"/>
      <c r="M24" s="640">
        <f t="shared" si="1"/>
        <v>0</v>
      </c>
      <c r="N24" s="640">
        <f ca="1">IF(Tabela1[[#This Row],[Percentual]]=0,,Tabela1[[#This Row],[Nome do Financeiro]])</f>
        <v>0</v>
      </c>
      <c r="O24" s="640">
        <f>IF(ISNUMBER(Tabela1[[#This Row],[Valor]]),Tabela1[[#This Row],[Valor]],)</f>
        <v>0</v>
      </c>
      <c r="P24" s="640">
        <f ca="1">IF(Tabela1[[#This Row],[Percentual]]=0,,Tabela1[[#This Row],[Percentual]])</f>
        <v>0</v>
      </c>
      <c r="Q24" s="644"/>
      <c r="R24" s="640"/>
      <c r="S24" s="292"/>
    </row>
    <row r="25" spans="3:23" ht="16.5">
      <c r="C25" s="1540" t="s">
        <v>2190</v>
      </c>
      <c r="D25" s="1539"/>
      <c r="E25" s="959">
        <f ca="1">IF(ISERROR(D25/$D$4),0,D25/$D$4)</f>
        <v>0</v>
      </c>
      <c r="F25" s="640">
        <v>22</v>
      </c>
      <c r="G25" s="640">
        <v>60</v>
      </c>
      <c r="H25" s="640">
        <v>999</v>
      </c>
      <c r="I25" s="640">
        <v>2</v>
      </c>
      <c r="J25" s="640">
        <v>30</v>
      </c>
      <c r="K25" s="640">
        <v>9</v>
      </c>
      <c r="L25" s="651"/>
      <c r="M25" s="640">
        <f t="shared" si="1"/>
        <v>0</v>
      </c>
      <c r="N25" s="640" t="e">
        <v>#REF!</v>
      </c>
      <c r="O25" s="640">
        <v>0</v>
      </c>
      <c r="P25" s="640" t="e">
        <v>#REF!</v>
      </c>
      <c r="Q25" s="644"/>
      <c r="R25" s="640"/>
    </row>
    <row r="26" spans="3:23" ht="16.5">
      <c r="C26" s="652" t="s">
        <v>1381</v>
      </c>
      <c r="D26" s="868">
        <f>Indexador!J49+Indexador!P49</f>
        <v>308208.83345205843</v>
      </c>
      <c r="E26" s="958">
        <f t="shared" ca="1" si="0"/>
        <v>2.9327274607658551E-3</v>
      </c>
      <c r="F26" s="647"/>
      <c r="G26" s="647"/>
      <c r="H26" s="647"/>
      <c r="I26" s="647"/>
      <c r="J26" s="647"/>
      <c r="K26" s="647"/>
      <c r="L26" s="640"/>
      <c r="M26" s="640" t="str">
        <f t="shared" si="1"/>
        <v>CVA</v>
      </c>
      <c r="N26" s="640" t="str">
        <f ca="1">IF(Tabela1[[#This Row],[Percentual]]=0,,Tabela1[[#This Row],[Nome do Financeiro]])</f>
        <v>Ajuste CUST + PISCONFINS Transmissão</v>
      </c>
      <c r="O26" s="640">
        <f>IF(ISNUMBER(Tabela1[[#This Row],[Valor]]),Tabela1[[#This Row],[Valor]],)</f>
        <v>308208.83345205843</v>
      </c>
      <c r="P26" s="640">
        <f ca="1">IF(Tabela1[[#This Row],[Percentual]]=0,,Tabela1[[#This Row],[Percentual]])</f>
        <v>2.9327274607658551E-3</v>
      </c>
      <c r="Q26" s="644"/>
      <c r="R26" s="640"/>
      <c r="S26" s="142"/>
      <c r="V26" s="117"/>
    </row>
    <row r="27" spans="3:23" ht="16.5">
      <c r="C27" s="640" t="s">
        <v>1382</v>
      </c>
      <c r="D27" s="867">
        <f>(Indexador!H49)</f>
        <v>-208981.51488605133</v>
      </c>
      <c r="E27" s="959">
        <f t="shared" ca="1" si="0"/>
        <v>-1.9885407586609774E-3</v>
      </c>
      <c r="F27" s="640">
        <v>22</v>
      </c>
      <c r="G27" s="640">
        <v>60</v>
      </c>
      <c r="H27" s="640">
        <v>178</v>
      </c>
      <c r="I27" s="640">
        <v>1</v>
      </c>
      <c r="J27" s="640">
        <v>7</v>
      </c>
      <c r="K27" s="640">
        <v>9</v>
      </c>
      <c r="L27" s="640"/>
      <c r="M27" s="640" t="str">
        <f t="shared" si="1"/>
        <v>CVA</v>
      </c>
      <c r="N27" s="640" t="str">
        <f ca="1">IF(Tabela1[[#This Row],[Percentual]]=0,,Tabela1[[#This Row],[Nome do Financeiro]])</f>
        <v>Compensação DIC FIC</v>
      </c>
      <c r="O27" s="640">
        <f>IF(ISNUMBER(Tabela1[[#This Row],[Valor]]),Tabela1[[#This Row],[Valor]],)</f>
        <v>-208981.51488605133</v>
      </c>
      <c r="P27" s="640">
        <f ca="1">IF(Tabela1[[#This Row],[Percentual]]=0,,Tabela1[[#This Row],[Percentual]])</f>
        <v>-1.9885407586609774E-3</v>
      </c>
      <c r="Q27" s="640"/>
      <c r="R27" s="640"/>
    </row>
    <row r="28" spans="3:23" ht="16.5">
      <c r="C28" s="640" t="s">
        <v>1383</v>
      </c>
      <c r="D28" s="867">
        <f ca="1">-LnkTXTISubvencaoPB</f>
        <v>-29102795.694557633</v>
      </c>
      <c r="E28" s="959">
        <f ca="1">IF(ISERROR(D28/$D$4),0,D28/$D$4)</f>
        <v>-0.2769244708612924</v>
      </c>
      <c r="F28" s="640">
        <v>22</v>
      </c>
      <c r="G28" s="640">
        <v>60</v>
      </c>
      <c r="H28" s="640">
        <v>999</v>
      </c>
      <c r="I28" s="640">
        <v>4</v>
      </c>
      <c r="J28" s="640">
        <v>999</v>
      </c>
      <c r="K28" s="640">
        <v>9</v>
      </c>
      <c r="L28" s="640"/>
      <c r="M28" s="640"/>
      <c r="N28" s="640"/>
      <c r="O28" s="640"/>
      <c r="P28" s="640"/>
      <c r="Q28" s="640"/>
      <c r="R28" s="640"/>
    </row>
    <row r="29" spans="3:23" ht="16.5">
      <c r="C29" s="479" t="s">
        <v>1384</v>
      </c>
      <c r="D29" s="867">
        <f>IFERROR(-ABS(Indexador!L49),0)</f>
        <v>0</v>
      </c>
      <c r="E29" s="959">
        <f t="shared" ca="1" si="0"/>
        <v>0</v>
      </c>
      <c r="F29" s="640">
        <v>22</v>
      </c>
      <c r="G29" s="640">
        <v>60</v>
      </c>
      <c r="H29" s="640">
        <v>999</v>
      </c>
      <c r="I29" s="640">
        <v>2</v>
      </c>
      <c r="J29" s="640">
        <v>30</v>
      </c>
      <c r="K29" s="640">
        <v>9</v>
      </c>
      <c r="L29" s="640"/>
      <c r="M29" s="640"/>
      <c r="N29" s="640"/>
      <c r="O29" s="640"/>
      <c r="P29" s="640"/>
      <c r="Q29" s="640"/>
      <c r="R29" s="640"/>
    </row>
    <row r="30" spans="3:23" ht="16.5">
      <c r="C30" s="479" t="s">
        <v>1385</v>
      </c>
      <c r="D30" s="869"/>
      <c r="E30" s="959">
        <f t="shared" ca="1" si="0"/>
        <v>0</v>
      </c>
      <c r="F30" s="640">
        <v>22</v>
      </c>
      <c r="G30" s="640">
        <v>60</v>
      </c>
      <c r="H30" s="640">
        <v>120</v>
      </c>
      <c r="I30" s="640">
        <v>4</v>
      </c>
      <c r="J30" s="640">
        <v>999</v>
      </c>
      <c r="K30" s="640">
        <v>9</v>
      </c>
      <c r="L30" s="640"/>
      <c r="M30" s="640"/>
      <c r="N30" s="640"/>
      <c r="O30" s="640"/>
      <c r="P30" s="640"/>
      <c r="Q30" s="640"/>
      <c r="R30" s="640"/>
    </row>
    <row r="31" spans="3:23" ht="16.5">
      <c r="C31" s="647" t="s">
        <v>1386</v>
      </c>
      <c r="D31" s="868">
        <f>ICMS!E12</f>
        <v>0</v>
      </c>
      <c r="E31" s="958">
        <f ca="1">IFERROR(Tabela1[[#This Row],[Valor]]/D4,0)</f>
        <v>0</v>
      </c>
      <c r="F31" s="647"/>
      <c r="G31" s="647"/>
      <c r="H31" s="647"/>
      <c r="I31" s="647"/>
      <c r="J31" s="647"/>
      <c r="K31" s="647"/>
      <c r="L31" s="640"/>
      <c r="M31" s="640"/>
      <c r="N31" s="640"/>
      <c r="O31" s="640"/>
      <c r="P31" s="640"/>
      <c r="Q31" s="640"/>
      <c r="R31" s="640"/>
      <c r="T31" s="93"/>
      <c r="U31" s="93"/>
      <c r="V31" s="93"/>
      <c r="W31" s="93"/>
    </row>
    <row r="32" spans="3:23" ht="16.5">
      <c r="C32" s="640" t="s">
        <v>1387</v>
      </c>
      <c r="D32" s="867">
        <f ca="1">ICMS!E13</f>
        <v>0</v>
      </c>
      <c r="E32" s="959">
        <f ca="1">IF(ISERROR(D32/$D$4),0,D32/$D$4)</f>
        <v>0</v>
      </c>
      <c r="F32" s="640">
        <v>22</v>
      </c>
      <c r="G32" s="640">
        <v>60</v>
      </c>
      <c r="H32" s="640">
        <v>999</v>
      </c>
      <c r="I32" s="640">
        <v>1</v>
      </c>
      <c r="J32" s="640">
        <v>7</v>
      </c>
      <c r="K32" s="640">
        <v>9</v>
      </c>
      <c r="L32" s="640"/>
      <c r="M32" s="640"/>
      <c r="N32" s="640"/>
      <c r="O32" s="640"/>
      <c r="P32" s="640"/>
      <c r="Q32" s="640"/>
      <c r="R32" s="735"/>
      <c r="T32" s="93"/>
      <c r="V32" s="93"/>
      <c r="W32" s="93"/>
    </row>
    <row r="33" spans="3:23" ht="16.5">
      <c r="C33" s="640" t="s">
        <v>1388</v>
      </c>
      <c r="D33" s="867">
        <f ca="1">ICMS!E14</f>
        <v>0</v>
      </c>
      <c r="E33" s="959">
        <f ca="1">IF(ISERROR(D33/$D$4),0,D33/$D$4)</f>
        <v>0</v>
      </c>
      <c r="F33" s="640">
        <v>22</v>
      </c>
      <c r="G33" s="640">
        <v>60</v>
      </c>
      <c r="H33" s="640">
        <v>999</v>
      </c>
      <c r="I33" s="640">
        <v>2</v>
      </c>
      <c r="J33" s="640">
        <v>30</v>
      </c>
      <c r="K33" s="640">
        <v>9</v>
      </c>
      <c r="L33" s="640"/>
      <c r="M33" s="640"/>
      <c r="N33" s="640"/>
      <c r="O33" s="640"/>
      <c r="P33" s="640"/>
      <c r="Q33" s="640"/>
      <c r="R33" s="640"/>
      <c r="T33" s="93"/>
      <c r="V33" s="93"/>
      <c r="W33" s="93"/>
    </row>
    <row r="34" spans="3:23" ht="16.5">
      <c r="C34" s="640" t="s">
        <v>1389</v>
      </c>
      <c r="D34" s="885"/>
      <c r="E34" s="959">
        <f t="shared" ref="E34:E49" ca="1" si="2">IF(ISERROR(D34/$D$4),0,D34/$D$4)</f>
        <v>0</v>
      </c>
      <c r="F34" s="640">
        <v>22</v>
      </c>
      <c r="G34" s="640">
        <v>60</v>
      </c>
      <c r="H34" s="640">
        <v>231</v>
      </c>
      <c r="I34" s="640">
        <v>3</v>
      </c>
      <c r="J34" s="640">
        <v>19</v>
      </c>
      <c r="K34" s="640">
        <v>9</v>
      </c>
      <c r="L34" s="640"/>
      <c r="M34" s="640"/>
      <c r="N34" s="640"/>
      <c r="O34" s="640"/>
      <c r="P34" s="640"/>
      <c r="Q34" s="794"/>
      <c r="R34" s="640"/>
    </row>
    <row r="35" spans="3:23" ht="16.5">
      <c r="C35" s="640" t="s">
        <v>1390</v>
      </c>
      <c r="D35" s="890">
        <f>-'Conta covid'!J17</f>
        <v>0</v>
      </c>
      <c r="E35" s="959">
        <f t="shared" ca="1" si="2"/>
        <v>0</v>
      </c>
      <c r="F35" s="640">
        <v>22</v>
      </c>
      <c r="G35" s="640">
        <v>60</v>
      </c>
      <c r="H35" s="640">
        <v>235</v>
      </c>
      <c r="I35" s="640">
        <v>4</v>
      </c>
      <c r="J35" s="640">
        <v>999</v>
      </c>
      <c r="K35" s="640">
        <v>9</v>
      </c>
      <c r="L35" s="640"/>
      <c r="M35" s="640"/>
      <c r="N35" s="640"/>
      <c r="O35" s="640"/>
      <c r="P35" s="640"/>
      <c r="Q35" s="644"/>
      <c r="R35" s="640"/>
    </row>
    <row r="36" spans="3:23" ht="16.5">
      <c r="C36" s="640" t="s">
        <v>1391</v>
      </c>
      <c r="D36" s="1761">
        <f>Energia!K66</f>
        <v>2351518.6531692422</v>
      </c>
      <c r="E36" s="959">
        <f t="shared" ca="1" si="2"/>
        <v>2.2375618671958985E-2</v>
      </c>
      <c r="F36" s="640">
        <v>22</v>
      </c>
      <c r="G36" s="640">
        <v>60</v>
      </c>
      <c r="H36" s="640">
        <v>220</v>
      </c>
      <c r="I36" s="640">
        <v>2</v>
      </c>
      <c r="J36" s="640">
        <v>30</v>
      </c>
      <c r="K36" s="640">
        <v>9</v>
      </c>
      <c r="L36" s="640"/>
      <c r="M36" s="640"/>
      <c r="N36" s="640"/>
      <c r="O36" s="640"/>
      <c r="P36" s="640"/>
      <c r="Q36" s="640"/>
      <c r="R36" s="640"/>
      <c r="T36" s="292"/>
      <c r="U36" s="142"/>
      <c r="V36" s="142"/>
    </row>
    <row r="37" spans="3:23" ht="16.5">
      <c r="C37" s="653" t="s">
        <v>1392</v>
      </c>
      <c r="D37" s="654"/>
      <c r="E37" s="959">
        <f t="shared" ca="1" si="2"/>
        <v>0</v>
      </c>
      <c r="F37" s="653">
        <v>22</v>
      </c>
      <c r="G37" s="653">
        <v>60</v>
      </c>
      <c r="H37" s="653">
        <v>999</v>
      </c>
      <c r="I37" s="653">
        <v>2</v>
      </c>
      <c r="J37" s="653">
        <v>30</v>
      </c>
      <c r="K37" s="653">
        <v>9</v>
      </c>
      <c r="L37" s="640"/>
      <c r="M37" s="640"/>
      <c r="N37" s="640"/>
      <c r="O37" s="640"/>
      <c r="P37" s="640"/>
      <c r="Q37" s="640"/>
      <c r="R37" s="867"/>
    </row>
    <row r="38" spans="3:23" ht="16.5">
      <c r="C38" s="653" t="s">
        <v>1393</v>
      </c>
      <c r="D38" s="654">
        <f>-'Financeiros Mitigação'!D10</f>
        <v>0</v>
      </c>
      <c r="E38" s="959">
        <f t="shared" ca="1" si="2"/>
        <v>0</v>
      </c>
      <c r="F38" s="653">
        <v>22</v>
      </c>
      <c r="G38" s="653">
        <v>60</v>
      </c>
      <c r="H38" s="653">
        <v>179</v>
      </c>
      <c r="I38" s="653">
        <v>99</v>
      </c>
      <c r="J38" s="653">
        <v>999</v>
      </c>
      <c r="K38" s="653">
        <v>3</v>
      </c>
      <c r="L38" s="640"/>
      <c r="M38" s="640"/>
      <c r="N38" s="640"/>
      <c r="O38" s="640"/>
      <c r="P38" s="640"/>
      <c r="Q38" s="640"/>
      <c r="R38" s="867"/>
      <c r="T38" s="292"/>
      <c r="U38" s="142"/>
    </row>
    <row r="39" spans="3:23" ht="16.5">
      <c r="C39" s="653" t="s">
        <v>1394</v>
      </c>
      <c r="D39" s="654"/>
      <c r="E39" s="959">
        <f t="shared" ca="1" si="2"/>
        <v>0</v>
      </c>
      <c r="F39" s="640">
        <v>22</v>
      </c>
      <c r="G39" s="640">
        <v>60</v>
      </c>
      <c r="H39" s="640">
        <v>999</v>
      </c>
      <c r="I39" s="640">
        <v>1</v>
      </c>
      <c r="J39" s="640">
        <v>7</v>
      </c>
      <c r="K39" s="640">
        <v>9</v>
      </c>
      <c r="L39" s="640"/>
      <c r="M39" s="640"/>
      <c r="N39" s="640"/>
      <c r="O39" s="640"/>
      <c r="P39" s="640"/>
      <c r="Q39" s="640"/>
      <c r="R39" s="640"/>
      <c r="U39" s="142"/>
    </row>
    <row r="40" spans="3:23" ht="16.5">
      <c r="C40" s="653" t="s">
        <v>1395</v>
      </c>
      <c r="D40" s="654"/>
      <c r="E40" s="959">
        <f t="shared" ca="1" si="2"/>
        <v>0</v>
      </c>
      <c r="F40" s="640">
        <v>22</v>
      </c>
      <c r="G40" s="640">
        <v>60</v>
      </c>
      <c r="H40" s="640">
        <v>999</v>
      </c>
      <c r="I40" s="640">
        <v>2</v>
      </c>
      <c r="J40" s="640">
        <v>30</v>
      </c>
      <c r="K40" s="640">
        <v>9</v>
      </c>
      <c r="L40" s="640"/>
      <c r="M40" s="640"/>
      <c r="N40" s="640"/>
      <c r="O40" s="640"/>
      <c r="P40" s="640"/>
      <c r="Q40" s="640"/>
      <c r="R40" s="640"/>
    </row>
    <row r="41" spans="3:23" ht="16.5">
      <c r="C41" s="653" t="s">
        <v>1396</v>
      </c>
      <c r="D41" s="654">
        <f>'Financeiros Mitigação'!D12</f>
        <v>0</v>
      </c>
      <c r="E41" s="959">
        <f t="shared" ca="1" si="2"/>
        <v>0</v>
      </c>
      <c r="F41" s="653">
        <v>22</v>
      </c>
      <c r="G41" s="653">
        <v>60</v>
      </c>
      <c r="H41" s="653">
        <v>999</v>
      </c>
      <c r="I41" s="653">
        <v>2</v>
      </c>
      <c r="J41" s="653">
        <v>30</v>
      </c>
      <c r="K41" s="653">
        <v>9</v>
      </c>
      <c r="L41" s="640"/>
      <c r="M41" s="640"/>
      <c r="N41" s="640"/>
      <c r="O41" s="640"/>
      <c r="P41" s="640"/>
      <c r="Q41" s="640"/>
      <c r="R41" s="640"/>
    </row>
    <row r="42" spans="3:23" ht="16.5">
      <c r="C42" s="653"/>
      <c r="D42" s="1625"/>
      <c r="E42" s="1585">
        <f>IF(ISERROR(D42/#REF!),0,D42/#REF!)</f>
        <v>0</v>
      </c>
      <c r="F42" s="653"/>
      <c r="G42" s="653"/>
      <c r="H42" s="653"/>
      <c r="I42" s="653"/>
      <c r="J42" s="653"/>
      <c r="K42" s="653"/>
      <c r="L42" s="640"/>
      <c r="M42" s="640"/>
      <c r="N42" s="640"/>
      <c r="O42" s="640"/>
      <c r="P42" s="640"/>
      <c r="Q42" s="640"/>
      <c r="R42" s="640"/>
    </row>
    <row r="43" spans="3:23" ht="16.5">
      <c r="C43" s="653"/>
      <c r="D43" s="1625"/>
      <c r="E43" s="1585">
        <f>IF(ISERROR(D43/#REF!),0,D43/#REF!)</f>
        <v>0</v>
      </c>
      <c r="F43" s="653"/>
      <c r="G43" s="653"/>
      <c r="H43" s="653"/>
      <c r="I43" s="653"/>
      <c r="J43" s="653"/>
      <c r="K43" s="653"/>
      <c r="L43" s="640"/>
      <c r="M43" s="640"/>
      <c r="N43" s="640"/>
      <c r="O43" s="640"/>
      <c r="P43" s="640"/>
      <c r="Q43" s="640"/>
      <c r="R43" s="640"/>
    </row>
    <row r="44" spans="3:23" ht="16.5">
      <c r="C44" s="653"/>
      <c r="D44" s="1625"/>
      <c r="E44" s="1585">
        <f>IF(ISERROR(D44/#REF!),0,D44/#REF!)</f>
        <v>0</v>
      </c>
      <c r="F44" s="653"/>
      <c r="G44" s="653"/>
      <c r="H44" s="653"/>
      <c r="I44" s="653"/>
      <c r="J44" s="653"/>
      <c r="K44" s="653"/>
      <c r="L44" s="640"/>
      <c r="M44" s="640"/>
      <c r="N44" s="640"/>
      <c r="O44" s="640"/>
      <c r="P44" s="640"/>
      <c r="Q44" s="640"/>
      <c r="R44" s="640"/>
    </row>
    <row r="45" spans="3:23" ht="16.5">
      <c r="C45" s="653"/>
      <c r="D45" s="654"/>
      <c r="E45" s="959">
        <f t="shared" ca="1" si="2"/>
        <v>0</v>
      </c>
      <c r="F45" s="653">
        <v>22</v>
      </c>
      <c r="G45" s="653">
        <v>60</v>
      </c>
      <c r="H45" s="653">
        <v>999</v>
      </c>
      <c r="I45" s="653">
        <v>99</v>
      </c>
      <c r="J45" s="653">
        <v>999</v>
      </c>
      <c r="K45" s="653">
        <v>9</v>
      </c>
      <c r="L45" s="640"/>
      <c r="M45" s="640"/>
      <c r="N45" s="640"/>
      <c r="O45" s="640"/>
      <c r="P45" s="640"/>
      <c r="Q45" s="640"/>
      <c r="R45" s="640"/>
    </row>
    <row r="46" spans="3:23" ht="16.5">
      <c r="C46" s="653"/>
      <c r="D46" s="654"/>
      <c r="E46" s="959">
        <f t="shared" ca="1" si="2"/>
        <v>0</v>
      </c>
      <c r="F46" s="653">
        <v>22</v>
      </c>
      <c r="G46" s="653">
        <v>60</v>
      </c>
      <c r="H46" s="653">
        <v>999</v>
      </c>
      <c r="I46" s="653">
        <v>99</v>
      </c>
      <c r="J46" s="653">
        <v>999</v>
      </c>
      <c r="K46" s="653">
        <v>9</v>
      </c>
      <c r="L46" s="640"/>
      <c r="M46" s="640"/>
      <c r="N46" s="640"/>
      <c r="O46" s="640"/>
      <c r="P46" s="640"/>
      <c r="Q46" s="640"/>
      <c r="R46" s="640"/>
    </row>
    <row r="47" spans="3:23" ht="16.5">
      <c r="C47" s="653"/>
      <c r="D47" s="655"/>
      <c r="E47" s="959">
        <f t="shared" ca="1" si="2"/>
        <v>0</v>
      </c>
      <c r="F47" s="653">
        <v>22</v>
      </c>
      <c r="G47" s="653">
        <v>60</v>
      </c>
      <c r="H47" s="653">
        <v>999</v>
      </c>
      <c r="I47" s="653">
        <v>99</v>
      </c>
      <c r="J47" s="653">
        <v>999</v>
      </c>
      <c r="K47" s="653">
        <v>9</v>
      </c>
      <c r="L47" s="640"/>
      <c r="M47" s="640"/>
      <c r="N47" s="640"/>
      <c r="O47" s="640"/>
      <c r="P47" s="640"/>
      <c r="Q47" s="640"/>
      <c r="R47" s="640"/>
    </row>
    <row r="48" spans="3:23" ht="16.5">
      <c r="C48" s="961" t="s">
        <v>2276</v>
      </c>
      <c r="D48" s="961">
        <f>CVE!$E$9</f>
        <v>0</v>
      </c>
      <c r="E48" s="959">
        <f t="shared" ca="1" si="2"/>
        <v>0</v>
      </c>
      <c r="F48" s="952">
        <v>22</v>
      </c>
      <c r="G48" s="952">
        <v>60</v>
      </c>
      <c r="H48" s="952">
        <v>241</v>
      </c>
      <c r="I48" s="952">
        <v>3</v>
      </c>
      <c r="J48" s="952">
        <v>13</v>
      </c>
      <c r="K48" s="952">
        <v>9</v>
      </c>
      <c r="L48" s="640"/>
      <c r="M48" s="640"/>
      <c r="N48" s="640"/>
      <c r="O48" s="640"/>
      <c r="P48" s="640"/>
      <c r="Q48" s="640"/>
      <c r="R48" s="640"/>
    </row>
    <row r="49" spans="3:12" ht="16.5">
      <c r="C49" s="961" t="s">
        <v>2277</v>
      </c>
      <c r="D49" s="961">
        <f>CVE!$E$10</f>
        <v>0</v>
      </c>
      <c r="E49" s="959">
        <f t="shared" ca="1" si="2"/>
        <v>0</v>
      </c>
      <c r="F49" s="952">
        <v>22</v>
      </c>
      <c r="G49" s="952">
        <v>60</v>
      </c>
      <c r="H49" s="952">
        <v>241</v>
      </c>
      <c r="I49" s="952">
        <v>3</v>
      </c>
      <c r="J49" s="952">
        <v>15</v>
      </c>
      <c r="K49" s="952">
        <v>9</v>
      </c>
      <c r="L49" s="640"/>
    </row>
    <row r="50" spans="3:12" ht="16.5">
      <c r="C50" s="961" t="s">
        <v>2278</v>
      </c>
      <c r="D50" s="961">
        <f>CVE!$E$11</f>
        <v>0</v>
      </c>
      <c r="E50" s="959">
        <f t="shared" ca="1" si="0"/>
        <v>0</v>
      </c>
      <c r="F50" s="952">
        <v>22</v>
      </c>
      <c r="G50" s="952">
        <v>60</v>
      </c>
      <c r="H50" s="952">
        <v>241</v>
      </c>
      <c r="I50" s="952">
        <v>3</v>
      </c>
      <c r="J50" s="952">
        <v>25</v>
      </c>
      <c r="K50" s="952">
        <v>9</v>
      </c>
      <c r="L50" s="640"/>
    </row>
    <row r="51" spans="3:12" ht="16.5">
      <c r="C51" s="961" t="s">
        <v>2279</v>
      </c>
      <c r="D51" s="961">
        <f>IFERROR(CVE!$E$12*Resultado!D25/SUM(Resultado!$D$25:$D$29),0)</f>
        <v>0</v>
      </c>
      <c r="E51" s="959">
        <f t="shared" ca="1" si="0"/>
        <v>0</v>
      </c>
      <c r="F51" s="952">
        <v>22</v>
      </c>
      <c r="G51" s="952">
        <v>60</v>
      </c>
      <c r="H51" s="952">
        <v>241</v>
      </c>
      <c r="I51" s="952">
        <v>1</v>
      </c>
      <c r="J51" s="952">
        <v>1</v>
      </c>
      <c r="K51" s="953">
        <v>9</v>
      </c>
      <c r="L51" s="640"/>
    </row>
    <row r="52" spans="3:12" ht="16.5">
      <c r="C52" s="961" t="s">
        <v>2280</v>
      </c>
      <c r="D52" s="961">
        <f>IFERROR(CVE!$E$12*Resultado!D26/SUM(Resultado!$D$25:$D$29),0)</f>
        <v>0</v>
      </c>
      <c r="E52" s="959">
        <f t="shared" ca="1" si="0"/>
        <v>0</v>
      </c>
      <c r="F52" s="952">
        <v>22</v>
      </c>
      <c r="G52" s="952">
        <v>60</v>
      </c>
      <c r="H52" s="952">
        <v>241</v>
      </c>
      <c r="I52" s="952">
        <v>1</v>
      </c>
      <c r="J52" s="952">
        <v>1</v>
      </c>
      <c r="K52" s="953">
        <v>9</v>
      </c>
      <c r="L52" s="640"/>
    </row>
    <row r="53" spans="3:12" ht="16.5">
      <c r="C53" s="961" t="s">
        <v>2281</v>
      </c>
      <c r="D53" s="961">
        <f>IFERROR(CVE!$E$12*Resultado!D28/SUM(Resultado!$D$25:$D$29),0)</f>
        <v>0</v>
      </c>
      <c r="E53" s="959">
        <f t="shared" ca="1" si="0"/>
        <v>0</v>
      </c>
      <c r="F53" s="952">
        <v>22</v>
      </c>
      <c r="G53" s="952">
        <v>60</v>
      </c>
      <c r="H53" s="952">
        <v>241</v>
      </c>
      <c r="I53" s="952">
        <v>1</v>
      </c>
      <c r="J53" s="952">
        <v>1</v>
      </c>
      <c r="K53" s="953">
        <v>9</v>
      </c>
      <c r="L53" s="640"/>
    </row>
    <row r="54" spans="3:12" ht="16.5">
      <c r="C54" s="961" t="s">
        <v>2282</v>
      </c>
      <c r="D54" s="961">
        <f>IFERROR(CVE!$E$12*Resultado!D27/SUM(Resultado!$D$25:$D$29),0)</f>
        <v>0</v>
      </c>
      <c r="E54" s="959">
        <f t="shared" ca="1" si="0"/>
        <v>0</v>
      </c>
      <c r="F54" s="952">
        <v>22</v>
      </c>
      <c r="G54" s="952">
        <v>60</v>
      </c>
      <c r="H54" s="952">
        <v>241</v>
      </c>
      <c r="I54" s="952">
        <v>1</v>
      </c>
      <c r="J54" s="952">
        <v>1</v>
      </c>
      <c r="K54" s="953">
        <v>9</v>
      </c>
      <c r="L54" s="640"/>
    </row>
    <row r="55" spans="3:12" ht="16.5">
      <c r="C55" s="961" t="s">
        <v>2283</v>
      </c>
      <c r="D55" s="961">
        <f>IFERROR(CVE!$E$12*Resultado!D29/SUM(Resultado!$D$25:$D$29),0)</f>
        <v>0</v>
      </c>
      <c r="E55" s="959">
        <f t="shared" ca="1" si="0"/>
        <v>0</v>
      </c>
      <c r="F55" s="952">
        <v>22</v>
      </c>
      <c r="G55" s="952">
        <v>60</v>
      </c>
      <c r="H55" s="952">
        <v>241</v>
      </c>
      <c r="I55" s="952">
        <v>1</v>
      </c>
      <c r="J55" s="952">
        <v>1</v>
      </c>
      <c r="K55" s="953">
        <v>9</v>
      </c>
      <c r="L55" s="640"/>
    </row>
    <row r="56" spans="3:12" ht="16.5">
      <c r="C56" s="961" t="s">
        <v>2284</v>
      </c>
      <c r="D56" s="961">
        <f>CVE!E15</f>
        <v>0</v>
      </c>
      <c r="E56" s="959">
        <f t="shared" ca="1" si="0"/>
        <v>0</v>
      </c>
      <c r="F56" s="952">
        <v>22</v>
      </c>
      <c r="G56" s="952">
        <v>60</v>
      </c>
      <c r="H56" s="952">
        <v>241</v>
      </c>
      <c r="I56" s="952">
        <v>1</v>
      </c>
      <c r="J56" s="952">
        <v>21</v>
      </c>
      <c r="K56" s="953">
        <v>9</v>
      </c>
      <c r="L56" s="640"/>
    </row>
    <row r="57" spans="3:12" ht="16.5">
      <c r="C57" s="961" t="s">
        <v>2285</v>
      </c>
      <c r="D57" s="961">
        <f ca="1">IFERROR(CVE!$D$13*Energia!C6/Energia!$C$5,0)</f>
        <v>2734685.0331501402</v>
      </c>
      <c r="E57" s="959">
        <f t="shared" ca="1" si="0"/>
        <v>2.6021596472225433E-2</v>
      </c>
      <c r="F57" s="952">
        <v>22</v>
      </c>
      <c r="G57" s="952">
        <v>60</v>
      </c>
      <c r="H57" s="952">
        <v>241</v>
      </c>
      <c r="I57" s="952">
        <v>2</v>
      </c>
      <c r="J57" s="952">
        <v>11</v>
      </c>
      <c r="K57" s="953">
        <v>9</v>
      </c>
      <c r="L57" s="640"/>
    </row>
    <row r="58" spans="3:12" ht="16.5">
      <c r="C58" s="961" t="s">
        <v>2286</v>
      </c>
      <c r="D58" s="961">
        <f ca="1">IFERROR(CVE!$D$13*Energia!N16/Energia!$C$5,0)</f>
        <v>0</v>
      </c>
      <c r="E58" s="959">
        <f t="shared" ca="1" si="0"/>
        <v>0</v>
      </c>
      <c r="F58" s="952">
        <v>22</v>
      </c>
      <c r="G58" s="952">
        <v>60</v>
      </c>
      <c r="H58" s="952">
        <v>241</v>
      </c>
      <c r="I58" s="952">
        <v>2</v>
      </c>
      <c r="J58" s="952">
        <v>9</v>
      </c>
      <c r="K58" s="952">
        <v>9</v>
      </c>
      <c r="L58" s="640"/>
    </row>
    <row r="59" spans="3:12" ht="16.5">
      <c r="C59" s="961" t="s">
        <v>2287</v>
      </c>
      <c r="D59" s="961">
        <f ca="1">IFERROR(CVE!$D$13*Energia!N17/Energia!$C$5,0)</f>
        <v>266505.14480306732</v>
      </c>
      <c r="E59" s="959">
        <f t="shared" ca="1" si="0"/>
        <v>2.5359005705490631E-3</v>
      </c>
      <c r="F59" s="952">
        <v>22</v>
      </c>
      <c r="G59" s="952">
        <v>60</v>
      </c>
      <c r="H59" s="952">
        <v>241</v>
      </c>
      <c r="I59" s="952">
        <v>2</v>
      </c>
      <c r="J59" s="952">
        <v>8</v>
      </c>
      <c r="K59" s="952">
        <v>9</v>
      </c>
      <c r="L59" s="640"/>
    </row>
    <row r="60" spans="3:12" ht="16.5">
      <c r="C60" s="961" t="s">
        <v>2288</v>
      </c>
      <c r="D60" s="961">
        <f ca="1">IFERROR(CVE!$D$13*Energia!N18/Energia!$C$5,0)</f>
        <v>9399.941437552774</v>
      </c>
      <c r="E60" s="959">
        <f t="shared" ca="1" si="0"/>
        <v>8.9444115130431467E-5</v>
      </c>
      <c r="F60" s="952">
        <v>22</v>
      </c>
      <c r="G60" s="952">
        <v>60</v>
      </c>
      <c r="H60" s="952">
        <v>241</v>
      </c>
      <c r="I60" s="952">
        <v>2</v>
      </c>
      <c r="J60" s="952">
        <v>10</v>
      </c>
      <c r="K60" s="952">
        <v>9</v>
      </c>
      <c r="L60" s="640"/>
    </row>
    <row r="61" spans="3:12" ht="16.5">
      <c r="C61" s="961" t="s">
        <v>2289</v>
      </c>
      <c r="D61" s="961">
        <f ca="1">IFERROR(CVE!$D$13*Energia!N19/Energia!$C$5,0)</f>
        <v>96455.470609239506</v>
      </c>
      <c r="E61" s="959">
        <f t="shared" ca="1" si="0"/>
        <v>9.1781148589568863E-4</v>
      </c>
      <c r="F61" s="952">
        <v>22</v>
      </c>
      <c r="G61" s="952">
        <v>60</v>
      </c>
      <c r="H61" s="952">
        <v>241</v>
      </c>
      <c r="I61" s="952">
        <v>2</v>
      </c>
      <c r="J61" s="952">
        <v>24</v>
      </c>
      <c r="K61" s="952">
        <v>9</v>
      </c>
      <c r="L61" s="640"/>
    </row>
    <row r="62" spans="3:12" ht="16.5">
      <c r="C62" s="961" t="s">
        <v>2290</v>
      </c>
      <c r="D62" s="961">
        <f ca="1">IFERROR(CVE!$E$13*Energia!C11/Energia!$C$5,0)</f>
        <v>0</v>
      </c>
      <c r="E62" s="959">
        <f t="shared" ca="1" si="0"/>
        <v>0</v>
      </c>
      <c r="F62" s="952">
        <v>22</v>
      </c>
      <c r="G62" s="952">
        <v>60</v>
      </c>
      <c r="H62" s="952">
        <v>241</v>
      </c>
      <c r="I62" s="952">
        <v>3</v>
      </c>
      <c r="J62" s="952">
        <v>18</v>
      </c>
      <c r="K62" s="952">
        <v>9</v>
      </c>
      <c r="L62" s="640"/>
    </row>
    <row r="63" spans="3:12" ht="16.5">
      <c r="C63" s="961" t="s">
        <v>2291</v>
      </c>
      <c r="D63" s="961">
        <f>CVE!E14</f>
        <v>0</v>
      </c>
      <c r="E63" s="959">
        <f t="shared" ca="1" si="0"/>
        <v>0</v>
      </c>
      <c r="F63" s="952">
        <v>22</v>
      </c>
      <c r="G63" s="952">
        <v>60</v>
      </c>
      <c r="H63" s="952">
        <v>241</v>
      </c>
      <c r="I63" s="952">
        <v>3</v>
      </c>
      <c r="J63" s="952">
        <v>16</v>
      </c>
      <c r="K63" s="953">
        <v>9</v>
      </c>
      <c r="L63" s="640"/>
    </row>
    <row r="64" spans="3:12" ht="16.5">
      <c r="C64" s="961" t="s">
        <v>2292</v>
      </c>
      <c r="D64" s="961">
        <f>CVE!D17</f>
        <v>2619758.7576000001</v>
      </c>
      <c r="E64" s="959">
        <f t="shared" ca="1" si="0"/>
        <v>2.4928028061176413E-2</v>
      </c>
      <c r="F64" s="952">
        <v>22</v>
      </c>
      <c r="G64" s="952">
        <v>60</v>
      </c>
      <c r="H64" s="952">
        <v>241</v>
      </c>
      <c r="I64" s="952">
        <v>3</v>
      </c>
      <c r="J64" s="952">
        <v>17</v>
      </c>
      <c r="K64" s="953">
        <v>9</v>
      </c>
      <c r="L64" s="640"/>
    </row>
    <row r="65" spans="3:12" ht="16.5">
      <c r="C65" s="1586" t="s">
        <v>2264</v>
      </c>
      <c r="D65" s="1586">
        <f ca="1">IFERROR('Financeiros Mitigação'!$D$5*Energia!C6/Energia!$C$5,0)</f>
        <v>0</v>
      </c>
      <c r="E65" s="959">
        <f t="shared" ca="1" si="0"/>
        <v>0</v>
      </c>
      <c r="F65" s="952">
        <v>22</v>
      </c>
      <c r="G65" s="952">
        <v>60</v>
      </c>
      <c r="H65" s="952">
        <v>240</v>
      </c>
      <c r="I65" s="952">
        <v>2</v>
      </c>
      <c r="J65" s="952">
        <v>11</v>
      </c>
      <c r="K65" s="953">
        <v>9</v>
      </c>
      <c r="L65" s="640"/>
    </row>
    <row r="66" spans="3:12" ht="16.5">
      <c r="C66" s="1586" t="s">
        <v>2265</v>
      </c>
      <c r="D66" s="1586">
        <f ca="1">IFERROR('Financeiros Mitigação'!$D$5*Energia!N16/Energia!$C$5,0)</f>
        <v>0</v>
      </c>
      <c r="E66" s="959">
        <f t="shared" ca="1" si="0"/>
        <v>0</v>
      </c>
      <c r="F66" s="952">
        <v>22</v>
      </c>
      <c r="G66" s="952">
        <v>60</v>
      </c>
      <c r="H66" s="952">
        <v>240</v>
      </c>
      <c r="I66" s="952">
        <v>2</v>
      </c>
      <c r="J66" s="952">
        <v>9</v>
      </c>
      <c r="K66" s="953">
        <v>9</v>
      </c>
      <c r="L66" s="640"/>
    </row>
    <row r="67" spans="3:12" ht="16.5">
      <c r="C67" s="1586" t="s">
        <v>2266</v>
      </c>
      <c r="D67" s="1586">
        <f ca="1">IFERROR('Financeiros Mitigação'!$D$5*Energia!N17/Energia!$C$5,0)</f>
        <v>0</v>
      </c>
      <c r="E67" s="959">
        <f t="shared" ca="1" si="0"/>
        <v>0</v>
      </c>
      <c r="F67" s="952">
        <v>22</v>
      </c>
      <c r="G67" s="952">
        <v>60</v>
      </c>
      <c r="H67" s="952">
        <v>240</v>
      </c>
      <c r="I67" s="952">
        <v>2</v>
      </c>
      <c r="J67" s="952">
        <v>8</v>
      </c>
      <c r="K67" s="953">
        <v>9</v>
      </c>
      <c r="L67" s="640"/>
    </row>
    <row r="68" spans="3:12" ht="16.5">
      <c r="C68" s="1586" t="s">
        <v>2267</v>
      </c>
      <c r="D68" s="1586">
        <f ca="1">IFERROR('Financeiros Mitigação'!$D$5*Energia!C11/Energia!$C$5,0)</f>
        <v>0</v>
      </c>
      <c r="E68" s="959">
        <f t="shared" ca="1" si="0"/>
        <v>0</v>
      </c>
      <c r="F68" s="952">
        <v>22</v>
      </c>
      <c r="G68" s="952">
        <v>60</v>
      </c>
      <c r="H68" s="952">
        <v>240</v>
      </c>
      <c r="I68" s="952">
        <v>2</v>
      </c>
      <c r="J68" s="952">
        <v>10</v>
      </c>
      <c r="K68" s="953">
        <v>9</v>
      </c>
      <c r="L68" s="640"/>
    </row>
    <row r="69" spans="3:12" ht="16.5">
      <c r="C69" s="1586" t="s">
        <v>2268</v>
      </c>
      <c r="D69" s="1586">
        <f ca="1">IFERROR('Financeiros Mitigação'!$D$5*Energia!C12/Energia!$C$5,0)</f>
        <v>0</v>
      </c>
      <c r="E69" s="959">
        <f t="shared" ca="1" si="0"/>
        <v>0</v>
      </c>
      <c r="F69" s="952">
        <v>22</v>
      </c>
      <c r="G69" s="952">
        <v>60</v>
      </c>
      <c r="H69" s="952">
        <v>240</v>
      </c>
      <c r="I69" s="952">
        <v>2</v>
      </c>
      <c r="J69" s="952">
        <v>24</v>
      </c>
      <c r="K69" s="953">
        <v>9</v>
      </c>
      <c r="L69" s="640"/>
    </row>
    <row r="70" spans="3:12" ht="16.5">
      <c r="C70" s="1586" t="s">
        <v>2269</v>
      </c>
      <c r="D70" s="1586">
        <f>'Financeiros Mitigação'!D6</f>
        <v>-1106885.699880603</v>
      </c>
      <c r="E70" s="959">
        <f t="shared" ca="1" si="0"/>
        <v>-1.0532449870466868E-2</v>
      </c>
      <c r="F70" s="952">
        <v>22</v>
      </c>
      <c r="G70" s="952">
        <v>60</v>
      </c>
      <c r="H70" s="952">
        <v>240</v>
      </c>
      <c r="I70" s="952">
        <v>3</v>
      </c>
      <c r="J70" s="952">
        <v>17</v>
      </c>
      <c r="K70" s="953">
        <v>9</v>
      </c>
      <c r="L70" s="640"/>
    </row>
    <row r="71" spans="3:12" ht="16.5">
      <c r="C71" s="1586" t="s">
        <v>2270</v>
      </c>
      <c r="D71" s="1586">
        <f ca="1">IFERROR('Financeiros Mitigação'!$D$7*Energia!C6/Energia!$C$5,0)</f>
        <v>0</v>
      </c>
      <c r="E71" s="959">
        <f t="shared" ca="1" si="0"/>
        <v>0</v>
      </c>
      <c r="F71" s="952">
        <v>22</v>
      </c>
      <c r="G71" s="952">
        <v>60</v>
      </c>
      <c r="H71" s="952">
        <v>240</v>
      </c>
      <c r="I71" s="952">
        <v>2</v>
      </c>
      <c r="J71" s="952">
        <v>11</v>
      </c>
      <c r="K71" s="953">
        <v>9</v>
      </c>
      <c r="L71" s="640"/>
    </row>
    <row r="72" spans="3:12" ht="16.5">
      <c r="C72" s="1586" t="s">
        <v>2271</v>
      </c>
      <c r="D72" s="1586">
        <f ca="1">IFERROR('Financeiros Mitigação'!$D$7*Energia!N16/Energia!$C$5,0)</f>
        <v>0</v>
      </c>
      <c r="E72" s="959">
        <f t="shared" ca="1" si="0"/>
        <v>0</v>
      </c>
      <c r="F72" s="952">
        <v>22</v>
      </c>
      <c r="G72" s="952">
        <v>60</v>
      </c>
      <c r="H72" s="952">
        <v>240</v>
      </c>
      <c r="I72" s="952">
        <v>2</v>
      </c>
      <c r="J72" s="952">
        <v>9</v>
      </c>
      <c r="K72" s="953">
        <v>9</v>
      </c>
      <c r="L72" s="640"/>
    </row>
    <row r="73" spans="3:12" ht="16.5">
      <c r="C73" s="1586" t="s">
        <v>2272</v>
      </c>
      <c r="D73" s="1586">
        <f ca="1">IFERROR('Financeiros Mitigação'!$D$7*Energia!N17/Energia!$C$5,0)</f>
        <v>0</v>
      </c>
      <c r="E73" s="959">
        <f t="shared" ca="1" si="0"/>
        <v>0</v>
      </c>
      <c r="F73" s="952">
        <v>22</v>
      </c>
      <c r="G73" s="952">
        <v>60</v>
      </c>
      <c r="H73" s="952">
        <v>240</v>
      </c>
      <c r="I73" s="952">
        <v>2</v>
      </c>
      <c r="J73" s="952">
        <v>8</v>
      </c>
      <c r="K73" s="953">
        <v>9</v>
      </c>
      <c r="L73" s="640"/>
    </row>
    <row r="74" spans="3:12" ht="16.5">
      <c r="C74" s="1586" t="s">
        <v>2273</v>
      </c>
      <c r="D74" s="1586">
        <f ca="1">IFERROR('Financeiros Mitigação'!$D$7*Energia!C11/Energia!$C$5,0)</f>
        <v>0</v>
      </c>
      <c r="E74" s="959">
        <f t="shared" ca="1" si="0"/>
        <v>0</v>
      </c>
      <c r="F74" s="952">
        <v>22</v>
      </c>
      <c r="G74" s="952">
        <v>60</v>
      </c>
      <c r="H74" s="952">
        <v>240</v>
      </c>
      <c r="I74" s="952">
        <v>2</v>
      </c>
      <c r="J74" s="952">
        <v>10</v>
      </c>
      <c r="K74" s="953">
        <v>9</v>
      </c>
      <c r="L74" s="640"/>
    </row>
    <row r="75" spans="3:12" ht="16.5">
      <c r="C75" s="1586" t="s">
        <v>2274</v>
      </c>
      <c r="D75" s="1586">
        <f ca="1">IFERROR('Financeiros Mitigação'!$D$7*Energia!C12/Energia!$C$5,0)</f>
        <v>0</v>
      </c>
      <c r="E75" s="959">
        <f t="shared" ca="1" si="0"/>
        <v>0</v>
      </c>
      <c r="F75" s="952">
        <v>22</v>
      </c>
      <c r="G75" s="952">
        <v>60</v>
      </c>
      <c r="H75" s="952">
        <v>240</v>
      </c>
      <c r="I75" s="952">
        <v>2</v>
      </c>
      <c r="J75" s="952">
        <v>24</v>
      </c>
      <c r="K75" s="953">
        <v>9</v>
      </c>
      <c r="L75" s="640"/>
    </row>
    <row r="76" spans="3:12" ht="16.5">
      <c r="C76" s="1586" t="s">
        <v>2373</v>
      </c>
      <c r="D76" s="1586">
        <f ca="1">CVE!$I$9*LnkTXTEV/LnkTXTER</f>
        <v>-1428391.4329839994</v>
      </c>
      <c r="E76" s="959">
        <f t="shared" ca="1" si="0"/>
        <v>-1.3591702526223907E-2</v>
      </c>
      <c r="F76" s="952">
        <v>22</v>
      </c>
      <c r="G76" s="952">
        <v>60</v>
      </c>
      <c r="H76" s="952">
        <v>106</v>
      </c>
      <c r="I76" s="952">
        <v>2</v>
      </c>
      <c r="J76" s="952">
        <v>11</v>
      </c>
      <c r="K76" s="953">
        <v>9</v>
      </c>
      <c r="L76" s="640"/>
    </row>
    <row r="77" spans="3:12" ht="16.5">
      <c r="C77" s="1586" t="s">
        <v>2374</v>
      </c>
      <c r="D77" s="1586"/>
      <c r="E77" s="959">
        <f t="shared" ref="E77:E80" ca="1" si="3">IF(ISERROR(D77/$D$4),0,D77/$D$4)</f>
        <v>0</v>
      </c>
      <c r="F77" s="952">
        <v>22</v>
      </c>
      <c r="G77" s="952">
        <v>60</v>
      </c>
      <c r="H77" s="952">
        <v>106</v>
      </c>
      <c r="I77" s="952">
        <v>2</v>
      </c>
      <c r="J77" s="952">
        <v>9</v>
      </c>
      <c r="K77" s="953">
        <v>9</v>
      </c>
      <c r="L77" s="640"/>
    </row>
    <row r="78" spans="3:12" ht="16.5">
      <c r="C78" s="1586" t="s">
        <v>2375</v>
      </c>
      <c r="D78" s="1586">
        <f ca="1">[16]CVE!$I$9*[16]Energia!N17/LnkTXTER</f>
        <v>-12791.37094897138</v>
      </c>
      <c r="E78" s="959">
        <f t="shared" ca="1" si="3"/>
        <v>-1.2171489188912611E-4</v>
      </c>
      <c r="F78" s="952">
        <v>22</v>
      </c>
      <c r="G78" s="952">
        <v>60</v>
      </c>
      <c r="H78" s="952">
        <v>106</v>
      </c>
      <c r="I78" s="952">
        <v>2</v>
      </c>
      <c r="J78" s="952">
        <v>8</v>
      </c>
      <c r="K78" s="953">
        <v>9</v>
      </c>
      <c r="L78" s="640"/>
    </row>
    <row r="79" spans="3:12" ht="16.5">
      <c r="C79" s="1586" t="s">
        <v>2376</v>
      </c>
      <c r="D79" s="1586">
        <f ca="1">[16]CVE!$I$9*[16]Energia!N18/LnkTXTER</f>
        <v>-388.37705466253851</v>
      </c>
      <c r="E79" s="959">
        <f t="shared" ca="1" si="3"/>
        <v>-3.6955594055592156E-6</v>
      </c>
      <c r="F79" s="952">
        <v>22</v>
      </c>
      <c r="G79" s="952">
        <v>60</v>
      </c>
      <c r="H79" s="952">
        <v>106</v>
      </c>
      <c r="I79" s="952">
        <v>2</v>
      </c>
      <c r="J79" s="952">
        <v>10</v>
      </c>
      <c r="K79" s="953">
        <v>9</v>
      </c>
      <c r="L79" s="640"/>
    </row>
    <row r="80" spans="3:12" ht="16.5">
      <c r="C80" s="1586" t="s">
        <v>2377</v>
      </c>
      <c r="D80" s="1586">
        <f ca="1">[16]CVE!$I$9*[16]Energia!N19/LnkTXTER</f>
        <v>-3630.4366612716981</v>
      </c>
      <c r="E80" s="959">
        <f t="shared" ca="1" si="3"/>
        <v>-3.4545023164427762E-5</v>
      </c>
      <c r="F80" s="953">
        <v>22</v>
      </c>
      <c r="G80" s="953">
        <v>60</v>
      </c>
      <c r="H80" s="953">
        <v>106</v>
      </c>
      <c r="I80" s="953">
        <v>2</v>
      </c>
      <c r="J80" s="953">
        <v>24</v>
      </c>
      <c r="K80" s="953">
        <v>9</v>
      </c>
      <c r="L80" s="640"/>
    </row>
    <row r="81" spans="3:12" ht="16.5">
      <c r="C81" s="1586"/>
      <c r="D81" s="1586"/>
      <c r="E81" s="959"/>
      <c r="F81" s="953"/>
      <c r="G81" s="953"/>
      <c r="H81" s="953"/>
      <c r="I81" s="953"/>
      <c r="J81" s="953"/>
      <c r="K81" s="953"/>
      <c r="L81" s="640"/>
    </row>
    <row r="82" spans="3:12" ht="16.5">
      <c r="C82" s="961" t="s">
        <v>1398</v>
      </c>
      <c r="D82" s="961">
        <f>-IFERROR(CVE!$I$15,0)</f>
        <v>-1315990.2960016439</v>
      </c>
      <c r="E82" s="959">
        <f t="shared" ref="E82" ca="1" si="4">IF(ISERROR(D82/$D$4),0,D82/$D$4)</f>
        <v>-1.2522161795163925E-2</v>
      </c>
      <c r="F82" s="1393">
        <v>22</v>
      </c>
      <c r="G82" s="1393">
        <v>62</v>
      </c>
      <c r="H82" s="1393">
        <v>220</v>
      </c>
      <c r="I82" s="1393">
        <v>2</v>
      </c>
      <c r="J82" s="1393">
        <v>30</v>
      </c>
      <c r="K82" s="1393">
        <v>9</v>
      </c>
      <c r="L82" s="640"/>
    </row>
    <row r="83" spans="3:12" ht="16.5">
      <c r="C83" s="962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E9 E24:E28 E14:E18 E12 E11 F12:F17 E23 D21:D24 D29:E30 D26:D27 E32:E35 D35:D36 D12:D18 E21 E22" calculatedColumn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E15" sqref="E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3" t="s">
        <v>2187</v>
      </c>
    </row>
    <row r="4" spans="1:5">
      <c r="B4" t="s">
        <v>2188</v>
      </c>
    </row>
    <row r="7" spans="1:5">
      <c r="A7" s="755"/>
      <c r="B7" s="755" t="s">
        <v>2182</v>
      </c>
    </row>
    <row r="8" spans="1:5">
      <c r="A8" s="755" t="s">
        <v>1032</v>
      </c>
      <c r="B8" s="1534"/>
    </row>
    <row r="9" spans="1:5">
      <c r="A9" s="755" t="s">
        <v>1051</v>
      </c>
      <c r="B9" s="1534"/>
    </row>
    <row r="11" spans="1:5" ht="47.25">
      <c r="A11" s="1536"/>
      <c r="B11" s="1537" t="s">
        <v>2189</v>
      </c>
      <c r="C11" s="1538" t="s">
        <v>2183</v>
      </c>
      <c r="D11" s="1538" t="s">
        <v>2184</v>
      </c>
      <c r="E11" s="1538" t="s">
        <v>846</v>
      </c>
    </row>
    <row r="12" spans="1:5">
      <c r="A12" s="888" t="s">
        <v>846</v>
      </c>
      <c r="B12" s="1535">
        <f>B13+B14</f>
        <v>0</v>
      </c>
      <c r="C12" s="1535">
        <f>Indexador!R49</f>
        <v>0</v>
      </c>
      <c r="D12" s="1535">
        <f>C12*85%</f>
        <v>0</v>
      </c>
      <c r="E12" s="1535">
        <f>SUM(B12:D12)</f>
        <v>0</v>
      </c>
    </row>
    <row r="13" spans="1:5">
      <c r="A13" s="755" t="s">
        <v>1032</v>
      </c>
      <c r="B13" s="1535">
        <f>Indexador!V49</f>
        <v>0</v>
      </c>
      <c r="C13" s="1535">
        <f ca="1">IFERROR($C$12*(Resultado!D32/(Resultado!$D$32+Resultado!$D$33)),0)</f>
        <v>0</v>
      </c>
      <c r="D13" s="1535">
        <f t="shared" ref="D13:D14" ca="1" si="0">C13*85%</f>
        <v>0</v>
      </c>
      <c r="E13" s="1535">
        <f t="shared" ref="E13:E14" ca="1" si="1">SUM(B13:D13)</f>
        <v>0</v>
      </c>
    </row>
    <row r="14" spans="1:5">
      <c r="A14" s="755" t="s">
        <v>1051</v>
      </c>
      <c r="B14" s="1535">
        <f>Indexador!T49</f>
        <v>0</v>
      </c>
      <c r="C14" s="1535">
        <f ca="1">IFERROR($C$12*(Resultado!D33/(Resultado!$D$32+Resultado!$D$33)),0)</f>
        <v>0</v>
      </c>
      <c r="D14" s="1535">
        <f t="shared" ca="1" si="0"/>
        <v>0</v>
      </c>
      <c r="E14" s="1535">
        <f t="shared" ca="1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A96FD-01A0-4AAB-A655-74ED78836404}">
  <sheetPr codeName="Planilha9">
    <tabColor rgb="FFFFFF00"/>
  </sheetPr>
  <dimension ref="B3:X30"/>
  <sheetViews>
    <sheetView workbookViewId="0">
      <selection activeCell="J28" sqref="J28"/>
    </sheetView>
  </sheetViews>
  <sheetFormatPr defaultColWidth="9.140625" defaultRowHeight="12.75"/>
  <cols>
    <col min="1" max="1" width="3.7109375" style="1732" customWidth="1"/>
    <col min="2" max="2" width="11.42578125" style="1732" bestFit="1" customWidth="1"/>
    <col min="3" max="3" width="19.28515625" style="1732" customWidth="1"/>
    <col min="4" max="4" width="17.7109375" style="1732" customWidth="1"/>
    <col min="5" max="5" width="13.7109375" style="1732" customWidth="1"/>
    <col min="6" max="8" width="14.7109375" style="1732" customWidth="1"/>
    <col min="9" max="9" width="16.42578125" style="1732" customWidth="1"/>
    <col min="10" max="10" width="19.5703125" style="1732" customWidth="1"/>
    <col min="11" max="18" width="15.7109375" style="1732" customWidth="1"/>
    <col min="19" max="40" width="9" style="1732" customWidth="1"/>
    <col min="41" max="16384" width="9.140625" style="1732"/>
  </cols>
  <sheetData>
    <row r="3" spans="2:24" ht="51">
      <c r="B3" s="1727" t="s">
        <v>2346</v>
      </c>
      <c r="C3" s="1728"/>
      <c r="D3" s="1729" t="s">
        <v>2347</v>
      </c>
      <c r="E3" s="1730" t="s">
        <v>2348</v>
      </c>
      <c r="F3" s="1728"/>
      <c r="G3" s="1729" t="s">
        <v>2349</v>
      </c>
      <c r="H3" s="1729" t="s">
        <v>2350</v>
      </c>
      <c r="I3" s="1729" t="s">
        <v>2351</v>
      </c>
      <c r="J3" s="1729" t="s">
        <v>2352</v>
      </c>
      <c r="K3" s="1729" t="s">
        <v>2353</v>
      </c>
      <c r="L3" s="1729" t="s">
        <v>2354</v>
      </c>
      <c r="M3" s="1729" t="s">
        <v>2355</v>
      </c>
      <c r="N3" s="1729" t="s">
        <v>2356</v>
      </c>
      <c r="O3" s="1729" t="s">
        <v>2357</v>
      </c>
      <c r="P3" s="1729" t="s">
        <v>2358</v>
      </c>
      <c r="Q3" s="1729" t="s">
        <v>2359</v>
      </c>
      <c r="R3" s="1731" t="s">
        <v>2360</v>
      </c>
    </row>
    <row r="4" spans="2:24">
      <c r="B4" s="1733" t="s">
        <v>2361</v>
      </c>
      <c r="C4" s="1733"/>
      <c r="D4" s="1733"/>
      <c r="E4" s="1734" t="s">
        <v>138</v>
      </c>
      <c r="F4" s="1735"/>
      <c r="G4" s="1733">
        <v>0</v>
      </c>
      <c r="H4" s="1736">
        <f>D4+G4</f>
        <v>0</v>
      </c>
      <c r="I4" s="1737"/>
      <c r="J4" s="1737">
        <f>+F27</f>
        <v>0</v>
      </c>
      <c r="K4" s="1738"/>
      <c r="L4" s="1739">
        <f>K4*VLOOKUP(SAS_RA0_DataFim,Índices!$B$6:$F$50000,5,0)/VLOOKUP(DATE(YEAR(SAS_RA0_DataFim)-2,MONTH(CAPA!C15),1),Índices!$B$6:$F$50000,5,0)</f>
        <v>0</v>
      </c>
      <c r="M4" s="1733"/>
      <c r="N4" s="1737">
        <f>M4*VLOOKUP(SAS_RA0_DataFim,Índices!$B$6:$F$50000,5,0)/VLOOKUP(DATE(YEAR(SAS_RA0_DataFim)-1,MONTH(SAS_RA0_DataFim),1),Índices!$B$6:$F$50000,5,0)</f>
        <v>0</v>
      </c>
      <c r="O4" s="1737">
        <f>G27</f>
        <v>0</v>
      </c>
      <c r="P4" s="1737">
        <f>J4+L4+N4-O4</f>
        <v>0</v>
      </c>
      <c r="Q4" s="1737">
        <f>IF(I4*12&gt;(D4+K4+M4-P4),D4+K4+M4-P4,I4*12)</f>
        <v>0</v>
      </c>
      <c r="R4" s="1740">
        <f>P4+Q4</f>
        <v>0</v>
      </c>
    </row>
    <row r="5" spans="2:24">
      <c r="I5" s="1741"/>
      <c r="J5" s="1741"/>
    </row>
    <row r="6" spans="2:24">
      <c r="B6" s="1742" t="s">
        <v>2362</v>
      </c>
      <c r="C6" s="1743"/>
      <c r="D6" s="1744"/>
      <c r="N6" s="1745"/>
    </row>
    <row r="7" spans="2:24" ht="15.75">
      <c r="J7" s="1830" t="s">
        <v>2372</v>
      </c>
      <c r="K7" s="1830"/>
      <c r="L7" s="1830"/>
      <c r="M7" s="1830"/>
    </row>
    <row r="8" spans="2:24" ht="60">
      <c r="B8" s="1727" t="s">
        <v>34</v>
      </c>
      <c r="C8" s="1729" t="s">
        <v>2363</v>
      </c>
      <c r="D8" s="1729" t="s">
        <v>2364</v>
      </c>
      <c r="E8" s="1729" t="s">
        <v>2365</v>
      </c>
      <c r="F8" s="1729" t="s">
        <v>2366</v>
      </c>
      <c r="G8" s="1729" t="s">
        <v>2367</v>
      </c>
      <c r="H8" s="1729" t="s">
        <v>2368</v>
      </c>
      <c r="J8" s="1757" t="s">
        <v>2369</v>
      </c>
      <c r="K8" s="1757" t="s">
        <v>2370</v>
      </c>
      <c r="L8" s="1757" t="s">
        <v>1511</v>
      </c>
      <c r="M8" s="1757" t="s">
        <v>2371</v>
      </c>
    </row>
    <row r="9" spans="2:24" ht="15.75">
      <c r="B9" s="1746">
        <v>44197</v>
      </c>
      <c r="C9" s="1747"/>
      <c r="D9" s="1748"/>
      <c r="E9" s="1749"/>
      <c r="F9" s="1754">
        <f>C9*VLOOKUP(SAS_RA0_DataFim,Índices!$B$6:$F$50000,5,0)/VLOOKUP(DATE(YEAR($B9),MONTH($B9)-1,1),Índices!$B$6:$F$50000,5,0)</f>
        <v>0</v>
      </c>
      <c r="G9" s="1754">
        <f>D9*VLOOKUP(SAS_RA0_DataFim,Índices!$B$6:$F$50000,5,0)/VLOOKUP(DATE(YEAR($B9),MONTH($B9)-1,1),Índices!$B$6:$F$50000,5,0)</f>
        <v>0</v>
      </c>
      <c r="H9" s="1754">
        <f>E9*VLOOKUP(SAS_RA0_DataFim,Índices!$B$6:$F$50000,5,0)/VLOOKUP(DATE(YEAR($B9),MONTH($B9)-1,1),Índices!$B$6:$F$50000,5,0)</f>
        <v>0</v>
      </c>
      <c r="J9" s="1758">
        <v>44742</v>
      </c>
      <c r="K9" s="1759">
        <v>10328.11</v>
      </c>
      <c r="L9" s="1759">
        <v>47668.01</v>
      </c>
      <c r="M9" s="1759">
        <f>K9+L9</f>
        <v>57996.12</v>
      </c>
    </row>
    <row r="10" spans="2:24" ht="15.75">
      <c r="B10" s="1746">
        <v>44228</v>
      </c>
      <c r="C10" s="1750"/>
      <c r="D10" s="1748"/>
      <c r="E10" s="1751"/>
      <c r="F10" s="1754">
        <f>C10*VLOOKUP(SAS_RA0_DataFim,Índices!$B$6:$F$50000,5,0)/VLOOKUP(DATE(YEAR($B10),MONTH($B10)-1,1),Índices!$B$6:$F$50000,5,0)</f>
        <v>0</v>
      </c>
      <c r="G10" s="1754">
        <f>D10*VLOOKUP(SAS_RA0_DataFim,Índices!$B$6:$F$50000,5,0)/VLOOKUP(DATE(YEAR($B10),MONTH($B10)-1,1),Índices!$B$6:$F$50000,5,0)</f>
        <v>0</v>
      </c>
      <c r="H10" s="1754">
        <f>E10*VLOOKUP(SAS_RA0_DataFim,Índices!$B$6:$F$50000,5,0)/VLOOKUP(DATE(YEAR($B10),MONTH($B10)-1,1),Índices!$B$6:$F$50000,5,0)</f>
        <v>0</v>
      </c>
      <c r="J10" s="1758">
        <v>44772</v>
      </c>
      <c r="K10" s="1759">
        <v>15994.97</v>
      </c>
      <c r="L10" s="1759">
        <v>73822.52</v>
      </c>
      <c r="M10" s="1759">
        <f t="shared" ref="M10:M20" si="0">K10+L10</f>
        <v>89817.49</v>
      </c>
      <c r="X10" s="1752"/>
    </row>
    <row r="11" spans="2:24" ht="15.75">
      <c r="B11" s="1746">
        <v>44256</v>
      </c>
      <c r="C11" s="1750"/>
      <c r="D11" s="1748"/>
      <c r="E11" s="1751"/>
      <c r="F11" s="1754">
        <f>C11*VLOOKUP(SAS_RA0_DataFim,Índices!$B$6:$F$50000,5,0)/VLOOKUP(DATE(YEAR($B11),MONTH($B11)-1,1),Índices!$B$6:$F$50000,5,0)</f>
        <v>0</v>
      </c>
      <c r="G11" s="1754">
        <f>D11*VLOOKUP(SAS_RA0_DataFim,Índices!$B$6:$F$50000,5,0)/VLOOKUP(DATE(YEAR($B11),MONTH($B11)-1,1),Índices!$B$6:$F$50000,5,0)</f>
        <v>0</v>
      </c>
      <c r="H11" s="1754">
        <f>E11*VLOOKUP(SAS_RA0_DataFim,Índices!$B$6:$F$50000,5,0)/VLOOKUP(DATE(YEAR($B11),MONTH($B11)-1,1),Índices!$B$6:$F$50000,5,0)</f>
        <v>0</v>
      </c>
      <c r="J11" s="1758">
        <v>44803</v>
      </c>
      <c r="K11" s="1759">
        <v>32626.65</v>
      </c>
      <c r="L11" s="1759">
        <v>150584.42000000001</v>
      </c>
      <c r="M11" s="1759">
        <f t="shared" si="0"/>
        <v>183211.07</v>
      </c>
    </row>
    <row r="12" spans="2:24" ht="15.75">
      <c r="B12" s="1746">
        <v>44287</v>
      </c>
      <c r="C12" s="1750"/>
      <c r="D12" s="1748"/>
      <c r="E12" s="1751"/>
      <c r="F12" s="1754">
        <f>C12*VLOOKUP(SAS_RA0_DataFim,Índices!$B$6:$F$50000,5,0)/VLOOKUP(DATE(YEAR($B12),MONTH($B12)-1,1),Índices!$B$6:$F$50000,5,0)</f>
        <v>0</v>
      </c>
      <c r="G12" s="1754">
        <f>D12*VLOOKUP(SAS_RA0_DataFim,Índices!$B$6:$F$50000,5,0)/VLOOKUP(DATE(YEAR($B12),MONTH($B12)-1,1),Índices!$B$6:$F$50000,5,0)</f>
        <v>0</v>
      </c>
      <c r="H12" s="1754">
        <f>E12*VLOOKUP(SAS_RA0_DataFim,Índices!$B$6:$F$50000,5,0)/VLOOKUP(DATE(YEAR($B12),MONTH($B12)-1,1),Índices!$B$6:$F$50000,5,0)</f>
        <v>0</v>
      </c>
      <c r="J12" s="1758">
        <v>44834</v>
      </c>
      <c r="K12" s="1759">
        <v>30665.759999999998</v>
      </c>
      <c r="L12" s="1759">
        <v>141533.98000000001</v>
      </c>
      <c r="M12" s="1759">
        <f t="shared" si="0"/>
        <v>172199.74000000002</v>
      </c>
    </row>
    <row r="13" spans="2:24" ht="15.75">
      <c r="B13" s="1746">
        <v>44317</v>
      </c>
      <c r="C13" s="1751"/>
      <c r="D13" s="1753"/>
      <c r="E13" s="1751"/>
      <c r="F13" s="1754">
        <f>C13*VLOOKUP(SAS_RA0_DataFim,Índices!$B$6:$F$50000,5,0)/VLOOKUP(DATE(YEAR($B13),MONTH($B13)-1,1),Índices!$B$6:$F$50000,5,0)</f>
        <v>0</v>
      </c>
      <c r="G13" s="1754">
        <f>D13*VLOOKUP(SAS_RA0_DataFim,Índices!$B$6:$F$50000,5,0)/VLOOKUP(DATE(YEAR($B13),MONTH($B13)-1,1),Índices!$B$6:$F$50000,5,0)</f>
        <v>0</v>
      </c>
      <c r="H13" s="1754">
        <f>E13*VLOOKUP(SAS_RA0_DataFim,Índices!$B$6:$F$50000,5,0)/VLOOKUP(DATE(YEAR($B13),MONTH($B13)-1,1),Índices!$B$6:$F$50000,5,0)</f>
        <v>0</v>
      </c>
      <c r="J13" s="1758">
        <v>44864</v>
      </c>
      <c r="K13" s="1759">
        <v>29648.880000000001</v>
      </c>
      <c r="L13" s="1759">
        <v>136840.92000000001</v>
      </c>
      <c r="M13" s="1759">
        <f t="shared" si="0"/>
        <v>166489.80000000002</v>
      </c>
    </row>
    <row r="14" spans="2:24" ht="15.75">
      <c r="B14" s="1746">
        <v>44348</v>
      </c>
      <c r="C14" s="1754"/>
      <c r="D14" s="1753"/>
      <c r="E14" s="1751"/>
      <c r="F14" s="1754">
        <f>C14*VLOOKUP(SAS_RA0_DataFim,Índices!$B$6:$F$50000,5,0)/VLOOKUP(DATE(YEAR($B14),MONTH($B14)-1,1),Índices!$B$6:$F$50000,5,0)</f>
        <v>0</v>
      </c>
      <c r="G14" s="1754">
        <f>D14*VLOOKUP(SAS_RA0_DataFim,Índices!$B$6:$F$50000,5,0)/VLOOKUP(DATE(YEAR($B14),MONTH($B14)-1,1),Índices!$B$6:$F$50000,5,0)</f>
        <v>0</v>
      </c>
      <c r="H14" s="1754">
        <f>E14*VLOOKUP(SAS_RA0_DataFim,Índices!$B$6:$F$50000,5,0)/VLOOKUP(DATE(YEAR($B14),MONTH($B14)-1,1),Índices!$B$6:$F$50000,5,0)</f>
        <v>0</v>
      </c>
      <c r="J14" s="1758">
        <v>44895</v>
      </c>
      <c r="K14" s="1759">
        <v>41488.699999999997</v>
      </c>
      <c r="L14" s="1759">
        <v>191485.84</v>
      </c>
      <c r="M14" s="1759">
        <f t="shared" si="0"/>
        <v>232974.53999999998</v>
      </c>
    </row>
    <row r="15" spans="2:24" ht="15.75">
      <c r="B15" s="1746">
        <v>44378</v>
      </c>
      <c r="C15" s="1754"/>
      <c r="D15" s="1753"/>
      <c r="E15" s="1751"/>
      <c r="F15" s="1754">
        <f>C15*VLOOKUP(SAS_RA0_DataFim,Índices!$B$6:$F$50000,5,0)/VLOOKUP(DATE(YEAR($B15),MONTH($B15)-1,1),Índices!$B$6:$F$50000,5,0)</f>
        <v>0</v>
      </c>
      <c r="G15" s="1754">
        <f>D15*VLOOKUP(SAS_RA0_DataFim,Índices!$B$6:$F$50000,5,0)/VLOOKUP(DATE(YEAR($B15),MONTH($B15)-1,1),Índices!$B$6:$F$50000,5,0)</f>
        <v>0</v>
      </c>
      <c r="H15" s="1754">
        <f>E15*VLOOKUP(SAS_RA0_DataFim,Índices!$B$6:$F$50000,5,0)/VLOOKUP(DATE(YEAR($B15),MONTH($B15)-1,1),Índices!$B$6:$F$50000,5,0)</f>
        <v>0</v>
      </c>
      <c r="J15" s="1758">
        <v>44925</v>
      </c>
      <c r="K15" s="1759">
        <v>40881.86</v>
      </c>
      <c r="L15" s="1759">
        <v>188685.17</v>
      </c>
      <c r="M15" s="1759">
        <f t="shared" si="0"/>
        <v>229567.03000000003</v>
      </c>
    </row>
    <row r="16" spans="2:24" ht="15.75">
      <c r="B16" s="1746">
        <v>44409</v>
      </c>
      <c r="C16" s="1754"/>
      <c r="D16" s="1753"/>
      <c r="E16" s="1751"/>
      <c r="F16" s="1754">
        <f>C16*VLOOKUP(SAS_RA0_DataFim,Índices!$B$6:$F$50000,5,0)/VLOOKUP(DATE(YEAR($B16),MONTH($B16)-1,1),Índices!$B$6:$F$50000,5,0)</f>
        <v>0</v>
      </c>
      <c r="G16" s="1754">
        <f>D16*VLOOKUP(SAS_RA0_DataFim,Índices!$B$6:$F$50000,5,0)/VLOOKUP(DATE(YEAR($B16),MONTH($B16)-1,1),Índices!$B$6:$F$50000,5,0)</f>
        <v>0</v>
      </c>
      <c r="H16" s="1754">
        <f>E16*VLOOKUP(SAS_RA0_DataFim,Índices!$B$6:$F$50000,5,0)/VLOOKUP(DATE(YEAR($B16),MONTH($B16)-1,1),Índices!$B$6:$F$50000,5,0)</f>
        <v>0</v>
      </c>
      <c r="J16" s="1758">
        <v>44956</v>
      </c>
      <c r="K16" s="1759">
        <v>33752.17</v>
      </c>
      <c r="L16" s="1759">
        <v>155780.41</v>
      </c>
      <c r="M16" s="1759">
        <v>155780.41</v>
      </c>
    </row>
    <row r="17" spans="2:13" ht="15.75">
      <c r="B17" s="1746">
        <v>44440</v>
      </c>
      <c r="C17" s="1754"/>
      <c r="D17" s="1753"/>
      <c r="E17" s="1751"/>
      <c r="F17" s="1754">
        <f>C17*VLOOKUP(SAS_RA0_DataFim,Índices!$B$6:$F$50000,5,0)/VLOOKUP(DATE(YEAR($B17),MONTH($B17)-1,1),Índices!$B$6:$F$50000,5,0)</f>
        <v>0</v>
      </c>
      <c r="G17" s="1754">
        <f>D17*VLOOKUP(SAS_RA0_DataFim,Índices!$B$6:$F$50000,5,0)/VLOOKUP(DATE(YEAR($B17),MONTH($B17)-1,1),Índices!$B$6:$F$50000,5,0)</f>
        <v>0</v>
      </c>
      <c r="H17" s="1754">
        <f>E17*VLOOKUP(SAS_RA0_DataFim,Índices!$B$6:$F$50000,5,0)/VLOOKUP(DATE(YEAR($B17),MONTH($B17)-1,1),Índices!$B$6:$F$50000,5,0)</f>
        <v>0</v>
      </c>
      <c r="J17" s="1758">
        <v>44985</v>
      </c>
      <c r="K17" s="1759">
        <v>38586.57</v>
      </c>
      <c r="L17" s="1759">
        <v>178091.56</v>
      </c>
      <c r="M17" s="1759">
        <f t="shared" si="0"/>
        <v>216678.13</v>
      </c>
    </row>
    <row r="18" spans="2:13" ht="15.75">
      <c r="B18" s="1746">
        <v>44470</v>
      </c>
      <c r="C18" s="1754"/>
      <c r="D18" s="1753"/>
      <c r="E18" s="1751"/>
      <c r="F18" s="1754">
        <f>C18*VLOOKUP(SAS_RA0_DataFim,Índices!$B$6:$F$50000,5,0)/VLOOKUP(DATE(YEAR($B18),MONTH($B18)-1,1),Índices!$B$6:$F$50000,5,0)</f>
        <v>0</v>
      </c>
      <c r="G18" s="1754">
        <f>D18*VLOOKUP(SAS_RA0_DataFim,Índices!$B$6:$F$50000,5,0)/VLOOKUP(DATE(YEAR($B18),MONTH($B18)-1,1),Índices!$B$6:$F$50000,5,0)</f>
        <v>0</v>
      </c>
      <c r="H18" s="1754">
        <f>E18*VLOOKUP(SAS_RA0_DataFim,Índices!$B$6:$F$50000,5,0)/VLOOKUP(DATE(YEAR($B18),MONTH($B18)-1,1),Índices!$B$6:$F$50000,5,0)</f>
        <v>0</v>
      </c>
      <c r="J18" s="1758">
        <v>45015</v>
      </c>
      <c r="K18" s="1759">
        <v>49683.64</v>
      </c>
      <c r="L18" s="1759">
        <v>229308.89</v>
      </c>
      <c r="M18" s="1759">
        <f t="shared" si="0"/>
        <v>278992.53000000003</v>
      </c>
    </row>
    <row r="19" spans="2:13" ht="15.75">
      <c r="B19" s="1746">
        <v>44501</v>
      </c>
      <c r="C19" s="1754"/>
      <c r="D19" s="1753"/>
      <c r="E19" s="1751"/>
      <c r="F19" s="1754">
        <f>C19*VLOOKUP(SAS_RA0_DataFim,Índices!$B$6:$F$50000,5,0)/VLOOKUP(DATE(YEAR($B19),MONTH($B19)-1,1),Índices!$B$6:$F$50000,5,0)</f>
        <v>0</v>
      </c>
      <c r="G19" s="1754">
        <f>D19*VLOOKUP(SAS_RA0_DataFim,Índices!$B$6:$F$50000,5,0)/VLOOKUP(DATE(YEAR($B19),MONTH($B19)-1,1),Índices!$B$6:$F$50000,5,0)</f>
        <v>0</v>
      </c>
      <c r="H19" s="1754">
        <f>E19*VLOOKUP(SAS_RA0_DataFim,Índices!$B$6:$F$50000,5,0)/VLOOKUP(DATE(YEAR($B19),MONTH($B19)-1,1),Índices!$B$6:$F$50000,5,0)</f>
        <v>0</v>
      </c>
      <c r="J19" s="1758">
        <v>45046</v>
      </c>
      <c r="K19" s="1759">
        <v>14798.36</v>
      </c>
      <c r="L19" s="1759">
        <v>68299.97</v>
      </c>
      <c r="M19" s="1759">
        <f t="shared" si="0"/>
        <v>83098.33</v>
      </c>
    </row>
    <row r="20" spans="2:13" ht="15.75">
      <c r="B20" s="1746">
        <v>44531</v>
      </c>
      <c r="C20" s="1754"/>
      <c r="D20" s="1753"/>
      <c r="E20" s="1751"/>
      <c r="F20" s="1754">
        <f>C20*VLOOKUP(SAS_RA0_DataFim,Índices!$B$6:$F$50000,5,0)/VLOOKUP(DATE(YEAR($B20),MONTH($B20)-1,1),Índices!$B$6:$F$50000,5,0)</f>
        <v>0</v>
      </c>
      <c r="G20" s="1754">
        <f>D20*VLOOKUP(SAS_RA0_DataFim,Índices!$B$6:$F$50000,5,0)/VLOOKUP(DATE(YEAR($B20),MONTH($B20)-1,1),Índices!$B$6:$F$50000,5,0)</f>
        <v>0</v>
      </c>
      <c r="H20" s="1754">
        <f>E20*VLOOKUP(SAS_RA0_DataFim,Índices!$B$6:$F$50000,5,0)/VLOOKUP(DATE(YEAR($B20),MONTH($B20)-1,1),Índices!$B$6:$F$50000,5,0)</f>
        <v>0</v>
      </c>
      <c r="J20" s="1758">
        <v>45076</v>
      </c>
      <c r="K20" s="1759">
        <v>30679.68</v>
      </c>
      <c r="L20" s="1759">
        <v>141598.18</v>
      </c>
      <c r="M20" s="1759">
        <f t="shared" si="0"/>
        <v>172277.86</v>
      </c>
    </row>
    <row r="21" spans="2:13" ht="15.75">
      <c r="B21" s="1746">
        <v>44562</v>
      </c>
      <c r="C21" s="1754"/>
      <c r="D21" s="1753"/>
      <c r="E21" s="1751"/>
      <c r="F21" s="1754">
        <f>C21*VLOOKUP(SAS_RA0_DataFim,Índices!$B$6:$F$50000,5,0)/VLOOKUP(DATE(YEAR($B21),MONTH($B21)-1,1),Índices!$B$6:$F$50000,5,0)</f>
        <v>0</v>
      </c>
      <c r="G21" s="1754">
        <f>D21*VLOOKUP(SAS_RA0_DataFim,Índices!$B$6:$F$50000,5,0)/VLOOKUP(DATE(YEAR($B21),MONTH($B21)-1,1),Índices!$B$6:$F$50000,5,0)</f>
        <v>0</v>
      </c>
      <c r="H21" s="1754">
        <f>E21*VLOOKUP(SAS_RA0_DataFim,Índices!$B$6:$F$50000,5,0)/VLOOKUP(DATE(YEAR($B21),MONTH($B21)-1,1),Índices!$B$6:$F$50000,5,0)</f>
        <v>0</v>
      </c>
      <c r="J21"/>
      <c r="K21" s="1760">
        <f t="shared" ref="K21:L21" si="1">SUM(K9:K20)</f>
        <v>369135.35</v>
      </c>
      <c r="L21" s="1760">
        <f t="shared" si="1"/>
        <v>1703699.87</v>
      </c>
      <c r="M21" s="1760">
        <f>SUM(M9:M20)</f>
        <v>2039083.0500000003</v>
      </c>
    </row>
    <row r="22" spans="2:13">
      <c r="B22" s="1746">
        <v>44593</v>
      </c>
      <c r="C22" s="1754"/>
      <c r="D22" s="1753"/>
      <c r="E22" s="1751"/>
      <c r="F22" s="1754">
        <f>C22*VLOOKUP(SAS_RA0_DataFim,Índices!$B$6:$F$50000,5,0)/VLOOKUP(DATE(YEAR($B22),MONTH($B22)-1,1),Índices!$B$6:$F$50000,5,0)</f>
        <v>0</v>
      </c>
      <c r="G22" s="1754">
        <f>D22*VLOOKUP(SAS_RA0_DataFim,Índices!$B$6:$F$50000,5,0)/VLOOKUP(DATE(YEAR($B22),MONTH($B22)-1,1),Índices!$B$6:$F$50000,5,0)</f>
        <v>0</v>
      </c>
      <c r="H22" s="1754">
        <f>E22*VLOOKUP(SAS_RA0_DataFim,Índices!$B$6:$F$50000,5,0)/VLOOKUP(DATE(YEAR($B22),MONTH($B22)-1,1),Índices!$B$6:$F$50000,5,0)</f>
        <v>0</v>
      </c>
    </row>
    <row r="23" spans="2:13">
      <c r="B23" s="1746">
        <v>44621</v>
      </c>
      <c r="C23" s="1754"/>
      <c r="D23" s="1753"/>
      <c r="E23" s="1751"/>
      <c r="F23" s="1754">
        <f>C23*VLOOKUP(SAS_RA0_DataFim,Índices!$B$6:$F$50000,5,0)/VLOOKUP(DATE(YEAR($B23),MONTH($B23)-1,1),Índices!$B$6:$F$50000,5,0)</f>
        <v>0</v>
      </c>
      <c r="G23" s="1754">
        <f>D23*VLOOKUP(SAS_RA0_DataFim,Índices!$B$6:$F$50000,5,0)/VLOOKUP(DATE(YEAR($B23),MONTH($B23)-1,1),Índices!$B$6:$F$50000,5,0)</f>
        <v>0</v>
      </c>
      <c r="H23" s="1754">
        <f>E23*VLOOKUP(SAS_RA0_DataFim,Índices!$B$6:$F$50000,5,0)/VLOOKUP(DATE(YEAR($B23),MONTH($B23)-1,1),Índices!$B$6:$F$50000,5,0)</f>
        <v>0</v>
      </c>
    </row>
    <row r="24" spans="2:13">
      <c r="B24" s="1746">
        <v>44652</v>
      </c>
      <c r="C24" s="1754"/>
      <c r="D24" s="1753"/>
      <c r="E24" s="1751"/>
      <c r="F24" s="1754">
        <f>C24*VLOOKUP(SAS_RA0_DataFim,Índices!$B$6:$F$50000,5,0)/VLOOKUP(DATE(YEAR($B24),MONTH($B24)-1,1),Índices!$B$6:$F$50000,5,0)</f>
        <v>0</v>
      </c>
      <c r="G24" s="1754">
        <f>D24*VLOOKUP(SAS_RA0_DataFim,Índices!$B$6:$F$50000,5,0)/VLOOKUP(DATE(YEAR($B24),MONTH($B24)-1,1),Índices!$B$6:$F$50000,5,0)</f>
        <v>0</v>
      </c>
      <c r="H24" s="1754">
        <f>E24*VLOOKUP(SAS_RA0_DataFim,Índices!$B$6:$F$50000,5,0)/VLOOKUP(DATE(YEAR($B24),MONTH($B24)-1,1),Índices!$B$6:$F$50000,5,0)</f>
        <v>0</v>
      </c>
    </row>
    <row r="25" spans="2:13">
      <c r="B25" s="1746">
        <v>44682</v>
      </c>
      <c r="C25" s="1754"/>
      <c r="D25" s="1753"/>
      <c r="E25" s="1751"/>
      <c r="F25" s="1754">
        <f>C25*VLOOKUP(SAS_RA0_DataFim,Índices!$B$6:$F$50000,5,0)/VLOOKUP(DATE(YEAR($B25),MONTH($B25)-1,1),Índices!$B$6:$F$50000,5,0)</f>
        <v>0</v>
      </c>
      <c r="G25" s="1754">
        <f>D25*VLOOKUP(SAS_RA0_DataFim,Índices!$B$6:$F$50000,5,0)/VLOOKUP(DATE(YEAR($B25),MONTH($B25)-1,1),Índices!$B$6:$F$50000,5,0)</f>
        <v>0</v>
      </c>
      <c r="H25" s="1754">
        <f>E25*VLOOKUP(SAS_RA0_DataFim,Índices!$B$6:$F$50000,5,0)/VLOOKUP(DATE(YEAR($B25),MONTH($B25)-1,1),Índices!$B$6:$F$50000,5,0)</f>
        <v>0</v>
      </c>
    </row>
    <row r="26" spans="2:13">
      <c r="B26" s="1746">
        <v>44713</v>
      </c>
      <c r="C26" s="1754"/>
      <c r="D26" s="1753"/>
      <c r="E26" s="1751"/>
      <c r="F26" s="1754">
        <f>C26*VLOOKUP(SAS_RA0_DataFim,Índices!$B$6:$F$50000,5,0)/VLOOKUP(DATE(YEAR($B26),MONTH($B26)-1,1),Índices!$B$6:$F$50000,5,0)</f>
        <v>0</v>
      </c>
      <c r="G26" s="1754">
        <f>D26*VLOOKUP(SAS_RA0_DataFim,Índices!$B$6:$F$50000,5,0)/VLOOKUP(DATE(YEAR($B26),MONTH($B26)-1,1),Índices!$B$6:$F$50000,5,0)</f>
        <v>0</v>
      </c>
      <c r="H26" s="1754">
        <f>E26*VLOOKUP(SAS_RA0_DataFim,Índices!$B$6:$F$50000,5,0)/VLOOKUP(DATE(YEAR($B26),MONTH($B26)-1,1),Índices!$B$6:$F$50000,5,0)</f>
        <v>0</v>
      </c>
    </row>
    <row r="27" spans="2:13">
      <c r="B27" s="1755" t="s">
        <v>837</v>
      </c>
      <c r="C27" s="1756">
        <f>SUM(C9:C26)</f>
        <v>0</v>
      </c>
      <c r="D27" s="1756">
        <f t="shared" ref="D27:E27" si="2">SUM(D9:D26)</f>
        <v>0</v>
      </c>
      <c r="E27" s="1756">
        <f t="shared" si="2"/>
        <v>0</v>
      </c>
      <c r="F27" s="1756">
        <f>SUM(F9:F26)</f>
        <v>0</v>
      </c>
      <c r="G27" s="1756">
        <f t="shared" ref="G27:H27" si="3">SUM(G9:G26)</f>
        <v>0</v>
      </c>
      <c r="H27" s="1756">
        <f t="shared" si="3"/>
        <v>0</v>
      </c>
    </row>
    <row r="29" spans="2:13">
      <c r="C29" s="1741"/>
    </row>
    <row r="30" spans="2:13">
      <c r="C30" s="1741"/>
    </row>
  </sheetData>
  <mergeCells count="1">
    <mergeCell ref="J7:M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1" workbookViewId="0">
      <selection activeCell="D10" sqref="D10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12" t="s">
        <v>2306</v>
      </c>
    </row>
    <row r="4" spans="1:15">
      <c r="B4" s="1603" t="s">
        <v>2294</v>
      </c>
      <c r="C4" s="1605" t="s">
        <v>2295</v>
      </c>
      <c r="D4" s="1604" t="s">
        <v>2296</v>
      </c>
      <c r="E4" s="1610"/>
      <c r="F4" s="1610"/>
      <c r="G4" s="1610"/>
      <c r="N4" t="s">
        <v>34</v>
      </c>
      <c r="O4" t="s">
        <v>2297</v>
      </c>
    </row>
    <row r="5" spans="1:15">
      <c r="A5" s="832" t="s">
        <v>2223</v>
      </c>
      <c r="B5" s="901" t="s">
        <v>2304</v>
      </c>
      <c r="C5" s="1613">
        <f>IFERROR(VLOOKUP(A5,Escassez[#All],2,FALSE),0)</f>
        <v>0</v>
      </c>
      <c r="D5" s="1613">
        <f>C5/$C$8*$O$87</f>
        <v>0</v>
      </c>
      <c r="E5" s="1611"/>
      <c r="F5" s="1609"/>
      <c r="G5" s="1599"/>
      <c r="N5" s="8">
        <v>44690</v>
      </c>
      <c r="O5" s="234">
        <f>C8</f>
        <v>-1076365.77</v>
      </c>
    </row>
    <row r="6" spans="1:15">
      <c r="A6" s="1587" t="s">
        <v>2224</v>
      </c>
      <c r="B6" s="901" t="s">
        <v>2305</v>
      </c>
      <c r="C6" s="1613">
        <f>IFERROR(VLOOKUP(A6,Escassez[#All],2,FALSE),0)</f>
        <v>-1076365.77</v>
      </c>
      <c r="D6" s="1613">
        <f>C6/$C$8*$O$87</f>
        <v>-1106885.699880603</v>
      </c>
      <c r="E6" s="1611"/>
      <c r="F6" s="1609"/>
      <c r="G6" s="1599"/>
      <c r="N6" s="8">
        <f>N5+1</f>
        <v>44691</v>
      </c>
      <c r="O6" s="234">
        <f>O5*VLOOKUP(N6,Índices!$K$6:$N$3249,4,FALSE)/VLOOKUP(N5,Índices!$K$6:$N$3249,4,FALSE)</f>
        <v>-1076874.6649723982</v>
      </c>
    </row>
    <row r="7" spans="1:15">
      <c r="A7" s="1587" t="s">
        <v>2225</v>
      </c>
      <c r="B7" s="901" t="s">
        <v>111</v>
      </c>
      <c r="C7" s="1613">
        <f>IFERROR(VLOOKUP(A7,Escassez[#All],2,FALSE),0)</f>
        <v>0</v>
      </c>
      <c r="D7" s="1613">
        <f>C7/$C$8*$O$87</f>
        <v>0</v>
      </c>
      <c r="E7" s="1611"/>
      <c r="F7" s="1609"/>
      <c r="G7" s="1599"/>
      <c r="N7" s="8">
        <f t="shared" ref="N7:N70" si="0">N6+1</f>
        <v>44692</v>
      </c>
      <c r="O7" s="234">
        <f>O6*VLOOKUP(N7,Índices!$K$6:$N$3249,4,FALSE)/VLOOKUP(N6,Índices!$K$6:$N$3249,4,FALSE)</f>
        <v>-1077383.8005452505</v>
      </c>
    </row>
    <row r="8" spans="1:15">
      <c r="B8" s="1606"/>
      <c r="C8" s="1614">
        <f>SUM(C5:C7)</f>
        <v>-1076365.77</v>
      </c>
      <c r="D8" s="1614">
        <f>SUM(D5:D7)</f>
        <v>-1106885.699880603</v>
      </c>
      <c r="E8" s="901"/>
      <c r="F8" s="1600"/>
      <c r="G8" s="1600"/>
      <c r="N8" s="8">
        <f t="shared" si="0"/>
        <v>44693</v>
      </c>
      <c r="O8" s="234">
        <f>O7*VLOOKUP(N8,Índices!$K$6:$N$3249,4,FALSE)/VLOOKUP(N7,Índices!$K$6:$N$3249,4,FALSE)</f>
        <v>-1077893.1768323102</v>
      </c>
    </row>
    <row r="9" spans="1:15">
      <c r="N9" s="8">
        <f t="shared" si="0"/>
        <v>44694</v>
      </c>
      <c r="O9" s="234">
        <f>O8*VLOOKUP(N9,Índices!$K$6:$N$3249,4,FALSE)/VLOOKUP(N8,Índices!$K$6:$N$3249,4,FALSE)</f>
        <v>-1078402.7939473845</v>
      </c>
    </row>
    <row r="10" spans="1:15">
      <c r="B10" s="1615" t="s">
        <v>2307</v>
      </c>
      <c r="C10" s="1607"/>
      <c r="D10" s="1616"/>
      <c r="E10" s="1608"/>
      <c r="L10" s="8">
        <f>N9+1</f>
        <v>44695</v>
      </c>
      <c r="M10" s="234"/>
      <c r="N10" s="8">
        <f t="shared" si="0"/>
        <v>44695</v>
      </c>
      <c r="O10" s="234">
        <f>O9*VLOOKUP(N10,Índices!$K$6:$N$3249,4,FALSE)/VLOOKUP(N9,Índices!$K$6:$N$3249,4,FALSE)</f>
        <v>-1078402.7939473845</v>
      </c>
    </row>
    <row r="11" spans="1:15">
      <c r="N11" s="8">
        <f>L10+1</f>
        <v>44696</v>
      </c>
      <c r="O11" s="234">
        <f>O10*VLOOKUP(N11,Índices!$K$6:$N$3249,4,FALSE)/VLOOKUP(N10,Índices!$K$6:$N$3249,4,FALSE)</f>
        <v>-1078402.7939473845</v>
      </c>
    </row>
    <row r="12" spans="1:15">
      <c r="B12" s="1615" t="s">
        <v>1396</v>
      </c>
      <c r="C12" s="1607"/>
      <c r="D12" s="1616"/>
      <c r="E12" s="1597"/>
      <c r="F12" s="1597"/>
      <c r="G12" s="1597"/>
      <c r="H12" s="1597"/>
      <c r="I12" s="1597"/>
      <c r="J12" s="1597"/>
      <c r="K12" s="1597"/>
      <c r="L12" s="1597"/>
      <c r="N12" s="8">
        <f t="shared" si="0"/>
        <v>44697</v>
      </c>
      <c r="O12" s="234">
        <f>O11*VLOOKUP(N12,Índices!$K$6:$N$3249,4,FALSE)/VLOOKUP(N11,Índices!$K$6:$N$3249,4,FALSE)</f>
        <v>-1078912.6520043348</v>
      </c>
    </row>
    <row r="13" spans="1:15">
      <c r="B13" s="1617"/>
      <c r="C13" s="1598"/>
      <c r="D13" s="1598"/>
      <c r="E13" s="1598"/>
      <c r="F13" s="1598"/>
      <c r="G13" s="1598"/>
      <c r="H13" s="1598"/>
      <c r="I13" s="1598"/>
      <c r="J13" s="1598"/>
      <c r="K13" s="1598"/>
      <c r="L13" s="1598"/>
      <c r="N13" s="8">
        <f t="shared" si="0"/>
        <v>44698</v>
      </c>
      <c r="O13" s="234">
        <f>O12*VLOOKUP(N13,Índices!$K$6:$N$3249,4,FALSE)/VLOOKUP(N12,Índices!$K$6:$N$3249,4,FALSE)</f>
        <v>-1079422.7511170758</v>
      </c>
    </row>
    <row r="14" spans="1:15">
      <c r="B14" s="1618"/>
      <c r="C14" s="1619"/>
      <c r="D14" s="1619"/>
      <c r="E14" s="1620"/>
      <c r="F14" s="1621"/>
      <c r="G14" s="1599"/>
      <c r="H14" s="1599"/>
      <c r="I14" s="1599"/>
      <c r="J14" s="1599"/>
      <c r="K14" s="1599"/>
      <c r="L14" s="1599"/>
      <c r="N14" s="8">
        <f t="shared" si="0"/>
        <v>44699</v>
      </c>
      <c r="O14" s="234">
        <f>O13*VLOOKUP(N14,Índices!$K$6:$N$3249,4,FALSE)/VLOOKUP(N13,Índices!$K$6:$N$3249,4,FALSE)</f>
        <v>-1079933.0913995763</v>
      </c>
    </row>
    <row r="15" spans="1:15">
      <c r="B15" s="1618"/>
      <c r="C15" s="1619"/>
      <c r="D15" s="1619"/>
      <c r="E15" s="1620"/>
      <c r="F15" s="1621"/>
      <c r="G15" s="1599"/>
      <c r="H15" s="1599"/>
      <c r="I15" s="1599"/>
      <c r="J15" s="1599"/>
      <c r="K15" s="1599"/>
      <c r="L15" s="1599"/>
      <c r="N15" s="8">
        <f t="shared" si="0"/>
        <v>44700</v>
      </c>
      <c r="O15" s="234">
        <f>O14*VLOOKUP(N15,Índices!$K$6:$N$3249,4,FALSE)/VLOOKUP(N14,Índices!$K$6:$N$3249,4,FALSE)</f>
        <v>-1080443.6729658591</v>
      </c>
    </row>
    <row r="16" spans="1:15">
      <c r="B16" s="1618"/>
      <c r="C16" s="1619"/>
      <c r="D16" s="1619"/>
      <c r="E16" s="1620"/>
      <c r="F16" s="1621"/>
      <c r="G16" s="1599"/>
      <c r="H16" s="1599"/>
      <c r="I16" s="1599"/>
      <c r="J16" s="1599"/>
      <c r="K16" s="1599"/>
      <c r="L16" s="1599"/>
      <c r="N16" s="8">
        <f t="shared" si="0"/>
        <v>44701</v>
      </c>
      <c r="O16" s="234">
        <f>O15*VLOOKUP(N16,Índices!$K$6:$N$3249,4,FALSE)/VLOOKUP(N15,Índices!$K$6:$N$3249,4,FALSE)</f>
        <v>-1080954.4959300004</v>
      </c>
    </row>
    <row r="17" spans="2:15">
      <c r="B17" s="1618"/>
      <c r="C17" s="1619"/>
      <c r="D17" s="1619"/>
      <c r="E17" s="1620"/>
      <c r="F17" s="1621"/>
      <c r="G17" s="1599"/>
      <c r="H17" s="1599"/>
      <c r="I17" s="1599"/>
      <c r="J17" s="1599"/>
      <c r="K17" s="1599"/>
      <c r="L17" s="1599"/>
      <c r="N17" s="8">
        <f t="shared" si="0"/>
        <v>44702</v>
      </c>
      <c r="O17" s="234">
        <f>O16*VLOOKUP(N17,Índices!$K$6:$N$3249,4,FALSE)/VLOOKUP(N16,Índices!$K$6:$N$3249,4,FALSE)</f>
        <v>-1080954.4959300004</v>
      </c>
    </row>
    <row r="18" spans="2:15">
      <c r="B18" s="1618"/>
      <c r="C18" s="1619"/>
      <c r="D18" s="1619"/>
      <c r="E18" s="1620"/>
      <c r="F18" s="1621"/>
      <c r="G18" s="1599"/>
      <c r="H18" s="1599"/>
      <c r="I18" s="1599"/>
      <c r="J18" s="1599"/>
      <c r="K18" s="1599"/>
      <c r="L18" s="1599"/>
      <c r="N18" s="8">
        <f t="shared" si="0"/>
        <v>44703</v>
      </c>
      <c r="O18" s="234">
        <f>O17*VLOOKUP(N18,Índices!$K$6:$N$3249,4,FALSE)/VLOOKUP(N17,Índices!$K$6:$N$3249,4,FALSE)</f>
        <v>-1080954.4959300004</v>
      </c>
    </row>
    <row r="19" spans="2:15">
      <c r="B19" s="1618"/>
      <c r="C19" s="1619"/>
      <c r="D19" s="1619"/>
      <c r="E19" s="1619"/>
      <c r="F19" s="1621"/>
      <c r="G19" s="1599"/>
      <c r="H19" s="1599"/>
      <c r="I19" s="1599"/>
      <c r="J19" s="1599"/>
      <c r="K19" s="1599"/>
      <c r="L19" s="1599"/>
      <c r="N19" s="8">
        <f t="shared" si="0"/>
        <v>44704</v>
      </c>
      <c r="O19" s="234">
        <f>O18*VLOOKUP(N19,Índices!$K$6:$N$3249,4,FALSE)/VLOOKUP(N18,Índices!$K$6:$N$3249,4,FALSE)</f>
        <v>-1081465.5604061312</v>
      </c>
    </row>
    <row r="20" spans="2:15">
      <c r="B20" s="1618"/>
      <c r="C20" s="1619"/>
      <c r="D20" s="1619"/>
      <c r="E20" s="1619"/>
      <c r="F20" s="1621"/>
      <c r="G20" s="1599"/>
      <c r="H20" s="1599"/>
      <c r="I20" s="1599"/>
      <c r="J20" s="1599"/>
      <c r="K20" s="1599"/>
      <c r="L20" s="1599"/>
      <c r="N20" s="8">
        <f t="shared" si="0"/>
        <v>44705</v>
      </c>
      <c r="O20" s="234">
        <f>O19*VLOOKUP(N20,Índices!$K$6:$N$3249,4,FALSE)/VLOOKUP(N19,Índices!$K$6:$N$3249,4,FALSE)</f>
        <v>-1081976.8665084355</v>
      </c>
    </row>
    <row r="21" spans="2:15">
      <c r="B21" s="1618"/>
      <c r="C21" s="1619"/>
      <c r="D21" s="1619"/>
      <c r="E21" s="1619"/>
      <c r="F21" s="1621"/>
      <c r="G21" s="1599"/>
      <c r="H21" s="1599"/>
      <c r="I21" s="1599"/>
      <c r="J21" s="1599"/>
      <c r="K21" s="1599"/>
      <c r="L21" s="1599"/>
      <c r="N21" s="8">
        <f t="shared" si="0"/>
        <v>44706</v>
      </c>
      <c r="O21" s="234">
        <f>O20*VLOOKUP(N21,Índices!$K$6:$N$3249,4,FALSE)/VLOOKUP(N20,Índices!$K$6:$N$3249,4,FALSE)</f>
        <v>-1082488.4143511518</v>
      </c>
    </row>
    <row r="22" spans="2:15">
      <c r="B22" s="1618"/>
      <c r="C22" s="1619"/>
      <c r="D22" s="1619"/>
      <c r="E22" s="1619"/>
      <c r="F22" s="1621"/>
      <c r="G22" s="1599"/>
      <c r="H22" s="1599"/>
      <c r="I22" s="1599"/>
      <c r="J22" s="1599"/>
      <c r="K22" s="1599"/>
      <c r="L22" s="1599"/>
      <c r="N22" s="8">
        <f t="shared" si="0"/>
        <v>44707</v>
      </c>
      <c r="O22" s="234">
        <f>O21*VLOOKUP(N22,Índices!$K$6:$N$3249,4,FALSE)/VLOOKUP(N21,Índices!$K$6:$N$3249,4,FALSE)</f>
        <v>-1083000.2040485728</v>
      </c>
    </row>
    <row r="23" spans="2:15">
      <c r="B23" s="1618"/>
      <c r="C23" s="1619"/>
      <c r="D23" s="1619"/>
      <c r="E23" s="1619"/>
      <c r="F23" s="1621"/>
      <c r="G23" s="1599"/>
      <c r="H23" s="1599"/>
      <c r="I23" s="1599"/>
      <c r="J23" s="1599"/>
      <c r="K23" s="1599"/>
      <c r="L23" s="1599"/>
      <c r="N23" s="8">
        <f t="shared" si="0"/>
        <v>44708</v>
      </c>
      <c r="O23" s="234">
        <f>O22*VLOOKUP(N23,Índices!$K$6:$N$3249,4,FALSE)/VLOOKUP(N22,Índices!$K$6:$N$3249,4,FALSE)</f>
        <v>-1083512.2357150449</v>
      </c>
    </row>
    <row r="24" spans="2:15">
      <c r="B24" s="1618"/>
      <c r="C24" s="1619"/>
      <c r="D24" s="1619"/>
      <c r="E24" s="1619"/>
      <c r="F24" s="1621"/>
      <c r="G24" s="1599"/>
      <c r="H24" s="1599"/>
      <c r="I24" s="1599"/>
      <c r="J24" s="1599"/>
      <c r="K24" s="1599"/>
      <c r="L24" s="1599"/>
      <c r="N24" s="8">
        <f t="shared" si="0"/>
        <v>44709</v>
      </c>
      <c r="O24" s="234">
        <f>O23*VLOOKUP(N24,Índices!$K$6:$N$3249,4,FALSE)/VLOOKUP(N23,Índices!$K$6:$N$3249,4,FALSE)</f>
        <v>-1083512.2357150449</v>
      </c>
    </row>
    <row r="25" spans="2:15">
      <c r="B25" s="1622"/>
      <c r="C25" s="1619"/>
      <c r="D25" s="1619"/>
      <c r="E25" s="1623"/>
      <c r="F25" s="1621"/>
      <c r="G25" s="1599"/>
      <c r="H25" s="1599"/>
      <c r="I25" s="1599"/>
      <c r="J25" s="1599"/>
      <c r="K25" s="1599"/>
      <c r="L25" s="1599"/>
      <c r="N25" s="8">
        <f t="shared" si="0"/>
        <v>44710</v>
      </c>
      <c r="O25" s="234">
        <f>O24*VLOOKUP(N25,Índices!$K$6:$N$3249,4,FALSE)/VLOOKUP(N24,Índices!$K$6:$N$3249,4,FALSE)</f>
        <v>-1083512.2357150449</v>
      </c>
    </row>
    <row r="26" spans="2:15">
      <c r="B26" s="1624"/>
      <c r="C26" s="901"/>
      <c r="D26" s="901"/>
      <c r="E26" s="901"/>
      <c r="F26" s="1600"/>
      <c r="G26" s="1600"/>
      <c r="H26" s="1600"/>
      <c r="I26" s="1600"/>
      <c r="J26" s="1600"/>
      <c r="K26" s="1600"/>
      <c r="L26" s="1600"/>
      <c r="N26" s="8">
        <f t="shared" si="0"/>
        <v>44711</v>
      </c>
      <c r="O26" s="234">
        <f>O25*VLOOKUP(N26,Índices!$K$6:$N$3249,4,FALSE)/VLOOKUP(N25,Índices!$K$6:$N$3249,4,FALSE)</f>
        <v>-1084024.5094649685</v>
      </c>
    </row>
    <row r="27" spans="2:15">
      <c r="N27" s="8">
        <f t="shared" si="0"/>
        <v>44712</v>
      </c>
      <c r="O27" s="234">
        <f>O26*VLOOKUP(N27,Índices!$K$6:$N$3249,4,FALSE)/VLOOKUP(N26,Índices!$K$6:$N$3249,4,FALSE)</f>
        <v>-1084537.0254127982</v>
      </c>
    </row>
    <row r="28" spans="2:15">
      <c r="N28" s="8">
        <f t="shared" si="0"/>
        <v>44713</v>
      </c>
      <c r="O28" s="234">
        <f>O27*VLOOKUP(N28,Índices!$K$6:$N$3249,4,FALSE)/VLOOKUP(N27,Índices!$K$6:$N$3249,4,FALSE)</f>
        <v>-1085049.7836730431</v>
      </c>
    </row>
    <row r="29" spans="2:15">
      <c r="N29" s="8">
        <f t="shared" si="0"/>
        <v>44714</v>
      </c>
      <c r="O29" s="234">
        <f>O28*VLOOKUP(N29,Índices!$K$6:$N$3249,4,FALSE)/VLOOKUP(N28,Índices!$K$6:$N$3249,4,FALSE)</f>
        <v>-1085562.7843602658</v>
      </c>
    </row>
    <row r="30" spans="2:15">
      <c r="N30" s="8">
        <f t="shared" si="0"/>
        <v>44715</v>
      </c>
      <c r="O30" s="234">
        <f>O29*VLOOKUP(N30,Índices!$K$6:$N$3249,4,FALSE)/VLOOKUP(N29,Índices!$K$6:$N$3249,4,FALSE)</f>
        <v>-1086076.0275890834</v>
      </c>
    </row>
    <row r="31" spans="2:15">
      <c r="N31" s="8">
        <f t="shared" si="0"/>
        <v>44716</v>
      </c>
      <c r="O31" s="234">
        <f>O30*VLOOKUP(N31,Índices!$K$6:$N$3249,4,FALSE)/VLOOKUP(N30,Índices!$K$6:$N$3249,4,FALSE)</f>
        <v>-1086076.0275890834</v>
      </c>
    </row>
    <row r="32" spans="2:15">
      <c r="N32" s="8">
        <f t="shared" si="0"/>
        <v>44717</v>
      </c>
      <c r="O32" s="234">
        <f>O31*VLOOKUP(N32,Índices!$K$6:$N$3249,4,FALSE)/VLOOKUP(N31,Índices!$K$6:$N$3249,4,FALSE)</f>
        <v>-1086076.0275890834</v>
      </c>
    </row>
    <row r="33" spans="14:15">
      <c r="N33" s="8">
        <f t="shared" si="0"/>
        <v>44718</v>
      </c>
      <c r="O33" s="234">
        <f>O32*VLOOKUP(N33,Índices!$K$6:$N$3249,4,FALSE)/VLOOKUP(N32,Índices!$K$6:$N$3249,4,FALSE)</f>
        <v>-1086589.5134741671</v>
      </c>
    </row>
    <row r="34" spans="14:15">
      <c r="N34" s="8">
        <f t="shared" si="0"/>
        <v>44719</v>
      </c>
      <c r="O34" s="234">
        <f>O33*VLOOKUP(N34,Índices!$K$6:$N$3249,4,FALSE)/VLOOKUP(N33,Índices!$K$6:$N$3249,4,FALSE)</f>
        <v>-1087103.2421302423</v>
      </c>
    </row>
    <row r="35" spans="14:15">
      <c r="N35" s="8">
        <f t="shared" si="0"/>
        <v>44720</v>
      </c>
      <c r="O35" s="234">
        <f>O34*VLOOKUP(N35,Índices!$K$6:$N$3249,4,FALSE)/VLOOKUP(N34,Índices!$K$6:$N$3249,4,FALSE)</f>
        <v>-1087617.2136720889</v>
      </c>
    </row>
    <row r="36" spans="14:15">
      <c r="N36" s="8">
        <f t="shared" si="0"/>
        <v>44721</v>
      </c>
      <c r="O36" s="234">
        <f>O35*VLOOKUP(N36,Índices!$K$6:$N$3249,4,FALSE)/VLOOKUP(N35,Índices!$K$6:$N$3249,4,FALSE)</f>
        <v>-1088131.4282145407</v>
      </c>
    </row>
    <row r="37" spans="14:15">
      <c r="N37" s="8">
        <f t="shared" si="0"/>
        <v>44722</v>
      </c>
      <c r="O37" s="234">
        <f>O36*VLOOKUP(N37,Índices!$K$6:$N$3249,4,FALSE)/VLOOKUP(N36,Índices!$K$6:$N$3249,4,FALSE)</f>
        <v>-1088645.885872486</v>
      </c>
    </row>
    <row r="38" spans="14:15">
      <c r="N38" s="8">
        <f t="shared" si="0"/>
        <v>44723</v>
      </c>
      <c r="O38" s="234">
        <f>O37*VLOOKUP(N38,Índices!$K$6:$N$3249,4,FALSE)/VLOOKUP(N37,Índices!$K$6:$N$3249,4,FALSE)</f>
        <v>-1088645.885872486</v>
      </c>
    </row>
    <row r="39" spans="14:15">
      <c r="N39" s="8">
        <f t="shared" si="0"/>
        <v>44724</v>
      </c>
      <c r="O39" s="234">
        <f>O38*VLOOKUP(N39,Índices!$K$6:$N$3249,4,FALSE)/VLOOKUP(N38,Índices!$K$6:$N$3249,4,FALSE)</f>
        <v>-1088645.885872486</v>
      </c>
    </row>
    <row r="40" spans="14:15">
      <c r="N40" s="8">
        <f t="shared" si="0"/>
        <v>44725</v>
      </c>
      <c r="O40" s="234">
        <f>O39*VLOOKUP(N40,Índices!$K$6:$N$3249,4,FALSE)/VLOOKUP(N39,Índices!$K$6:$N$3249,4,FALSE)</f>
        <v>-1089160.5867608676</v>
      </c>
    </row>
    <row r="41" spans="14:15">
      <c r="N41" s="8">
        <f t="shared" si="0"/>
        <v>44726</v>
      </c>
      <c r="O41" s="234">
        <f>O40*VLOOKUP(N41,Índices!$K$6:$N$3249,4,FALSE)/VLOOKUP(N40,Índices!$K$6:$N$3249,4,FALSE)</f>
        <v>-1089675.5309946821</v>
      </c>
    </row>
    <row r="42" spans="14:15">
      <c r="N42" s="8">
        <f t="shared" si="0"/>
        <v>44727</v>
      </c>
      <c r="O42" s="234">
        <f>O41*VLOOKUP(N42,Índices!$K$6:$N$3249,4,FALSE)/VLOOKUP(N41,Índices!$K$6:$N$3249,4,FALSE)</f>
        <v>-1090190.7186889809</v>
      </c>
    </row>
    <row r="43" spans="14:15">
      <c r="N43" s="8">
        <f t="shared" si="0"/>
        <v>44728</v>
      </c>
      <c r="O43" s="234">
        <f>O42*VLOOKUP(N43,Índices!$K$6:$N$3249,4,FALSE)/VLOOKUP(N42,Índices!$K$6:$N$3249,4,FALSE)</f>
        <v>-1090190.7186889809</v>
      </c>
    </row>
    <row r="44" spans="14:15">
      <c r="N44" s="8">
        <f t="shared" si="0"/>
        <v>44729</v>
      </c>
      <c r="O44" s="234">
        <f>O43*VLOOKUP(N44,Índices!$K$6:$N$3249,4,FALSE)/VLOOKUP(N43,Índices!$K$6:$N$3249,4,FALSE)</f>
        <v>-1090725.3155117044</v>
      </c>
    </row>
    <row r="45" spans="14:15">
      <c r="N45" s="8">
        <f t="shared" si="0"/>
        <v>44730</v>
      </c>
      <c r="O45" s="234">
        <f>O44*VLOOKUP(N45,Índices!$K$6:$N$3249,4,FALSE)/VLOOKUP(N44,Índices!$K$6:$N$3249,4,FALSE)</f>
        <v>-1090725.3155117044</v>
      </c>
    </row>
    <row r="46" spans="14:15">
      <c r="N46" s="8">
        <f t="shared" si="0"/>
        <v>44731</v>
      </c>
      <c r="O46" s="234">
        <f>O45*VLOOKUP(N46,Índices!$K$6:$N$3249,4,FALSE)/VLOOKUP(N45,Índices!$K$6:$N$3249,4,FALSE)</f>
        <v>-1090725.3155117044</v>
      </c>
    </row>
    <row r="47" spans="14:15">
      <c r="N47" s="8">
        <f t="shared" si="0"/>
        <v>44732</v>
      </c>
      <c r="O47" s="234">
        <f>O46*VLOOKUP(N47,Índices!$K$6:$N$3249,4,FALSE)/VLOOKUP(N46,Índices!$K$6:$N$3249,4,FALSE)</f>
        <v>-1091260.174484672</v>
      </c>
    </row>
    <row r="48" spans="14:15">
      <c r="N48" s="8">
        <f t="shared" si="0"/>
        <v>44733</v>
      </c>
      <c r="O48" s="234">
        <f>O47*VLOOKUP(N48,Índices!$K$6:$N$3249,4,FALSE)/VLOOKUP(N47,Índices!$K$6:$N$3249,4,FALSE)</f>
        <v>-1091795.2957364342</v>
      </c>
    </row>
    <row r="49" spans="14:15">
      <c r="N49" s="8">
        <f t="shared" si="0"/>
        <v>44734</v>
      </c>
      <c r="O49" s="234">
        <f>O48*VLOOKUP(N49,Índices!$K$6:$N$3249,4,FALSE)/VLOOKUP(N48,Índices!$K$6:$N$3249,4,FALSE)</f>
        <v>-1092330.6793956046</v>
      </c>
    </row>
    <row r="50" spans="14:15">
      <c r="N50" s="8">
        <f t="shared" si="0"/>
        <v>44735</v>
      </c>
      <c r="O50" s="234">
        <f>O49*VLOOKUP(N50,Índices!$K$6:$N$3249,4,FALSE)/VLOOKUP(N49,Índices!$K$6:$N$3249,4,FALSE)</f>
        <v>-1092866.3255908601</v>
      </c>
    </row>
    <row r="51" spans="14:15">
      <c r="N51" s="8">
        <f t="shared" si="0"/>
        <v>44736</v>
      </c>
      <c r="O51" s="234">
        <f>O50*VLOOKUP(N51,Índices!$K$6:$N$3249,4,FALSE)/VLOOKUP(N50,Índices!$K$6:$N$3249,4,FALSE)</f>
        <v>-1093402.2344509403</v>
      </c>
    </row>
    <row r="52" spans="14:15">
      <c r="N52" s="8">
        <f t="shared" si="0"/>
        <v>44737</v>
      </c>
      <c r="O52" s="234">
        <f>O51*VLOOKUP(N52,Índices!$K$6:$N$3249,4,FALSE)/VLOOKUP(N51,Índices!$K$6:$N$3249,4,FALSE)</f>
        <v>-1093402.2344509403</v>
      </c>
    </row>
    <row r="53" spans="14:15">
      <c r="N53" s="8">
        <f t="shared" si="0"/>
        <v>44738</v>
      </c>
      <c r="O53" s="234">
        <f>O52*VLOOKUP(N53,Índices!$K$6:$N$3249,4,FALSE)/VLOOKUP(N52,Índices!$K$6:$N$3249,4,FALSE)</f>
        <v>-1093402.2344509403</v>
      </c>
    </row>
    <row r="54" spans="14:15">
      <c r="N54" s="8">
        <f t="shared" si="0"/>
        <v>44739</v>
      </c>
      <c r="O54" s="234">
        <f>O53*VLOOKUP(N54,Índices!$K$6:$N$3249,4,FALSE)/VLOOKUP(N53,Índices!$K$6:$N$3249,4,FALSE)</f>
        <v>-1093938.406104648</v>
      </c>
    </row>
    <row r="55" spans="14:15">
      <c r="N55" s="8">
        <f t="shared" si="0"/>
        <v>44740</v>
      </c>
      <c r="O55" s="234">
        <f>O54*VLOOKUP(N55,Índices!$K$6:$N$3249,4,FALSE)/VLOOKUP(N54,Índices!$K$6:$N$3249,4,FALSE)</f>
        <v>-1094474.8406808497</v>
      </c>
    </row>
    <row r="56" spans="14:15">
      <c r="N56" s="8">
        <f t="shared" si="0"/>
        <v>44741</v>
      </c>
      <c r="O56" s="234">
        <f>O55*VLOOKUP(N56,Índices!$K$6:$N$3249,4,FALSE)/VLOOKUP(N55,Índices!$K$6:$N$3249,4,FALSE)</f>
        <v>-1095011.5383084747</v>
      </c>
    </row>
    <row r="57" spans="14:15">
      <c r="N57" s="8">
        <f t="shared" si="0"/>
        <v>44742</v>
      </c>
      <c r="O57" s="234">
        <f>O56*VLOOKUP(N57,Índices!$K$6:$N$3249,4,FALSE)/VLOOKUP(N56,Índices!$K$6:$N$3249,4,FALSE)</f>
        <v>-1095548.499116515</v>
      </c>
    </row>
    <row r="58" spans="14:15">
      <c r="N58" s="8">
        <f t="shared" si="0"/>
        <v>44743</v>
      </c>
      <c r="O58" s="234">
        <f>O57*VLOOKUP(N58,Índices!$K$6:$N$3249,4,FALSE)/VLOOKUP(N57,Índices!$K$6:$N$3249,4,FALSE)</f>
        <v>-1096085.7232340269</v>
      </c>
    </row>
    <row r="59" spans="14:15">
      <c r="N59" s="8">
        <f t="shared" si="0"/>
        <v>44744</v>
      </c>
      <c r="O59" s="234">
        <f>O58*VLOOKUP(N59,Índices!$K$6:$N$3249,4,FALSE)/VLOOKUP(N58,Índices!$K$6:$N$3249,4,FALSE)</f>
        <v>-1096085.7232340269</v>
      </c>
    </row>
    <row r="60" spans="14:15">
      <c r="N60" s="8">
        <f t="shared" si="0"/>
        <v>44745</v>
      </c>
      <c r="O60" s="234">
        <f>O59*VLOOKUP(N60,Índices!$K$6:$N$3249,4,FALSE)/VLOOKUP(N59,Índices!$K$6:$N$3249,4,FALSE)</f>
        <v>-1096085.7232340269</v>
      </c>
    </row>
    <row r="61" spans="14:15">
      <c r="N61" s="8">
        <f t="shared" si="0"/>
        <v>44746</v>
      </c>
      <c r="O61" s="234">
        <f>O60*VLOOKUP(N61,Índices!$K$6:$N$3249,4,FALSE)/VLOOKUP(N60,Índices!$K$6:$N$3249,4,FALSE)</f>
        <v>-1096623.2107901294</v>
      </c>
    </row>
    <row r="62" spans="14:15">
      <c r="N62" s="8">
        <f t="shared" si="0"/>
        <v>44747</v>
      </c>
      <c r="O62" s="234">
        <f>O61*VLOOKUP(N62,Índices!$K$6:$N$3249,4,FALSE)/VLOOKUP(N61,Índices!$K$6:$N$3249,4,FALSE)</f>
        <v>-1097160.9619140045</v>
      </c>
    </row>
    <row r="63" spans="14:15">
      <c r="N63" s="8">
        <f t="shared" si="0"/>
        <v>44748</v>
      </c>
      <c r="O63" s="234">
        <f>O62*VLOOKUP(N63,Índices!$K$6:$N$3249,4,FALSE)/VLOOKUP(N62,Índices!$K$6:$N$3249,4,FALSE)</f>
        <v>-1097698.9767348985</v>
      </c>
    </row>
    <row r="64" spans="14:15">
      <c r="N64" s="8">
        <f t="shared" si="0"/>
        <v>44749</v>
      </c>
      <c r="O64" s="234">
        <f>O63*VLOOKUP(N64,Índices!$K$6:$N$3249,4,FALSE)/VLOOKUP(N63,Índices!$K$6:$N$3249,4,FALSE)</f>
        <v>-1098237.2553821201</v>
      </c>
    </row>
    <row r="65" spans="14:15">
      <c r="N65" s="8">
        <f t="shared" si="0"/>
        <v>44750</v>
      </c>
      <c r="O65" s="234">
        <f>O64*VLOOKUP(N65,Índices!$K$6:$N$3249,4,FALSE)/VLOOKUP(N64,Índices!$K$6:$N$3249,4,FALSE)</f>
        <v>-1098775.797985042</v>
      </c>
    </row>
    <row r="66" spans="14:15">
      <c r="N66" s="8">
        <f t="shared" si="0"/>
        <v>44751</v>
      </c>
      <c r="O66" s="234">
        <f>O65*VLOOKUP(N66,Índices!$K$6:$N$3249,4,FALSE)/VLOOKUP(N65,Índices!$K$6:$N$3249,4,FALSE)</f>
        <v>-1098775.797985042</v>
      </c>
    </row>
    <row r="67" spans="14:15">
      <c r="N67" s="8">
        <f t="shared" si="0"/>
        <v>44752</v>
      </c>
      <c r="O67" s="234">
        <f>O66*VLOOKUP(N67,Índices!$K$6:$N$3249,4,FALSE)/VLOOKUP(N66,Índices!$K$6:$N$3249,4,FALSE)</f>
        <v>-1098775.797985042</v>
      </c>
    </row>
    <row r="68" spans="14:15">
      <c r="N68" s="8">
        <f t="shared" si="0"/>
        <v>44753</v>
      </c>
      <c r="O68" s="234">
        <f>O67*VLOOKUP(N68,Índices!$K$6:$N$3249,4,FALSE)/VLOOKUP(N67,Índices!$K$6:$N$3249,4,FALSE)</f>
        <v>-1099314.6046730999</v>
      </c>
    </row>
    <row r="69" spans="14:15">
      <c r="N69" s="8">
        <f t="shared" si="0"/>
        <v>44754</v>
      </c>
      <c r="O69" s="234">
        <f>O68*VLOOKUP(N69,Índices!$K$6:$N$3249,4,FALSE)/VLOOKUP(N68,Índices!$K$6:$N$3249,4,FALSE)</f>
        <v>-1099853.6755757935</v>
      </c>
    </row>
    <row r="70" spans="14:15">
      <c r="N70" s="8">
        <f t="shared" si="0"/>
        <v>44755</v>
      </c>
      <c r="O70" s="234">
        <f>O69*VLOOKUP(N70,Índices!$K$6:$N$3249,4,FALSE)/VLOOKUP(N69,Índices!$K$6:$N$3249,4,FALSE)</f>
        <v>-1100393.0108226857</v>
      </c>
    </row>
    <row r="71" spans="14:15">
      <c r="N71" s="8">
        <f t="shared" ref="N71:N87" si="1">N70+1</f>
        <v>44756</v>
      </c>
      <c r="O71" s="234">
        <f>O70*VLOOKUP(N71,Índices!$K$6:$N$3249,4,FALSE)/VLOOKUP(N70,Índices!$K$6:$N$3249,4,FALSE)</f>
        <v>-1100932.6105434028</v>
      </c>
    </row>
    <row r="72" spans="14:15">
      <c r="N72" s="8">
        <f t="shared" si="1"/>
        <v>44757</v>
      </c>
      <c r="O72" s="234">
        <f>O71*VLOOKUP(N72,Índices!$K$6:$N$3249,4,FALSE)/VLOOKUP(N71,Índices!$K$6:$N$3249,4,FALSE)</f>
        <v>-1101472.4748676349</v>
      </c>
    </row>
    <row r="73" spans="14:15">
      <c r="N73" s="8">
        <f t="shared" si="1"/>
        <v>44758</v>
      </c>
      <c r="O73" s="234">
        <f>O72*VLOOKUP(N73,Índices!$K$6:$N$3249,4,FALSE)/VLOOKUP(N72,Índices!$K$6:$N$3249,4,FALSE)</f>
        <v>-1101472.4748676349</v>
      </c>
    </row>
    <row r="74" spans="14:15">
      <c r="N74" s="8">
        <f t="shared" si="1"/>
        <v>44759</v>
      </c>
      <c r="O74" s="234">
        <f>O73*VLOOKUP(N74,Índices!$K$6:$N$3249,4,FALSE)/VLOOKUP(N73,Índices!$K$6:$N$3249,4,FALSE)</f>
        <v>-1101472.4748676349</v>
      </c>
    </row>
    <row r="75" spans="14:15">
      <c r="N75" s="8">
        <f t="shared" si="1"/>
        <v>44760</v>
      </c>
      <c r="O75" s="234">
        <f>O74*VLOOKUP(N75,Índices!$K$6:$N$3249,4,FALSE)/VLOOKUP(N74,Índices!$K$6:$N$3249,4,FALSE)</f>
        <v>-1102012.6039251359</v>
      </c>
    </row>
    <row r="76" spans="14:15">
      <c r="N76" s="8">
        <f t="shared" si="1"/>
        <v>44761</v>
      </c>
      <c r="O76" s="234">
        <f>O75*VLOOKUP(N76,Índices!$K$6:$N$3249,4,FALSE)/VLOOKUP(N75,Índices!$K$6:$N$3249,4,FALSE)</f>
        <v>-1102552.9978457226</v>
      </c>
    </row>
    <row r="77" spans="14:15">
      <c r="N77" s="8">
        <f t="shared" si="1"/>
        <v>44762</v>
      </c>
      <c r="O77" s="234">
        <f>O76*VLOOKUP(N77,Índices!$K$6:$N$3249,4,FALSE)/VLOOKUP(N76,Índices!$K$6:$N$3249,4,FALSE)</f>
        <v>-1103093.6567592763</v>
      </c>
    </row>
    <row r="78" spans="14:15">
      <c r="N78" s="8">
        <f t="shared" si="1"/>
        <v>44763</v>
      </c>
      <c r="O78" s="234">
        <f>O77*VLOOKUP(N78,Índices!$K$6:$N$3249,4,FALSE)/VLOOKUP(N77,Índices!$K$6:$N$3249,4,FALSE)</f>
        <v>-1103634.5807957414</v>
      </c>
    </row>
    <row r="79" spans="14:15">
      <c r="N79" s="8">
        <f t="shared" si="1"/>
        <v>44764</v>
      </c>
      <c r="O79" s="234">
        <f>O78*VLOOKUP(N79,Índices!$K$6:$N$3249,4,FALSE)/VLOOKUP(N78,Índices!$K$6:$N$3249,4,FALSE)</f>
        <v>-1104175.7700851264</v>
      </c>
    </row>
    <row r="80" spans="14:15">
      <c r="N80" s="8">
        <f t="shared" si="1"/>
        <v>44765</v>
      </c>
      <c r="O80" s="234">
        <f>O79*VLOOKUP(N80,Índices!$K$6:$N$3249,4,FALSE)/VLOOKUP(N79,Índices!$K$6:$N$3249,4,FALSE)</f>
        <v>-1104175.7700851264</v>
      </c>
    </row>
    <row r="81" spans="14:15">
      <c r="N81" s="8">
        <f t="shared" si="1"/>
        <v>44766</v>
      </c>
      <c r="O81" s="234">
        <f>O80*VLOOKUP(N81,Índices!$K$6:$N$3249,4,FALSE)/VLOOKUP(N80,Índices!$K$6:$N$3249,4,FALSE)</f>
        <v>-1104175.7700851264</v>
      </c>
    </row>
    <row r="82" spans="14:15">
      <c r="N82" s="8">
        <f t="shared" si="1"/>
        <v>44767</v>
      </c>
      <c r="O82" s="234">
        <f>O81*VLOOKUP(N82,Índices!$K$6:$N$3249,4,FALSE)/VLOOKUP(N81,Índices!$K$6:$N$3249,4,FALSE)</f>
        <v>-1104717.2247575033</v>
      </c>
    </row>
    <row r="83" spans="14:15">
      <c r="N83" s="8">
        <f t="shared" si="1"/>
        <v>44768</v>
      </c>
      <c r="O83" s="234">
        <f>O82*VLOOKUP(N83,Índices!$K$6:$N$3249,4,FALSE)/VLOOKUP(N82,Índices!$K$6:$N$3249,4,FALSE)</f>
        <v>-1105258.9449430075</v>
      </c>
    </row>
    <row r="84" spans="14:15">
      <c r="N84" s="8">
        <f t="shared" si="1"/>
        <v>44769</v>
      </c>
      <c r="O84" s="234">
        <f>O83*VLOOKUP(N84,Índices!$K$6:$N$3249,4,FALSE)/VLOOKUP(N83,Índices!$K$6:$N$3249,4,FALSE)</f>
        <v>-1105800.9307718393</v>
      </c>
    </row>
    <row r="85" spans="14:15">
      <c r="N85" s="8">
        <f t="shared" si="1"/>
        <v>44770</v>
      </c>
      <c r="O85" s="234">
        <f>O84*VLOOKUP(N85,Índices!$K$6:$N$3249,4,FALSE)/VLOOKUP(N84,Índices!$K$6:$N$3249,4,FALSE)</f>
        <v>-1106343.182374262</v>
      </c>
    </row>
    <row r="86" spans="14:15">
      <c r="N86" s="8">
        <f t="shared" si="1"/>
        <v>44771</v>
      </c>
      <c r="O86" s="234">
        <f>O85*VLOOKUP(N86,Índices!$K$6:$N$3249,4,FALSE)/VLOOKUP(N85,Índices!$K$6:$N$3249,4,FALSE)</f>
        <v>-1106885.699880603</v>
      </c>
    </row>
    <row r="87" spans="14:15">
      <c r="N87" s="8">
        <f t="shared" si="1"/>
        <v>44772</v>
      </c>
      <c r="O87" s="234">
        <f>O86*VLOOKUP(N87,Índices!$K$6:$N$3249,4,FALSE)/VLOOKUP(N86,Índices!$K$6:$N$3249,4,FALSE)</f>
        <v>-1106885.699880603</v>
      </c>
    </row>
    <row r="88" spans="14:15">
      <c r="N88" s="8"/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BN82"/>
  <sheetViews>
    <sheetView showGridLines="0" topLeftCell="A10" zoomScale="85" zoomScaleNormal="85" workbookViewId="0">
      <selection activeCell="F16" sqref="F16"/>
    </sheetView>
  </sheetViews>
  <sheetFormatPr defaultColWidth="9.140625" defaultRowHeight="15" customHeight="1"/>
  <cols>
    <col min="1" max="1" width="4.42578125" style="910" customWidth="1"/>
    <col min="2" max="2" width="27.28515625" style="910" customWidth="1"/>
    <col min="3" max="5" width="17.7109375" style="911" customWidth="1"/>
    <col min="6" max="7" width="17.7109375" style="910" customWidth="1"/>
    <col min="8" max="8" width="46.42578125" style="910" customWidth="1"/>
    <col min="9" max="9" width="14.7109375" style="910" customWidth="1"/>
    <col min="10" max="13" width="12.7109375" style="910" customWidth="1"/>
    <col min="14" max="17" width="9.140625" style="910"/>
    <col min="18" max="18" width="17" style="910" customWidth="1"/>
    <col min="19" max="19" width="14.28515625" style="910" customWidth="1"/>
    <col min="20" max="20" width="15.42578125" style="910" customWidth="1"/>
    <col min="21" max="21" width="13.85546875" style="910" customWidth="1"/>
    <col min="22" max="22" width="17.140625" style="910" customWidth="1"/>
    <col min="23" max="23" width="13" style="910" customWidth="1"/>
    <col min="24" max="24" width="14.140625" style="910" customWidth="1"/>
    <col min="25" max="25" width="17.7109375" style="910" customWidth="1"/>
    <col min="26" max="26" width="17" style="910" customWidth="1"/>
    <col min="27" max="27" width="14" style="910" customWidth="1"/>
    <col min="28" max="28" width="14.85546875" style="910" customWidth="1"/>
    <col min="29" max="16384" width="9.140625" style="910"/>
  </cols>
  <sheetData>
    <row r="1" spans="1:18" ht="14.45" customHeight="1"/>
    <row r="2" spans="1:18" ht="14.45" customHeight="1">
      <c r="B2" s="912" t="s">
        <v>1399</v>
      </c>
      <c r="C2" s="913"/>
      <c r="D2" s="913"/>
      <c r="E2" s="913"/>
      <c r="F2" s="914"/>
      <c r="G2" s="914"/>
      <c r="H2" s="915" t="s">
        <v>13</v>
      </c>
      <c r="I2" s="916">
        <f>Resultado!$D$6</f>
        <v>0</v>
      </c>
      <c r="J2" s="917"/>
      <c r="K2" s="917"/>
    </row>
    <row r="3" spans="1:18" ht="14.45" customHeight="1">
      <c r="B3" s="918"/>
      <c r="C3" s="919"/>
      <c r="D3" s="919"/>
      <c r="E3" s="919"/>
      <c r="H3" s="920" t="s">
        <v>14</v>
      </c>
      <c r="I3" s="921">
        <f>Resultado!$D$8</f>
        <v>0</v>
      </c>
      <c r="J3" s="917"/>
      <c r="K3" s="917"/>
    </row>
    <row r="4" spans="1:18" ht="14.45" customHeight="1">
      <c r="B4" s="917"/>
      <c r="C4" s="919"/>
      <c r="D4" s="919"/>
      <c r="E4" s="919"/>
      <c r="F4" s="922"/>
      <c r="G4" s="917"/>
      <c r="H4" s="917"/>
      <c r="I4" s="917"/>
      <c r="J4" s="917"/>
      <c r="K4" s="917"/>
    </row>
    <row r="5" spans="1:18" ht="15" customHeight="1">
      <c r="B5" s="917"/>
      <c r="C5" s="923"/>
      <c r="D5" s="919"/>
      <c r="E5" s="919"/>
      <c r="F5" s="922"/>
      <c r="G5" s="917"/>
      <c r="H5" s="917"/>
      <c r="I5" s="917"/>
      <c r="J5" s="917"/>
      <c r="K5" s="917"/>
      <c r="R5" s="1394" t="s">
        <v>954</v>
      </c>
    </row>
    <row r="6" spans="1:18" s="927" customFormat="1" ht="15" customHeight="1">
      <c r="A6" s="924"/>
      <c r="B6" s="925"/>
      <c r="C6" s="926"/>
      <c r="D6" s="926"/>
      <c r="E6" s="926"/>
      <c r="F6" s="925"/>
      <c r="G6" s="925"/>
      <c r="H6" s="925"/>
      <c r="I6" s="925"/>
      <c r="J6" s="925"/>
      <c r="K6" s="925"/>
      <c r="R6" s="941">
        <f>DATE(YEAR(R8),MONTH(R8)-1,1)</f>
        <v>44378</v>
      </c>
    </row>
    <row r="7" spans="1:18" s="927" customFormat="1" ht="15" customHeight="1">
      <c r="A7" s="924"/>
      <c r="B7" s="928" t="s">
        <v>2309</v>
      </c>
      <c r="C7" s="926"/>
      <c r="D7" s="929"/>
      <c r="E7" s="929"/>
      <c r="F7" s="930"/>
      <c r="G7" s="925"/>
      <c r="H7" s="925"/>
      <c r="I7" s="925"/>
      <c r="J7" s="925"/>
      <c r="K7" s="925"/>
      <c r="R7" s="1394" t="s">
        <v>954</v>
      </c>
    </row>
    <row r="8" spans="1:18" ht="27.95" customHeight="1">
      <c r="B8" s="931" t="s">
        <v>855</v>
      </c>
      <c r="C8" s="931" t="s">
        <v>1400</v>
      </c>
      <c r="D8" s="931" t="s">
        <v>1401</v>
      </c>
      <c r="E8" s="931" t="s">
        <v>1402</v>
      </c>
      <c r="F8" s="917"/>
      <c r="G8" s="917"/>
      <c r="H8" s="917"/>
      <c r="I8" s="932"/>
      <c r="R8" s="941">
        <f>DATE(YEAR(R10),MONTH(R10)-1,1)</f>
        <v>44409</v>
      </c>
    </row>
    <row r="9" spans="1:18" ht="14.45" customHeight="1">
      <c r="B9" s="1395" t="s">
        <v>1403</v>
      </c>
      <c r="C9" s="1396"/>
      <c r="D9" s="1396"/>
      <c r="E9" s="1396"/>
      <c r="F9" s="917"/>
      <c r="G9" s="448"/>
      <c r="H9" s="1397" t="s">
        <v>1404</v>
      </c>
      <c r="I9" s="1398">
        <v>-1622884.2623000001</v>
      </c>
      <c r="R9" s="1394" t="s">
        <v>954</v>
      </c>
    </row>
    <row r="10" spans="1:18" ht="14.45" customHeight="1">
      <c r="B10" s="933" t="s">
        <v>41</v>
      </c>
      <c r="C10" s="934"/>
      <c r="D10" s="934"/>
      <c r="E10" s="934"/>
      <c r="F10" s="917"/>
      <c r="G10" s="448"/>
      <c r="H10" s="935" t="s">
        <v>1405</v>
      </c>
      <c r="I10" s="936">
        <f>Indexador!F173</f>
        <v>0</v>
      </c>
      <c r="R10" s="941">
        <f>DATE(YEAR(R12),MONTH(R12)-1,1)</f>
        <v>44440</v>
      </c>
    </row>
    <row r="11" spans="1:18" ht="14.45" customHeight="1">
      <c r="B11" s="933" t="s">
        <v>1406</v>
      </c>
      <c r="C11" s="934"/>
      <c r="D11" s="934"/>
      <c r="E11" s="934"/>
      <c r="F11" s="917"/>
      <c r="G11" s="917"/>
      <c r="H11" s="935" t="s">
        <v>1407</v>
      </c>
      <c r="I11" s="937"/>
      <c r="R11" s="1394" t="s">
        <v>954</v>
      </c>
    </row>
    <row r="12" spans="1:18" ht="14.45" customHeight="1">
      <c r="B12" s="933" t="s">
        <v>705</v>
      </c>
      <c r="C12" s="934"/>
      <c r="D12" s="934"/>
      <c r="E12" s="934"/>
      <c r="F12" s="917"/>
      <c r="G12" s="448"/>
      <c r="H12" s="935" t="s">
        <v>1408</v>
      </c>
      <c r="I12" s="937"/>
      <c r="R12" s="941">
        <f>DATE(YEAR(R14),MONTH(R14)-1,1)</f>
        <v>44470</v>
      </c>
    </row>
    <row r="13" spans="1:18" ht="14.45" customHeight="1">
      <c r="B13" s="933" t="s">
        <v>1409</v>
      </c>
      <c r="C13" s="934">
        <v>2822106.2429999998</v>
      </c>
      <c r="D13" s="934">
        <v>3107045.59</v>
      </c>
      <c r="E13" s="934"/>
      <c r="F13" s="917"/>
      <c r="G13" s="448"/>
      <c r="H13" s="935" t="s">
        <v>1410</v>
      </c>
      <c r="I13" s="1399"/>
      <c r="R13" s="1394" t="s">
        <v>954</v>
      </c>
    </row>
    <row r="14" spans="1:18" ht="14.45" customHeight="1">
      <c r="B14" s="933" t="s">
        <v>126</v>
      </c>
      <c r="C14" s="934"/>
      <c r="D14" s="934"/>
      <c r="E14" s="934"/>
      <c r="F14" s="917"/>
      <c r="G14" s="448"/>
      <c r="H14" s="1397" t="s">
        <v>1411</v>
      </c>
      <c r="I14" s="1400">
        <v>1248163.56529216</v>
      </c>
      <c r="J14" s="917"/>
      <c r="K14" s="917"/>
      <c r="R14" s="941">
        <f>DATE(YEAR(R16),MONTH(R16)-1,1)</f>
        <v>44501</v>
      </c>
    </row>
    <row r="15" spans="1:18" ht="14.45" customHeight="1">
      <c r="B15" s="933" t="s">
        <v>1412</v>
      </c>
      <c r="C15" s="934"/>
      <c r="D15" s="934"/>
      <c r="E15" s="934"/>
      <c r="F15" s="917"/>
      <c r="G15" s="448"/>
      <c r="H15" s="1401" t="s">
        <v>1413</v>
      </c>
      <c r="I15" s="1402">
        <f>Indexador!N49</f>
        <v>1315990.2960016439</v>
      </c>
      <c r="J15" s="917"/>
      <c r="K15" s="917"/>
      <c r="R15" s="1394" t="s">
        <v>954</v>
      </c>
    </row>
    <row r="16" spans="1:18" ht="14.45" customHeight="1">
      <c r="B16" s="933" t="s">
        <v>122</v>
      </c>
      <c r="C16" s="934"/>
      <c r="D16" s="934"/>
      <c r="E16" s="934"/>
      <c r="F16" s="918"/>
      <c r="G16" s="448"/>
      <c r="H16" s="917"/>
      <c r="I16" s="932"/>
      <c r="J16" s="917"/>
      <c r="K16" s="917"/>
      <c r="R16" s="941">
        <f>DATE(YEAR(R18),MONTH(R18)-1,1)</f>
        <v>44531</v>
      </c>
    </row>
    <row r="17" spans="1:66" ht="14.45" customHeight="1">
      <c r="B17" s="933" t="s">
        <v>46</v>
      </c>
      <c r="C17" s="934">
        <v>2520150.5161000001</v>
      </c>
      <c r="D17" s="934">
        <v>2619758.7576000001</v>
      </c>
      <c r="E17" s="934"/>
      <c r="F17" s="917"/>
      <c r="G17" s="448"/>
      <c r="H17" s="917"/>
      <c r="I17" s="917"/>
      <c r="J17" s="917"/>
      <c r="K17" s="917"/>
      <c r="R17" s="1394" t="s">
        <v>954</v>
      </c>
    </row>
    <row r="18" spans="1:66" ht="14.45" customHeight="1">
      <c r="B18" s="938" t="s">
        <v>846</v>
      </c>
      <c r="C18" s="939">
        <f>SUM(C9:C17)</f>
        <v>5342256.7590999994</v>
      </c>
      <c r="D18" s="939">
        <f t="shared" ref="D18:E18" si="0">SUM(D9:D17)</f>
        <v>5726804.3476</v>
      </c>
      <c r="E18" s="939">
        <f t="shared" si="0"/>
        <v>0</v>
      </c>
      <c r="F18" s="917"/>
      <c r="G18" s="917"/>
      <c r="H18" s="917"/>
      <c r="I18" s="917"/>
      <c r="J18" s="917"/>
      <c r="K18" s="917"/>
      <c r="R18" s="941">
        <f>DATE(YEAR(R20),MONTH(R20)-1,1)</f>
        <v>44562</v>
      </c>
    </row>
    <row r="19" spans="1:66" ht="14.45" hidden="1" customHeight="1">
      <c r="B19" s="917"/>
      <c r="C19" s="919"/>
      <c r="D19" s="919"/>
      <c r="E19" s="919"/>
      <c r="F19" s="917"/>
      <c r="G19" s="917"/>
      <c r="R19" s="1394" t="s">
        <v>954</v>
      </c>
    </row>
    <row r="20" spans="1:66" ht="14.45" customHeight="1">
      <c r="B20" s="917"/>
      <c r="C20" s="919"/>
      <c r="D20" s="919"/>
      <c r="E20" s="919"/>
      <c r="F20" s="917"/>
      <c r="G20" s="917"/>
      <c r="R20" s="941">
        <f>DATE(YEAR(R22),MONTH(R22)-1,1)</f>
        <v>44593</v>
      </c>
    </row>
    <row r="21" spans="1:66" s="927" customFormat="1" ht="14.45" customHeight="1">
      <c r="A21" s="924"/>
      <c r="B21" s="925"/>
      <c r="C21" s="926"/>
      <c r="D21" s="926"/>
      <c r="E21" s="926"/>
      <c r="F21" s="925"/>
      <c r="G21" s="925"/>
      <c r="R21" s="1394" t="s">
        <v>954</v>
      </c>
    </row>
    <row r="22" spans="1:66" s="1648" customFormat="1" ht="14.45" customHeight="1">
      <c r="A22" s="1649"/>
      <c r="B22" s="1650" t="s">
        <v>1414</v>
      </c>
      <c r="C22" s="1651"/>
      <c r="D22" s="1651"/>
      <c r="E22" s="1651"/>
      <c r="F22" s="1652"/>
      <c r="G22" s="1652"/>
      <c r="H22" s="1649"/>
      <c r="I22" s="1649"/>
      <c r="J22" s="1649"/>
      <c r="K22" s="1649"/>
      <c r="L22" s="1649"/>
      <c r="M22" s="1649"/>
      <c r="N22" s="1649"/>
      <c r="O22" s="1649"/>
      <c r="P22" s="1649"/>
      <c r="Q22" s="1649"/>
      <c r="R22" s="1653">
        <f>DATE(YEAR(R24),MONTH(R24)-1,1)</f>
        <v>44621</v>
      </c>
      <c r="S22" s="1649"/>
      <c r="T22" s="1649"/>
      <c r="U22" s="1649"/>
      <c r="V22" s="1649"/>
      <c r="W22" s="1649"/>
      <c r="X22" s="1649"/>
      <c r="Y22" s="1649"/>
      <c r="Z22" s="1649"/>
      <c r="AA22" s="1649"/>
      <c r="AB22" s="1649"/>
      <c r="AC22" s="1649"/>
      <c r="AD22" s="1649"/>
      <c r="AE22" s="1649"/>
      <c r="AF22" s="1649"/>
      <c r="AG22" s="1649"/>
      <c r="AH22" s="1649"/>
      <c r="AI22" s="1649"/>
      <c r="AJ22" s="1649"/>
      <c r="AK22" s="1649"/>
      <c r="AL22" s="1649"/>
      <c r="AM22" s="1649"/>
      <c r="AN22" s="1649"/>
      <c r="AO22" s="1649"/>
      <c r="AP22" s="1649"/>
      <c r="AQ22" s="1649"/>
      <c r="AR22" s="1649"/>
      <c r="AS22" s="1649"/>
      <c r="AT22" s="1649"/>
      <c r="AU22" s="1649"/>
      <c r="AV22" s="1649"/>
      <c r="AW22" s="1649"/>
      <c r="AX22" s="1649"/>
      <c r="AY22" s="1649"/>
      <c r="AZ22" s="1649"/>
      <c r="BA22" s="1649"/>
      <c r="BB22" s="1649"/>
      <c r="BC22" s="1649"/>
      <c r="BD22" s="1649"/>
      <c r="BE22" s="1649"/>
      <c r="BF22" s="1649"/>
      <c r="BG22" s="1649"/>
      <c r="BH22" s="1649"/>
      <c r="BI22" s="1649"/>
      <c r="BJ22" s="1649"/>
      <c r="BK22" s="1649"/>
      <c r="BL22" s="1649"/>
      <c r="BM22" s="1649"/>
      <c r="BN22" s="1649"/>
    </row>
    <row r="23" spans="1:66" s="1648" customFormat="1" ht="42" customHeight="1">
      <c r="A23" s="1649"/>
      <c r="B23" s="1654" t="s">
        <v>855</v>
      </c>
      <c r="C23" s="1654" t="s">
        <v>1415</v>
      </c>
      <c r="D23" s="1654" t="s">
        <v>1416</v>
      </c>
      <c r="E23" s="1654" t="s">
        <v>1417</v>
      </c>
      <c r="F23" s="1654" t="s">
        <v>1418</v>
      </c>
      <c r="G23" s="1654" t="s">
        <v>1419</v>
      </c>
      <c r="H23" s="1649"/>
      <c r="I23" s="1649"/>
      <c r="J23" s="1649"/>
      <c r="K23" s="1649"/>
      <c r="L23" s="1649"/>
      <c r="M23" s="1649"/>
      <c r="N23" s="1649"/>
      <c r="O23" s="1649"/>
      <c r="P23" s="1649"/>
      <c r="Q23" s="1649"/>
      <c r="R23" s="1655" t="s">
        <v>954</v>
      </c>
      <c r="S23" s="1649"/>
      <c r="T23" s="1649"/>
      <c r="U23" s="1649"/>
      <c r="V23" s="1649"/>
      <c r="W23" s="1649"/>
      <c r="X23" s="1649"/>
      <c r="Y23" s="1649"/>
      <c r="Z23" s="1649"/>
      <c r="AA23" s="1649"/>
      <c r="AB23" s="1649"/>
      <c r="AC23" s="1649"/>
      <c r="AD23" s="1649"/>
      <c r="AE23" s="1649"/>
      <c r="AF23" s="1649"/>
      <c r="AG23" s="1649"/>
      <c r="AH23" s="1649"/>
      <c r="AI23" s="1649"/>
      <c r="AJ23" s="1649"/>
      <c r="AK23" s="1649"/>
      <c r="AL23" s="1649"/>
      <c r="AM23" s="1649"/>
      <c r="AN23" s="1649"/>
      <c r="AO23" s="1649"/>
      <c r="AP23" s="1649"/>
      <c r="AQ23" s="1649"/>
      <c r="AR23" s="1649"/>
      <c r="AS23" s="1649"/>
      <c r="AT23" s="1649"/>
      <c r="AU23" s="1649"/>
      <c r="AV23" s="1649"/>
      <c r="AW23" s="1649"/>
      <c r="AX23" s="1649"/>
      <c r="AY23" s="1649"/>
      <c r="AZ23" s="1649"/>
      <c r="BA23" s="1649"/>
      <c r="BB23" s="1649"/>
      <c r="BC23" s="1649"/>
      <c r="BD23" s="1649"/>
      <c r="BE23" s="1649"/>
      <c r="BF23" s="1649"/>
      <c r="BG23" s="1649"/>
      <c r="BH23" s="1649"/>
      <c r="BI23" s="1649"/>
      <c r="BJ23" s="1649"/>
      <c r="BK23" s="1649"/>
      <c r="BL23" s="1649"/>
      <c r="BM23" s="1649"/>
      <c r="BN23" s="1649"/>
    </row>
    <row r="24" spans="1:66" s="1648" customFormat="1" ht="14.45" customHeight="1">
      <c r="A24" s="1649"/>
      <c r="B24" s="1656" t="s">
        <v>1403</v>
      </c>
      <c r="C24" s="1657">
        <f>BD!AM7</f>
        <v>0</v>
      </c>
      <c r="D24" s="1658"/>
      <c r="E24" s="1659">
        <f t="shared" ref="E24:E32" si="1">D24-C24</f>
        <v>0</v>
      </c>
      <c r="F24" s="1660"/>
      <c r="G24" s="1660"/>
      <c r="H24" s="1661"/>
      <c r="I24" s="1662"/>
      <c r="J24" s="1662"/>
      <c r="K24" s="1663"/>
      <c r="L24" s="1649"/>
      <c r="M24" s="1649"/>
      <c r="N24" s="1649"/>
      <c r="O24" s="1649"/>
      <c r="P24" s="1649"/>
      <c r="Q24" s="1649"/>
      <c r="R24" s="1653">
        <f>DATE(YEAR(R26),MONTH(R26)-1,1)</f>
        <v>44652</v>
      </c>
      <c r="S24" s="1649"/>
      <c r="T24" s="1649"/>
      <c r="U24" s="1649"/>
      <c r="V24" s="1649"/>
      <c r="W24" s="1649"/>
      <c r="X24" s="1649"/>
      <c r="Y24" s="1649"/>
      <c r="Z24" s="1649"/>
      <c r="AA24" s="1649"/>
      <c r="AB24" s="1649"/>
      <c r="AC24" s="1649"/>
      <c r="AD24" s="1649"/>
      <c r="AE24" s="1649"/>
      <c r="AF24" s="1649"/>
      <c r="AG24" s="1649"/>
      <c r="AH24" s="1649"/>
      <c r="AI24" s="1649"/>
      <c r="AJ24" s="1649"/>
      <c r="AK24" s="1649"/>
      <c r="AL24" s="1649"/>
      <c r="AM24" s="1649"/>
      <c r="AN24" s="1649"/>
      <c r="AO24" s="1649"/>
      <c r="AP24" s="1649"/>
      <c r="AQ24" s="1649"/>
      <c r="AR24" s="1649"/>
      <c r="AS24" s="1649"/>
      <c r="AT24" s="1649"/>
      <c r="AU24" s="1649"/>
      <c r="AV24" s="1649"/>
      <c r="AW24" s="1649"/>
      <c r="AX24" s="1649"/>
      <c r="AY24" s="1649"/>
      <c r="AZ24" s="1649"/>
      <c r="BA24" s="1649"/>
      <c r="BB24" s="1649"/>
      <c r="BC24" s="1649"/>
      <c r="BD24" s="1649"/>
      <c r="BE24" s="1649"/>
      <c r="BF24" s="1649"/>
      <c r="BG24" s="1649"/>
      <c r="BH24" s="1649"/>
      <c r="BI24" s="1649"/>
      <c r="BJ24" s="1649"/>
      <c r="BK24" s="1649"/>
      <c r="BL24" s="1649"/>
      <c r="BM24" s="1649"/>
      <c r="BN24" s="1649"/>
    </row>
    <row r="25" spans="1:66" s="1648" customFormat="1" ht="14.45" customHeight="1">
      <c r="A25" s="1649"/>
      <c r="B25" s="1664" t="s">
        <v>41</v>
      </c>
      <c r="C25" s="1665">
        <f>BD!AM8</f>
        <v>0</v>
      </c>
      <c r="D25" s="1666"/>
      <c r="E25" s="1667">
        <f t="shared" si="1"/>
        <v>0</v>
      </c>
      <c r="F25" s="1662">
        <f ca="1">M66</f>
        <v>0</v>
      </c>
      <c r="G25" s="1668" t="e">
        <f ca="1">(D25+D39)/$D$33*Indexador!$X$80-M67</f>
        <v>#DIV/0!</v>
      </c>
      <c r="H25" s="1661"/>
      <c r="I25" s="1662"/>
      <c r="J25" s="1662"/>
      <c r="K25" s="1669"/>
      <c r="L25" s="1649"/>
      <c r="M25" s="1649"/>
      <c r="N25" s="1649"/>
      <c r="O25" s="1649"/>
      <c r="P25" s="1649"/>
      <c r="Q25" s="1649"/>
      <c r="R25" s="1655" t="s">
        <v>954</v>
      </c>
      <c r="S25" s="1649"/>
      <c r="T25" s="1649"/>
      <c r="U25" s="1649"/>
      <c r="V25" s="1649"/>
      <c r="W25" s="1649"/>
      <c r="X25" s="1649"/>
      <c r="Y25" s="1649"/>
      <c r="Z25" s="1649"/>
      <c r="AA25" s="1649"/>
      <c r="AB25" s="1649"/>
      <c r="AC25" s="1649"/>
      <c r="AD25" s="1649"/>
      <c r="AE25" s="1649"/>
      <c r="AF25" s="1649"/>
      <c r="AG25" s="1649"/>
      <c r="AH25" s="1649"/>
      <c r="AI25" s="1649"/>
      <c r="AJ25" s="1649"/>
      <c r="AK25" s="1649"/>
      <c r="AL25" s="1649"/>
      <c r="AM25" s="1649"/>
      <c r="AN25" s="1649"/>
      <c r="AO25" s="1649"/>
      <c r="AP25" s="1649"/>
      <c r="AQ25" s="1649"/>
      <c r="AR25" s="1649"/>
      <c r="AS25" s="1649"/>
      <c r="AT25" s="1649"/>
      <c r="AU25" s="1649"/>
      <c r="AV25" s="1649"/>
      <c r="AW25" s="1649"/>
      <c r="AX25" s="1649"/>
      <c r="AY25" s="1649"/>
      <c r="AZ25" s="1649"/>
      <c r="BA25" s="1649"/>
      <c r="BB25" s="1649"/>
      <c r="BC25" s="1649"/>
      <c r="BD25" s="1649"/>
      <c r="BE25" s="1649"/>
      <c r="BF25" s="1649"/>
      <c r="BG25" s="1649"/>
      <c r="BH25" s="1649"/>
      <c r="BI25" s="1649"/>
      <c r="BJ25" s="1649"/>
      <c r="BK25" s="1649"/>
      <c r="BL25" s="1649"/>
      <c r="BM25" s="1649"/>
      <c r="BN25" s="1649"/>
    </row>
    <row r="26" spans="1:66" s="1648" customFormat="1" ht="14.45" customHeight="1">
      <c r="A26" s="1649"/>
      <c r="B26" s="1664" t="s">
        <v>1406</v>
      </c>
      <c r="C26" s="1665">
        <f>BD!AM14</f>
        <v>0</v>
      </c>
      <c r="D26" s="1666"/>
      <c r="E26" s="1667">
        <f t="shared" si="1"/>
        <v>0</v>
      </c>
      <c r="F26" s="1662">
        <f ca="1">X66</f>
        <v>0</v>
      </c>
      <c r="G26" s="1668" t="e">
        <f ca="1">(D26+D40)/$D$33*Indexador!$X$80-X67</f>
        <v>#DIV/0!</v>
      </c>
      <c r="H26" s="1661"/>
      <c r="I26" s="1662"/>
      <c r="J26" s="1662"/>
      <c r="K26" s="1669"/>
      <c r="L26" s="1649"/>
      <c r="M26" s="1649"/>
      <c r="N26" s="1649"/>
      <c r="O26" s="1649"/>
      <c r="P26" s="1649"/>
      <c r="Q26" s="1649"/>
      <c r="R26" s="1653">
        <f>DATE(YEAR(R28),MONTH(R28)-1,1)</f>
        <v>44682</v>
      </c>
      <c r="S26" s="1649"/>
      <c r="T26" s="1649"/>
      <c r="U26" s="1649"/>
      <c r="V26" s="1649"/>
      <c r="W26" s="1649"/>
      <c r="X26" s="1649"/>
      <c r="Y26" s="1649"/>
      <c r="Z26" s="1649"/>
      <c r="AA26" s="1649"/>
      <c r="AB26" s="1649"/>
      <c r="AC26" s="1649"/>
      <c r="AD26" s="1649"/>
      <c r="AE26" s="1649"/>
      <c r="AF26" s="1649"/>
      <c r="AG26" s="1649"/>
      <c r="AH26" s="1649"/>
      <c r="AI26" s="1649"/>
      <c r="AJ26" s="1649"/>
      <c r="AK26" s="1649"/>
      <c r="AL26" s="1649"/>
      <c r="AM26" s="1649"/>
      <c r="AN26" s="1649"/>
      <c r="AO26" s="1649"/>
      <c r="AP26" s="1649"/>
      <c r="AQ26" s="1649"/>
      <c r="AR26" s="1649"/>
      <c r="AS26" s="1649"/>
      <c r="AT26" s="1649"/>
      <c r="AU26" s="1649"/>
      <c r="AV26" s="1649"/>
      <c r="AW26" s="1649"/>
      <c r="AX26" s="1649"/>
      <c r="AY26" s="1649"/>
      <c r="AZ26" s="1649"/>
      <c r="BA26" s="1649"/>
      <c r="BB26" s="1649"/>
      <c r="BC26" s="1649"/>
      <c r="BD26" s="1649"/>
      <c r="BE26" s="1649"/>
      <c r="BF26" s="1649"/>
      <c r="BG26" s="1649"/>
      <c r="BH26" s="1649"/>
      <c r="BI26" s="1649"/>
      <c r="BJ26" s="1649"/>
      <c r="BK26" s="1649"/>
      <c r="BL26" s="1649"/>
      <c r="BM26" s="1649"/>
      <c r="BN26" s="1649"/>
    </row>
    <row r="27" spans="1:66" s="1648" customFormat="1" ht="14.45" customHeight="1">
      <c r="A27" s="1649"/>
      <c r="B27" s="1664" t="s">
        <v>705</v>
      </c>
      <c r="C27" s="1665">
        <f>BD!AM6</f>
        <v>0</v>
      </c>
      <c r="D27" s="1666"/>
      <c r="E27" s="1670">
        <f t="shared" si="1"/>
        <v>0</v>
      </c>
      <c r="F27" s="1671">
        <f ca="1">L66</f>
        <v>0</v>
      </c>
      <c r="G27" s="1672" t="e">
        <f ca="1">D27/$D$33*Indexador!$X$80-L67</f>
        <v>#DIV/0!</v>
      </c>
      <c r="H27" s="1661"/>
      <c r="I27" s="1671"/>
      <c r="J27" s="1671"/>
      <c r="K27" s="1669"/>
      <c r="L27" s="1649"/>
      <c r="M27" s="1649"/>
      <c r="N27" s="1649"/>
      <c r="O27" s="1649"/>
      <c r="P27" s="1649"/>
      <c r="Q27" s="1649"/>
      <c r="R27" s="1655" t="s">
        <v>954</v>
      </c>
      <c r="S27" s="1649"/>
      <c r="T27" s="1649"/>
      <c r="U27" s="1649"/>
      <c r="V27" s="1649"/>
      <c r="W27" s="1649"/>
      <c r="X27" s="1649"/>
      <c r="Y27" s="1649"/>
      <c r="Z27" s="1649"/>
      <c r="AA27" s="1649"/>
      <c r="AB27" s="1649"/>
      <c r="AC27" s="1649"/>
      <c r="AD27" s="1649"/>
      <c r="AE27" s="1649"/>
      <c r="AF27" s="1649"/>
      <c r="AG27" s="1649"/>
      <c r="AH27" s="1649"/>
      <c r="AI27" s="1649"/>
      <c r="AJ27" s="1649"/>
      <c r="AK27" s="1649"/>
      <c r="AL27" s="1649"/>
      <c r="AM27" s="1649"/>
      <c r="AN27" s="1649"/>
      <c r="AO27" s="1649"/>
      <c r="AP27" s="1649"/>
      <c r="AQ27" s="1649"/>
      <c r="AR27" s="1649"/>
      <c r="AS27" s="1649"/>
      <c r="AT27" s="1649"/>
      <c r="AU27" s="1649"/>
      <c r="AV27" s="1649"/>
      <c r="AW27" s="1649"/>
      <c r="AX27" s="1649"/>
      <c r="AY27" s="1649"/>
      <c r="AZ27" s="1649"/>
      <c r="BA27" s="1649"/>
      <c r="BB27" s="1649"/>
      <c r="BC27" s="1649"/>
      <c r="BD27" s="1649"/>
      <c r="BE27" s="1649"/>
      <c r="BF27" s="1649"/>
      <c r="BG27" s="1649"/>
      <c r="BH27" s="1649"/>
      <c r="BI27" s="1649"/>
      <c r="BJ27" s="1649"/>
      <c r="BK27" s="1649"/>
      <c r="BL27" s="1649"/>
      <c r="BM27" s="1649"/>
      <c r="BN27" s="1649"/>
    </row>
    <row r="28" spans="1:66" s="1648" customFormat="1" ht="14.45" customHeight="1">
      <c r="A28" s="1649"/>
      <c r="B28" s="1664" t="s">
        <v>1409</v>
      </c>
      <c r="C28" s="1665">
        <f>BD!AM13</f>
        <v>0</v>
      </c>
      <c r="D28" s="1666"/>
      <c r="E28" s="1670">
        <f t="shared" si="1"/>
        <v>0</v>
      </c>
      <c r="F28" s="1671">
        <f ca="1">K66</f>
        <v>0</v>
      </c>
      <c r="G28" s="1672" t="e">
        <f ca="1">(IF(C42=0,D28,C42)+D42)/$D$33*Indexador!$X$80-K67</f>
        <v>#DIV/0!</v>
      </c>
      <c r="H28" s="1661"/>
      <c r="I28" s="1671"/>
      <c r="J28" s="1671"/>
      <c r="K28" s="1669"/>
      <c r="L28" s="1649"/>
      <c r="M28" s="1649"/>
      <c r="N28" s="1649"/>
      <c r="O28" s="1649"/>
      <c r="P28" s="1649"/>
      <c r="Q28" s="1649"/>
      <c r="R28" s="1653">
        <f>B65</f>
        <v>44713</v>
      </c>
      <c r="S28" s="1649"/>
      <c r="T28" s="1649"/>
      <c r="U28" s="1649"/>
      <c r="V28" s="1649"/>
      <c r="W28" s="1649"/>
      <c r="X28" s="1649"/>
      <c r="Y28" s="1649"/>
      <c r="Z28" s="1649"/>
      <c r="AA28" s="1649"/>
      <c r="AB28" s="1649"/>
      <c r="AC28" s="1649"/>
      <c r="AD28" s="1649"/>
      <c r="AE28" s="1649"/>
      <c r="AF28" s="1649"/>
      <c r="AG28" s="1649"/>
      <c r="AH28" s="1649"/>
      <c r="AI28" s="1649"/>
      <c r="AJ28" s="1649"/>
      <c r="AK28" s="1649"/>
      <c r="AL28" s="1649"/>
      <c r="AM28" s="1649"/>
      <c r="AN28" s="1649"/>
      <c r="AO28" s="1649"/>
      <c r="AP28" s="1649"/>
      <c r="AQ28" s="1649"/>
      <c r="AR28" s="1649"/>
      <c r="AS28" s="1649"/>
      <c r="AT28" s="1649"/>
      <c r="AU28" s="1649"/>
      <c r="AV28" s="1649"/>
      <c r="AW28" s="1649"/>
      <c r="AX28" s="1649"/>
      <c r="AY28" s="1649"/>
      <c r="AZ28" s="1649"/>
      <c r="BA28" s="1649"/>
      <c r="BB28" s="1649"/>
      <c r="BC28" s="1649"/>
      <c r="BD28" s="1649"/>
      <c r="BE28" s="1649"/>
      <c r="BF28" s="1649"/>
      <c r="BG28" s="1649"/>
      <c r="BH28" s="1649"/>
      <c r="BI28" s="1649"/>
      <c r="BJ28" s="1649"/>
      <c r="BK28" s="1649"/>
      <c r="BL28" s="1649"/>
      <c r="BM28" s="1649"/>
      <c r="BN28" s="1649"/>
    </row>
    <row r="29" spans="1:66" s="1648" customFormat="1" ht="14.45" customHeight="1">
      <c r="A29" s="1649"/>
      <c r="B29" s="1664" t="s">
        <v>126</v>
      </c>
      <c r="C29" s="1665">
        <f>BD!AM9</f>
        <v>0</v>
      </c>
      <c r="D29" s="1666"/>
      <c r="E29" s="1670">
        <f t="shared" si="1"/>
        <v>0</v>
      </c>
      <c r="F29" s="1671">
        <f ca="1">N66</f>
        <v>0</v>
      </c>
      <c r="G29" s="1672" t="e">
        <f ca="1">D29/$D$33*Indexador!$X$80-N67</f>
        <v>#DIV/0!</v>
      </c>
      <c r="H29" s="1661"/>
      <c r="I29" s="1671"/>
      <c r="J29" s="1671"/>
      <c r="K29" s="1669"/>
      <c r="L29" s="1649"/>
      <c r="M29" s="1649"/>
      <c r="N29" s="1649"/>
      <c r="O29" s="1649"/>
      <c r="P29" s="1649"/>
      <c r="Q29" s="1649"/>
      <c r="R29" s="1649"/>
      <c r="S29" s="1649"/>
      <c r="T29" s="1649"/>
      <c r="U29" s="1649"/>
      <c r="V29" s="1649"/>
      <c r="W29" s="1649"/>
      <c r="X29" s="1649"/>
      <c r="Y29" s="1649"/>
      <c r="Z29" s="1649"/>
      <c r="AA29" s="1649"/>
      <c r="AB29" s="1649"/>
      <c r="AC29" s="1649"/>
      <c r="AD29" s="1649"/>
      <c r="AE29" s="1649"/>
      <c r="AF29" s="1649"/>
      <c r="AG29" s="1649"/>
      <c r="AH29" s="1649"/>
      <c r="AI29" s="1649"/>
      <c r="AJ29" s="1649"/>
      <c r="AK29" s="1649"/>
      <c r="AL29" s="1649"/>
      <c r="AM29" s="1649"/>
      <c r="AN29" s="1649"/>
      <c r="AO29" s="1649"/>
      <c r="AP29" s="1649"/>
      <c r="AQ29" s="1649"/>
      <c r="AR29" s="1649"/>
      <c r="AS29" s="1649"/>
      <c r="AT29" s="1649"/>
      <c r="AU29" s="1649"/>
      <c r="AV29" s="1649"/>
      <c r="AW29" s="1649"/>
      <c r="AX29" s="1649"/>
      <c r="AY29" s="1649"/>
      <c r="AZ29" s="1649"/>
      <c r="BA29" s="1649"/>
      <c r="BB29" s="1649"/>
      <c r="BC29" s="1649"/>
      <c r="BD29" s="1649"/>
      <c r="BE29" s="1649"/>
      <c r="BF29" s="1649"/>
      <c r="BG29" s="1649"/>
      <c r="BH29" s="1649"/>
      <c r="BI29" s="1649"/>
      <c r="BJ29" s="1649"/>
      <c r="BK29" s="1649"/>
      <c r="BL29" s="1649"/>
      <c r="BM29" s="1649"/>
      <c r="BN29" s="1649"/>
    </row>
    <row r="30" spans="1:66" s="1648" customFormat="1" ht="14.45" customHeight="1">
      <c r="A30" s="1649"/>
      <c r="B30" s="1664" t="s">
        <v>1412</v>
      </c>
      <c r="C30" s="1665">
        <f>BD!AM12</f>
        <v>0</v>
      </c>
      <c r="D30" s="1666"/>
      <c r="E30" s="1670">
        <f t="shared" si="1"/>
        <v>0</v>
      </c>
      <c r="F30" s="1671">
        <f ca="1">O66</f>
        <v>0</v>
      </c>
      <c r="G30" s="1672" t="e">
        <f ca="1">D30/$D$33*Indexador!$X$80-O67</f>
        <v>#DIV/0!</v>
      </c>
      <c r="H30" s="1652"/>
      <c r="I30" s="1671"/>
      <c r="J30" s="1671"/>
      <c r="K30" s="1669"/>
      <c r="L30" s="1649"/>
      <c r="M30" s="1649"/>
      <c r="N30" s="1649"/>
      <c r="O30" s="1649"/>
      <c r="P30" s="1649"/>
      <c r="Q30" s="1649"/>
      <c r="R30" s="1649"/>
      <c r="S30" s="1649"/>
      <c r="T30" s="1649"/>
      <c r="U30" s="1649"/>
      <c r="V30" s="1649"/>
      <c r="W30" s="1649"/>
      <c r="X30" s="1649"/>
      <c r="Y30" s="1649"/>
      <c r="Z30" s="1649"/>
      <c r="AA30" s="1649"/>
      <c r="AB30" s="1649"/>
      <c r="AC30" s="1649"/>
      <c r="AD30" s="1649"/>
      <c r="AE30" s="1649"/>
      <c r="AF30" s="1649"/>
      <c r="AG30" s="1649"/>
      <c r="AH30" s="1649"/>
      <c r="AI30" s="1649"/>
      <c r="AJ30" s="1649"/>
      <c r="AK30" s="1649"/>
      <c r="AL30" s="1649"/>
      <c r="AM30" s="1649"/>
      <c r="AN30" s="1649"/>
      <c r="AO30" s="1649"/>
      <c r="AP30" s="1649"/>
      <c r="AQ30" s="1649"/>
      <c r="AR30" s="1649"/>
      <c r="AS30" s="1649"/>
      <c r="AT30" s="1649"/>
      <c r="AU30" s="1649"/>
      <c r="AV30" s="1649"/>
      <c r="AW30" s="1649"/>
      <c r="AX30" s="1649"/>
      <c r="AY30" s="1649"/>
      <c r="AZ30" s="1649"/>
      <c r="BA30" s="1649"/>
      <c r="BB30" s="1649"/>
      <c r="BC30" s="1649"/>
      <c r="BD30" s="1649"/>
      <c r="BE30" s="1649"/>
      <c r="BF30" s="1649"/>
      <c r="BG30" s="1649"/>
      <c r="BH30" s="1649"/>
      <c r="BI30" s="1649"/>
      <c r="BJ30" s="1649"/>
      <c r="BK30" s="1649"/>
      <c r="BL30" s="1649"/>
      <c r="BM30" s="1649"/>
      <c r="BN30" s="1649"/>
    </row>
    <row r="31" spans="1:66" s="1648" customFormat="1" ht="14.45" customHeight="1">
      <c r="A31" s="1649"/>
      <c r="B31" s="1664" t="s">
        <v>122</v>
      </c>
      <c r="C31" s="1665">
        <f>BD!AM11</f>
        <v>0</v>
      </c>
      <c r="D31" s="1666"/>
      <c r="E31" s="1670">
        <f t="shared" si="1"/>
        <v>0</v>
      </c>
      <c r="F31" s="1671">
        <f ca="1">Q66</f>
        <v>0</v>
      </c>
      <c r="G31" s="1672" t="e">
        <f ca="1">D31/$D$33*Indexador!$X$80-Q67</f>
        <v>#DIV/0!</v>
      </c>
      <c r="H31" s="1649"/>
      <c r="I31" s="1671"/>
      <c r="J31" s="1671"/>
      <c r="K31" s="1652"/>
      <c r="L31" s="1649"/>
      <c r="M31" s="1649"/>
      <c r="N31" s="1649"/>
      <c r="O31" s="1649"/>
      <c r="P31" s="1649"/>
      <c r="Q31" s="1649"/>
      <c r="R31" s="1649"/>
      <c r="S31" s="1649"/>
      <c r="T31" s="1649"/>
      <c r="U31" s="1649"/>
      <c r="V31" s="1649"/>
      <c r="W31" s="1649"/>
      <c r="X31" s="1649"/>
      <c r="Y31" s="1649"/>
      <c r="Z31" s="1649"/>
      <c r="AA31" s="1649"/>
      <c r="AB31" s="1649"/>
      <c r="AC31" s="1649"/>
      <c r="AD31" s="1649"/>
      <c r="AE31" s="1649"/>
      <c r="AF31" s="1649"/>
      <c r="AG31" s="1649"/>
      <c r="AH31" s="1649"/>
      <c r="AI31" s="1649"/>
      <c r="AJ31" s="1649"/>
      <c r="AK31" s="1649"/>
      <c r="AL31" s="1649"/>
      <c r="AM31" s="1649"/>
      <c r="AN31" s="1649"/>
      <c r="AO31" s="1649"/>
      <c r="AP31" s="1649"/>
      <c r="AQ31" s="1649"/>
      <c r="AR31" s="1649"/>
      <c r="AS31" s="1649"/>
      <c r="AT31" s="1649"/>
      <c r="AU31" s="1649"/>
      <c r="AV31" s="1649"/>
      <c r="AW31" s="1649"/>
      <c r="AX31" s="1649"/>
      <c r="AY31" s="1649"/>
      <c r="AZ31" s="1649"/>
      <c r="BA31" s="1649"/>
      <c r="BB31" s="1649"/>
      <c r="BC31" s="1649"/>
      <c r="BD31" s="1649"/>
      <c r="BE31" s="1649"/>
      <c r="BF31" s="1649"/>
      <c r="BG31" s="1649"/>
      <c r="BH31" s="1649"/>
      <c r="BI31" s="1649"/>
      <c r="BJ31" s="1649"/>
      <c r="BK31" s="1649"/>
      <c r="BL31" s="1649"/>
      <c r="BM31" s="1649"/>
      <c r="BN31" s="1649"/>
    </row>
    <row r="32" spans="1:66" s="1648" customFormat="1" ht="14.45" customHeight="1">
      <c r="A32" s="1649"/>
      <c r="B32" s="1673" t="s">
        <v>46</v>
      </c>
      <c r="C32" s="1674">
        <f>BD!AM10</f>
        <v>0</v>
      </c>
      <c r="D32" s="1666"/>
      <c r="E32" s="1675">
        <f t="shared" si="1"/>
        <v>0</v>
      </c>
      <c r="F32" s="1676">
        <f ca="1">P66</f>
        <v>0</v>
      </c>
      <c r="G32" s="1677" t="e">
        <f ca="1">IF(C46=0,D32,C46)/$D$33*Indexador!$X$80-P67</f>
        <v>#DIV/0!</v>
      </c>
      <c r="H32" s="1649"/>
      <c r="I32" s="1671"/>
      <c r="J32" s="1671"/>
      <c r="K32" s="1652"/>
      <c r="L32" s="1649"/>
      <c r="M32" s="1649"/>
      <c r="N32" s="1649"/>
      <c r="O32" s="1649"/>
      <c r="P32" s="1649"/>
      <c r="Q32" s="1649"/>
      <c r="R32" s="1649"/>
      <c r="S32" s="1649"/>
      <c r="T32" s="1649"/>
      <c r="U32" s="1649"/>
      <c r="V32" s="1649"/>
      <c r="W32" s="1649"/>
      <c r="X32" s="1649"/>
      <c r="Y32" s="1649"/>
      <c r="Z32" s="1649"/>
      <c r="AA32" s="1649"/>
      <c r="AB32" s="1649"/>
      <c r="AC32" s="1649"/>
      <c r="AD32" s="1649"/>
      <c r="AE32" s="1649"/>
      <c r="AF32" s="1649"/>
      <c r="AG32" s="1649"/>
      <c r="AH32" s="1649"/>
      <c r="AI32" s="1649"/>
      <c r="AJ32" s="1649"/>
      <c r="AK32" s="1649"/>
      <c r="AL32" s="1649"/>
      <c r="AM32" s="1649"/>
      <c r="AN32" s="1649"/>
      <c r="AO32" s="1649"/>
      <c r="AP32" s="1649"/>
      <c r="AQ32" s="1649"/>
      <c r="AR32" s="1649"/>
      <c r="AS32" s="1649"/>
      <c r="AT32" s="1649"/>
      <c r="AU32" s="1649"/>
      <c r="AV32" s="1649"/>
      <c r="AW32" s="1649"/>
      <c r="AX32" s="1649"/>
      <c r="AY32" s="1649"/>
      <c r="AZ32" s="1649"/>
      <c r="BA32" s="1649"/>
      <c r="BB32" s="1649"/>
      <c r="BC32" s="1649"/>
      <c r="BD32" s="1649"/>
      <c r="BE32" s="1649"/>
      <c r="BF32" s="1649"/>
      <c r="BG32" s="1649"/>
      <c r="BH32" s="1649"/>
      <c r="BI32" s="1649"/>
      <c r="BJ32" s="1649"/>
      <c r="BK32" s="1649"/>
      <c r="BL32" s="1649"/>
      <c r="BM32" s="1649"/>
      <c r="BN32" s="1649"/>
    </row>
    <row r="33" spans="1:66" s="1648" customFormat="1" ht="14.45" customHeight="1">
      <c r="A33" s="1649"/>
      <c r="B33" s="1678" t="s">
        <v>846</v>
      </c>
      <c r="C33" s="1679">
        <f>SUM(C24:C32)</f>
        <v>0</v>
      </c>
      <c r="D33" s="1680">
        <f>SUM(D24:D32)</f>
        <v>0</v>
      </c>
      <c r="E33" s="1679">
        <f>SUM(E24:E32)</f>
        <v>0</v>
      </c>
      <c r="F33" s="1681">
        <f ca="1">SUM(F24:F32)</f>
        <v>0</v>
      </c>
      <c r="G33" s="1681" t="e">
        <f ca="1">SUM(G24:G32)</f>
        <v>#DIV/0!</v>
      </c>
      <c r="H33" s="1649"/>
      <c r="I33" s="1682"/>
      <c r="J33" s="1682"/>
      <c r="K33" s="1652"/>
      <c r="L33" s="1649"/>
      <c r="M33" s="1649"/>
      <c r="N33" s="1649"/>
      <c r="O33" s="1649"/>
      <c r="P33" s="1649"/>
      <c r="Q33" s="1649"/>
      <c r="R33" s="1649"/>
      <c r="S33" s="1649"/>
      <c r="T33" s="1649"/>
      <c r="U33" s="1649"/>
      <c r="V33" s="1649"/>
      <c r="W33" s="1649"/>
      <c r="X33" s="1649"/>
      <c r="Y33" s="1649"/>
      <c r="Z33" s="1649"/>
      <c r="AA33" s="1649"/>
      <c r="AB33" s="1649"/>
      <c r="AC33" s="1649"/>
      <c r="AD33" s="1649"/>
      <c r="AE33" s="1649"/>
      <c r="AF33" s="1649"/>
      <c r="AG33" s="1649"/>
      <c r="AH33" s="1649"/>
      <c r="AI33" s="1649"/>
      <c r="AJ33" s="1649"/>
      <c r="AK33" s="1649"/>
      <c r="AL33" s="1649"/>
      <c r="AM33" s="1649"/>
      <c r="AN33" s="1649"/>
      <c r="AO33" s="1649"/>
      <c r="AP33" s="1649"/>
      <c r="AQ33" s="1649"/>
      <c r="AR33" s="1649"/>
      <c r="AS33" s="1649"/>
      <c r="AT33" s="1649"/>
      <c r="AU33" s="1649"/>
      <c r="AV33" s="1649"/>
      <c r="AW33" s="1649"/>
      <c r="AX33" s="1649"/>
      <c r="AY33" s="1649"/>
      <c r="AZ33" s="1649"/>
      <c r="BA33" s="1649"/>
      <c r="BB33" s="1649"/>
      <c r="BC33" s="1649"/>
      <c r="BD33" s="1649"/>
      <c r="BE33" s="1649"/>
      <c r="BF33" s="1649"/>
      <c r="BG33" s="1649"/>
      <c r="BH33" s="1649"/>
      <c r="BI33" s="1649"/>
      <c r="BJ33" s="1649"/>
      <c r="BK33" s="1649"/>
      <c r="BL33" s="1649"/>
      <c r="BM33" s="1649"/>
      <c r="BN33" s="1649"/>
    </row>
    <row r="34" spans="1:66" s="1648" customFormat="1" ht="14.45" customHeight="1">
      <c r="A34" s="1649"/>
      <c r="B34" s="1652"/>
      <c r="C34" s="1683"/>
      <c r="D34" s="1651"/>
      <c r="E34" s="1651"/>
      <c r="F34" s="1652"/>
      <c r="G34" s="1652"/>
      <c r="H34" s="1649"/>
      <c r="I34" s="1649"/>
      <c r="J34" s="1649"/>
      <c r="K34" s="1652"/>
      <c r="L34" s="1649"/>
      <c r="M34" s="1649"/>
      <c r="N34" s="1649"/>
      <c r="O34" s="1649"/>
      <c r="P34" s="1649"/>
      <c r="Q34" s="1649"/>
      <c r="R34" s="1649"/>
      <c r="S34" s="1649"/>
      <c r="T34" s="1649"/>
      <c r="U34" s="1649"/>
      <c r="V34" s="1649"/>
      <c r="W34" s="1649"/>
      <c r="X34" s="1649"/>
      <c r="Y34" s="1649"/>
      <c r="Z34" s="1649"/>
      <c r="AA34" s="1649"/>
      <c r="AB34" s="1649"/>
      <c r="AC34" s="1649"/>
      <c r="AD34" s="1649"/>
      <c r="AE34" s="1649"/>
      <c r="AF34" s="1649"/>
      <c r="AG34" s="1649"/>
      <c r="AH34" s="1649"/>
      <c r="AI34" s="1649"/>
      <c r="AJ34" s="1649"/>
      <c r="AK34" s="1649"/>
      <c r="AL34" s="1649"/>
      <c r="AM34" s="1649"/>
      <c r="AN34" s="1649"/>
      <c r="AO34" s="1649"/>
      <c r="AP34" s="1649"/>
      <c r="AQ34" s="1649"/>
      <c r="AR34" s="1649"/>
      <c r="AS34" s="1649"/>
      <c r="AT34" s="1649"/>
      <c r="AU34" s="1649"/>
      <c r="AV34" s="1649"/>
      <c r="AW34" s="1649"/>
      <c r="AX34" s="1649"/>
      <c r="AY34" s="1649"/>
      <c r="AZ34" s="1649"/>
      <c r="BA34" s="1649"/>
      <c r="BB34" s="1649"/>
      <c r="BC34" s="1649"/>
      <c r="BD34" s="1649"/>
      <c r="BE34" s="1649"/>
      <c r="BF34" s="1649"/>
      <c r="BG34" s="1649"/>
      <c r="BH34" s="1649"/>
      <c r="BI34" s="1649"/>
      <c r="BJ34" s="1649"/>
      <c r="BK34" s="1649"/>
      <c r="BL34" s="1649"/>
      <c r="BM34" s="1649"/>
      <c r="BN34" s="1649"/>
    </row>
    <row r="35" spans="1:66" s="1648" customFormat="1" ht="14.45" customHeight="1">
      <c r="A35" s="1649"/>
      <c r="B35" s="1652"/>
      <c r="C35" s="1651"/>
      <c r="D35" s="1651"/>
      <c r="E35" s="1651"/>
      <c r="F35" s="1684"/>
      <c r="G35" s="1652"/>
      <c r="H35" s="1649"/>
      <c r="I35" s="1649"/>
      <c r="J35" s="1649"/>
      <c r="K35" s="1652"/>
      <c r="L35" s="1649"/>
      <c r="M35" s="1649"/>
      <c r="N35" s="1649"/>
      <c r="O35" s="1649"/>
      <c r="P35" s="1649"/>
      <c r="Q35" s="1649"/>
      <c r="R35" s="1649"/>
      <c r="S35" s="1649"/>
      <c r="T35" s="1649"/>
      <c r="U35" s="1649"/>
      <c r="V35" s="1649"/>
      <c r="W35" s="1649"/>
      <c r="X35" s="1649"/>
      <c r="Y35" s="1649"/>
      <c r="Z35" s="1649"/>
      <c r="AA35" s="1649"/>
      <c r="AB35" s="1649"/>
      <c r="AC35" s="1649"/>
      <c r="AD35" s="1649"/>
      <c r="AE35" s="1649"/>
      <c r="AF35" s="1649"/>
      <c r="AG35" s="1649"/>
      <c r="AH35" s="1649"/>
      <c r="AI35" s="1649"/>
      <c r="AJ35" s="1649"/>
      <c r="AK35" s="1649"/>
      <c r="AL35" s="1649"/>
      <c r="AM35" s="1649"/>
      <c r="AN35" s="1649"/>
      <c r="AO35" s="1649"/>
      <c r="AP35" s="1649"/>
      <c r="AQ35" s="1649"/>
      <c r="AR35" s="1649"/>
      <c r="AS35" s="1649"/>
      <c r="AT35" s="1649"/>
      <c r="AU35" s="1649"/>
      <c r="AV35" s="1649"/>
      <c r="AW35" s="1649"/>
      <c r="AX35" s="1649"/>
      <c r="AY35" s="1649"/>
      <c r="AZ35" s="1649"/>
      <c r="BA35" s="1649"/>
      <c r="BB35" s="1649"/>
      <c r="BC35" s="1649"/>
      <c r="BD35" s="1649"/>
      <c r="BE35" s="1649"/>
      <c r="BF35" s="1649"/>
      <c r="BG35" s="1649"/>
      <c r="BH35" s="1649"/>
      <c r="BI35" s="1649"/>
      <c r="BJ35" s="1649"/>
      <c r="BK35" s="1649"/>
      <c r="BL35" s="1649"/>
      <c r="BM35" s="1649"/>
      <c r="BN35" s="1649"/>
    </row>
    <row r="36" spans="1:66" s="1648" customFormat="1" ht="14.45" customHeight="1">
      <c r="A36" s="1649"/>
      <c r="B36" s="1650" t="s">
        <v>1420</v>
      </c>
      <c r="C36" s="1683"/>
      <c r="D36" s="1651"/>
      <c r="E36" s="1651"/>
      <c r="F36" s="1652"/>
      <c r="G36" s="1685"/>
      <c r="H36" s="1649"/>
      <c r="I36" s="1649"/>
      <c r="J36" s="1649"/>
      <c r="K36" s="1652"/>
      <c r="L36" s="1649"/>
      <c r="M36" s="1649"/>
      <c r="N36" s="1649"/>
      <c r="O36" s="1649"/>
      <c r="P36" s="1649"/>
      <c r="Q36" s="1649"/>
      <c r="R36" s="1649"/>
      <c r="S36" s="1649"/>
      <c r="T36" s="1649"/>
      <c r="U36" s="1649"/>
      <c r="V36" s="1649"/>
      <c r="W36" s="1649"/>
      <c r="X36" s="1649"/>
      <c r="Y36" s="1649"/>
      <c r="Z36" s="1649"/>
      <c r="AA36" s="1649"/>
      <c r="AB36" s="1649"/>
      <c r="AC36" s="1649"/>
      <c r="AD36" s="1649"/>
      <c r="AE36" s="1649"/>
      <c r="AF36" s="1649"/>
      <c r="AG36" s="1649"/>
      <c r="AH36" s="1649"/>
      <c r="AI36" s="1649"/>
      <c r="AJ36" s="1649"/>
      <c r="AK36" s="1649"/>
      <c r="AL36" s="1649"/>
      <c r="AM36" s="1649"/>
      <c r="AN36" s="1649"/>
      <c r="AO36" s="1649"/>
      <c r="AP36" s="1649"/>
      <c r="AQ36" s="1649"/>
      <c r="AR36" s="1649"/>
      <c r="AS36" s="1649"/>
      <c r="AT36" s="1649"/>
      <c r="AU36" s="1649"/>
      <c r="AV36" s="1649"/>
      <c r="AW36" s="1649"/>
      <c r="AX36" s="1649"/>
      <c r="AY36" s="1649"/>
      <c r="AZ36" s="1649"/>
      <c r="BA36" s="1649"/>
      <c r="BB36" s="1649"/>
      <c r="BC36" s="1649"/>
      <c r="BD36" s="1649"/>
      <c r="BE36" s="1649"/>
      <c r="BF36" s="1649"/>
      <c r="BG36" s="1649"/>
      <c r="BH36" s="1649"/>
      <c r="BI36" s="1649"/>
      <c r="BJ36" s="1649"/>
      <c r="BK36" s="1649"/>
      <c r="BL36" s="1649"/>
      <c r="BM36" s="1649"/>
      <c r="BN36" s="1649"/>
    </row>
    <row r="37" spans="1:66" s="1648" customFormat="1" ht="43.5" customHeight="1">
      <c r="A37" s="1649"/>
      <c r="B37" s="1686" t="s">
        <v>855</v>
      </c>
      <c r="C37" s="1686" t="s">
        <v>1421</v>
      </c>
      <c r="D37" s="1686" t="s">
        <v>1422</v>
      </c>
      <c r="E37" s="1687"/>
      <c r="F37" s="1684"/>
      <c r="G37" s="1652"/>
      <c r="H37" s="1652"/>
      <c r="I37" s="1652"/>
      <c r="J37" s="1652"/>
      <c r="K37" s="1652"/>
      <c r="L37" s="1649"/>
      <c r="M37" s="1649"/>
      <c r="N37" s="1649"/>
      <c r="O37" s="1649"/>
      <c r="P37" s="1649"/>
      <c r="Q37" s="1649"/>
      <c r="R37" s="1649"/>
      <c r="S37" s="1649"/>
      <c r="T37" s="1649"/>
      <c r="U37" s="1649"/>
      <c r="V37" s="1649"/>
      <c r="W37" s="1649"/>
      <c r="X37" s="1649"/>
      <c r="Y37" s="1649"/>
      <c r="Z37" s="1649"/>
      <c r="AA37" s="1649"/>
      <c r="AB37" s="1649"/>
      <c r="AC37" s="1649"/>
      <c r="AD37" s="1649"/>
      <c r="AE37" s="1649"/>
      <c r="AF37" s="1649"/>
      <c r="AG37" s="1649"/>
      <c r="AH37" s="1649"/>
      <c r="AI37" s="1649"/>
      <c r="AJ37" s="1649"/>
      <c r="AK37" s="1649"/>
      <c r="AL37" s="1649"/>
      <c r="AM37" s="1649"/>
      <c r="AN37" s="1649"/>
      <c r="AO37" s="1649"/>
      <c r="AP37" s="1649"/>
      <c r="AQ37" s="1649"/>
      <c r="AR37" s="1649"/>
      <c r="AS37" s="1649"/>
      <c r="AT37" s="1649"/>
      <c r="AU37" s="1649"/>
      <c r="AV37" s="1649"/>
      <c r="AW37" s="1649"/>
      <c r="AX37" s="1649"/>
      <c r="AY37" s="1649"/>
      <c r="AZ37" s="1649"/>
      <c r="BA37" s="1649"/>
      <c r="BB37" s="1649"/>
      <c r="BC37" s="1649"/>
      <c r="BD37" s="1649"/>
      <c r="BE37" s="1649"/>
      <c r="BF37" s="1649"/>
      <c r="BG37" s="1649"/>
      <c r="BH37" s="1649"/>
      <c r="BI37" s="1649"/>
      <c r="BJ37" s="1649"/>
      <c r="BK37" s="1649"/>
      <c r="BL37" s="1649"/>
      <c r="BM37" s="1649"/>
      <c r="BN37" s="1649"/>
    </row>
    <row r="38" spans="1:66" s="1648" customFormat="1" ht="14.45" customHeight="1">
      <c r="A38" s="1649"/>
      <c r="B38" s="1688" t="s">
        <v>1403</v>
      </c>
      <c r="C38" s="1689"/>
      <c r="D38" s="1690"/>
      <c r="E38" s="1687"/>
      <c r="F38" s="1684"/>
      <c r="G38" s="1652"/>
      <c r="H38" s="1652"/>
      <c r="I38" s="1652"/>
      <c r="J38" s="1652"/>
      <c r="K38" s="1652"/>
      <c r="L38" s="1649"/>
      <c r="M38" s="1649"/>
      <c r="N38" s="1649"/>
      <c r="O38" s="1649"/>
      <c r="P38" s="1649"/>
      <c r="Q38" s="1649"/>
      <c r="R38" s="1649"/>
      <c r="S38" s="1649"/>
      <c r="T38" s="1649"/>
      <c r="U38" s="1649"/>
      <c r="V38" s="1649"/>
      <c r="W38" s="1649"/>
      <c r="X38" s="1649"/>
      <c r="Y38" s="1649"/>
      <c r="Z38" s="1649"/>
      <c r="AA38" s="1649"/>
      <c r="AB38" s="1649"/>
      <c r="AC38" s="1649"/>
      <c r="AD38" s="1649"/>
      <c r="AE38" s="1649"/>
      <c r="AF38" s="1649"/>
      <c r="AG38" s="1649"/>
      <c r="AH38" s="1649"/>
      <c r="AI38" s="1649"/>
      <c r="AJ38" s="1649"/>
      <c r="AK38" s="1649"/>
      <c r="AL38" s="1649"/>
      <c r="AM38" s="1649"/>
      <c r="AN38" s="1649"/>
      <c r="AO38" s="1649"/>
      <c r="AP38" s="1649"/>
      <c r="AQ38" s="1649"/>
      <c r="AR38" s="1649"/>
      <c r="AS38" s="1649"/>
      <c r="AT38" s="1649"/>
      <c r="AU38" s="1649"/>
      <c r="AV38" s="1649"/>
      <c r="AW38" s="1649"/>
      <c r="AX38" s="1649"/>
      <c r="AY38" s="1649"/>
      <c r="AZ38" s="1649"/>
      <c r="BA38" s="1649"/>
      <c r="BB38" s="1649"/>
      <c r="BC38" s="1649"/>
      <c r="BD38" s="1649"/>
      <c r="BE38" s="1649"/>
      <c r="BF38" s="1649"/>
      <c r="BG38" s="1649"/>
      <c r="BH38" s="1649"/>
      <c r="BI38" s="1649"/>
      <c r="BJ38" s="1649"/>
      <c r="BK38" s="1649"/>
      <c r="BL38" s="1649"/>
      <c r="BM38" s="1649"/>
      <c r="BN38" s="1649"/>
    </row>
    <row r="39" spans="1:66" s="1648" customFormat="1" ht="14.45" customHeight="1">
      <c r="A39" s="1649"/>
      <c r="B39" s="1691" t="s">
        <v>41</v>
      </c>
      <c r="C39" s="1651"/>
      <c r="D39" s="1692">
        <v>0</v>
      </c>
      <c r="E39" s="1687"/>
      <c r="F39" s="1684"/>
      <c r="G39" s="1684"/>
      <c r="H39" s="1652"/>
      <c r="I39" s="1652"/>
      <c r="J39" s="1652"/>
      <c r="K39" s="1652"/>
      <c r="L39" s="1649"/>
      <c r="M39" s="1649"/>
      <c r="N39" s="1649"/>
      <c r="O39" s="1649"/>
      <c r="P39" s="1649"/>
      <c r="Q39" s="1649"/>
      <c r="R39" s="1649"/>
      <c r="S39" s="1649"/>
      <c r="T39" s="1649"/>
      <c r="U39" s="1649"/>
      <c r="V39" s="1649"/>
      <c r="W39" s="1649"/>
      <c r="X39" s="1649"/>
      <c r="Y39" s="1649"/>
      <c r="Z39" s="1649"/>
      <c r="AA39" s="1649"/>
      <c r="AB39" s="1649"/>
      <c r="AC39" s="1649"/>
      <c r="AD39" s="1649"/>
      <c r="AE39" s="1649"/>
      <c r="AF39" s="1649"/>
      <c r="AG39" s="1649"/>
      <c r="AH39" s="1649"/>
      <c r="AI39" s="1649"/>
      <c r="AJ39" s="1649"/>
      <c r="AK39" s="1649"/>
      <c r="AL39" s="1649"/>
      <c r="AM39" s="1649"/>
      <c r="AN39" s="1649"/>
      <c r="AO39" s="1649"/>
      <c r="AP39" s="1649"/>
      <c r="AQ39" s="1649"/>
      <c r="AR39" s="1649"/>
      <c r="AS39" s="1649"/>
      <c r="AT39" s="1649"/>
      <c r="AU39" s="1649"/>
      <c r="AV39" s="1649"/>
      <c r="AW39" s="1649"/>
      <c r="AX39" s="1649"/>
      <c r="AY39" s="1649"/>
      <c r="AZ39" s="1649"/>
      <c r="BA39" s="1649"/>
      <c r="BB39" s="1649"/>
      <c r="BC39" s="1649"/>
      <c r="BD39" s="1649"/>
      <c r="BE39" s="1649"/>
      <c r="BF39" s="1649"/>
      <c r="BG39" s="1649"/>
      <c r="BH39" s="1649"/>
      <c r="BI39" s="1649"/>
      <c r="BJ39" s="1649"/>
      <c r="BK39" s="1649"/>
      <c r="BL39" s="1649"/>
      <c r="BM39" s="1649"/>
      <c r="BN39" s="1649"/>
    </row>
    <row r="40" spans="1:66" s="1648" customFormat="1" ht="14.45" customHeight="1">
      <c r="A40" s="1649"/>
      <c r="B40" s="1691" t="s">
        <v>1406</v>
      </c>
      <c r="C40" s="1687"/>
      <c r="D40" s="1692">
        <v>0</v>
      </c>
      <c r="E40" s="1687"/>
      <c r="F40" s="1684"/>
      <c r="G40" s="1652"/>
      <c r="H40" s="1652"/>
      <c r="I40" s="1652"/>
      <c r="J40" s="1652"/>
      <c r="K40" s="1652"/>
      <c r="L40" s="1649"/>
      <c r="M40" s="1649"/>
      <c r="N40" s="1649"/>
      <c r="O40" s="1649"/>
      <c r="P40" s="1649"/>
      <c r="Q40" s="1649"/>
      <c r="R40" s="1649"/>
      <c r="S40" s="1649"/>
      <c r="T40" s="1649"/>
      <c r="U40" s="1649"/>
      <c r="V40" s="1649"/>
      <c r="W40" s="1649"/>
      <c r="X40" s="1649"/>
      <c r="Y40" s="1649"/>
      <c r="Z40" s="1649"/>
      <c r="AA40" s="1649"/>
      <c r="AB40" s="1649"/>
      <c r="AC40" s="1649"/>
      <c r="AD40" s="1649"/>
      <c r="AE40" s="1649"/>
      <c r="AF40" s="1649"/>
      <c r="AG40" s="1649"/>
      <c r="AH40" s="1649"/>
      <c r="AI40" s="1649"/>
      <c r="AJ40" s="1649"/>
      <c r="AK40" s="1649"/>
      <c r="AL40" s="1649"/>
      <c r="AM40" s="1649"/>
      <c r="AN40" s="1649"/>
      <c r="AO40" s="1649"/>
      <c r="AP40" s="1649"/>
      <c r="AQ40" s="1649"/>
      <c r="AR40" s="1649"/>
      <c r="AS40" s="1649"/>
      <c r="AT40" s="1649"/>
      <c r="AU40" s="1649"/>
      <c r="AV40" s="1649"/>
      <c r="AW40" s="1649"/>
      <c r="AX40" s="1649"/>
      <c r="AY40" s="1649"/>
      <c r="AZ40" s="1649"/>
      <c r="BA40" s="1649"/>
      <c r="BB40" s="1649"/>
      <c r="BC40" s="1649"/>
      <c r="BD40" s="1649"/>
      <c r="BE40" s="1649"/>
      <c r="BF40" s="1649"/>
      <c r="BG40" s="1649"/>
      <c r="BH40" s="1649"/>
      <c r="BI40" s="1649"/>
      <c r="BJ40" s="1649"/>
      <c r="BK40" s="1649"/>
      <c r="BL40" s="1649"/>
      <c r="BM40" s="1649"/>
      <c r="BN40" s="1649"/>
    </row>
    <row r="41" spans="1:66" s="1648" customFormat="1" ht="14.45" customHeight="1">
      <c r="A41" s="1649"/>
      <c r="B41" s="1691" t="s">
        <v>705</v>
      </c>
      <c r="C41" s="1687"/>
      <c r="D41" s="1693"/>
      <c r="E41" s="1687"/>
      <c r="F41" s="1684"/>
      <c r="G41" s="1652"/>
      <c r="H41" s="1652"/>
      <c r="I41" s="1652"/>
      <c r="J41" s="1652"/>
      <c r="K41" s="1652"/>
      <c r="L41" s="1649"/>
      <c r="M41" s="1649"/>
      <c r="N41" s="1649"/>
      <c r="O41" s="1649"/>
      <c r="P41" s="1649"/>
      <c r="Q41" s="1649"/>
      <c r="R41" s="1649"/>
      <c r="S41" s="1649"/>
      <c r="T41" s="1649"/>
      <c r="U41" s="1649"/>
      <c r="V41" s="1649"/>
      <c r="W41" s="1649"/>
      <c r="X41" s="1649"/>
      <c r="Y41" s="1649"/>
      <c r="Z41" s="1649"/>
      <c r="AA41" s="1649"/>
      <c r="AB41" s="1649"/>
      <c r="AC41" s="1649"/>
      <c r="AD41" s="1649"/>
      <c r="AE41" s="1649"/>
      <c r="AF41" s="1649"/>
      <c r="AG41" s="1649"/>
      <c r="AH41" s="1649"/>
      <c r="AI41" s="1649"/>
      <c r="AJ41" s="1649"/>
      <c r="AK41" s="1649"/>
      <c r="AL41" s="1649"/>
      <c r="AM41" s="1649"/>
      <c r="AN41" s="1649"/>
      <c r="AO41" s="1649"/>
      <c r="AP41" s="1649"/>
      <c r="AQ41" s="1649"/>
      <c r="AR41" s="1649"/>
      <c r="AS41" s="1649"/>
      <c r="AT41" s="1649"/>
      <c r="AU41" s="1649"/>
      <c r="AV41" s="1649"/>
      <c r="AW41" s="1649"/>
      <c r="AX41" s="1649"/>
      <c r="AY41" s="1649"/>
      <c r="AZ41" s="1649"/>
      <c r="BA41" s="1649"/>
      <c r="BB41" s="1649"/>
      <c r="BC41" s="1649"/>
      <c r="BD41" s="1649"/>
      <c r="BE41" s="1649"/>
      <c r="BF41" s="1649"/>
      <c r="BG41" s="1649"/>
      <c r="BH41" s="1649"/>
      <c r="BI41" s="1649"/>
      <c r="BJ41" s="1649"/>
      <c r="BK41" s="1649"/>
      <c r="BL41" s="1649"/>
      <c r="BM41" s="1649"/>
      <c r="BN41" s="1649"/>
    </row>
    <row r="42" spans="1:66" s="1648" customFormat="1" ht="14.45" customHeight="1">
      <c r="A42" s="1649"/>
      <c r="B42" s="1691" t="s">
        <v>1409</v>
      </c>
      <c r="C42" s="1694"/>
      <c r="D42" s="1692">
        <v>0</v>
      </c>
      <c r="E42" s="1687"/>
      <c r="F42" s="1684"/>
      <c r="G42" s="1652"/>
      <c r="H42" s="1652"/>
      <c r="I42" s="1652"/>
      <c r="J42" s="1652"/>
      <c r="K42" s="1652"/>
      <c r="L42" s="1649"/>
      <c r="M42" s="1649"/>
      <c r="N42" s="1649"/>
      <c r="O42" s="1649"/>
      <c r="P42" s="1649"/>
      <c r="Q42" s="1649"/>
      <c r="R42" s="1649"/>
      <c r="S42" s="1649"/>
      <c r="T42" s="1649"/>
      <c r="U42" s="1649"/>
      <c r="V42" s="1649"/>
      <c r="W42" s="1649"/>
      <c r="X42" s="1649"/>
      <c r="Y42" s="1649"/>
      <c r="Z42" s="1649"/>
      <c r="AA42" s="1649"/>
      <c r="AB42" s="1649"/>
      <c r="AC42" s="1649"/>
      <c r="AD42" s="1649"/>
      <c r="AE42" s="1649"/>
      <c r="AF42" s="1649"/>
      <c r="AG42" s="1649"/>
      <c r="AH42" s="1649"/>
      <c r="AI42" s="1649"/>
      <c r="AJ42" s="1649"/>
      <c r="AK42" s="1649"/>
      <c r="AL42" s="1649"/>
      <c r="AM42" s="1649"/>
      <c r="AN42" s="1649"/>
      <c r="AO42" s="1649"/>
      <c r="AP42" s="1649"/>
      <c r="AQ42" s="1649"/>
      <c r="AR42" s="1649"/>
      <c r="AS42" s="1649"/>
      <c r="AT42" s="1649"/>
      <c r="AU42" s="1649"/>
      <c r="AV42" s="1649"/>
      <c r="AW42" s="1649"/>
      <c r="AX42" s="1649"/>
      <c r="AY42" s="1649"/>
      <c r="AZ42" s="1649"/>
      <c r="BA42" s="1649"/>
      <c r="BB42" s="1649"/>
      <c r="BC42" s="1649"/>
      <c r="BD42" s="1649"/>
      <c r="BE42" s="1649"/>
      <c r="BF42" s="1649"/>
      <c r="BG42" s="1649"/>
      <c r="BH42" s="1649"/>
      <c r="BI42" s="1649"/>
      <c r="BJ42" s="1649"/>
      <c r="BK42" s="1649"/>
      <c r="BL42" s="1649"/>
      <c r="BM42" s="1649"/>
      <c r="BN42" s="1649"/>
    </row>
    <row r="43" spans="1:66" s="1648" customFormat="1" ht="14.45" customHeight="1">
      <c r="A43" s="1649"/>
      <c r="B43" s="1691" t="s">
        <v>126</v>
      </c>
      <c r="C43" s="1695"/>
      <c r="D43" s="1690"/>
      <c r="E43" s="1687"/>
      <c r="F43" s="1684"/>
      <c r="G43" s="1652"/>
      <c r="H43" s="1652"/>
      <c r="I43" s="1652"/>
      <c r="J43" s="1652"/>
      <c r="K43" s="1652"/>
      <c r="L43" s="1649"/>
      <c r="M43" s="1649"/>
      <c r="N43" s="1649"/>
      <c r="O43" s="1649"/>
      <c r="P43" s="1649"/>
      <c r="Q43" s="1649"/>
      <c r="R43" s="1649"/>
      <c r="S43" s="1649"/>
      <c r="T43" s="1649"/>
      <c r="U43" s="1649"/>
      <c r="V43" s="1649"/>
      <c r="W43" s="1649"/>
      <c r="X43" s="1649"/>
      <c r="Y43" s="1649"/>
      <c r="Z43" s="1649"/>
      <c r="AA43" s="1649"/>
      <c r="AB43" s="1649"/>
      <c r="AC43" s="1649"/>
      <c r="AD43" s="1649"/>
      <c r="AE43" s="1649"/>
      <c r="AF43" s="1649"/>
      <c r="AG43" s="1649"/>
      <c r="AH43" s="1649"/>
      <c r="AI43" s="1649"/>
      <c r="AJ43" s="1649"/>
      <c r="AK43" s="1649"/>
      <c r="AL43" s="1649"/>
      <c r="AM43" s="1649"/>
      <c r="AN43" s="1649"/>
      <c r="AO43" s="1649"/>
      <c r="AP43" s="1649"/>
      <c r="AQ43" s="1649"/>
      <c r="AR43" s="1649"/>
      <c r="AS43" s="1649"/>
      <c r="AT43" s="1649"/>
      <c r="AU43" s="1649"/>
      <c r="AV43" s="1649"/>
      <c r="AW43" s="1649"/>
      <c r="AX43" s="1649"/>
      <c r="AY43" s="1649"/>
      <c r="AZ43" s="1649"/>
      <c r="BA43" s="1649"/>
      <c r="BB43" s="1649"/>
      <c r="BC43" s="1649"/>
      <c r="BD43" s="1649"/>
      <c r="BE43" s="1649"/>
      <c r="BF43" s="1649"/>
      <c r="BG43" s="1649"/>
      <c r="BH43" s="1649"/>
      <c r="BI43" s="1649"/>
      <c r="BJ43" s="1649"/>
      <c r="BK43" s="1649"/>
      <c r="BL43" s="1649"/>
      <c r="BM43" s="1649"/>
      <c r="BN43" s="1649"/>
    </row>
    <row r="44" spans="1:66" s="1648" customFormat="1" ht="14.45" customHeight="1">
      <c r="A44" s="1649"/>
      <c r="B44" s="1691" t="s">
        <v>1412</v>
      </c>
      <c r="C44" s="1695"/>
      <c r="D44" s="1690"/>
      <c r="E44" s="1687"/>
      <c r="F44" s="1684"/>
      <c r="G44" s="1652"/>
      <c r="H44" s="1652"/>
      <c r="I44" s="1652"/>
      <c r="J44" s="1652"/>
      <c r="K44" s="1652"/>
      <c r="L44" s="1649"/>
      <c r="M44" s="1649"/>
      <c r="N44" s="1649"/>
      <c r="O44" s="1649"/>
      <c r="P44" s="1649"/>
      <c r="Q44" s="1649"/>
      <c r="R44" s="1649"/>
      <c r="S44" s="1649"/>
      <c r="T44" s="1649"/>
      <c r="U44" s="1649"/>
      <c r="V44" s="1649"/>
      <c r="W44" s="1649"/>
      <c r="X44" s="1649"/>
      <c r="Y44" s="1649"/>
      <c r="Z44" s="1649"/>
      <c r="AA44" s="1649"/>
      <c r="AB44" s="1649"/>
      <c r="AC44" s="1649"/>
      <c r="AD44" s="1649"/>
      <c r="AE44" s="1649"/>
      <c r="AF44" s="1649"/>
      <c r="AG44" s="1649"/>
      <c r="AH44" s="1649"/>
      <c r="AI44" s="1649"/>
      <c r="AJ44" s="1649"/>
      <c r="AK44" s="1649"/>
      <c r="AL44" s="1649"/>
      <c r="AM44" s="1649"/>
      <c r="AN44" s="1649"/>
      <c r="AO44" s="1649"/>
      <c r="AP44" s="1649"/>
      <c r="AQ44" s="1649"/>
      <c r="AR44" s="1649"/>
      <c r="AS44" s="1649"/>
      <c r="AT44" s="1649"/>
      <c r="AU44" s="1649"/>
      <c r="AV44" s="1649"/>
      <c r="AW44" s="1649"/>
      <c r="AX44" s="1649"/>
      <c r="AY44" s="1649"/>
      <c r="AZ44" s="1649"/>
      <c r="BA44" s="1649"/>
      <c r="BB44" s="1649"/>
      <c r="BC44" s="1649"/>
      <c r="BD44" s="1649"/>
      <c r="BE44" s="1649"/>
      <c r="BF44" s="1649"/>
      <c r="BG44" s="1649"/>
      <c r="BH44" s="1649"/>
      <c r="BI44" s="1649"/>
      <c r="BJ44" s="1649"/>
      <c r="BK44" s="1649"/>
      <c r="BL44" s="1649"/>
      <c r="BM44" s="1649"/>
      <c r="BN44" s="1649"/>
    </row>
    <row r="45" spans="1:66" s="1648" customFormat="1" ht="14.45" customHeight="1">
      <c r="A45" s="1649"/>
      <c r="B45" s="1691" t="s">
        <v>122</v>
      </c>
      <c r="C45" s="1695"/>
      <c r="D45" s="1690"/>
      <c r="E45" s="1687"/>
      <c r="F45" s="1684"/>
      <c r="G45" s="1652"/>
      <c r="H45" s="1652"/>
      <c r="I45" s="1652"/>
      <c r="J45" s="1652"/>
      <c r="K45" s="1652"/>
      <c r="L45" s="1649"/>
      <c r="M45" s="1649"/>
      <c r="N45" s="1649"/>
      <c r="O45" s="1649"/>
      <c r="P45" s="1649"/>
      <c r="Q45" s="1649"/>
      <c r="R45" s="1649"/>
      <c r="S45" s="1649"/>
      <c r="T45" s="1649"/>
      <c r="U45" s="1649"/>
      <c r="V45" s="1649"/>
      <c r="W45" s="1649"/>
      <c r="X45" s="1649"/>
      <c r="Y45" s="1649"/>
      <c r="Z45" s="1649"/>
      <c r="AA45" s="1649"/>
      <c r="AB45" s="1649"/>
      <c r="AC45" s="1649"/>
      <c r="AD45" s="1649"/>
      <c r="AE45" s="1649"/>
      <c r="AF45" s="1649"/>
      <c r="AG45" s="1649"/>
      <c r="AH45" s="1649"/>
      <c r="AI45" s="1649"/>
      <c r="AJ45" s="1649"/>
      <c r="AK45" s="1649"/>
      <c r="AL45" s="1649"/>
      <c r="AM45" s="1649"/>
      <c r="AN45" s="1649"/>
      <c r="AO45" s="1649"/>
      <c r="AP45" s="1649"/>
      <c r="AQ45" s="1649"/>
      <c r="AR45" s="1649"/>
      <c r="AS45" s="1649"/>
      <c r="AT45" s="1649"/>
      <c r="AU45" s="1649"/>
      <c r="AV45" s="1649"/>
      <c r="AW45" s="1649"/>
      <c r="AX45" s="1649"/>
      <c r="AY45" s="1649"/>
      <c r="AZ45" s="1649"/>
      <c r="BA45" s="1649"/>
      <c r="BB45" s="1649"/>
      <c r="BC45" s="1649"/>
      <c r="BD45" s="1649"/>
      <c r="BE45" s="1649"/>
      <c r="BF45" s="1649"/>
      <c r="BG45" s="1649"/>
      <c r="BH45" s="1649"/>
      <c r="BI45" s="1649"/>
      <c r="BJ45" s="1649"/>
      <c r="BK45" s="1649"/>
      <c r="BL45" s="1649"/>
      <c r="BM45" s="1649"/>
      <c r="BN45" s="1649"/>
    </row>
    <row r="46" spans="1:66" s="1648" customFormat="1" ht="14.45" customHeight="1">
      <c r="A46" s="1649"/>
      <c r="B46" s="1673" t="s">
        <v>46</v>
      </c>
      <c r="C46" s="1696"/>
      <c r="D46" s="1697"/>
      <c r="E46" s="1687"/>
      <c r="F46" s="1684"/>
      <c r="G46" s="1652"/>
      <c r="H46" s="1652"/>
      <c r="I46" s="1652"/>
      <c r="J46" s="1652"/>
      <c r="K46" s="1652"/>
      <c r="L46" s="1649"/>
      <c r="M46" s="1649"/>
      <c r="N46" s="1649"/>
      <c r="O46" s="1649"/>
      <c r="P46" s="1649"/>
      <c r="Q46" s="1649"/>
      <c r="R46" s="1649"/>
      <c r="S46" s="1649"/>
      <c r="T46" s="1649"/>
      <c r="U46" s="1649"/>
      <c r="V46" s="1649"/>
      <c r="W46" s="1649"/>
      <c r="X46" s="1649"/>
      <c r="Y46" s="1649"/>
      <c r="Z46" s="1649"/>
      <c r="AA46" s="1649"/>
      <c r="AB46" s="1649"/>
      <c r="AC46" s="1649"/>
      <c r="AD46" s="1649"/>
      <c r="AE46" s="1649"/>
      <c r="AF46" s="1649"/>
      <c r="AG46" s="1649"/>
      <c r="AH46" s="1649"/>
      <c r="AI46" s="1649"/>
      <c r="AJ46" s="1649"/>
      <c r="AK46" s="1649"/>
      <c r="AL46" s="1649"/>
      <c r="AM46" s="1649"/>
      <c r="AN46" s="1649"/>
      <c r="AO46" s="1649"/>
      <c r="AP46" s="1649"/>
      <c r="AQ46" s="1649"/>
      <c r="AR46" s="1649"/>
      <c r="AS46" s="1649"/>
      <c r="AT46" s="1649"/>
      <c r="AU46" s="1649"/>
      <c r="AV46" s="1649"/>
      <c r="AW46" s="1649"/>
      <c r="AX46" s="1649"/>
      <c r="AY46" s="1649"/>
      <c r="AZ46" s="1649"/>
      <c r="BA46" s="1649"/>
      <c r="BB46" s="1649"/>
      <c r="BC46" s="1649"/>
      <c r="BD46" s="1649"/>
      <c r="BE46" s="1649"/>
      <c r="BF46" s="1649"/>
      <c r="BG46" s="1649"/>
      <c r="BH46" s="1649"/>
      <c r="BI46" s="1649"/>
      <c r="BJ46" s="1649"/>
      <c r="BK46" s="1649"/>
      <c r="BL46" s="1649"/>
      <c r="BM46" s="1649"/>
      <c r="BN46" s="1649"/>
    </row>
    <row r="47" spans="1:66" s="1648" customFormat="1" ht="14.45" customHeight="1">
      <c r="A47" s="1649"/>
      <c r="B47" s="1684"/>
      <c r="C47" s="1687"/>
      <c r="D47" s="1687"/>
      <c r="E47" s="1687"/>
      <c r="F47" s="1684"/>
      <c r="G47" s="1652"/>
      <c r="H47" s="1652"/>
      <c r="I47" s="1652"/>
      <c r="J47" s="1652"/>
      <c r="K47" s="1652"/>
      <c r="L47" s="1649"/>
      <c r="M47" s="1649"/>
      <c r="N47" s="1649"/>
      <c r="O47" s="1649"/>
      <c r="P47" s="1649"/>
      <c r="Q47" s="1649"/>
      <c r="R47" s="1649"/>
      <c r="S47" s="1649"/>
      <c r="T47" s="1649"/>
      <c r="U47" s="1649"/>
      <c r="V47" s="1649"/>
      <c r="W47" s="1649"/>
      <c r="X47" s="1649"/>
      <c r="Y47" s="1649"/>
      <c r="Z47" s="1649"/>
      <c r="AA47" s="1649"/>
      <c r="AB47" s="1649"/>
      <c r="AC47" s="1649"/>
      <c r="AD47" s="1649"/>
      <c r="AE47" s="1649"/>
      <c r="AF47" s="1649"/>
      <c r="AG47" s="1649"/>
      <c r="AH47" s="1649"/>
      <c r="AI47" s="1649"/>
      <c r="AJ47" s="1649"/>
      <c r="AK47" s="1649"/>
      <c r="AL47" s="1649"/>
      <c r="AM47" s="1649"/>
      <c r="AN47" s="1649"/>
      <c r="AO47" s="1649"/>
      <c r="AP47" s="1649"/>
      <c r="AQ47" s="1649"/>
      <c r="AR47" s="1649"/>
      <c r="AS47" s="1649"/>
      <c r="AT47" s="1649"/>
      <c r="AU47" s="1649"/>
      <c r="AV47" s="1649"/>
      <c r="AW47" s="1649"/>
      <c r="AX47" s="1649"/>
      <c r="AY47" s="1649"/>
      <c r="AZ47" s="1649"/>
      <c r="BA47" s="1649"/>
      <c r="BB47" s="1649"/>
      <c r="BC47" s="1649"/>
      <c r="BD47" s="1649"/>
      <c r="BE47" s="1649"/>
      <c r="BF47" s="1649"/>
      <c r="BG47" s="1649"/>
      <c r="BH47" s="1649"/>
      <c r="BI47" s="1649"/>
      <c r="BJ47" s="1649"/>
      <c r="BK47" s="1649"/>
      <c r="BL47" s="1649"/>
      <c r="BM47" s="1649"/>
      <c r="BN47" s="1649"/>
    </row>
    <row r="48" spans="1:66" s="1648" customFormat="1" ht="14.45" customHeight="1">
      <c r="A48" s="1649"/>
      <c r="B48" s="1698"/>
      <c r="C48" s="1699"/>
      <c r="D48" s="1699"/>
      <c r="E48" s="1699"/>
      <c r="F48" s="1698"/>
      <c r="G48" s="1649"/>
      <c r="H48" s="1649"/>
      <c r="I48" s="1649"/>
      <c r="J48" s="1649"/>
      <c r="K48" s="1649"/>
      <c r="L48" s="1649"/>
      <c r="M48" s="1649"/>
      <c r="N48" s="1649"/>
      <c r="O48" s="1649"/>
      <c r="P48" s="1649"/>
      <c r="Q48" s="1649"/>
      <c r="R48" s="1649"/>
      <c r="S48" s="1649"/>
      <c r="T48" s="1649"/>
      <c r="U48" s="1649"/>
      <c r="V48" s="1649"/>
      <c r="W48" s="1649"/>
      <c r="X48" s="1649"/>
      <c r="Y48" s="1649"/>
      <c r="Z48" s="1649"/>
      <c r="AA48" s="1649"/>
      <c r="AB48" s="1649"/>
      <c r="AC48" s="1649"/>
      <c r="AD48" s="1649"/>
      <c r="AE48" s="1649"/>
      <c r="AF48" s="1649"/>
      <c r="AG48" s="1649"/>
      <c r="AH48" s="1649"/>
      <c r="AI48" s="1649"/>
      <c r="AJ48" s="1649"/>
      <c r="AK48" s="1649"/>
      <c r="AL48" s="1649"/>
      <c r="AM48" s="1649"/>
      <c r="AN48" s="1649"/>
      <c r="AO48" s="1649"/>
      <c r="AP48" s="1649"/>
      <c r="AQ48" s="1649"/>
      <c r="AR48" s="1649"/>
      <c r="AS48" s="1649"/>
      <c r="AT48" s="1649"/>
      <c r="AU48" s="1649"/>
      <c r="AV48" s="1649"/>
      <c r="AW48" s="1649"/>
      <c r="AX48" s="1649"/>
      <c r="AY48" s="1649"/>
      <c r="AZ48" s="1649"/>
      <c r="BA48" s="1649"/>
      <c r="BB48" s="1649"/>
      <c r="BC48" s="1649"/>
      <c r="BD48" s="1649"/>
      <c r="BE48" s="1649"/>
      <c r="BF48" s="1649"/>
      <c r="BG48" s="1649"/>
      <c r="BH48" s="1649"/>
      <c r="BI48" s="1649"/>
      <c r="BJ48" s="1649"/>
      <c r="BK48" s="1649"/>
      <c r="BL48" s="1649"/>
      <c r="BM48" s="1649"/>
      <c r="BN48" s="1649"/>
    </row>
    <row r="49" spans="1:66" s="1648" customFormat="1" ht="14.45" customHeight="1">
      <c r="A49" s="1649"/>
      <c r="B49" s="1698"/>
      <c r="C49" s="1699"/>
      <c r="D49" s="1699"/>
      <c r="E49" s="1699"/>
      <c r="F49" s="1698"/>
      <c r="G49" s="1649"/>
      <c r="H49" s="1649"/>
      <c r="I49" s="1649"/>
      <c r="J49" s="1649"/>
      <c r="K49" s="1649"/>
      <c r="L49" s="1649"/>
      <c r="M49" s="1649"/>
      <c r="N49" s="1649"/>
      <c r="O49" s="1649"/>
      <c r="P49" s="1649"/>
      <c r="Q49" s="1649"/>
      <c r="R49" s="1649"/>
      <c r="S49" s="1649"/>
      <c r="T49" s="1649"/>
      <c r="U49" s="1649"/>
      <c r="V49" s="1649"/>
      <c r="W49" s="1649"/>
      <c r="X49" s="1649"/>
      <c r="Y49" s="1649"/>
      <c r="Z49" s="1649"/>
      <c r="AA49" s="1649"/>
      <c r="AB49" s="1649"/>
      <c r="AC49" s="1649"/>
      <c r="AD49" s="1649"/>
      <c r="AE49" s="1649"/>
      <c r="AF49" s="1649"/>
      <c r="AG49" s="1649"/>
      <c r="AH49" s="1649"/>
      <c r="AI49" s="1649"/>
      <c r="AJ49" s="1649"/>
      <c r="AK49" s="1649"/>
      <c r="AL49" s="1649"/>
      <c r="AM49" s="1649"/>
      <c r="AN49" s="1649"/>
      <c r="AO49" s="1649"/>
      <c r="AP49" s="1649"/>
      <c r="AQ49" s="1649"/>
      <c r="AR49" s="1649"/>
      <c r="AS49" s="1649"/>
      <c r="AT49" s="1649"/>
      <c r="AU49" s="1649"/>
      <c r="AV49" s="1649"/>
      <c r="AW49" s="1649"/>
      <c r="AX49" s="1649"/>
      <c r="AY49" s="1649"/>
      <c r="AZ49" s="1649"/>
      <c r="BA49" s="1649"/>
      <c r="BB49" s="1649"/>
      <c r="BC49" s="1649"/>
      <c r="BD49" s="1649"/>
      <c r="BE49" s="1649"/>
      <c r="BF49" s="1649"/>
      <c r="BG49" s="1649"/>
      <c r="BH49" s="1649"/>
      <c r="BI49" s="1649"/>
      <c r="BJ49" s="1649"/>
      <c r="BK49" s="1649"/>
      <c r="BL49" s="1649"/>
      <c r="BM49" s="1649"/>
      <c r="BN49" s="1649"/>
    </row>
    <row r="50" spans="1:66" s="1648" customFormat="1" ht="14.45" customHeight="1">
      <c r="A50" s="1649"/>
      <c r="B50" s="1649"/>
      <c r="C50" s="1700"/>
      <c r="D50" s="1700"/>
      <c r="E50" s="1700"/>
      <c r="F50" s="1649"/>
      <c r="G50" s="1649"/>
      <c r="H50" s="1649"/>
      <c r="I50" s="1649"/>
      <c r="J50" s="1649"/>
      <c r="K50" s="1649"/>
      <c r="L50" s="1649"/>
      <c r="M50" s="1649"/>
      <c r="N50" s="1649"/>
      <c r="O50" s="1649"/>
      <c r="P50" s="1649"/>
      <c r="Q50" s="1649"/>
      <c r="R50" s="1649"/>
      <c r="S50" s="1649"/>
      <c r="T50" s="1649"/>
      <c r="U50" s="1649"/>
      <c r="V50" s="1649"/>
      <c r="W50" s="1649"/>
      <c r="X50" s="1649"/>
      <c r="Y50" s="1649"/>
      <c r="Z50" s="1649"/>
      <c r="AA50" s="1649"/>
      <c r="AB50" s="1649"/>
      <c r="AC50" s="1649"/>
      <c r="AD50" s="1649"/>
      <c r="AE50" s="1649"/>
      <c r="AF50" s="1649"/>
      <c r="AG50" s="1649"/>
      <c r="AH50" s="1649"/>
      <c r="AI50" s="1649"/>
      <c r="AJ50" s="1649"/>
      <c r="AK50" s="1649"/>
      <c r="AL50" s="1649"/>
      <c r="AM50" s="1649"/>
      <c r="AN50" s="1649"/>
      <c r="AO50" s="1649"/>
      <c r="AP50" s="1649"/>
      <c r="AQ50" s="1649"/>
      <c r="AR50" s="1649"/>
      <c r="AS50" s="1649"/>
      <c r="AT50" s="1649"/>
      <c r="AU50" s="1649"/>
      <c r="AV50" s="1649"/>
      <c r="AW50" s="1649"/>
      <c r="AX50" s="1649"/>
      <c r="AY50" s="1649"/>
      <c r="AZ50" s="1649"/>
      <c r="BA50" s="1649"/>
      <c r="BB50" s="1649"/>
      <c r="BC50" s="1649"/>
      <c r="BD50" s="1649"/>
      <c r="BE50" s="1649"/>
      <c r="BF50" s="1649"/>
      <c r="BG50" s="1649"/>
      <c r="BH50" s="1649"/>
      <c r="BI50" s="1649"/>
      <c r="BJ50" s="1649"/>
      <c r="BK50" s="1649"/>
      <c r="BL50" s="1649"/>
      <c r="BM50" s="1649"/>
      <c r="BN50" s="1649"/>
    </row>
    <row r="51" spans="1:66" s="1648" customFormat="1" ht="15" customHeight="1">
      <c r="A51" s="1649"/>
      <c r="B51" s="1649"/>
      <c r="C51" s="1700"/>
      <c r="D51" s="1700"/>
      <c r="E51" s="1700"/>
      <c r="F51" s="1649"/>
      <c r="G51" s="1649"/>
      <c r="H51" s="1649"/>
      <c r="I51" s="1649"/>
      <c r="J51" s="1649"/>
      <c r="K51" s="1649"/>
      <c r="L51" s="1649"/>
      <c r="M51" s="1649"/>
      <c r="N51" s="1649"/>
      <c r="O51" s="1649"/>
      <c r="P51" s="1649"/>
      <c r="Q51" s="1649"/>
      <c r="R51" s="1649"/>
      <c r="S51" s="1649"/>
      <c r="T51" s="1649"/>
      <c r="U51" s="1649"/>
      <c r="V51" s="1649"/>
      <c r="W51" s="1649"/>
      <c r="X51" s="1649"/>
      <c r="Y51" s="1649"/>
      <c r="Z51" s="1649"/>
      <c r="AA51" s="1649"/>
      <c r="AB51" s="1649"/>
      <c r="AC51" s="1649"/>
      <c r="AD51" s="1649"/>
      <c r="AE51" s="1649"/>
      <c r="AF51" s="1649"/>
      <c r="AG51" s="1649"/>
      <c r="AH51" s="1649"/>
      <c r="AI51" s="1649"/>
      <c r="AJ51" s="1649"/>
      <c r="AK51" s="1649"/>
      <c r="AL51" s="1649"/>
      <c r="AM51" s="1649"/>
      <c r="AN51" s="1649"/>
      <c r="AO51" s="1649"/>
      <c r="AP51" s="1649"/>
      <c r="AQ51" s="1649"/>
      <c r="AR51" s="1649"/>
      <c r="AS51" s="1649"/>
      <c r="AT51" s="1649"/>
      <c r="AU51" s="1649"/>
      <c r="AV51" s="1649"/>
      <c r="AW51" s="1649"/>
      <c r="AX51" s="1649"/>
      <c r="AY51" s="1649"/>
      <c r="AZ51" s="1649"/>
      <c r="BA51" s="1649"/>
      <c r="BB51" s="1649"/>
      <c r="BC51" s="1649"/>
      <c r="BD51" s="1649"/>
      <c r="BE51" s="1649"/>
      <c r="BF51" s="1649"/>
      <c r="BG51" s="1649"/>
      <c r="BH51" s="1649"/>
      <c r="BI51" s="1649"/>
      <c r="BJ51" s="1649"/>
      <c r="BK51" s="1649"/>
      <c r="BL51" s="1649"/>
      <c r="BM51" s="1649"/>
      <c r="BN51" s="1649"/>
    </row>
    <row r="52" spans="1:66" s="1648" customFormat="1" ht="15" customHeight="1">
      <c r="A52" s="1649"/>
      <c r="B52" s="1701" t="s">
        <v>1004</v>
      </c>
      <c r="C52" s="1701"/>
      <c r="D52" s="1701"/>
      <c r="E52" s="1701"/>
      <c r="F52" s="1701"/>
      <c r="G52" s="1701"/>
      <c r="H52" s="1701"/>
      <c r="I52" s="1701"/>
      <c r="J52" s="1701"/>
      <c r="K52" s="1702"/>
      <c r="L52" s="1702"/>
      <c r="M52" s="1702"/>
      <c r="N52" s="1702"/>
      <c r="O52" s="1702"/>
      <c r="P52" s="1702"/>
      <c r="Q52" s="1702"/>
      <c r="R52" s="1702"/>
      <c r="S52" s="1702"/>
      <c r="T52" s="1702"/>
      <c r="U52" s="1702"/>
      <c r="V52" s="1702"/>
      <c r="W52" s="1702"/>
      <c r="X52" s="1702"/>
      <c r="Y52" s="1702"/>
      <c r="Z52" s="1702"/>
      <c r="AA52" s="1702"/>
      <c r="AB52" s="1702"/>
      <c r="AC52" s="1649"/>
      <c r="AD52" s="1649"/>
      <c r="AE52" s="1649"/>
      <c r="AF52" s="1649"/>
      <c r="AG52" s="1649"/>
      <c r="AH52" s="1649"/>
      <c r="AI52" s="1649"/>
      <c r="AJ52" s="1649"/>
      <c r="AK52" s="1649"/>
      <c r="AL52" s="1649"/>
      <c r="AM52" s="1649"/>
      <c r="AN52" s="1649"/>
      <c r="AO52" s="1649"/>
      <c r="AP52" s="1649"/>
      <c r="AQ52" s="1649"/>
      <c r="AR52" s="1649"/>
      <c r="AS52" s="1649"/>
      <c r="AT52" s="1649"/>
      <c r="AU52" s="1649"/>
      <c r="AV52" s="1649"/>
      <c r="AW52" s="1649"/>
      <c r="AX52" s="1649"/>
      <c r="AY52" s="1649"/>
      <c r="AZ52" s="1649"/>
      <c r="BA52" s="1649"/>
      <c r="BB52" s="1649"/>
      <c r="BC52" s="1649"/>
      <c r="BD52" s="1649"/>
      <c r="BE52" s="1649"/>
      <c r="BF52" s="1649"/>
      <c r="BG52" s="1649"/>
      <c r="BH52" s="1649"/>
      <c r="BI52" s="1649"/>
      <c r="BJ52" s="1649"/>
      <c r="BK52" s="1649"/>
      <c r="BL52" s="1649"/>
      <c r="BM52" s="1649"/>
      <c r="BN52" s="1649"/>
    </row>
    <row r="53" spans="1:66" s="1648" customFormat="1" ht="15" customHeight="1">
      <c r="A53" s="1649"/>
      <c r="B53" s="1703" t="s">
        <v>1005</v>
      </c>
      <c r="C53" s="1703"/>
      <c r="D53" s="1704" t="s">
        <v>968</v>
      </c>
      <c r="E53" s="1704" t="s">
        <v>49</v>
      </c>
      <c r="F53" s="1704" t="s">
        <v>971</v>
      </c>
      <c r="G53" s="1704" t="s">
        <v>47</v>
      </c>
      <c r="H53" s="1704" t="s">
        <v>41</v>
      </c>
      <c r="I53" s="1704" t="s">
        <v>40</v>
      </c>
      <c r="J53" s="1704" t="s">
        <v>126</v>
      </c>
      <c r="K53" s="1704" t="s">
        <v>1063</v>
      </c>
      <c r="L53" s="1704" t="s">
        <v>1064</v>
      </c>
      <c r="M53" s="1704" t="s">
        <v>1057</v>
      </c>
      <c r="N53" s="1704" t="s">
        <v>1061</v>
      </c>
      <c r="O53" s="1704" t="s">
        <v>1059</v>
      </c>
      <c r="P53" s="1704" t="s">
        <v>1060</v>
      </c>
      <c r="Q53" s="1704" t="s">
        <v>1058</v>
      </c>
      <c r="R53" s="1705" t="s">
        <v>1423</v>
      </c>
      <c r="S53" s="1704" t="s">
        <v>1077</v>
      </c>
      <c r="T53" s="1704" t="s">
        <v>1078</v>
      </c>
      <c r="U53" s="1704" t="s">
        <v>1079</v>
      </c>
      <c r="V53" s="1704" t="s">
        <v>1076</v>
      </c>
      <c r="W53" s="1704" t="s">
        <v>1080</v>
      </c>
      <c r="X53" s="1704" t="s">
        <v>1062</v>
      </c>
      <c r="Y53" s="1704" t="s">
        <v>1056</v>
      </c>
      <c r="Z53" s="1704" t="s">
        <v>1033</v>
      </c>
      <c r="AA53" s="1704" t="s">
        <v>1424</v>
      </c>
      <c r="AB53" s="1704" t="s">
        <v>1092</v>
      </c>
      <c r="AC53" s="1649"/>
      <c r="AD53" s="1649"/>
      <c r="AE53" s="1649"/>
      <c r="AF53" s="1649"/>
      <c r="AG53" s="1649"/>
      <c r="AH53" s="1649"/>
      <c r="AI53" s="1649"/>
      <c r="AJ53" s="1649"/>
      <c r="AK53" s="1649"/>
      <c r="AL53" s="1649"/>
      <c r="AM53" s="1649"/>
      <c r="AN53" s="1649"/>
      <c r="AO53" s="1649"/>
      <c r="AP53" s="1649"/>
      <c r="AQ53" s="1649"/>
      <c r="AR53" s="1649"/>
      <c r="AS53" s="1649"/>
      <c r="AT53" s="1649"/>
      <c r="AU53" s="1649"/>
      <c r="AV53" s="1649"/>
      <c r="AW53" s="1649"/>
      <c r="AX53" s="1649"/>
      <c r="AY53" s="1649"/>
      <c r="AZ53" s="1649"/>
      <c r="BA53" s="1649"/>
      <c r="BB53" s="1649"/>
      <c r="BC53" s="1649"/>
      <c r="BD53" s="1649"/>
      <c r="BE53" s="1649"/>
      <c r="BF53" s="1649"/>
      <c r="BG53" s="1649"/>
      <c r="BH53" s="1649"/>
      <c r="BI53" s="1649"/>
      <c r="BJ53" s="1649"/>
      <c r="BK53" s="1649"/>
      <c r="BL53" s="1649"/>
      <c r="BM53" s="1649"/>
      <c r="BN53" s="1649"/>
    </row>
    <row r="54" spans="1:66" s="1648" customFormat="1" ht="15" customHeight="1">
      <c r="A54" s="1649"/>
      <c r="B54" s="1706">
        <f t="shared" ref="B54:B64" si="2">DATE(YEAR(B55),MONTH(B55)-1,1)</f>
        <v>44378</v>
      </c>
      <c r="C54" s="1707"/>
      <c r="D54" s="1708" cm="1">
        <f t="array" aca="1" ref="D54" ca="1">DSUM(MercadoBase1,D$53,INDIRECT("r"&amp;5+2*(ROW()-54)&amp;":r"&amp;6+2*(ROW()-54)))</f>
        <v>0</v>
      </c>
      <c r="E54" s="1708" cm="1">
        <f t="array" aca="1" ref="E54" ca="1">DSUM(MercadoBase1,E$53,INDIRECT("r"&amp;5+2*(ROW()-54)&amp;":r"&amp;6+2*(ROW()-54)))</f>
        <v>0</v>
      </c>
      <c r="F54" s="1708" cm="1">
        <f t="array" aca="1" ref="F54" ca="1">DSUM(MercadoBase1,F$53,INDIRECT("r"&amp;5+2*(ROW()-54)&amp;":r"&amp;6+2*(ROW()-54)))</f>
        <v>20271.056406802618</v>
      </c>
      <c r="G54" s="1708" cm="1">
        <f t="array" aca="1" ref="G54" ca="1">DSUM(MercadoBase1,G$53,INDIRECT("r"&amp;5+2*(ROW()-54)&amp;":r"&amp;6+2*(ROW()-54)))</f>
        <v>68473.214316883546</v>
      </c>
      <c r="H54" s="1708" cm="1">
        <f t="array" aca="1" ref="H54" ca="1">DSUM(MercadoBase1,H$53,INDIRECT("r"&amp;5+2*(ROW()-54)&amp;":r"&amp;6+2*(ROW()-54)))</f>
        <v>435089.24017547927</v>
      </c>
      <c r="I54" s="1708" cm="1">
        <f t="array" aca="1" ref="I54" ca="1">DSUM(MercadoBase1,I$53,INDIRECT("r"&amp;5+2*(ROW()-54)&amp;":r"&amp;6+2*(ROW()-54)))</f>
        <v>12927.381838614998</v>
      </c>
      <c r="J54" s="1708" cm="1">
        <f t="array" aca="1" ref="J54" ca="1">DSUM(MercadoBase1,J$53,INDIRECT("r"&amp;5+2*(ROW()-54)&amp;":r"&amp;6+2*(ROW()-54)))</f>
        <v>0</v>
      </c>
      <c r="K54" s="1708" cm="1">
        <f t="array" aca="1" ref="K54" ca="1">DSUM(MercadoBase1,K$53,INDIRECT("r"&amp;5+2*(ROW()-54)&amp;":r"&amp;6+2*(ROW()-54)))</f>
        <v>0</v>
      </c>
      <c r="L54" s="1708" cm="1">
        <f t="array" aca="1" ref="L54" ca="1">DSUM(MercadoBase1,L$53,INDIRECT("r"&amp;5+2*(ROW()-54)&amp;":r"&amp;6+2*(ROW()-54)))</f>
        <v>0</v>
      </c>
      <c r="M54" s="1708" cm="1">
        <f t="array" aca="1" ref="M54" ca="1">DSUM(MercadoBase1,M$53,INDIRECT("r"&amp;5+2*(ROW()-54)&amp;":r"&amp;6+2*(ROW()-54)))</f>
        <v>0</v>
      </c>
      <c r="N54" s="1708" cm="1">
        <f t="array" aca="1" ref="N54" ca="1">DSUM(MercadoBase1,N$53,INDIRECT("r"&amp;5+2*(ROW()-54)&amp;":r"&amp;6+2*(ROW()-54)))</f>
        <v>0</v>
      </c>
      <c r="O54" s="1708" cm="1">
        <f t="array" aca="1" ref="O54" ca="1">DSUM(MercadoBase1,O$53,INDIRECT("r"&amp;5+2*(ROW()-54)&amp;":r"&amp;6+2*(ROW()-54)))</f>
        <v>0</v>
      </c>
      <c r="P54" s="1708" cm="1">
        <f t="array" aca="1" ref="P54" ca="1">DSUM(MercadoBase1,P$53,INDIRECT("r"&amp;5+2*(ROW()-54)&amp;":r"&amp;6+2*(ROW()-54)))</f>
        <v>0</v>
      </c>
      <c r="Q54" s="1709" cm="1">
        <f t="array" aca="1" ref="Q54" ca="1">DSUM(MercadoBase1,Q$53,INDIRECT("r"&amp;5+2*(ROW()-54)&amp;":r"&amp;6+2*(ROW()-54)))</f>
        <v>0</v>
      </c>
      <c r="R54" s="1710">
        <f>VLOOKUP(CAPA!$C$17,Índices!B:F,5,FALSE)/VLOOKUP(DATE(YEAR(B54),MONTH(B54),1),Índices!B:F,5,FALSE)</f>
        <v>1.0830593980554473</v>
      </c>
      <c r="S54" s="1711" cm="1">
        <f t="array" aca="1" ref="S54" ca="1">DSUM(MercadoBase1,S$53,INDIRECT("r"&amp;5+2*(ROW()-54)&amp;":r"&amp;6+2*(ROW()-54)))</f>
        <v>0</v>
      </c>
      <c r="T54" s="1708" cm="1">
        <f t="array" aca="1" ref="T54" ca="1">DSUM(MercadoBase1,T$53,INDIRECT("r"&amp;5+2*(ROW()-54)&amp;":r"&amp;6+2*(ROW()-54)))</f>
        <v>0</v>
      </c>
      <c r="U54" s="1708" cm="1">
        <f t="array" aca="1" ref="U54" ca="1">DSUM(MercadoBase1,U$53,INDIRECT("r"&amp;5+2*(ROW()-54)&amp;":r"&amp;6+2*(ROW()-54)))</f>
        <v>0</v>
      </c>
      <c r="V54" s="1708" cm="1">
        <f t="array" aca="1" ref="V54" ca="1">DSUM(MercadoBase1,V$53,INDIRECT("r"&amp;5+2*(ROW()-54)&amp;":r"&amp;6+2*(ROW()-54)))</f>
        <v>0</v>
      </c>
      <c r="W54" s="1708" cm="1">
        <f t="array" aca="1" ref="W54" ca="1">DSUM(MercadoBase1,W$53,INDIRECT("r"&amp;5+2*(ROW()-54)&amp;":r"&amp;6+2*(ROW()-54)))</f>
        <v>0</v>
      </c>
      <c r="X54" s="1708" cm="1">
        <f t="array" aca="1" ref="X54" ca="1">DSUM(MercadoBase1,X$53,INDIRECT("r"&amp;5+2*(ROW()-54)&amp;":r"&amp;6+2*(ROW()-54)))</f>
        <v>0</v>
      </c>
      <c r="Y54" s="1708" cm="1">
        <f t="array" aca="1" ref="Y54" ca="1">DSUM(MercadoBase1,Y$53,INDIRECT("r"&amp;5+2*(ROW()-54)&amp;":r"&amp;6+2*(ROW()-54)))</f>
        <v>0</v>
      </c>
      <c r="Z54" s="1708" cm="1">
        <f t="array" aca="1" ref="Z54" ca="1">DSUM(MercadoBase1,Z$53,INDIRECT("r"&amp;5+2*(ROW()-54)&amp;":r"&amp;6+2*(ROW()-54)))</f>
        <v>3003888.874234431</v>
      </c>
      <c r="AA54" s="1708" cm="1">
        <f t="array" aca="1" ref="AA54" ca="1">DSUM(MercadoBase1,AA$53,INDIRECT("r"&amp;5+2*(ROW()-54)&amp;":r"&amp;6+2*(ROW()-54)))</f>
        <v>0</v>
      </c>
      <c r="AB54" s="1708" cm="1">
        <f t="array" aca="1" ref="AB54" ca="1">DSUM(MercadoBase1,AB$53,INDIRECT("r"&amp;5+2*(ROW()-54)&amp;":r"&amp;6+2*(ROW()-54)))</f>
        <v>0</v>
      </c>
      <c r="AC54" s="1649"/>
      <c r="AD54" s="1649"/>
      <c r="AE54" s="1649"/>
      <c r="AF54" s="1649"/>
      <c r="AG54" s="1649"/>
      <c r="AH54" s="1649"/>
      <c r="AI54" s="1649"/>
      <c r="AJ54" s="1649"/>
      <c r="AK54" s="1649"/>
      <c r="AL54" s="1649"/>
      <c r="AM54" s="1649"/>
      <c r="AN54" s="1649"/>
      <c r="AO54" s="1649"/>
      <c r="AP54" s="1649"/>
      <c r="AQ54" s="1649"/>
      <c r="AR54" s="1649"/>
      <c r="AS54" s="1649"/>
      <c r="AT54" s="1649"/>
      <c r="AU54" s="1649"/>
      <c r="AV54" s="1649"/>
      <c r="AW54" s="1649"/>
      <c r="AX54" s="1649"/>
      <c r="AY54" s="1649"/>
      <c r="AZ54" s="1649"/>
      <c r="BA54" s="1649"/>
      <c r="BB54" s="1649"/>
      <c r="BC54" s="1649"/>
      <c r="BD54" s="1649"/>
      <c r="BE54" s="1649"/>
      <c r="BF54" s="1649"/>
      <c r="BG54" s="1649"/>
      <c r="BH54" s="1649"/>
      <c r="BI54" s="1649"/>
      <c r="BJ54" s="1649"/>
      <c r="BK54" s="1649"/>
      <c r="BL54" s="1649"/>
      <c r="BM54" s="1649"/>
      <c r="BN54" s="1649"/>
    </row>
    <row r="55" spans="1:66" s="1648" customFormat="1" ht="15" customHeight="1">
      <c r="A55" s="1649"/>
      <c r="B55" s="1706">
        <f t="shared" si="2"/>
        <v>44409</v>
      </c>
      <c r="C55" s="1707"/>
      <c r="D55" s="1712" cm="1">
        <f t="array" aca="1" ref="D55" ca="1">DSUM(MercadoBase1,D$53,INDIRECT("r"&amp;5+2*(ROW()-54)&amp;":r"&amp;6+2*(ROW()-54)))</f>
        <v>0</v>
      </c>
      <c r="E55" s="1712" cm="1">
        <f t="array" aca="1" ref="E55" ca="1">DSUM(MercadoBase1,E$53,INDIRECT("r"&amp;5+2*(ROW()-54)&amp;":r"&amp;6+2*(ROW()-54)))</f>
        <v>0</v>
      </c>
      <c r="F55" s="1712" cm="1">
        <f t="array" aca="1" ref="F55" ca="1">DSUM(MercadoBase1,F$53,INDIRECT("r"&amp;5+2*(ROW()-54)&amp;":r"&amp;6+2*(ROW()-54)))</f>
        <v>24019.268722451583</v>
      </c>
      <c r="G55" s="1712" cm="1">
        <f t="array" aca="1" ref="G55" ca="1">DSUM(MercadoBase1,G$53,INDIRECT("r"&amp;5+2*(ROW()-54)&amp;":r"&amp;6+2*(ROW()-54)))</f>
        <v>81310.923106917908</v>
      </c>
      <c r="H55" s="1712" cm="1">
        <f t="array" aca="1" ref="H55" ca="1">DSUM(MercadoBase1,H$53,INDIRECT("r"&amp;5+2*(ROW()-54)&amp;":r"&amp;6+2*(ROW()-54)))</f>
        <v>508756.13998620404</v>
      </c>
      <c r="I55" s="1712" cm="1">
        <f t="array" aca="1" ref="I55" ca="1">DSUM(MercadoBase1,I$53,INDIRECT("r"&amp;5+2*(ROW()-54)&amp;":r"&amp;6+2*(ROW()-54)))</f>
        <v>14827.137406602256</v>
      </c>
      <c r="J55" s="1712" cm="1">
        <f t="array" aca="1" ref="J55" ca="1">DSUM(MercadoBase1,J$53,INDIRECT("r"&amp;5+2*(ROW()-54)&amp;":r"&amp;6+2*(ROW()-54)))</f>
        <v>0</v>
      </c>
      <c r="K55" s="1712" cm="1">
        <f t="array" aca="1" ref="K55" ca="1">DSUM(MercadoBase1,K$53,INDIRECT("r"&amp;5+2*(ROW()-54)&amp;":r"&amp;6+2*(ROW()-54)))</f>
        <v>0</v>
      </c>
      <c r="L55" s="1712" cm="1">
        <f t="array" aca="1" ref="L55" ca="1">DSUM(MercadoBase1,L$53,INDIRECT("r"&amp;5+2*(ROW()-54)&amp;":r"&amp;6+2*(ROW()-54)))</f>
        <v>0</v>
      </c>
      <c r="M55" s="1712" cm="1">
        <f t="array" aca="1" ref="M55" ca="1">DSUM(MercadoBase1,M$53,INDIRECT("r"&amp;5+2*(ROW()-54)&amp;":r"&amp;6+2*(ROW()-54)))</f>
        <v>0</v>
      </c>
      <c r="N55" s="1712" cm="1">
        <f t="array" aca="1" ref="N55" ca="1">DSUM(MercadoBase1,N$53,INDIRECT("r"&amp;5+2*(ROW()-54)&amp;":r"&amp;6+2*(ROW()-54)))</f>
        <v>0</v>
      </c>
      <c r="O55" s="1712" cm="1">
        <f t="array" aca="1" ref="O55" ca="1">DSUM(MercadoBase1,O$53,INDIRECT("r"&amp;5+2*(ROW()-54)&amp;":r"&amp;6+2*(ROW()-54)))</f>
        <v>0</v>
      </c>
      <c r="P55" s="1712" cm="1">
        <f t="array" aca="1" ref="P55" ca="1">DSUM(MercadoBase1,P$53,INDIRECT("r"&amp;5+2*(ROW()-54)&amp;":r"&amp;6+2*(ROW()-54)))</f>
        <v>0</v>
      </c>
      <c r="Q55" s="1713" cm="1">
        <f t="array" aca="1" ref="Q55" ca="1">DSUM(MercadoBase1,Q$53,INDIRECT("r"&amp;5+2*(ROW()-54)&amp;":r"&amp;6+2*(ROW()-54)))</f>
        <v>0</v>
      </c>
      <c r="R55" s="1714">
        <f>VLOOKUP(CAPA!$C$17,Índices!B:F,5,FALSE)/VLOOKUP(DATE(YEAR(B55),MONTH(B55),1),Índices!B:F,5,FALSE)</f>
        <v>1.0784441695152505</v>
      </c>
      <c r="S55" s="1715" cm="1">
        <f t="array" aca="1" ref="S55" ca="1">DSUM(MercadoBase1,S$53,INDIRECT("r"&amp;5+2*(ROW()-54)&amp;":r"&amp;6+2*(ROW()-54)))</f>
        <v>0</v>
      </c>
      <c r="T55" s="1712" cm="1">
        <f t="array" aca="1" ref="T55" ca="1">DSUM(MercadoBase1,T$53,INDIRECT("r"&amp;5+2*(ROW()-54)&amp;":r"&amp;6+2*(ROW()-54)))</f>
        <v>0</v>
      </c>
      <c r="U55" s="1712" cm="1">
        <f t="array" aca="1" ref="U55" ca="1">DSUM(MercadoBase1,U$53,INDIRECT("r"&amp;5+2*(ROW()-54)&amp;":r"&amp;6+2*(ROW()-54)))</f>
        <v>0</v>
      </c>
      <c r="V55" s="1712" cm="1">
        <f t="array" aca="1" ref="V55" ca="1">DSUM(MercadoBase1,V$53,INDIRECT("r"&amp;5+2*(ROW()-54)&amp;":r"&amp;6+2*(ROW()-54)))</f>
        <v>0</v>
      </c>
      <c r="W55" s="1712" cm="1">
        <f t="array" aca="1" ref="W55" ca="1">DSUM(MercadoBase1,W$53,INDIRECT("r"&amp;5+2*(ROW()-54)&amp;":r"&amp;6+2*(ROW()-54)))</f>
        <v>0</v>
      </c>
      <c r="X55" s="1712" cm="1">
        <f t="array" aca="1" ref="X55" ca="1">DSUM(MercadoBase1,X$53,INDIRECT("r"&amp;5+2*(ROW()-54)&amp;":r"&amp;6+2*(ROW()-54)))</f>
        <v>0</v>
      </c>
      <c r="Y55" s="1712" cm="1">
        <f t="array" aca="1" ref="Y55" ca="1">DSUM(MercadoBase1,Y$53,INDIRECT("r"&amp;5+2*(ROW()-54)&amp;":r"&amp;6+2*(ROW()-54)))</f>
        <v>0</v>
      </c>
      <c r="Z55" s="1712" cm="1">
        <f t="array" aca="1" ref="Z55" ca="1">DSUM(MercadoBase1,Z$53,INDIRECT("r"&amp;5+2*(ROW()-54)&amp;":r"&amp;6+2*(ROW()-54)))</f>
        <v>3509691.6071774815</v>
      </c>
      <c r="AA55" s="1712" cm="1">
        <f t="array" aca="1" ref="AA55" ca="1">DSUM(MercadoBase1,AA$53,INDIRECT("r"&amp;5+2*(ROW()-54)&amp;":r"&amp;6+2*(ROW()-54)))</f>
        <v>0</v>
      </c>
      <c r="AB55" s="1712" cm="1">
        <f t="array" aca="1" ref="AB55" ca="1">DSUM(MercadoBase1,AB$53,INDIRECT("r"&amp;5+2*(ROW()-54)&amp;":r"&amp;6+2*(ROW()-54)))</f>
        <v>0</v>
      </c>
      <c r="AC55" s="1649"/>
      <c r="AD55" s="1649"/>
      <c r="AE55" s="1649"/>
      <c r="AF55" s="1649"/>
      <c r="AG55" s="1649"/>
      <c r="AH55" s="1649"/>
      <c r="AI55" s="1649"/>
      <c r="AJ55" s="1649"/>
      <c r="AK55" s="1649"/>
      <c r="AL55" s="1649"/>
      <c r="AM55" s="1649"/>
      <c r="AN55" s="1649"/>
      <c r="AO55" s="1649"/>
      <c r="AP55" s="1649"/>
      <c r="AQ55" s="1649"/>
      <c r="AR55" s="1649"/>
      <c r="AS55" s="1649"/>
      <c r="AT55" s="1649"/>
      <c r="AU55" s="1649"/>
      <c r="AV55" s="1649"/>
      <c r="AW55" s="1649"/>
      <c r="AX55" s="1649"/>
      <c r="AY55" s="1649"/>
      <c r="AZ55" s="1649"/>
      <c r="BA55" s="1649"/>
      <c r="BB55" s="1649"/>
      <c r="BC55" s="1649"/>
      <c r="BD55" s="1649"/>
      <c r="BE55" s="1649"/>
      <c r="BF55" s="1649"/>
      <c r="BG55" s="1649"/>
      <c r="BH55" s="1649"/>
      <c r="BI55" s="1649"/>
      <c r="BJ55" s="1649"/>
      <c r="BK55" s="1649"/>
      <c r="BL55" s="1649"/>
      <c r="BM55" s="1649"/>
      <c r="BN55" s="1649"/>
    </row>
    <row r="56" spans="1:66" s="1648" customFormat="1" ht="15" customHeight="1">
      <c r="A56" s="1649"/>
      <c r="B56" s="1706">
        <f t="shared" si="2"/>
        <v>44440</v>
      </c>
      <c r="C56" s="1707"/>
      <c r="D56" s="1712" cm="1">
        <f t="array" aca="1" ref="D56" ca="1">DSUM(MercadoBase1,D$53,INDIRECT("r"&amp;5+2*(ROW()-54)&amp;":r"&amp;6+2*(ROW()-54)))</f>
        <v>0</v>
      </c>
      <c r="E56" s="1712" cm="1">
        <f t="array" aca="1" ref="E56" ca="1">DSUM(MercadoBase1,E$53,INDIRECT("r"&amp;5+2*(ROW()-54)&amp;":r"&amp;6+2*(ROW()-54)))</f>
        <v>0</v>
      </c>
      <c r="F56" s="1712" cm="1">
        <f t="array" aca="1" ref="F56" ca="1">DSUM(MercadoBase1,F$53,INDIRECT("r"&amp;5+2*(ROW()-54)&amp;":r"&amp;6+2*(ROW()-54)))</f>
        <v>22255.514545799459</v>
      </c>
      <c r="G56" s="1712" cm="1">
        <f t="array" aca="1" ref="G56" ca="1">DSUM(MercadoBase1,G$53,INDIRECT("r"&amp;5+2*(ROW()-54)&amp;":r"&amp;6+2*(ROW()-54)))</f>
        <v>75109.53689746189</v>
      </c>
      <c r="H56" s="1712" cm="1">
        <f t="array" aca="1" ref="H56" ca="1">DSUM(MercadoBase1,H$53,INDIRECT("r"&amp;5+2*(ROW()-54)&amp;":r"&amp;6+2*(ROW()-54)))</f>
        <v>474322.19893819804</v>
      </c>
      <c r="I56" s="1712" cm="1">
        <f t="array" aca="1" ref="I56" ca="1">DSUM(MercadoBase1,I$53,INDIRECT("r"&amp;5+2*(ROW()-54)&amp;":r"&amp;6+2*(ROW()-54)))</f>
        <v>14011.743214229666</v>
      </c>
      <c r="J56" s="1712" cm="1">
        <f t="array" aca="1" ref="J56" ca="1">DSUM(MercadoBase1,J$53,INDIRECT("r"&amp;5+2*(ROW()-54)&amp;":r"&amp;6+2*(ROW()-54)))</f>
        <v>0</v>
      </c>
      <c r="K56" s="1712" cm="1">
        <f t="array" aca="1" ref="K56" ca="1">DSUM(MercadoBase1,K$53,INDIRECT("r"&amp;5+2*(ROW()-54)&amp;":r"&amp;6+2*(ROW()-54)))</f>
        <v>0</v>
      </c>
      <c r="L56" s="1712" cm="1">
        <f t="array" aca="1" ref="L56" ca="1">DSUM(MercadoBase1,L$53,INDIRECT("r"&amp;5+2*(ROW()-54)&amp;":r"&amp;6+2*(ROW()-54)))</f>
        <v>0</v>
      </c>
      <c r="M56" s="1712" cm="1">
        <f t="array" aca="1" ref="M56" ca="1">DSUM(MercadoBase1,M$53,INDIRECT("r"&amp;5+2*(ROW()-54)&amp;":r"&amp;6+2*(ROW()-54)))</f>
        <v>0</v>
      </c>
      <c r="N56" s="1712" cm="1">
        <f t="array" aca="1" ref="N56" ca="1">DSUM(MercadoBase1,N$53,INDIRECT("r"&amp;5+2*(ROW()-54)&amp;":r"&amp;6+2*(ROW()-54)))</f>
        <v>0</v>
      </c>
      <c r="O56" s="1712" cm="1">
        <f t="array" aca="1" ref="O56" ca="1">DSUM(MercadoBase1,O$53,INDIRECT("r"&amp;5+2*(ROW()-54)&amp;":r"&amp;6+2*(ROW()-54)))</f>
        <v>0</v>
      </c>
      <c r="P56" s="1712" cm="1">
        <f t="array" aca="1" ref="P56" ca="1">DSUM(MercadoBase1,P$53,INDIRECT("r"&amp;5+2*(ROW()-54)&amp;":r"&amp;6+2*(ROW()-54)))</f>
        <v>0</v>
      </c>
      <c r="Q56" s="1713" cm="1">
        <f t="array" aca="1" ref="Q56" ca="1">DSUM(MercadoBase1,Q$53,INDIRECT("r"&amp;5+2*(ROW()-54)&amp;":r"&amp;6+2*(ROW()-54)))</f>
        <v>0</v>
      </c>
      <c r="R56" s="1714">
        <f>VLOOKUP(CAPA!$C$17,Índices!B:F,5,FALSE)/VLOOKUP(DATE(YEAR(B56),MONTH(B56),1),Índices!B:F,5,FALSE)</f>
        <v>1.073698429626083</v>
      </c>
      <c r="S56" s="1715" cm="1">
        <f t="array" aca="1" ref="S56" ca="1">DSUM(MercadoBase1,S$53,INDIRECT("r"&amp;5+2*(ROW()-54)&amp;":r"&amp;6+2*(ROW()-54)))</f>
        <v>0</v>
      </c>
      <c r="T56" s="1712" cm="1">
        <f t="array" aca="1" ref="T56" ca="1">DSUM(MercadoBase1,T$53,INDIRECT("r"&amp;5+2*(ROW()-54)&amp;":r"&amp;6+2*(ROW()-54)))</f>
        <v>0</v>
      </c>
      <c r="U56" s="1712" cm="1">
        <f t="array" aca="1" ref="U56" ca="1">DSUM(MercadoBase1,U$53,INDIRECT("r"&amp;5+2*(ROW()-54)&amp;":r"&amp;6+2*(ROW()-54)))</f>
        <v>0</v>
      </c>
      <c r="V56" s="1712" cm="1">
        <f t="array" aca="1" ref="V56" ca="1">DSUM(MercadoBase1,V$53,INDIRECT("r"&amp;5+2*(ROW()-54)&amp;":r"&amp;6+2*(ROW()-54)))</f>
        <v>0</v>
      </c>
      <c r="W56" s="1712" cm="1">
        <f t="array" aca="1" ref="W56" ca="1">DSUM(MercadoBase1,W$53,INDIRECT("r"&amp;5+2*(ROW()-54)&amp;":r"&amp;6+2*(ROW()-54)))</f>
        <v>0</v>
      </c>
      <c r="X56" s="1712" cm="1">
        <f t="array" aca="1" ref="X56" ca="1">DSUM(MercadoBase1,X$53,INDIRECT("r"&amp;5+2*(ROW()-54)&amp;":r"&amp;6+2*(ROW()-54)))</f>
        <v>0</v>
      </c>
      <c r="Y56" s="1712" cm="1">
        <f t="array" aca="1" ref="Y56" ca="1">DSUM(MercadoBase1,Y$53,INDIRECT("r"&amp;5+2*(ROW()-54)&amp;":r"&amp;6+2*(ROW()-54)))</f>
        <v>0</v>
      </c>
      <c r="Z56" s="1712" cm="1">
        <f t="array" aca="1" ref="Z56" ca="1">DSUM(MercadoBase1,Z$53,INDIRECT("r"&amp;5+2*(ROW()-54)&amp;":r"&amp;6+2*(ROW()-54)))</f>
        <v>3467062.9542295565</v>
      </c>
      <c r="AA56" s="1712" cm="1">
        <f t="array" aca="1" ref="AA56" ca="1">DSUM(MercadoBase1,AA$53,INDIRECT("r"&amp;5+2*(ROW()-54)&amp;":r"&amp;6+2*(ROW()-54)))</f>
        <v>0</v>
      </c>
      <c r="AB56" s="1712" cm="1">
        <f t="array" aca="1" ref="AB56" ca="1">DSUM(MercadoBase1,AB$53,INDIRECT("r"&amp;5+2*(ROW()-54)&amp;":r"&amp;6+2*(ROW()-54)))</f>
        <v>0</v>
      </c>
      <c r="AC56" s="1649"/>
      <c r="AD56" s="1649"/>
      <c r="AE56" s="1649"/>
      <c r="AF56" s="1649"/>
      <c r="AG56" s="1649"/>
      <c r="AH56" s="1649"/>
      <c r="AI56" s="1649"/>
      <c r="AJ56" s="1649"/>
      <c r="AK56" s="1649"/>
      <c r="AL56" s="1649"/>
      <c r="AM56" s="1649"/>
      <c r="AN56" s="1649"/>
      <c r="AO56" s="1649"/>
      <c r="AP56" s="1649"/>
      <c r="AQ56" s="1649"/>
      <c r="AR56" s="1649"/>
      <c r="AS56" s="1649"/>
      <c r="AT56" s="1649"/>
      <c r="AU56" s="1649"/>
      <c r="AV56" s="1649"/>
      <c r="AW56" s="1649"/>
      <c r="AX56" s="1649"/>
      <c r="AY56" s="1649"/>
      <c r="AZ56" s="1649"/>
      <c r="BA56" s="1649"/>
      <c r="BB56" s="1649"/>
      <c r="BC56" s="1649"/>
      <c r="BD56" s="1649"/>
      <c r="BE56" s="1649"/>
      <c r="BF56" s="1649"/>
      <c r="BG56" s="1649"/>
      <c r="BH56" s="1649"/>
      <c r="BI56" s="1649"/>
      <c r="BJ56" s="1649"/>
      <c r="BK56" s="1649"/>
      <c r="BL56" s="1649"/>
      <c r="BM56" s="1649"/>
      <c r="BN56" s="1649"/>
    </row>
    <row r="57" spans="1:66" s="1648" customFormat="1" ht="15" customHeight="1">
      <c r="A57" s="1649"/>
      <c r="B57" s="1706">
        <f t="shared" si="2"/>
        <v>44470</v>
      </c>
      <c r="C57" s="1707"/>
      <c r="D57" s="1712" cm="1">
        <f t="array" aca="1" ref="D57" ca="1">DSUM(MercadoBase1,D$53,INDIRECT("r"&amp;5+2*(ROW()-54)&amp;":r"&amp;6+2*(ROW()-54)))</f>
        <v>0</v>
      </c>
      <c r="E57" s="1712" cm="1">
        <f t="array" aca="1" ref="E57" ca="1">DSUM(MercadoBase1,E$53,INDIRECT("r"&amp;5+2*(ROW()-54)&amp;":r"&amp;6+2*(ROW()-54)))</f>
        <v>0</v>
      </c>
      <c r="F57" s="1712" cm="1">
        <f t="array" aca="1" ref="F57" ca="1">DSUM(MercadoBase1,F$53,INDIRECT("r"&amp;5+2*(ROW()-54)&amp;":r"&amp;6+2*(ROW()-54)))</f>
        <v>27194.890478716625</v>
      </c>
      <c r="G57" s="1712" cm="1">
        <f t="array" aca="1" ref="G57" ca="1">DSUM(MercadoBase1,G$53,INDIRECT("r"&amp;5+2*(ROW()-54)&amp;":r"&amp;6+2*(ROW()-54)))</f>
        <v>92149.699366744651</v>
      </c>
      <c r="H57" s="1712" cm="1">
        <f t="array" aca="1" ref="H57" ca="1">DSUM(MercadoBase1,H$53,INDIRECT("r"&amp;5+2*(ROW()-54)&amp;":r"&amp;6+2*(ROW()-54)))</f>
        <v>570521.18203324033</v>
      </c>
      <c r="I57" s="1712" cm="1">
        <f t="array" aca="1" ref="I57" ca="1">DSUM(MercadoBase1,I$53,INDIRECT("r"&amp;5+2*(ROW()-54)&amp;":r"&amp;6+2*(ROW()-54)))</f>
        <v>16411.697773683867</v>
      </c>
      <c r="J57" s="1712" cm="1">
        <f t="array" aca="1" ref="J57" ca="1">DSUM(MercadoBase1,J$53,INDIRECT("r"&amp;5+2*(ROW()-54)&amp;":r"&amp;6+2*(ROW()-54)))</f>
        <v>0</v>
      </c>
      <c r="K57" s="1712" cm="1">
        <f t="array" aca="1" ref="K57" ca="1">DSUM(MercadoBase1,K$53,INDIRECT("r"&amp;5+2*(ROW()-54)&amp;":r"&amp;6+2*(ROW()-54)))</f>
        <v>0</v>
      </c>
      <c r="L57" s="1712" cm="1">
        <f t="array" aca="1" ref="L57" ca="1">DSUM(MercadoBase1,L$53,INDIRECT("r"&amp;5+2*(ROW()-54)&amp;":r"&amp;6+2*(ROW()-54)))</f>
        <v>0</v>
      </c>
      <c r="M57" s="1712" cm="1">
        <f t="array" aca="1" ref="M57" ca="1">DSUM(MercadoBase1,M$53,INDIRECT("r"&amp;5+2*(ROW()-54)&amp;":r"&amp;6+2*(ROW()-54)))</f>
        <v>0</v>
      </c>
      <c r="N57" s="1712" cm="1">
        <f t="array" aca="1" ref="N57" ca="1">DSUM(MercadoBase1,N$53,INDIRECT("r"&amp;5+2*(ROW()-54)&amp;":r"&amp;6+2*(ROW()-54)))</f>
        <v>0</v>
      </c>
      <c r="O57" s="1712" cm="1">
        <f t="array" aca="1" ref="O57" ca="1">DSUM(MercadoBase1,O$53,INDIRECT("r"&amp;5+2*(ROW()-54)&amp;":r"&amp;6+2*(ROW()-54)))</f>
        <v>0</v>
      </c>
      <c r="P57" s="1712" cm="1">
        <f t="array" aca="1" ref="P57" ca="1">DSUM(MercadoBase1,P$53,INDIRECT("r"&amp;5+2*(ROW()-54)&amp;":r"&amp;6+2*(ROW()-54)))</f>
        <v>0</v>
      </c>
      <c r="Q57" s="1713" cm="1">
        <f t="array" aca="1" ref="Q57" ca="1">DSUM(MercadoBase1,Q$53,INDIRECT("r"&amp;5+2*(ROW()-54)&amp;":r"&amp;6+2*(ROW()-54)))</f>
        <v>0</v>
      </c>
      <c r="R57" s="1714">
        <f>VLOOKUP(CAPA!$C$17,Índices!B:F,5,FALSE)/VLOOKUP(DATE(YEAR(B57),MONTH(B57),1),Índices!B:F,5,FALSE)</f>
        <v>1.0685055343738492</v>
      </c>
      <c r="S57" s="1715" cm="1">
        <f t="array" aca="1" ref="S57" ca="1">DSUM(MercadoBase1,S$53,INDIRECT("r"&amp;5+2*(ROW()-54)&amp;":r"&amp;6+2*(ROW()-54)))</f>
        <v>0</v>
      </c>
      <c r="T57" s="1712" cm="1">
        <f t="array" aca="1" ref="T57" ca="1">DSUM(MercadoBase1,T$53,INDIRECT("r"&amp;5+2*(ROW()-54)&amp;":r"&amp;6+2*(ROW()-54)))</f>
        <v>0</v>
      </c>
      <c r="U57" s="1712" cm="1">
        <f t="array" aca="1" ref="U57" ca="1">DSUM(MercadoBase1,U$53,INDIRECT("r"&amp;5+2*(ROW()-54)&amp;":r"&amp;6+2*(ROW()-54)))</f>
        <v>0</v>
      </c>
      <c r="V57" s="1712" cm="1">
        <f t="array" aca="1" ref="V57" ca="1">DSUM(MercadoBase1,V$53,INDIRECT("r"&amp;5+2*(ROW()-54)&amp;":r"&amp;6+2*(ROW()-54)))</f>
        <v>0</v>
      </c>
      <c r="W57" s="1712" cm="1">
        <f t="array" aca="1" ref="W57" ca="1">DSUM(MercadoBase1,W$53,INDIRECT("r"&amp;5+2*(ROW()-54)&amp;":r"&amp;6+2*(ROW()-54)))</f>
        <v>0</v>
      </c>
      <c r="X57" s="1712" cm="1">
        <f t="array" aca="1" ref="X57" ca="1">DSUM(MercadoBase1,X$53,INDIRECT("r"&amp;5+2*(ROW()-54)&amp;":r"&amp;6+2*(ROW()-54)))</f>
        <v>0</v>
      </c>
      <c r="Y57" s="1712" cm="1">
        <f t="array" aca="1" ref="Y57" ca="1">DSUM(MercadoBase1,Y$53,INDIRECT("r"&amp;5+2*(ROW()-54)&amp;":r"&amp;6+2*(ROW()-54)))</f>
        <v>0</v>
      </c>
      <c r="Z57" s="1712" cm="1">
        <f t="array" aca="1" ref="Z57" ca="1">DSUM(MercadoBase1,Z$53,INDIRECT("r"&amp;5+2*(ROW()-54)&amp;":r"&amp;6+2*(ROW()-54)))</f>
        <v>3756760.3710056911</v>
      </c>
      <c r="AA57" s="1712" cm="1">
        <f t="array" aca="1" ref="AA57" ca="1">DSUM(MercadoBase1,AA$53,INDIRECT("r"&amp;5+2*(ROW()-54)&amp;":r"&amp;6+2*(ROW()-54)))</f>
        <v>0</v>
      </c>
      <c r="AB57" s="1712" cm="1">
        <f t="array" aca="1" ref="AB57" ca="1">DSUM(MercadoBase1,AB$53,INDIRECT("r"&amp;5+2*(ROW()-54)&amp;":r"&amp;6+2*(ROW()-54)))</f>
        <v>0</v>
      </c>
      <c r="AC57" s="1649"/>
      <c r="AD57" s="1649"/>
      <c r="AE57" s="1649"/>
      <c r="AF57" s="1649"/>
      <c r="AG57" s="1649"/>
      <c r="AH57" s="1649"/>
      <c r="AI57" s="1649"/>
      <c r="AJ57" s="1649"/>
      <c r="AK57" s="1649"/>
      <c r="AL57" s="1649"/>
      <c r="AM57" s="1649"/>
      <c r="AN57" s="1649"/>
      <c r="AO57" s="1649"/>
      <c r="AP57" s="1649"/>
      <c r="AQ57" s="1649"/>
      <c r="AR57" s="1649"/>
      <c r="AS57" s="1649"/>
      <c r="AT57" s="1649"/>
      <c r="AU57" s="1649"/>
      <c r="AV57" s="1649"/>
      <c r="AW57" s="1649"/>
      <c r="AX57" s="1649"/>
      <c r="AY57" s="1649"/>
      <c r="AZ57" s="1649"/>
      <c r="BA57" s="1649"/>
      <c r="BB57" s="1649"/>
      <c r="BC57" s="1649"/>
      <c r="BD57" s="1649"/>
      <c r="BE57" s="1649"/>
      <c r="BF57" s="1649"/>
      <c r="BG57" s="1649"/>
      <c r="BH57" s="1649"/>
      <c r="BI57" s="1649"/>
      <c r="BJ57" s="1649"/>
      <c r="BK57" s="1649"/>
      <c r="BL57" s="1649"/>
      <c r="BM57" s="1649"/>
      <c r="BN57" s="1649"/>
    </row>
    <row r="58" spans="1:66" s="1648" customFormat="1" ht="15" customHeight="1">
      <c r="A58" s="1649"/>
      <c r="B58" s="1706">
        <f t="shared" si="2"/>
        <v>44501</v>
      </c>
      <c r="C58" s="1707"/>
      <c r="D58" s="1712" cm="1">
        <f t="array" aca="1" ref="D58" ca="1">DSUM(MercadoBase1,D$53,INDIRECT("r"&amp;5+2*(ROW()-54)&amp;":r"&amp;6+2*(ROW()-54)))</f>
        <v>0</v>
      </c>
      <c r="E58" s="1712" cm="1">
        <f t="array" aca="1" ref="E58" ca="1">DSUM(MercadoBase1,E$53,INDIRECT("r"&amp;5+2*(ROW()-54)&amp;":r"&amp;6+2*(ROW()-54)))</f>
        <v>0</v>
      </c>
      <c r="F58" s="1712" cm="1">
        <f t="array" aca="1" ref="F58" ca="1">DSUM(MercadoBase1,F$53,INDIRECT("r"&amp;5+2*(ROW()-54)&amp;":r"&amp;6+2*(ROW()-54)))</f>
        <v>46899.047943550519</v>
      </c>
      <c r="G58" s="1712" cm="1">
        <f t="array" aca="1" ref="G58" ca="1">DSUM(MercadoBase1,G$53,INDIRECT("r"&amp;5+2*(ROW()-54)&amp;":r"&amp;6+2*(ROW()-54)))</f>
        <v>159963.15606521262</v>
      </c>
      <c r="H58" s="1712" cm="1">
        <f t="array" aca="1" ref="H58" ca="1">DSUM(MercadoBase1,H$53,INDIRECT("r"&amp;5+2*(ROW()-54)&amp;":r"&amp;6+2*(ROW()-54)))</f>
        <v>961317.84253919008</v>
      </c>
      <c r="I58" s="1712" cm="1">
        <f t="array" aca="1" ref="I58" ca="1">DSUM(MercadoBase1,I$53,INDIRECT("r"&amp;5+2*(ROW()-54)&amp;":r"&amp;6+2*(ROW()-54)))</f>
        <v>26486.631075316913</v>
      </c>
      <c r="J58" s="1712" cm="1">
        <f t="array" aca="1" ref="J58" ca="1">DSUM(MercadoBase1,J$53,INDIRECT("r"&amp;5+2*(ROW()-54)&amp;":r"&amp;6+2*(ROW()-54)))</f>
        <v>0</v>
      </c>
      <c r="K58" s="1712" cm="1">
        <f t="array" aca="1" ref="K58" ca="1">DSUM(MercadoBase1,K$53,INDIRECT("r"&amp;5+2*(ROW()-54)&amp;":r"&amp;6+2*(ROW()-54)))</f>
        <v>0</v>
      </c>
      <c r="L58" s="1712" cm="1">
        <f t="array" aca="1" ref="L58" ca="1">DSUM(MercadoBase1,L$53,INDIRECT("r"&amp;5+2*(ROW()-54)&amp;":r"&amp;6+2*(ROW()-54)))</f>
        <v>0</v>
      </c>
      <c r="M58" s="1712" cm="1">
        <f t="array" aca="1" ref="M58" ca="1">DSUM(MercadoBase1,M$53,INDIRECT("r"&amp;5+2*(ROW()-54)&amp;":r"&amp;6+2*(ROW()-54)))</f>
        <v>0</v>
      </c>
      <c r="N58" s="1712" cm="1">
        <f t="array" aca="1" ref="N58" ca="1">DSUM(MercadoBase1,N$53,INDIRECT("r"&amp;5+2*(ROW()-54)&amp;":r"&amp;6+2*(ROW()-54)))</f>
        <v>0</v>
      </c>
      <c r="O58" s="1712" cm="1">
        <f t="array" aca="1" ref="O58" ca="1">DSUM(MercadoBase1,O$53,INDIRECT("r"&amp;5+2*(ROW()-54)&amp;":r"&amp;6+2*(ROW()-54)))</f>
        <v>0</v>
      </c>
      <c r="P58" s="1712" cm="1">
        <f t="array" aca="1" ref="P58" ca="1">DSUM(MercadoBase1,P$53,INDIRECT("r"&amp;5+2*(ROW()-54)&amp;":r"&amp;6+2*(ROW()-54)))</f>
        <v>0</v>
      </c>
      <c r="Q58" s="1713" cm="1">
        <f t="array" aca="1" ref="Q58" ca="1">DSUM(MercadoBase1,Q$53,INDIRECT("r"&amp;5+2*(ROW()-54)&amp;":r"&amp;6+2*(ROW()-54)))</f>
        <v>0</v>
      </c>
      <c r="R58" s="1714">
        <f>VLOOKUP(CAPA!$C$17,Índices!B:F,5,FALSE)/VLOOKUP(DATE(YEAR(B58),MONTH(B58),1),Índices!B:F,5,FALSE)</f>
        <v>1.0622726591714087</v>
      </c>
      <c r="S58" s="1715" cm="1">
        <f t="array" aca="1" ref="S58" ca="1">DSUM(MercadoBase1,S$53,INDIRECT("r"&amp;5+2*(ROW()-54)&amp;":r"&amp;6+2*(ROW()-54)))</f>
        <v>0</v>
      </c>
      <c r="T58" s="1712" cm="1">
        <f t="array" aca="1" ref="T58" ca="1">DSUM(MercadoBase1,T$53,INDIRECT("r"&amp;5+2*(ROW()-54)&amp;":r"&amp;6+2*(ROW()-54)))</f>
        <v>0</v>
      </c>
      <c r="U58" s="1712" cm="1">
        <f t="array" aca="1" ref="U58" ca="1">DSUM(MercadoBase1,U$53,INDIRECT("r"&amp;5+2*(ROW()-54)&amp;":r"&amp;6+2*(ROW()-54)))</f>
        <v>0</v>
      </c>
      <c r="V58" s="1712" cm="1">
        <f t="array" aca="1" ref="V58" ca="1">DSUM(MercadoBase1,V$53,INDIRECT("r"&amp;5+2*(ROW()-54)&amp;":r"&amp;6+2*(ROW()-54)))</f>
        <v>0</v>
      </c>
      <c r="W58" s="1712" cm="1">
        <f t="array" aca="1" ref="W58" ca="1">DSUM(MercadoBase1,W$53,INDIRECT("r"&amp;5+2*(ROW()-54)&amp;":r"&amp;6+2*(ROW()-54)))</f>
        <v>0</v>
      </c>
      <c r="X58" s="1712" cm="1">
        <f t="array" aca="1" ref="X58" ca="1">DSUM(MercadoBase1,X$53,INDIRECT("r"&amp;5+2*(ROW()-54)&amp;":r"&amp;6+2*(ROW()-54)))</f>
        <v>0</v>
      </c>
      <c r="Y58" s="1712" cm="1">
        <f t="array" aca="1" ref="Y58" ca="1">DSUM(MercadoBase1,Y$53,INDIRECT("r"&amp;5+2*(ROW()-54)&amp;":r"&amp;6+2*(ROW()-54)))</f>
        <v>0</v>
      </c>
      <c r="Z58" s="1712" cm="1">
        <f t="array" aca="1" ref="Z58" ca="1">DSUM(MercadoBase1,Z$53,INDIRECT("r"&amp;5+2*(ROW()-54)&amp;":r"&amp;6+2*(ROW()-54)))</f>
        <v>4426009.6044512</v>
      </c>
      <c r="AA58" s="1712" cm="1">
        <f t="array" aca="1" ref="AA58" ca="1">DSUM(MercadoBase1,AA$53,INDIRECT("r"&amp;5+2*(ROW()-54)&amp;":r"&amp;6+2*(ROW()-54)))</f>
        <v>0</v>
      </c>
      <c r="AB58" s="1712" cm="1">
        <f t="array" aca="1" ref="AB58" ca="1">DSUM(MercadoBase1,AB$53,INDIRECT("r"&amp;5+2*(ROW()-54)&amp;":r"&amp;6+2*(ROW()-54)))</f>
        <v>0</v>
      </c>
      <c r="AC58" s="1649"/>
      <c r="AD58" s="1649"/>
      <c r="AE58" s="1649"/>
      <c r="AF58" s="1649"/>
      <c r="AG58" s="1649"/>
      <c r="AH58" s="1649"/>
      <c r="AI58" s="1649"/>
      <c r="AJ58" s="1649"/>
      <c r="AK58" s="1649"/>
      <c r="AL58" s="1649"/>
      <c r="AM58" s="1649"/>
      <c r="AN58" s="1649"/>
      <c r="AO58" s="1649"/>
      <c r="AP58" s="1649"/>
      <c r="AQ58" s="1649"/>
      <c r="AR58" s="1649"/>
      <c r="AS58" s="1649"/>
      <c r="AT58" s="1649"/>
      <c r="AU58" s="1649"/>
      <c r="AV58" s="1649"/>
      <c r="AW58" s="1649"/>
      <c r="AX58" s="1649"/>
      <c r="AY58" s="1649"/>
      <c r="AZ58" s="1649"/>
      <c r="BA58" s="1649"/>
      <c r="BB58" s="1649"/>
      <c r="BC58" s="1649"/>
      <c r="BD58" s="1649"/>
      <c r="BE58" s="1649"/>
      <c r="BF58" s="1649"/>
      <c r="BG58" s="1649"/>
      <c r="BH58" s="1649"/>
      <c r="BI58" s="1649"/>
      <c r="BJ58" s="1649"/>
      <c r="BK58" s="1649"/>
      <c r="BL58" s="1649"/>
      <c r="BM58" s="1649"/>
      <c r="BN58" s="1649"/>
    </row>
    <row r="59" spans="1:66" s="1648" customFormat="1" ht="15" customHeight="1">
      <c r="A59" s="1649"/>
      <c r="B59" s="1706">
        <f t="shared" si="2"/>
        <v>44531</v>
      </c>
      <c r="C59" s="1707"/>
      <c r="D59" s="1712" cm="1">
        <f t="array" aca="1" ref="D59" ca="1">DSUM(MercadoBase1,D$53,INDIRECT("r"&amp;5+2*(ROW()-54)&amp;":r"&amp;6+2*(ROW()-54)))</f>
        <v>0</v>
      </c>
      <c r="E59" s="1712" cm="1">
        <f t="array" aca="1" ref="E59" ca="1">DSUM(MercadoBase1,E$53,INDIRECT("r"&amp;5+2*(ROW()-54)&amp;":r"&amp;6+2*(ROW()-54)))</f>
        <v>0</v>
      </c>
      <c r="F59" s="1712" cm="1">
        <f t="array" aca="1" ref="F59" ca="1">DSUM(MercadoBase1,F$53,INDIRECT("r"&amp;5+2*(ROW()-54)&amp;":r"&amp;6+2*(ROW()-54)))</f>
        <v>53325.220142345148</v>
      </c>
      <c r="G59" s="1712" cm="1">
        <f t="array" aca="1" ref="G59" ca="1">DSUM(MercadoBase1,G$53,INDIRECT("r"&amp;5+2*(ROW()-54)&amp;":r"&amp;6+2*(ROW()-54)))</f>
        <v>182114.31955491903</v>
      </c>
      <c r="H59" s="1712" cm="1">
        <f t="array" aca="1" ref="H59" ca="1">DSUM(MercadoBase1,H$53,INDIRECT("r"&amp;5+2*(ROW()-54)&amp;":r"&amp;6+2*(ROW()-54)))</f>
        <v>1089624.431319904</v>
      </c>
      <c r="I59" s="1712" cm="1">
        <f t="array" aca="1" ref="I59" ca="1">DSUM(MercadoBase1,I$53,INDIRECT("r"&amp;5+2*(ROW()-54)&amp;":r"&amp;6+2*(ROW()-54)))</f>
        <v>29811.306601964385</v>
      </c>
      <c r="J59" s="1712" cm="1">
        <f t="array" aca="1" ref="J59" ca="1">DSUM(MercadoBase1,J$53,INDIRECT("r"&amp;5+2*(ROW()-54)&amp;":r"&amp;6+2*(ROW()-54)))</f>
        <v>0</v>
      </c>
      <c r="K59" s="1712" cm="1">
        <f t="array" aca="1" ref="K59" ca="1">DSUM(MercadoBase1,K$53,INDIRECT("r"&amp;5+2*(ROW()-54)&amp;":r"&amp;6+2*(ROW()-54)))</f>
        <v>0</v>
      </c>
      <c r="L59" s="1712" cm="1">
        <f t="array" aca="1" ref="L59" ca="1">DSUM(MercadoBase1,L$53,INDIRECT("r"&amp;5+2*(ROW()-54)&amp;":r"&amp;6+2*(ROW()-54)))</f>
        <v>0</v>
      </c>
      <c r="M59" s="1712" cm="1">
        <f t="array" aca="1" ref="M59" ca="1">DSUM(MercadoBase1,M$53,INDIRECT("r"&amp;5+2*(ROW()-54)&amp;":r"&amp;6+2*(ROW()-54)))</f>
        <v>0</v>
      </c>
      <c r="N59" s="1712" cm="1">
        <f t="array" aca="1" ref="N59" ca="1">DSUM(MercadoBase1,N$53,INDIRECT("r"&amp;5+2*(ROW()-54)&amp;":r"&amp;6+2*(ROW()-54)))</f>
        <v>0</v>
      </c>
      <c r="O59" s="1712" cm="1">
        <f t="array" aca="1" ref="O59" ca="1">DSUM(MercadoBase1,O$53,INDIRECT("r"&amp;5+2*(ROW()-54)&amp;":r"&amp;6+2*(ROW()-54)))</f>
        <v>0</v>
      </c>
      <c r="P59" s="1712" cm="1">
        <f t="array" aca="1" ref="P59" ca="1">DSUM(MercadoBase1,P$53,INDIRECT("r"&amp;5+2*(ROW()-54)&amp;":r"&amp;6+2*(ROW()-54)))</f>
        <v>0</v>
      </c>
      <c r="Q59" s="1713" cm="1">
        <f t="array" aca="1" ref="Q59" ca="1">DSUM(MercadoBase1,Q$53,INDIRECT("r"&amp;5+2*(ROW()-54)&amp;":r"&amp;6+2*(ROW()-54)))</f>
        <v>0</v>
      </c>
      <c r="R59" s="1714">
        <f>VLOOKUP(CAPA!$C$17,Índices!B:F,5,FALSE)/VLOOKUP(DATE(YEAR(B59),MONTH(B59),1),Índices!B:F,5,FALSE)</f>
        <v>1.0541652525590945</v>
      </c>
      <c r="S59" s="1715" cm="1">
        <f t="array" aca="1" ref="S59" ca="1">DSUM(MercadoBase1,S$53,INDIRECT("r"&amp;5+2*(ROW()-54)&amp;":r"&amp;6+2*(ROW()-54)))</f>
        <v>0</v>
      </c>
      <c r="T59" s="1712" cm="1">
        <f t="array" aca="1" ref="T59" ca="1">DSUM(MercadoBase1,T$53,INDIRECT("r"&amp;5+2*(ROW()-54)&amp;":r"&amp;6+2*(ROW()-54)))</f>
        <v>0</v>
      </c>
      <c r="U59" s="1712" cm="1">
        <f t="array" aca="1" ref="U59" ca="1">DSUM(MercadoBase1,U$53,INDIRECT("r"&amp;5+2*(ROW()-54)&amp;":r"&amp;6+2*(ROW()-54)))</f>
        <v>0</v>
      </c>
      <c r="V59" s="1712" cm="1">
        <f t="array" aca="1" ref="V59" ca="1">DSUM(MercadoBase1,V$53,INDIRECT("r"&amp;5+2*(ROW()-54)&amp;":r"&amp;6+2*(ROW()-54)))</f>
        <v>0</v>
      </c>
      <c r="W59" s="1712" cm="1">
        <f t="array" aca="1" ref="W59" ca="1">DSUM(MercadoBase1,W$53,INDIRECT("r"&amp;5+2*(ROW()-54)&amp;":r"&amp;6+2*(ROW()-54)))</f>
        <v>0</v>
      </c>
      <c r="X59" s="1712" cm="1">
        <f t="array" aca="1" ref="X59" ca="1">DSUM(MercadoBase1,X$53,INDIRECT("r"&amp;5+2*(ROW()-54)&amp;":r"&amp;6+2*(ROW()-54)))</f>
        <v>0</v>
      </c>
      <c r="Y59" s="1712" cm="1">
        <f t="array" aca="1" ref="Y59" ca="1">DSUM(MercadoBase1,Y$53,INDIRECT("r"&amp;5+2*(ROW()-54)&amp;":r"&amp;6+2*(ROW()-54)))</f>
        <v>0</v>
      </c>
      <c r="Z59" s="1712" cm="1">
        <f t="array" aca="1" ref="Z59" ca="1">DSUM(MercadoBase1,Z$53,INDIRECT("r"&amp;5+2*(ROW()-54)&amp;":r"&amp;6+2*(ROW()-54)))</f>
        <v>4710106.4988308027</v>
      </c>
      <c r="AA59" s="1712" cm="1">
        <f t="array" aca="1" ref="AA59" ca="1">DSUM(MercadoBase1,AA$53,INDIRECT("r"&amp;5+2*(ROW()-54)&amp;":r"&amp;6+2*(ROW()-54)))</f>
        <v>0</v>
      </c>
      <c r="AB59" s="1712" cm="1">
        <f t="array" aca="1" ref="AB59" ca="1">DSUM(MercadoBase1,AB$53,INDIRECT("r"&amp;5+2*(ROW()-54)&amp;":r"&amp;6+2*(ROW()-54)))</f>
        <v>0</v>
      </c>
      <c r="AC59" s="1649"/>
      <c r="AD59" s="1649"/>
      <c r="AE59" s="1649"/>
      <c r="AF59" s="1649"/>
      <c r="AG59" s="1649"/>
      <c r="AH59" s="1649"/>
      <c r="AI59" s="1649"/>
      <c r="AJ59" s="1649"/>
      <c r="AK59" s="1649"/>
      <c r="AL59" s="1649"/>
      <c r="AM59" s="1649"/>
      <c r="AN59" s="1649"/>
      <c r="AO59" s="1649"/>
      <c r="AP59" s="1649"/>
      <c r="AQ59" s="1649"/>
      <c r="AR59" s="1649"/>
      <c r="AS59" s="1649"/>
      <c r="AT59" s="1649"/>
      <c r="AU59" s="1649"/>
      <c r="AV59" s="1649"/>
      <c r="AW59" s="1649"/>
      <c r="AX59" s="1649"/>
      <c r="AY59" s="1649"/>
      <c r="AZ59" s="1649"/>
      <c r="BA59" s="1649"/>
      <c r="BB59" s="1649"/>
      <c r="BC59" s="1649"/>
      <c r="BD59" s="1649"/>
      <c r="BE59" s="1649"/>
      <c r="BF59" s="1649"/>
      <c r="BG59" s="1649"/>
      <c r="BH59" s="1649"/>
      <c r="BI59" s="1649"/>
      <c r="BJ59" s="1649"/>
      <c r="BK59" s="1649"/>
      <c r="BL59" s="1649"/>
      <c r="BM59" s="1649"/>
      <c r="BN59" s="1649"/>
    </row>
    <row r="60" spans="1:66" s="1648" customFormat="1" ht="15" customHeight="1">
      <c r="A60" s="1649"/>
      <c r="B60" s="1706">
        <f t="shared" si="2"/>
        <v>44562</v>
      </c>
      <c r="C60" s="1707"/>
      <c r="D60" s="1712" cm="1">
        <f t="array" aca="1" ref="D60" ca="1">DSUM(MercadoBase1,D$53,INDIRECT("r"&amp;5+2*(ROW()-54)&amp;":r"&amp;6+2*(ROW()-54)))</f>
        <v>0</v>
      </c>
      <c r="E60" s="1712" cm="1">
        <f t="array" aca="1" ref="E60" ca="1">DSUM(MercadoBase1,E$53,INDIRECT("r"&amp;5+2*(ROW()-54)&amp;":r"&amp;6+2*(ROW()-54)))</f>
        <v>0</v>
      </c>
      <c r="F60" s="1712" cm="1">
        <f t="array" aca="1" ref="F60" ca="1">DSUM(MercadoBase1,F$53,INDIRECT("r"&amp;5+2*(ROW()-54)&amp;":r"&amp;6+2*(ROW()-54)))</f>
        <v>48408.818527943615</v>
      </c>
      <c r="G60" s="1712" cm="1">
        <f t="array" aca="1" ref="G60" ca="1">DSUM(MercadoBase1,G$53,INDIRECT("r"&amp;5+2*(ROW()-54)&amp;":r"&amp;6+2*(ROW()-54)))</f>
        <v>164670.97184796672</v>
      </c>
      <c r="H60" s="1712" cm="1">
        <f t="array" aca="1" ref="H60" ca="1">DSUM(MercadoBase1,H$53,INDIRECT("r"&amp;5+2*(ROW()-54)&amp;":r"&amp;6+2*(ROW()-54)))</f>
        <v>1001581.3735615251</v>
      </c>
      <c r="I60" s="1712" cm="1">
        <f t="array" aca="1" ref="I60" ca="1">DSUM(MercadoBase1,I$53,INDIRECT("r"&amp;5+2*(ROW()-54)&amp;":r"&amp;6+2*(ROW()-54)))</f>
        <v>28092.816532786121</v>
      </c>
      <c r="J60" s="1712" cm="1">
        <f t="array" aca="1" ref="J60" ca="1">DSUM(MercadoBase1,J$53,INDIRECT("r"&amp;5+2*(ROW()-54)&amp;":r"&amp;6+2*(ROW()-54)))</f>
        <v>0</v>
      </c>
      <c r="K60" s="1712" cm="1">
        <f t="array" aca="1" ref="K60" ca="1">DSUM(MercadoBase1,K$53,INDIRECT("r"&amp;5+2*(ROW()-54)&amp;":r"&amp;6+2*(ROW()-54)))</f>
        <v>0</v>
      </c>
      <c r="L60" s="1712" cm="1">
        <f t="array" aca="1" ref="L60" ca="1">DSUM(MercadoBase1,L$53,INDIRECT("r"&amp;5+2*(ROW()-54)&amp;":r"&amp;6+2*(ROW()-54)))</f>
        <v>0</v>
      </c>
      <c r="M60" s="1712" cm="1">
        <f t="array" aca="1" ref="M60" ca="1">DSUM(MercadoBase1,M$53,INDIRECT("r"&amp;5+2*(ROW()-54)&amp;":r"&amp;6+2*(ROW()-54)))</f>
        <v>0</v>
      </c>
      <c r="N60" s="1712" cm="1">
        <f t="array" aca="1" ref="N60" ca="1">DSUM(MercadoBase1,N$53,INDIRECT("r"&amp;5+2*(ROW()-54)&amp;":r"&amp;6+2*(ROW()-54)))</f>
        <v>0</v>
      </c>
      <c r="O60" s="1712" cm="1">
        <f t="array" aca="1" ref="O60" ca="1">DSUM(MercadoBase1,O$53,INDIRECT("r"&amp;5+2*(ROW()-54)&amp;":r"&amp;6+2*(ROW()-54)))</f>
        <v>0</v>
      </c>
      <c r="P60" s="1712" cm="1">
        <f t="array" aca="1" ref="P60" ca="1">DSUM(MercadoBase1,P$53,INDIRECT("r"&amp;5+2*(ROW()-54)&amp;":r"&amp;6+2*(ROW()-54)))</f>
        <v>0</v>
      </c>
      <c r="Q60" s="1713" cm="1">
        <f t="array" aca="1" ref="Q60" ca="1">DSUM(MercadoBase1,Q$53,INDIRECT("r"&amp;5+2*(ROW()-54)&amp;":r"&amp;6+2*(ROW()-54)))</f>
        <v>0</v>
      </c>
      <c r="R60" s="1714">
        <f>VLOOKUP(CAPA!$C$17,Índices!B:F,5,FALSE)/VLOOKUP(DATE(YEAR(B60),MONTH(B60),1),Índices!B:F,5,FALSE)</f>
        <v>1.0465020287560824</v>
      </c>
      <c r="S60" s="1715" cm="1">
        <f t="array" aca="1" ref="S60" ca="1">DSUM(MercadoBase1,S$53,INDIRECT("r"&amp;5+2*(ROW()-54)&amp;":r"&amp;6+2*(ROW()-54)))</f>
        <v>0</v>
      </c>
      <c r="T60" s="1712" cm="1">
        <f t="array" aca="1" ref="T60" ca="1">DSUM(MercadoBase1,T$53,INDIRECT("r"&amp;5+2*(ROW()-54)&amp;":r"&amp;6+2*(ROW()-54)))</f>
        <v>0</v>
      </c>
      <c r="U60" s="1712" cm="1">
        <f t="array" aca="1" ref="U60" ca="1">DSUM(MercadoBase1,U$53,INDIRECT("r"&amp;5+2*(ROW()-54)&amp;":r"&amp;6+2*(ROW()-54)))</f>
        <v>0</v>
      </c>
      <c r="V60" s="1712" cm="1">
        <f t="array" aca="1" ref="V60" ca="1">DSUM(MercadoBase1,V$53,INDIRECT("r"&amp;5+2*(ROW()-54)&amp;":r"&amp;6+2*(ROW()-54)))</f>
        <v>0</v>
      </c>
      <c r="W60" s="1712" cm="1">
        <f t="array" aca="1" ref="W60" ca="1">DSUM(MercadoBase1,W$53,INDIRECT("r"&amp;5+2*(ROW()-54)&amp;":r"&amp;6+2*(ROW()-54)))</f>
        <v>0</v>
      </c>
      <c r="X60" s="1712" cm="1">
        <f t="array" aca="1" ref="X60" ca="1">DSUM(MercadoBase1,X$53,INDIRECT("r"&amp;5+2*(ROW()-54)&amp;":r"&amp;6+2*(ROW()-54)))</f>
        <v>0</v>
      </c>
      <c r="Y60" s="1712" cm="1">
        <f t="array" aca="1" ref="Y60" ca="1">DSUM(MercadoBase1,Y$53,INDIRECT("r"&amp;5+2*(ROW()-54)&amp;":r"&amp;6+2*(ROW()-54)))</f>
        <v>0</v>
      </c>
      <c r="Z60" s="1712" cm="1">
        <f t="array" aca="1" ref="Z60" ca="1">DSUM(MercadoBase1,Z$53,INDIRECT("r"&amp;5+2*(ROW()-54)&amp;":r"&amp;6+2*(ROW()-54)))</f>
        <v>5241659.917801247</v>
      </c>
      <c r="AA60" s="1712" cm="1">
        <f t="array" aca="1" ref="AA60" ca="1">DSUM(MercadoBase1,AA$53,INDIRECT("r"&amp;5+2*(ROW()-54)&amp;":r"&amp;6+2*(ROW()-54)))</f>
        <v>0</v>
      </c>
      <c r="AB60" s="1712" cm="1">
        <f t="array" aca="1" ref="AB60" ca="1">DSUM(MercadoBase1,AB$53,INDIRECT("r"&amp;5+2*(ROW()-54)&amp;":r"&amp;6+2*(ROW()-54)))</f>
        <v>0</v>
      </c>
      <c r="AC60" s="1649"/>
      <c r="AD60" s="1649"/>
      <c r="AE60" s="1649"/>
      <c r="AF60" s="1649"/>
      <c r="AG60" s="1649"/>
      <c r="AH60" s="1649"/>
      <c r="AI60" s="1649"/>
      <c r="AJ60" s="1649"/>
      <c r="AK60" s="1649"/>
      <c r="AL60" s="1649"/>
      <c r="AM60" s="1649"/>
      <c r="AN60" s="1649"/>
      <c r="AO60" s="1649"/>
      <c r="AP60" s="1649"/>
      <c r="AQ60" s="1649"/>
      <c r="AR60" s="1649"/>
      <c r="AS60" s="1649"/>
      <c r="AT60" s="1649"/>
      <c r="AU60" s="1649"/>
      <c r="AV60" s="1649"/>
      <c r="AW60" s="1649"/>
      <c r="AX60" s="1649"/>
      <c r="AY60" s="1649"/>
      <c r="AZ60" s="1649"/>
      <c r="BA60" s="1649"/>
      <c r="BB60" s="1649"/>
      <c r="BC60" s="1649"/>
      <c r="BD60" s="1649"/>
      <c r="BE60" s="1649"/>
      <c r="BF60" s="1649"/>
      <c r="BG60" s="1649"/>
      <c r="BH60" s="1649"/>
      <c r="BI60" s="1649"/>
      <c r="BJ60" s="1649"/>
      <c r="BK60" s="1649"/>
      <c r="BL60" s="1649"/>
      <c r="BM60" s="1649"/>
      <c r="BN60" s="1649"/>
    </row>
    <row r="61" spans="1:66" s="1648" customFormat="1" ht="15" customHeight="1">
      <c r="A61" s="1649"/>
      <c r="B61" s="1706">
        <f t="shared" si="2"/>
        <v>44593</v>
      </c>
      <c r="C61" s="1707"/>
      <c r="D61" s="1712" cm="1">
        <f t="array" aca="1" ref="D61" ca="1">DSUM(MercadoBase1,D$53,INDIRECT("r"&amp;5+2*(ROW()-54)&amp;":r"&amp;6+2*(ROW()-54)))</f>
        <v>0</v>
      </c>
      <c r="E61" s="1712" cm="1">
        <f t="array" aca="1" ref="E61" ca="1">DSUM(MercadoBase1,E$53,INDIRECT("r"&amp;5+2*(ROW()-54)&amp;":r"&amp;6+2*(ROW()-54)))</f>
        <v>0</v>
      </c>
      <c r="F61" s="1712" cm="1">
        <f t="array" aca="1" ref="F61" ca="1">DSUM(MercadoBase1,F$53,INDIRECT("r"&amp;5+2*(ROW()-54)&amp;":r"&amp;6+2*(ROW()-54)))</f>
        <v>45596.707625630828</v>
      </c>
      <c r="G61" s="1712" cm="1">
        <f t="array" aca="1" ref="G61" ca="1">DSUM(MercadoBase1,G$53,INDIRECT("r"&amp;5+2*(ROW()-54)&amp;":r"&amp;6+2*(ROW()-54)))</f>
        <v>154911.05418901838</v>
      </c>
      <c r="H61" s="1712" cm="1">
        <f t="array" aca="1" ref="H61" ca="1">DSUM(MercadoBase1,H$53,INDIRECT("r"&amp;5+2*(ROW()-54)&amp;":r"&amp;6+2*(ROW()-54)))</f>
        <v>950713.63893811568</v>
      </c>
      <c r="I61" s="1712" cm="1">
        <f t="array" aca="1" ref="I61" ca="1">DSUM(MercadoBase1,I$53,INDIRECT("r"&amp;5+2*(ROW()-54)&amp;":r"&amp;6+2*(ROW()-54)))</f>
        <v>26991.321874188641</v>
      </c>
      <c r="J61" s="1712" cm="1">
        <f t="array" aca="1" ref="J61" ca="1">DSUM(MercadoBase1,J$53,INDIRECT("r"&amp;5+2*(ROW()-54)&amp;":r"&amp;6+2*(ROW()-54)))</f>
        <v>0</v>
      </c>
      <c r="K61" s="1712" cm="1">
        <f t="array" aca="1" ref="K61" ca="1">DSUM(MercadoBase1,K$53,INDIRECT("r"&amp;5+2*(ROW()-54)&amp;":r"&amp;6+2*(ROW()-54)))</f>
        <v>0</v>
      </c>
      <c r="L61" s="1712" cm="1">
        <f t="array" aca="1" ref="L61" ca="1">DSUM(MercadoBase1,L$53,INDIRECT("r"&amp;5+2*(ROW()-54)&amp;":r"&amp;6+2*(ROW()-54)))</f>
        <v>0</v>
      </c>
      <c r="M61" s="1712" cm="1">
        <f t="array" aca="1" ref="M61" ca="1">DSUM(MercadoBase1,M$53,INDIRECT("r"&amp;5+2*(ROW()-54)&amp;":r"&amp;6+2*(ROW()-54)))</f>
        <v>0</v>
      </c>
      <c r="N61" s="1712" cm="1">
        <f t="array" aca="1" ref="N61" ca="1">DSUM(MercadoBase1,N$53,INDIRECT("r"&amp;5+2*(ROW()-54)&amp;":r"&amp;6+2*(ROW()-54)))</f>
        <v>0</v>
      </c>
      <c r="O61" s="1712" cm="1">
        <f t="array" aca="1" ref="O61" ca="1">DSUM(MercadoBase1,O$53,INDIRECT("r"&amp;5+2*(ROW()-54)&amp;":r"&amp;6+2*(ROW()-54)))</f>
        <v>0</v>
      </c>
      <c r="P61" s="1712" cm="1">
        <f t="array" aca="1" ref="P61" ca="1">DSUM(MercadoBase1,P$53,INDIRECT("r"&amp;5+2*(ROW()-54)&amp;":r"&amp;6+2*(ROW()-54)))</f>
        <v>0</v>
      </c>
      <c r="Q61" s="1713" cm="1">
        <f t="array" aca="1" ref="Q61" ca="1">DSUM(MercadoBase1,Q$53,INDIRECT("r"&amp;5+2*(ROW()-54)&amp;":r"&amp;6+2*(ROW()-54)))</f>
        <v>0</v>
      </c>
      <c r="R61" s="1714">
        <f>VLOOKUP(CAPA!$C$17,Índices!B:F,5,FALSE)/VLOOKUP(DATE(YEAR(B61),MONTH(B61),1),Índices!B:F,5,FALSE)</f>
        <v>1.038659722138076</v>
      </c>
      <c r="S61" s="1715" cm="1">
        <f t="array" aca="1" ref="S61" ca="1">DSUM(MercadoBase1,S$53,INDIRECT("r"&amp;5+2*(ROW()-54)&amp;":r"&amp;6+2*(ROW()-54)))</f>
        <v>0</v>
      </c>
      <c r="T61" s="1712" cm="1">
        <f t="array" aca="1" ref="T61" ca="1">DSUM(MercadoBase1,T$53,INDIRECT("r"&amp;5+2*(ROW()-54)&amp;":r"&amp;6+2*(ROW()-54)))</f>
        <v>0</v>
      </c>
      <c r="U61" s="1712" cm="1">
        <f t="array" aca="1" ref="U61" ca="1">DSUM(MercadoBase1,U$53,INDIRECT("r"&amp;5+2*(ROW()-54)&amp;":r"&amp;6+2*(ROW()-54)))</f>
        <v>0</v>
      </c>
      <c r="V61" s="1712" cm="1">
        <f t="array" aca="1" ref="V61" ca="1">DSUM(MercadoBase1,V$53,INDIRECT("r"&amp;5+2*(ROW()-54)&amp;":r"&amp;6+2*(ROW()-54)))</f>
        <v>0</v>
      </c>
      <c r="W61" s="1712" cm="1">
        <f t="array" aca="1" ref="W61" ca="1">DSUM(MercadoBase1,W$53,INDIRECT("r"&amp;5+2*(ROW()-54)&amp;":r"&amp;6+2*(ROW()-54)))</f>
        <v>0</v>
      </c>
      <c r="X61" s="1712" cm="1">
        <f t="array" aca="1" ref="X61" ca="1">DSUM(MercadoBase1,X$53,INDIRECT("r"&amp;5+2*(ROW()-54)&amp;":r"&amp;6+2*(ROW()-54)))</f>
        <v>0</v>
      </c>
      <c r="Y61" s="1712" cm="1">
        <f t="array" aca="1" ref="Y61" ca="1">DSUM(MercadoBase1,Y$53,INDIRECT("r"&amp;5+2*(ROW()-54)&amp;":r"&amp;6+2*(ROW()-54)))</f>
        <v>0</v>
      </c>
      <c r="Z61" s="1712" cm="1">
        <f t="array" aca="1" ref="Z61" ca="1">DSUM(MercadoBase1,Z$53,INDIRECT("r"&amp;5+2*(ROW()-54)&amp;":r"&amp;6+2*(ROW()-54)))</f>
        <v>5268542.8720341064</v>
      </c>
      <c r="AA61" s="1712" cm="1">
        <f t="array" aca="1" ref="AA61" ca="1">DSUM(MercadoBase1,AA$53,INDIRECT("r"&amp;5+2*(ROW()-54)&amp;":r"&amp;6+2*(ROW()-54)))</f>
        <v>0</v>
      </c>
      <c r="AB61" s="1712" cm="1">
        <f t="array" aca="1" ref="AB61" ca="1">DSUM(MercadoBase1,AB$53,INDIRECT("r"&amp;5+2*(ROW()-54)&amp;":r"&amp;6+2*(ROW()-54)))</f>
        <v>0</v>
      </c>
      <c r="AC61" s="1649"/>
      <c r="AD61" s="1649"/>
      <c r="AE61" s="1649"/>
      <c r="AF61" s="1649"/>
      <c r="AG61" s="1649"/>
      <c r="AH61" s="1649"/>
      <c r="AI61" s="1649"/>
      <c r="AJ61" s="1649"/>
      <c r="AK61" s="1649"/>
      <c r="AL61" s="1649"/>
      <c r="AM61" s="1649"/>
      <c r="AN61" s="1649"/>
      <c r="AO61" s="1649"/>
      <c r="AP61" s="1649"/>
      <c r="AQ61" s="1649"/>
      <c r="AR61" s="1649"/>
      <c r="AS61" s="1649"/>
      <c r="AT61" s="1649"/>
      <c r="AU61" s="1649"/>
      <c r="AV61" s="1649"/>
      <c r="AW61" s="1649"/>
      <c r="AX61" s="1649"/>
      <c r="AY61" s="1649"/>
      <c r="AZ61" s="1649"/>
      <c r="BA61" s="1649"/>
      <c r="BB61" s="1649"/>
      <c r="BC61" s="1649"/>
      <c r="BD61" s="1649"/>
      <c r="BE61" s="1649"/>
      <c r="BF61" s="1649"/>
      <c r="BG61" s="1649"/>
      <c r="BH61" s="1649"/>
      <c r="BI61" s="1649"/>
      <c r="BJ61" s="1649"/>
      <c r="BK61" s="1649"/>
      <c r="BL61" s="1649"/>
      <c r="BM61" s="1649"/>
      <c r="BN61" s="1649"/>
    </row>
    <row r="62" spans="1:66" s="1648" customFormat="1" ht="15" customHeight="1">
      <c r="A62" s="1649"/>
      <c r="B62" s="1706">
        <f t="shared" si="2"/>
        <v>44621</v>
      </c>
      <c r="C62" s="1707"/>
      <c r="D62" s="1712" cm="1">
        <f t="array" aca="1" ref="D62" ca="1">DSUM(MercadoBase1,D$53,INDIRECT("r"&amp;5+2*(ROW()-54)&amp;":r"&amp;6+2*(ROW()-54)))</f>
        <v>0</v>
      </c>
      <c r="E62" s="1712" cm="1">
        <f t="array" aca="1" ref="E62" ca="1">DSUM(MercadoBase1,E$53,INDIRECT("r"&amp;5+2*(ROW()-54)&amp;":r"&amp;6+2*(ROW()-54)))</f>
        <v>0</v>
      </c>
      <c r="F62" s="1712" cm="1">
        <f t="array" aca="1" ref="F62" ca="1">DSUM(MercadoBase1,F$53,INDIRECT("r"&amp;5+2*(ROW()-54)&amp;":r"&amp;6+2*(ROW()-54)))</f>
        <v>31722.632078328563</v>
      </c>
      <c r="G62" s="1712" cm="1">
        <f t="array" aca="1" ref="G62" ca="1">DSUM(MercadoBase1,G$53,INDIRECT("r"&amp;5+2*(ROW()-54)&amp;":r"&amp;6+2*(ROW()-54)))</f>
        <v>106368.68635437486</v>
      </c>
      <c r="H62" s="1712" cm="1">
        <f t="array" aca="1" ref="H62" ca="1">DSUM(MercadoBase1,H$53,INDIRECT("r"&amp;5+2*(ROW()-54)&amp;":r"&amp;6+2*(ROW()-54)))</f>
        <v>664067.59578014701</v>
      </c>
      <c r="I62" s="1712" cm="1">
        <f t="array" aca="1" ref="I62" ca="1">DSUM(MercadoBase1,I$53,INDIRECT("r"&amp;5+2*(ROW()-54)&amp;":r"&amp;6+2*(ROW()-54)))</f>
        <v>19504.79312769699</v>
      </c>
      <c r="J62" s="1712" cm="1">
        <f t="array" aca="1" ref="J62" ca="1">DSUM(MercadoBase1,J$53,INDIRECT("r"&amp;5+2*(ROW()-54)&amp;":r"&amp;6+2*(ROW()-54)))</f>
        <v>0</v>
      </c>
      <c r="K62" s="1712" cm="1">
        <f t="array" aca="1" ref="K62" ca="1">DSUM(MercadoBase1,K$53,INDIRECT("r"&amp;5+2*(ROW()-54)&amp;":r"&amp;6+2*(ROW()-54)))</f>
        <v>0</v>
      </c>
      <c r="L62" s="1712" cm="1">
        <f t="array" aca="1" ref="L62" ca="1">DSUM(MercadoBase1,L$53,INDIRECT("r"&amp;5+2*(ROW()-54)&amp;":r"&amp;6+2*(ROW()-54)))</f>
        <v>0</v>
      </c>
      <c r="M62" s="1712" cm="1">
        <f t="array" aca="1" ref="M62" ca="1">DSUM(MercadoBase1,M$53,INDIRECT("r"&amp;5+2*(ROW()-54)&amp;":r"&amp;6+2*(ROW()-54)))</f>
        <v>0</v>
      </c>
      <c r="N62" s="1712" cm="1">
        <f t="array" aca="1" ref="N62" ca="1">DSUM(MercadoBase1,N$53,INDIRECT("r"&amp;5+2*(ROW()-54)&amp;":r"&amp;6+2*(ROW()-54)))</f>
        <v>0</v>
      </c>
      <c r="O62" s="1712" cm="1">
        <f t="array" aca="1" ref="O62" ca="1">DSUM(MercadoBase1,O$53,INDIRECT("r"&amp;5+2*(ROW()-54)&amp;":r"&amp;6+2*(ROW()-54)))</f>
        <v>0</v>
      </c>
      <c r="P62" s="1712" cm="1">
        <f t="array" aca="1" ref="P62" ca="1">DSUM(MercadoBase1,P$53,INDIRECT("r"&amp;5+2*(ROW()-54)&amp;":r"&amp;6+2*(ROW()-54)))</f>
        <v>0</v>
      </c>
      <c r="Q62" s="1713" cm="1">
        <f t="array" aca="1" ref="Q62" ca="1">DSUM(MercadoBase1,Q$53,INDIRECT("r"&amp;5+2*(ROW()-54)&amp;":r"&amp;6+2*(ROW()-54)))</f>
        <v>0</v>
      </c>
      <c r="R62" s="1714">
        <f>VLOOKUP(CAPA!$C$17,Índices!B:F,5,FALSE)/VLOOKUP(DATE(YEAR(B62),MONTH(B62),1),Índices!B:F,5,FALSE)</f>
        <v>1.0291192325390464</v>
      </c>
      <c r="S62" s="1715" cm="1">
        <f t="array" aca="1" ref="S62" ca="1">DSUM(MercadoBase1,S$53,INDIRECT("r"&amp;5+2*(ROW()-54)&amp;":r"&amp;6+2*(ROW()-54)))</f>
        <v>0</v>
      </c>
      <c r="T62" s="1712" cm="1">
        <f t="array" aca="1" ref="T62" ca="1">DSUM(MercadoBase1,T$53,INDIRECT("r"&amp;5+2*(ROW()-54)&amp;":r"&amp;6+2*(ROW()-54)))</f>
        <v>0</v>
      </c>
      <c r="U62" s="1712" cm="1">
        <f t="array" aca="1" ref="U62" ca="1">DSUM(MercadoBase1,U$53,INDIRECT("r"&amp;5+2*(ROW()-54)&amp;":r"&amp;6+2*(ROW()-54)))</f>
        <v>0</v>
      </c>
      <c r="V62" s="1712" cm="1">
        <f t="array" aca="1" ref="V62" ca="1">DSUM(MercadoBase1,V$53,INDIRECT("r"&amp;5+2*(ROW()-54)&amp;":r"&amp;6+2*(ROW()-54)))</f>
        <v>0</v>
      </c>
      <c r="W62" s="1712" cm="1">
        <f t="array" aca="1" ref="W62" ca="1">DSUM(MercadoBase1,W$53,INDIRECT("r"&amp;5+2*(ROW()-54)&amp;":r"&amp;6+2*(ROW()-54)))</f>
        <v>0</v>
      </c>
      <c r="X62" s="1712" cm="1">
        <f t="array" aca="1" ref="X62" ca="1">DSUM(MercadoBase1,X$53,INDIRECT("r"&amp;5+2*(ROW()-54)&amp;":r"&amp;6+2*(ROW()-54)))</f>
        <v>0</v>
      </c>
      <c r="Y62" s="1712" cm="1">
        <f t="array" aca="1" ref="Y62" ca="1">DSUM(MercadoBase1,Y$53,INDIRECT("r"&amp;5+2*(ROW()-54)&amp;":r"&amp;6+2*(ROW()-54)))</f>
        <v>0</v>
      </c>
      <c r="Z62" s="1712" cm="1">
        <f t="array" aca="1" ref="Z62" ca="1">DSUM(MercadoBase1,Z$53,INDIRECT("r"&amp;5+2*(ROW()-54)&amp;":r"&amp;6+2*(ROW()-54)))</f>
        <v>4499377.4465097589</v>
      </c>
      <c r="AA62" s="1712" cm="1">
        <f t="array" aca="1" ref="AA62" ca="1">DSUM(MercadoBase1,AA$53,INDIRECT("r"&amp;5+2*(ROW()-54)&amp;":r"&amp;6+2*(ROW()-54)))</f>
        <v>0</v>
      </c>
      <c r="AB62" s="1712" cm="1">
        <f t="array" aca="1" ref="AB62" ca="1">DSUM(MercadoBase1,AB$53,INDIRECT("r"&amp;5+2*(ROW()-54)&amp;":r"&amp;6+2*(ROW()-54)))</f>
        <v>0</v>
      </c>
      <c r="AC62" s="1649"/>
      <c r="AD62" s="1649"/>
      <c r="AE62" s="1649"/>
      <c r="AF62" s="1649"/>
      <c r="AG62" s="1649"/>
      <c r="AH62" s="1649"/>
      <c r="AI62" s="1649"/>
      <c r="AJ62" s="1649"/>
      <c r="AK62" s="1649"/>
      <c r="AL62" s="1649"/>
      <c r="AM62" s="1649"/>
      <c r="AN62" s="1649"/>
      <c r="AO62" s="1649"/>
      <c r="AP62" s="1649"/>
      <c r="AQ62" s="1649"/>
      <c r="AR62" s="1649"/>
      <c r="AS62" s="1649"/>
      <c r="AT62" s="1649"/>
      <c r="AU62" s="1649"/>
      <c r="AV62" s="1649"/>
      <c r="AW62" s="1649"/>
      <c r="AX62" s="1649"/>
      <c r="AY62" s="1649"/>
      <c r="AZ62" s="1649"/>
      <c r="BA62" s="1649"/>
      <c r="BB62" s="1649"/>
      <c r="BC62" s="1649"/>
      <c r="BD62" s="1649"/>
      <c r="BE62" s="1649"/>
      <c r="BF62" s="1649"/>
      <c r="BG62" s="1649"/>
      <c r="BH62" s="1649"/>
      <c r="BI62" s="1649"/>
      <c r="BJ62" s="1649"/>
      <c r="BK62" s="1649"/>
      <c r="BL62" s="1649"/>
      <c r="BM62" s="1649"/>
      <c r="BN62" s="1649"/>
    </row>
    <row r="63" spans="1:66" s="1648" customFormat="1" ht="15" customHeight="1">
      <c r="A63" s="1649"/>
      <c r="B63" s="1706">
        <f t="shared" si="2"/>
        <v>44652</v>
      </c>
      <c r="C63" s="1707"/>
      <c r="D63" s="1712" cm="1">
        <f t="array" aca="1" ref="D63" ca="1">DSUM(MercadoBase1,D$53,INDIRECT("r"&amp;5+2*(ROW()-54)&amp;":r"&amp;6+2*(ROW()-54)))</f>
        <v>0</v>
      </c>
      <c r="E63" s="1712" cm="1">
        <f t="array" aca="1" ref="E63" ca="1">DSUM(MercadoBase1,E$53,INDIRECT("r"&amp;5+2*(ROW()-54)&amp;":r"&amp;6+2*(ROW()-54)))</f>
        <v>0</v>
      </c>
      <c r="F63" s="1712" cm="1">
        <f t="array" aca="1" ref="F63" ca="1">DSUM(MercadoBase1,F$53,INDIRECT("r"&amp;5+2*(ROW()-54)&amp;":r"&amp;6+2*(ROW()-54)))</f>
        <v>23891.988140297322</v>
      </c>
      <c r="G63" s="1712" cm="1">
        <f t="array" aca="1" ref="G63" ca="1">DSUM(MercadoBase1,G$53,INDIRECT("r"&amp;5+2*(ROW()-54)&amp;":r"&amp;6+2*(ROW()-54)))</f>
        <v>79761.961152553427</v>
      </c>
      <c r="H63" s="1712" cm="1">
        <f t="array" aca="1" ref="H63" ca="1">DSUM(MercadoBase1,H$53,INDIRECT("r"&amp;5+2*(ROW()-54)&amp;":r"&amp;6+2*(ROW()-54)))</f>
        <v>503022.54483988468</v>
      </c>
      <c r="I63" s="1712" cm="1">
        <f t="array" aca="1" ref="I63" ca="1">DSUM(MercadoBase1,I$53,INDIRECT("r"&amp;5+2*(ROW()-54)&amp;":r"&amp;6+2*(ROW()-54)))</f>
        <v>15008.361588109961</v>
      </c>
      <c r="J63" s="1712" cm="1">
        <f t="array" aca="1" ref="J63" ca="1">DSUM(MercadoBase1,J$53,INDIRECT("r"&amp;5+2*(ROW()-54)&amp;":r"&amp;6+2*(ROW()-54)))</f>
        <v>0</v>
      </c>
      <c r="K63" s="1712" cm="1">
        <f t="array" aca="1" ref="K63" ca="1">DSUM(MercadoBase1,K$53,INDIRECT("r"&amp;5+2*(ROW()-54)&amp;":r"&amp;6+2*(ROW()-54)))</f>
        <v>0</v>
      </c>
      <c r="L63" s="1712" cm="1">
        <f t="array" aca="1" ref="L63" ca="1">DSUM(MercadoBase1,L$53,INDIRECT("r"&amp;5+2*(ROW()-54)&amp;":r"&amp;6+2*(ROW()-54)))</f>
        <v>0</v>
      </c>
      <c r="M63" s="1712" cm="1">
        <f t="array" aca="1" ref="M63" ca="1">DSUM(MercadoBase1,M$53,INDIRECT("r"&amp;5+2*(ROW()-54)&amp;":r"&amp;6+2*(ROW()-54)))</f>
        <v>0</v>
      </c>
      <c r="N63" s="1712" cm="1">
        <f t="array" aca="1" ref="N63" ca="1">DSUM(MercadoBase1,N$53,INDIRECT("r"&amp;5+2*(ROW()-54)&amp;":r"&amp;6+2*(ROW()-54)))</f>
        <v>0</v>
      </c>
      <c r="O63" s="1712" cm="1">
        <f t="array" aca="1" ref="O63" ca="1">DSUM(MercadoBase1,O$53,INDIRECT("r"&amp;5+2*(ROW()-54)&amp;":r"&amp;6+2*(ROW()-54)))</f>
        <v>0</v>
      </c>
      <c r="P63" s="1712" cm="1">
        <f t="array" aca="1" ref="P63" ca="1">DSUM(MercadoBase1,P$53,INDIRECT("r"&amp;5+2*(ROW()-54)&amp;":r"&amp;6+2*(ROW()-54)))</f>
        <v>0</v>
      </c>
      <c r="Q63" s="1713" cm="1">
        <f t="array" aca="1" ref="Q63" ca="1">DSUM(MercadoBase1,Q$53,INDIRECT("r"&amp;5+2*(ROW()-54)&amp;":r"&amp;6+2*(ROW()-54)))</f>
        <v>0</v>
      </c>
      <c r="R63" s="1714">
        <f>VLOOKUP(CAPA!$C$17,Índices!B:F,5,FALSE)/VLOOKUP(DATE(YEAR(B63),MONTH(B63),1),Índices!B:F,5,FALSE)</f>
        <v>1.0206041228759459</v>
      </c>
      <c r="S63" s="1715" cm="1">
        <f t="array" aca="1" ref="S63" ca="1">DSUM(MercadoBase1,S$53,INDIRECT("r"&amp;5+2*(ROW()-54)&amp;":r"&amp;6+2*(ROW()-54)))</f>
        <v>0</v>
      </c>
      <c r="T63" s="1712" cm="1">
        <f t="array" aca="1" ref="T63" ca="1">DSUM(MercadoBase1,T$53,INDIRECT("r"&amp;5+2*(ROW()-54)&amp;":r"&amp;6+2*(ROW()-54)))</f>
        <v>0</v>
      </c>
      <c r="U63" s="1712" cm="1">
        <f t="array" aca="1" ref="U63" ca="1">DSUM(MercadoBase1,U$53,INDIRECT("r"&amp;5+2*(ROW()-54)&amp;":r"&amp;6+2*(ROW()-54)))</f>
        <v>0</v>
      </c>
      <c r="V63" s="1712" cm="1">
        <f t="array" aca="1" ref="V63" ca="1">DSUM(MercadoBase1,V$53,INDIRECT("r"&amp;5+2*(ROW()-54)&amp;":r"&amp;6+2*(ROW()-54)))</f>
        <v>0</v>
      </c>
      <c r="W63" s="1712" cm="1">
        <f t="array" aca="1" ref="W63" ca="1">DSUM(MercadoBase1,W$53,INDIRECT("r"&amp;5+2*(ROW()-54)&amp;":r"&amp;6+2*(ROW()-54)))</f>
        <v>0</v>
      </c>
      <c r="X63" s="1712" cm="1">
        <f t="array" aca="1" ref="X63" ca="1">DSUM(MercadoBase1,X$53,INDIRECT("r"&amp;5+2*(ROW()-54)&amp;":r"&amp;6+2*(ROW()-54)))</f>
        <v>0</v>
      </c>
      <c r="Y63" s="1712" cm="1">
        <f t="array" aca="1" ref="Y63" ca="1">DSUM(MercadoBase1,Y$53,INDIRECT("r"&amp;5+2*(ROW()-54)&amp;":r"&amp;6+2*(ROW()-54)))</f>
        <v>0</v>
      </c>
      <c r="Z63" s="1712" cm="1">
        <f t="array" aca="1" ref="Z63" ca="1">DSUM(MercadoBase1,Z$53,INDIRECT("r"&amp;5+2*(ROW()-54)&amp;":r"&amp;6+2*(ROW()-54)))</f>
        <v>3448388.8489880566</v>
      </c>
      <c r="AA63" s="1712" cm="1">
        <f t="array" aca="1" ref="AA63" ca="1">DSUM(MercadoBase1,AA$53,INDIRECT("r"&amp;5+2*(ROW()-54)&amp;":r"&amp;6+2*(ROW()-54)))</f>
        <v>0</v>
      </c>
      <c r="AB63" s="1712" cm="1">
        <f t="array" aca="1" ref="AB63" ca="1">DSUM(MercadoBase1,AB$53,INDIRECT("r"&amp;5+2*(ROW()-54)&amp;":r"&amp;6+2*(ROW()-54)))</f>
        <v>0</v>
      </c>
      <c r="AC63" s="1649"/>
      <c r="AD63" s="1649"/>
      <c r="AE63" s="1649"/>
      <c r="AF63" s="1649"/>
      <c r="AG63" s="1649"/>
      <c r="AH63" s="1649"/>
      <c r="AI63" s="1649"/>
      <c r="AJ63" s="1649"/>
      <c r="AK63" s="1649"/>
      <c r="AL63" s="1649"/>
      <c r="AM63" s="1649"/>
      <c r="AN63" s="1649"/>
      <c r="AO63" s="1649"/>
      <c r="AP63" s="1649"/>
      <c r="AQ63" s="1649"/>
      <c r="AR63" s="1649"/>
      <c r="AS63" s="1649"/>
      <c r="AT63" s="1649"/>
      <c r="AU63" s="1649"/>
      <c r="AV63" s="1649"/>
      <c r="AW63" s="1649"/>
      <c r="AX63" s="1649"/>
      <c r="AY63" s="1649"/>
      <c r="AZ63" s="1649"/>
      <c r="BA63" s="1649"/>
      <c r="BB63" s="1649"/>
      <c r="BC63" s="1649"/>
      <c r="BD63" s="1649"/>
      <c r="BE63" s="1649"/>
      <c r="BF63" s="1649"/>
      <c r="BG63" s="1649"/>
      <c r="BH63" s="1649"/>
      <c r="BI63" s="1649"/>
      <c r="BJ63" s="1649"/>
      <c r="BK63" s="1649"/>
      <c r="BL63" s="1649"/>
      <c r="BM63" s="1649"/>
      <c r="BN63" s="1649"/>
    </row>
    <row r="64" spans="1:66" s="1648" customFormat="1" ht="15" customHeight="1">
      <c r="A64" s="1649"/>
      <c r="B64" s="1706">
        <f t="shared" si="2"/>
        <v>44682</v>
      </c>
      <c r="C64" s="1707"/>
      <c r="D64" s="1712" cm="1">
        <f t="array" aca="1" ref="D64" ca="1">DSUM(MercadoBase1,D$53,INDIRECT("r"&amp;5+2*(ROW()-54)&amp;":r"&amp;6+2*(ROW()-54)))</f>
        <v>0</v>
      </c>
      <c r="E64" s="1712" cm="1">
        <f t="array" aca="1" ref="E64" ca="1">DSUM(MercadoBase1,E$53,INDIRECT("r"&amp;5+2*(ROW()-54)&amp;":r"&amp;6+2*(ROW()-54)))</f>
        <v>0</v>
      </c>
      <c r="F64" s="1712" cm="1">
        <f t="array" aca="1" ref="F64" ca="1">DSUM(MercadoBase1,F$53,INDIRECT("r"&amp;5+2*(ROW()-54)&amp;":r"&amp;6+2*(ROW()-54)))</f>
        <v>21733.146876850191</v>
      </c>
      <c r="G64" s="1712" cm="1">
        <f t="array" aca="1" ref="G64" ca="1">DSUM(MercadoBase1,G$53,INDIRECT("r"&amp;5+2*(ROW()-54)&amp;":r"&amp;6+2*(ROW()-54)))</f>
        <v>72480.623688990003</v>
      </c>
      <c r="H64" s="1712" cm="1">
        <f t="array" aca="1" ref="H64" ca="1">DSUM(MercadoBase1,H$53,INDIRECT("r"&amp;5+2*(ROW()-54)&amp;":r"&amp;6+2*(ROW()-54)))</f>
        <v>457405.9081685376</v>
      </c>
      <c r="I64" s="1712" cm="1">
        <f t="array" aca="1" ref="I64" ca="1">DSUM(MercadoBase1,I$53,INDIRECT("r"&amp;5+2*(ROW()-54)&amp;":r"&amp;6+2*(ROW()-54)))</f>
        <v>13671.767243792408</v>
      </c>
      <c r="J64" s="1712" cm="1">
        <f t="array" aca="1" ref="J64" ca="1">DSUM(MercadoBase1,J$53,INDIRECT("r"&amp;5+2*(ROW()-54)&amp;":r"&amp;6+2*(ROW()-54)))</f>
        <v>0</v>
      </c>
      <c r="K64" s="1712" cm="1">
        <f t="array" aca="1" ref="K64" ca="1">DSUM(MercadoBase1,K$53,INDIRECT("r"&amp;5+2*(ROW()-54)&amp;":r"&amp;6+2*(ROW()-54)))</f>
        <v>0</v>
      </c>
      <c r="L64" s="1712" cm="1">
        <f t="array" aca="1" ref="L64" ca="1">DSUM(MercadoBase1,L$53,INDIRECT("r"&amp;5+2*(ROW()-54)&amp;":r"&amp;6+2*(ROW()-54)))</f>
        <v>0</v>
      </c>
      <c r="M64" s="1712" cm="1">
        <f t="array" aca="1" ref="M64" ca="1">DSUM(MercadoBase1,M$53,INDIRECT("r"&amp;5+2*(ROW()-54)&amp;":r"&amp;6+2*(ROW()-54)))</f>
        <v>0</v>
      </c>
      <c r="N64" s="1712" cm="1">
        <f t="array" aca="1" ref="N64" ca="1">DSUM(MercadoBase1,N$53,INDIRECT("r"&amp;5+2*(ROW()-54)&amp;":r"&amp;6+2*(ROW()-54)))</f>
        <v>0</v>
      </c>
      <c r="O64" s="1712" cm="1">
        <f t="array" aca="1" ref="O64" ca="1">DSUM(MercadoBase1,O$53,INDIRECT("r"&amp;5+2*(ROW()-54)&amp;":r"&amp;6+2*(ROW()-54)))</f>
        <v>0</v>
      </c>
      <c r="P64" s="1712" cm="1">
        <f t="array" aca="1" ref="P64" ca="1">DSUM(MercadoBase1,P$53,INDIRECT("r"&amp;5+2*(ROW()-54)&amp;":r"&amp;6+2*(ROW()-54)))</f>
        <v>0</v>
      </c>
      <c r="Q64" s="1713" cm="1">
        <f t="array" aca="1" ref="Q64" ca="1">DSUM(MercadoBase1,Q$53,INDIRECT("r"&amp;5+2*(ROW()-54)&amp;":r"&amp;6+2*(ROW()-54)))</f>
        <v>0</v>
      </c>
      <c r="R64" s="1714">
        <f>VLOOKUP(CAPA!$C$17,Índices!B:F,5,FALSE)/VLOOKUP(DATE(YEAR(B64),MONTH(B64),1),Índices!B:F,5,FALSE)</f>
        <v>1.0101531560893695</v>
      </c>
      <c r="S64" s="1715" cm="1">
        <f t="array" aca="1" ref="S64" ca="1">DSUM(MercadoBase1,S$53,INDIRECT("r"&amp;5+2*(ROW()-54)&amp;":r"&amp;6+2*(ROW()-54)))</f>
        <v>0</v>
      </c>
      <c r="T64" s="1712" cm="1">
        <f t="array" aca="1" ref="T64" ca="1">DSUM(MercadoBase1,T$53,INDIRECT("r"&amp;5+2*(ROW()-54)&amp;":r"&amp;6+2*(ROW()-54)))</f>
        <v>0</v>
      </c>
      <c r="U64" s="1712" cm="1">
        <f t="array" aca="1" ref="U64" ca="1">DSUM(MercadoBase1,U$53,INDIRECT("r"&amp;5+2*(ROW()-54)&amp;":r"&amp;6+2*(ROW()-54)))</f>
        <v>0</v>
      </c>
      <c r="V64" s="1712" cm="1">
        <f t="array" aca="1" ref="V64" ca="1">DSUM(MercadoBase1,V$53,INDIRECT("r"&amp;5+2*(ROW()-54)&amp;":r"&amp;6+2*(ROW()-54)))</f>
        <v>0</v>
      </c>
      <c r="W64" s="1712" cm="1">
        <f t="array" aca="1" ref="W64" ca="1">DSUM(MercadoBase1,W$53,INDIRECT("r"&amp;5+2*(ROW()-54)&amp;":r"&amp;6+2*(ROW()-54)))</f>
        <v>0</v>
      </c>
      <c r="X64" s="1712" cm="1">
        <f t="array" aca="1" ref="X64" ca="1">DSUM(MercadoBase1,X$53,INDIRECT("r"&amp;5+2*(ROW()-54)&amp;":r"&amp;6+2*(ROW()-54)))</f>
        <v>0</v>
      </c>
      <c r="Y64" s="1712" cm="1">
        <f t="array" aca="1" ref="Y64" ca="1">DSUM(MercadoBase1,Y$53,INDIRECT("r"&amp;5+2*(ROW()-54)&amp;":r"&amp;6+2*(ROW()-54)))</f>
        <v>0</v>
      </c>
      <c r="Z64" s="1712" cm="1">
        <f t="array" aca="1" ref="Z64" ca="1">DSUM(MercadoBase1,Z$53,INDIRECT("r"&amp;5+2*(ROW()-54)&amp;":r"&amp;6+2*(ROW()-54)))</f>
        <v>3092732.1098441835</v>
      </c>
      <c r="AA64" s="1712" cm="1">
        <f t="array" aca="1" ref="AA64" ca="1">DSUM(MercadoBase1,AA$53,INDIRECT("r"&amp;5+2*(ROW()-54)&amp;":r"&amp;6+2*(ROW()-54)))</f>
        <v>0</v>
      </c>
      <c r="AB64" s="1712" cm="1">
        <f t="array" aca="1" ref="AB64" ca="1">DSUM(MercadoBase1,AB$53,INDIRECT("r"&amp;5+2*(ROW()-54)&amp;":r"&amp;6+2*(ROW()-54)))</f>
        <v>0</v>
      </c>
      <c r="AC64" s="1649"/>
      <c r="AD64" s="1649"/>
      <c r="AE64" s="1649"/>
      <c r="AF64" s="1649"/>
      <c r="AG64" s="1649"/>
      <c r="AH64" s="1649"/>
      <c r="AI64" s="1649"/>
      <c r="AJ64" s="1649"/>
      <c r="AK64" s="1649"/>
      <c r="AL64" s="1649"/>
      <c r="AM64" s="1649"/>
      <c r="AN64" s="1649"/>
      <c r="AO64" s="1649"/>
      <c r="AP64" s="1649"/>
      <c r="AQ64" s="1649"/>
      <c r="AR64" s="1649"/>
      <c r="AS64" s="1649"/>
      <c r="AT64" s="1649"/>
      <c r="AU64" s="1649"/>
      <c r="AV64" s="1649"/>
      <c r="AW64" s="1649"/>
      <c r="AX64" s="1649"/>
      <c r="AY64" s="1649"/>
      <c r="AZ64" s="1649"/>
      <c r="BA64" s="1649"/>
      <c r="BB64" s="1649"/>
      <c r="BC64" s="1649"/>
      <c r="BD64" s="1649"/>
      <c r="BE64" s="1649"/>
      <c r="BF64" s="1649"/>
      <c r="BG64" s="1649"/>
      <c r="BH64" s="1649"/>
      <c r="BI64" s="1649"/>
      <c r="BJ64" s="1649"/>
      <c r="BK64" s="1649"/>
      <c r="BL64" s="1649"/>
      <c r="BM64" s="1649"/>
      <c r="BN64" s="1649"/>
    </row>
    <row r="65" spans="1:66" s="1648" customFormat="1" ht="15" customHeight="1">
      <c r="A65" s="1649"/>
      <c r="B65" s="1706">
        <f>DATE(YEAR(CAPA!$C$15),MONTH(CAPA!$C$15)-1,1)</f>
        <v>44713</v>
      </c>
      <c r="C65" s="1707"/>
      <c r="D65" s="1716" cm="1">
        <f t="array" aca="1" ref="D65" ca="1">DSUM(MercadoBase1,D$53,INDIRECT("r"&amp;5+2*(ROW()-54)&amp;":r"&amp;6+2*(ROW()-54)))</f>
        <v>0</v>
      </c>
      <c r="E65" s="1716" cm="1">
        <f t="array" aca="1" ref="E65" ca="1">DSUM(MercadoBase1,E$53,INDIRECT("r"&amp;5+2*(ROW()-54)&amp;":r"&amp;6+2*(ROW()-54)))</f>
        <v>0</v>
      </c>
      <c r="F65" s="1712" cm="1">
        <f t="array" aca="1" ref="F65" ca="1">DSUM(MercadoBase1,F$53,INDIRECT("r"&amp;5+2*(ROW()-54)&amp;":r"&amp;6+2*(ROW()-54)))</f>
        <v>21733.146876850191</v>
      </c>
      <c r="G65" s="1716" cm="1">
        <f t="array" aca="1" ref="G65" ca="1">DSUM(MercadoBase1,G$53,INDIRECT("r"&amp;5+2*(ROW()-54)&amp;":r"&amp;6+2*(ROW()-54)))</f>
        <v>72480.623688990003</v>
      </c>
      <c r="H65" s="1716" cm="1">
        <f t="array" aca="1" ref="H65" ca="1">DSUM(MercadoBase1,H$53,INDIRECT("r"&amp;5+2*(ROW()-54)&amp;":r"&amp;6+2*(ROW()-54)))</f>
        <v>457405.9081685376</v>
      </c>
      <c r="I65" s="1712" cm="1">
        <f t="array" aca="1" ref="I65" ca="1">DSUM(MercadoBase1,I$53,INDIRECT("r"&amp;5+2*(ROW()-54)&amp;":r"&amp;6+2*(ROW()-54)))</f>
        <v>13671.767243792408</v>
      </c>
      <c r="J65" s="1716" cm="1">
        <f t="array" aca="1" ref="J65" ca="1">DSUM(MercadoBase1,J$53,INDIRECT("r"&amp;5+2*(ROW()-54)&amp;":r"&amp;6+2*(ROW()-54)))</f>
        <v>0</v>
      </c>
      <c r="K65" s="1716" cm="1">
        <f t="array" aca="1" ref="K65" ca="1">DSUM(MercadoBase1,K$53,INDIRECT("r"&amp;5+2*(ROW()-54)&amp;":r"&amp;6+2*(ROW()-54)))</f>
        <v>0</v>
      </c>
      <c r="L65" s="1712" cm="1">
        <f t="array" aca="1" ref="L65" ca="1">DSUM(MercadoBase1,L$53,INDIRECT("r"&amp;5+2*(ROW()-54)&amp;":r"&amp;6+2*(ROW()-54)))</f>
        <v>0</v>
      </c>
      <c r="M65" s="1716" cm="1">
        <f t="array" aca="1" ref="M65" ca="1">DSUM(MercadoBase1,M$53,INDIRECT("r"&amp;5+2*(ROW()-54)&amp;":r"&amp;6+2*(ROW()-54)))</f>
        <v>0</v>
      </c>
      <c r="N65" s="1716" cm="1">
        <f t="array" aca="1" ref="N65" ca="1">DSUM(MercadoBase1,N$53,INDIRECT("r"&amp;5+2*(ROW()-54)&amp;":r"&amp;6+2*(ROW()-54)))</f>
        <v>0</v>
      </c>
      <c r="O65" s="1712" cm="1">
        <f t="array" aca="1" ref="O65" ca="1">DSUM(MercadoBase1,O$53,INDIRECT("r"&amp;5+2*(ROW()-54)&amp;":r"&amp;6+2*(ROW()-54)))</f>
        <v>0</v>
      </c>
      <c r="P65" s="1716" cm="1">
        <f t="array" aca="1" ref="P65" ca="1">DSUM(MercadoBase1,P$53,INDIRECT("r"&amp;5+2*(ROW()-54)&amp;":r"&amp;6+2*(ROW()-54)))</f>
        <v>0</v>
      </c>
      <c r="Q65" s="1717" cm="1">
        <f t="array" aca="1" ref="Q65" ca="1">DSUM(MercadoBase1,Q$53,INDIRECT("r"&amp;5+2*(ROW()-54)&amp;":r"&amp;6+2*(ROW()-54)))</f>
        <v>0</v>
      </c>
      <c r="R65" s="1718">
        <f>VLOOKUP(CAPA!$C$17,Índices!B:F,5,FALSE)/VLOOKUP(DATE(YEAR(B65),MONTH(B65),1),Índices!B:F,5,FALSE)</f>
        <v>1</v>
      </c>
      <c r="S65" s="1715" cm="1">
        <f t="array" aca="1" ref="S65" ca="1">DSUM(MercadoBase1,S$53,INDIRECT("r"&amp;5+2*(ROW()-54)&amp;":r"&amp;6+2*(ROW()-54)))</f>
        <v>0</v>
      </c>
      <c r="T65" s="1716" cm="1">
        <f t="array" aca="1" ref="T65" ca="1">DSUM(MercadoBase1,T$53,INDIRECT("r"&amp;5+2*(ROW()-54)&amp;":r"&amp;6+2*(ROW()-54)))</f>
        <v>0</v>
      </c>
      <c r="U65" s="1716" cm="1">
        <f t="array" aca="1" ref="U65" ca="1">DSUM(MercadoBase1,U$53,INDIRECT("r"&amp;5+2*(ROW()-54)&amp;":r"&amp;6+2*(ROW()-54)))</f>
        <v>0</v>
      </c>
      <c r="V65" s="1712" cm="1">
        <f t="array" aca="1" ref="V65" ca="1">DSUM(MercadoBase1,V$53,INDIRECT("r"&amp;5+2*(ROW()-54)&amp;":r"&amp;6+2*(ROW()-54)))</f>
        <v>0</v>
      </c>
      <c r="W65" s="1716" cm="1">
        <f t="array" aca="1" ref="W65" ca="1">DSUM(MercadoBase1,W$53,INDIRECT("r"&amp;5+2*(ROW()-54)&amp;":r"&amp;6+2*(ROW()-54)))</f>
        <v>0</v>
      </c>
      <c r="X65" s="1716" cm="1">
        <f t="array" aca="1" ref="X65" ca="1">DSUM(MercadoBase1,X$53,INDIRECT("r"&amp;5+2*(ROW()-54)&amp;":r"&amp;6+2*(ROW()-54)))</f>
        <v>0</v>
      </c>
      <c r="Y65" s="1712" cm="1">
        <f t="array" aca="1" ref="Y65" ca="1">DSUM(MercadoBase1,Y$53,INDIRECT("r"&amp;5+2*(ROW()-54)&amp;":r"&amp;6+2*(ROW()-54)))</f>
        <v>0</v>
      </c>
      <c r="Z65" s="1716" cm="1">
        <f t="array" aca="1" ref="Z65" ca="1">DSUM(MercadoBase1,Z$53,INDIRECT("r"&amp;5+2*(ROW()-54)&amp;":r"&amp;6+2*(ROW()-54)))</f>
        <v>3092732.1098441835</v>
      </c>
      <c r="AA65" s="1716" cm="1">
        <f t="array" aca="1" ref="AA65" ca="1">DSUM(MercadoBase1,AA$53,INDIRECT("r"&amp;5+2*(ROW()-54)&amp;":r"&amp;6+2*(ROW()-54)))</f>
        <v>0</v>
      </c>
      <c r="AB65" s="1712" cm="1">
        <f t="array" aca="1" ref="AB65" ca="1">DSUM(MercadoBase1,AB$53,INDIRECT("r"&amp;5+2*(ROW()-54)&amp;":r"&amp;6+2*(ROW()-54)))</f>
        <v>0</v>
      </c>
      <c r="AC65" s="1649"/>
      <c r="AD65" s="1649"/>
      <c r="AE65" s="1649"/>
      <c r="AF65" s="1649"/>
      <c r="AG65" s="1649"/>
      <c r="AH65" s="1649"/>
      <c r="AI65" s="1649"/>
      <c r="AJ65" s="1649"/>
      <c r="AK65" s="1649"/>
      <c r="AL65" s="1649"/>
      <c r="AM65" s="1649"/>
      <c r="AN65" s="1649"/>
      <c r="AO65" s="1649"/>
      <c r="AP65" s="1649"/>
      <c r="AQ65" s="1649"/>
      <c r="AR65" s="1649"/>
      <c r="AS65" s="1649"/>
      <c r="AT65" s="1649"/>
      <c r="AU65" s="1649"/>
      <c r="AV65" s="1649"/>
      <c r="AW65" s="1649"/>
      <c r="AX65" s="1649"/>
      <c r="AY65" s="1649"/>
      <c r="AZ65" s="1649"/>
      <c r="BA65" s="1649"/>
      <c r="BB65" s="1649"/>
      <c r="BC65" s="1649"/>
      <c r="BD65" s="1649"/>
      <c r="BE65" s="1649"/>
      <c r="BF65" s="1649"/>
      <c r="BG65" s="1649"/>
      <c r="BH65" s="1649"/>
      <c r="BI65" s="1649"/>
      <c r="BJ65" s="1649"/>
      <c r="BK65" s="1649"/>
      <c r="BL65" s="1649"/>
      <c r="BM65" s="1649"/>
      <c r="BN65" s="1649"/>
    </row>
    <row r="66" spans="1:66" s="1648" customFormat="1" ht="15" customHeight="1">
      <c r="A66" s="1649"/>
      <c r="B66" s="1719" t="s">
        <v>1014</v>
      </c>
      <c r="C66" s="1720"/>
      <c r="D66" s="1721">
        <f ca="1">SUM(D54:D65)</f>
        <v>0</v>
      </c>
      <c r="E66" s="1721">
        <f t="shared" ref="E66:Q66" ca="1" si="3">SUM(E54:E65)</f>
        <v>0</v>
      </c>
      <c r="F66" s="1721">
        <f t="shared" ca="1" si="3"/>
        <v>387051.4383655666</v>
      </c>
      <c r="G66" s="1721">
        <f ca="1">SUM(G54:G65)</f>
        <v>1309794.7702300332</v>
      </c>
      <c r="H66" s="1721">
        <f t="shared" ca="1" si="3"/>
        <v>8073828.0044489643</v>
      </c>
      <c r="I66" s="1721">
        <f t="shared" ca="1" si="3"/>
        <v>231416.72552077865</v>
      </c>
      <c r="J66" s="1721">
        <f t="shared" ca="1" si="3"/>
        <v>0</v>
      </c>
      <c r="K66" s="1721">
        <f t="shared" ca="1" si="3"/>
        <v>0</v>
      </c>
      <c r="L66" s="1721">
        <f t="shared" ca="1" si="3"/>
        <v>0</v>
      </c>
      <c r="M66" s="1721">
        <f t="shared" ca="1" si="3"/>
        <v>0</v>
      </c>
      <c r="N66" s="1721">
        <f t="shared" ca="1" si="3"/>
        <v>0</v>
      </c>
      <c r="O66" s="1721">
        <f t="shared" ca="1" si="3"/>
        <v>0</v>
      </c>
      <c r="P66" s="1721">
        <f t="shared" ca="1" si="3"/>
        <v>0</v>
      </c>
      <c r="Q66" s="1721">
        <f t="shared" ca="1" si="3"/>
        <v>0</v>
      </c>
      <c r="R66" s="1716"/>
      <c r="S66" s="1721">
        <f t="shared" ref="S66:AB66" ca="1" si="4">SUM(S54:S65)</f>
        <v>0</v>
      </c>
      <c r="T66" s="1721">
        <f t="shared" ca="1" si="4"/>
        <v>0</v>
      </c>
      <c r="U66" s="1721">
        <f t="shared" ca="1" si="4"/>
        <v>0</v>
      </c>
      <c r="V66" s="1721">
        <f t="shared" ca="1" si="4"/>
        <v>0</v>
      </c>
      <c r="W66" s="1721">
        <f t="shared" ca="1" si="4"/>
        <v>0</v>
      </c>
      <c r="X66" s="1721">
        <f t="shared" ca="1" si="4"/>
        <v>0</v>
      </c>
      <c r="Y66" s="1721">
        <f t="shared" ca="1" si="4"/>
        <v>0</v>
      </c>
      <c r="Z66" s="1721">
        <f t="shared" ca="1" si="4"/>
        <v>47516953.214950703</v>
      </c>
      <c r="AA66" s="1721">
        <f t="shared" ca="1" si="4"/>
        <v>0</v>
      </c>
      <c r="AB66" s="1721">
        <f t="shared" ca="1" si="4"/>
        <v>0</v>
      </c>
      <c r="AC66" s="1649"/>
      <c r="AD66" s="1649"/>
      <c r="AE66" s="1649"/>
      <c r="AF66" s="1649"/>
      <c r="AG66" s="1649"/>
      <c r="AH66" s="1649"/>
      <c r="AI66" s="1649"/>
      <c r="AJ66" s="1649"/>
      <c r="AK66" s="1649"/>
      <c r="AL66" s="1649"/>
      <c r="AM66" s="1649"/>
      <c r="AN66" s="1649"/>
      <c r="AO66" s="1649"/>
      <c r="AP66" s="1649"/>
      <c r="AQ66" s="1649"/>
      <c r="AR66" s="1649"/>
      <c r="AS66" s="1649"/>
      <c r="AT66" s="1649"/>
      <c r="AU66" s="1649"/>
      <c r="AV66" s="1649"/>
      <c r="AW66" s="1649"/>
      <c r="AX66" s="1649"/>
      <c r="AY66" s="1649"/>
      <c r="AZ66" s="1649"/>
      <c r="BA66" s="1649"/>
      <c r="BB66" s="1649"/>
      <c r="BC66" s="1649"/>
      <c r="BD66" s="1649"/>
      <c r="BE66" s="1649"/>
      <c r="BF66" s="1649"/>
      <c r="BG66" s="1649"/>
      <c r="BH66" s="1649"/>
      <c r="BI66" s="1649"/>
      <c r="BJ66" s="1649"/>
      <c r="BK66" s="1649"/>
      <c r="BL66" s="1649"/>
      <c r="BM66" s="1649"/>
      <c r="BN66" s="1649"/>
    </row>
    <row r="67" spans="1:66" s="1648" customFormat="1" ht="15" customHeight="1">
      <c r="A67" s="1649"/>
      <c r="B67" s="1722" t="s">
        <v>1425</v>
      </c>
      <c r="C67" s="1723"/>
      <c r="D67" s="1724">
        <f t="shared" ref="D67:AB67" ca="1" si="5">SUMPRODUCT(D54:D65,$R$54:$R$65)</f>
        <v>0</v>
      </c>
      <c r="E67" s="1725">
        <f t="shared" ca="1" si="5"/>
        <v>0</v>
      </c>
      <c r="F67" s="1726">
        <f t="shared" ca="1" si="5"/>
        <v>405581.94762845949</v>
      </c>
      <c r="G67" s="1725">
        <f t="shared" ca="1" si="5"/>
        <v>1372657.3599837397</v>
      </c>
      <c r="H67" s="1725">
        <f t="shared" ca="1" si="5"/>
        <v>8460474.9498489015</v>
      </c>
      <c r="I67" s="1726">
        <f t="shared" ca="1" si="5"/>
        <v>242440.49433874703</v>
      </c>
      <c r="J67" s="1724">
        <f t="shared" ca="1" si="5"/>
        <v>0</v>
      </c>
      <c r="K67" s="1725">
        <f t="shared" ca="1" si="5"/>
        <v>0</v>
      </c>
      <c r="L67" s="1726">
        <f t="shared" ca="1" si="5"/>
        <v>0</v>
      </c>
      <c r="M67" s="1725">
        <f t="shared" ca="1" si="5"/>
        <v>0</v>
      </c>
      <c r="N67" s="1725">
        <f t="shared" ca="1" si="5"/>
        <v>0</v>
      </c>
      <c r="O67" s="1726">
        <f t="shared" ca="1" si="5"/>
        <v>0</v>
      </c>
      <c r="P67" s="1724">
        <f t="shared" ca="1" si="5"/>
        <v>0</v>
      </c>
      <c r="Q67" s="1724">
        <f t="shared" ca="1" si="5"/>
        <v>0</v>
      </c>
      <c r="R67" s="1725">
        <f t="shared" si="5"/>
        <v>13.165388547125795</v>
      </c>
      <c r="S67" s="1726">
        <f t="shared" ca="1" si="5"/>
        <v>0</v>
      </c>
      <c r="T67" s="1725">
        <f t="shared" ca="1" si="5"/>
        <v>0</v>
      </c>
      <c r="U67" s="1725">
        <f t="shared" ca="1" si="5"/>
        <v>0</v>
      </c>
      <c r="V67" s="1726">
        <f t="shared" ca="1" si="5"/>
        <v>0</v>
      </c>
      <c r="W67" s="1724">
        <f t="shared" ca="1" si="5"/>
        <v>0</v>
      </c>
      <c r="X67" s="1725">
        <f t="shared" ca="1" si="5"/>
        <v>0</v>
      </c>
      <c r="Y67" s="1726">
        <f t="shared" ca="1" si="5"/>
        <v>0</v>
      </c>
      <c r="Z67" s="1725">
        <f t="shared" ca="1" si="5"/>
        <v>49766287.388899133</v>
      </c>
      <c r="AA67" s="1725">
        <f t="shared" ca="1" si="5"/>
        <v>0</v>
      </c>
      <c r="AB67" s="1726">
        <f t="shared" ca="1" si="5"/>
        <v>0</v>
      </c>
      <c r="AC67" s="1649"/>
      <c r="AD67" s="1649"/>
      <c r="AE67" s="1649"/>
      <c r="AF67" s="1649"/>
      <c r="AG67" s="1649"/>
      <c r="AH67" s="1649"/>
      <c r="AI67" s="1649"/>
      <c r="AJ67" s="1649"/>
      <c r="AK67" s="1649"/>
      <c r="AL67" s="1649"/>
      <c r="AM67" s="1649"/>
      <c r="AN67" s="1649"/>
      <c r="AO67" s="1649"/>
      <c r="AP67" s="1649"/>
      <c r="AQ67" s="1649"/>
      <c r="AR67" s="1649"/>
      <c r="AS67" s="1649"/>
      <c r="AT67" s="1649"/>
      <c r="AU67" s="1649"/>
      <c r="AV67" s="1649"/>
      <c r="AW67" s="1649"/>
      <c r="AX67" s="1649"/>
      <c r="AY67" s="1649"/>
      <c r="AZ67" s="1649"/>
      <c r="BA67" s="1649"/>
      <c r="BB67" s="1649"/>
      <c r="BC67" s="1649"/>
      <c r="BD67" s="1649"/>
      <c r="BE67" s="1649"/>
      <c r="BF67" s="1649"/>
      <c r="BG67" s="1649"/>
      <c r="BH67" s="1649"/>
      <c r="BI67" s="1649"/>
      <c r="BJ67" s="1649"/>
      <c r="BK67" s="1649"/>
      <c r="BL67" s="1649"/>
      <c r="BM67" s="1649"/>
      <c r="BN67" s="1649"/>
    </row>
    <row r="68" spans="1:66" s="1648" customFormat="1" ht="15" customHeight="1">
      <c r="A68" s="1649"/>
      <c r="B68" s="1649"/>
      <c r="C68" s="1700"/>
      <c r="D68" s="1700"/>
      <c r="E68" s="1700"/>
      <c r="F68" s="1649"/>
      <c r="G68" s="1649"/>
      <c r="H68" s="1649"/>
      <c r="I68" s="1649"/>
      <c r="J68" s="1649"/>
      <c r="K68" s="1649"/>
      <c r="L68" s="1649"/>
      <c r="M68" s="1649"/>
      <c r="N68" s="1649"/>
      <c r="O68" s="1649"/>
      <c r="P68" s="1649"/>
      <c r="Q68" s="1649"/>
      <c r="R68" s="1649"/>
      <c r="S68" s="1649"/>
      <c r="T68" s="1649"/>
      <c r="U68" s="1649"/>
      <c r="V68" s="1649"/>
      <c r="W68" s="1649"/>
      <c r="X68" s="1649"/>
      <c r="Y68" s="1649"/>
      <c r="Z68" s="1649"/>
      <c r="AA68" s="1649"/>
      <c r="AB68" s="1649"/>
      <c r="AC68" s="1649"/>
      <c r="AD68" s="1649"/>
      <c r="AE68" s="1649"/>
      <c r="AF68" s="1649"/>
      <c r="AG68" s="1649"/>
      <c r="AH68" s="1649"/>
      <c r="AI68" s="1649"/>
      <c r="AJ68" s="1649"/>
      <c r="AK68" s="1649"/>
      <c r="AL68" s="1649"/>
      <c r="AM68" s="1649"/>
      <c r="AN68" s="1649"/>
      <c r="AO68" s="1649"/>
      <c r="AP68" s="1649"/>
      <c r="AQ68" s="1649"/>
      <c r="AR68" s="1649"/>
      <c r="AS68" s="1649"/>
      <c r="AT68" s="1649"/>
      <c r="AU68" s="1649"/>
      <c r="AV68" s="1649"/>
      <c r="AW68" s="1649"/>
      <c r="AX68" s="1649"/>
      <c r="AY68" s="1649"/>
      <c r="AZ68" s="1649"/>
      <c r="BA68" s="1649"/>
      <c r="BB68" s="1649"/>
      <c r="BC68" s="1649"/>
      <c r="BD68" s="1649"/>
      <c r="BE68" s="1649"/>
      <c r="BF68" s="1649"/>
      <c r="BG68" s="1649"/>
      <c r="BH68" s="1649"/>
      <c r="BI68" s="1649"/>
      <c r="BJ68" s="1649"/>
      <c r="BK68" s="1649"/>
      <c r="BL68" s="1649"/>
      <c r="BM68" s="1649"/>
      <c r="BN68" s="1649"/>
    </row>
    <row r="69" spans="1:66" s="1648" customFormat="1" ht="15" customHeight="1">
      <c r="A69" s="1649"/>
      <c r="B69" s="1649"/>
      <c r="C69" s="1700"/>
      <c r="D69" s="1700"/>
      <c r="E69" s="1700"/>
      <c r="F69" s="1649"/>
      <c r="G69" s="1649"/>
      <c r="H69" s="1649"/>
      <c r="I69" s="1649"/>
      <c r="J69" s="1649"/>
      <c r="K69" s="1649"/>
      <c r="L69" s="1649"/>
      <c r="M69" s="1649"/>
      <c r="N69" s="1649"/>
      <c r="O69" s="1649"/>
      <c r="P69" s="1649"/>
      <c r="Q69" s="1649"/>
      <c r="R69" s="1649"/>
      <c r="S69" s="1649"/>
      <c r="T69" s="1649"/>
      <c r="U69" s="1649"/>
      <c r="V69" s="1649"/>
      <c r="W69" s="1649"/>
      <c r="X69" s="1649"/>
      <c r="Y69" s="1649"/>
      <c r="Z69" s="1649"/>
      <c r="AA69" s="1649"/>
      <c r="AB69" s="1649"/>
      <c r="AC69" s="1649"/>
      <c r="AD69" s="1649"/>
      <c r="AE69" s="1649"/>
      <c r="AF69" s="1649"/>
      <c r="AG69" s="1649"/>
      <c r="AH69" s="1649"/>
      <c r="AI69" s="1649"/>
      <c r="AJ69" s="1649"/>
      <c r="AK69" s="1649"/>
      <c r="AL69" s="1649"/>
      <c r="AM69" s="1649"/>
      <c r="AN69" s="1649"/>
      <c r="AO69" s="1649"/>
      <c r="AP69" s="1649"/>
      <c r="AQ69" s="1649"/>
      <c r="AR69" s="1649"/>
      <c r="AS69" s="1649"/>
      <c r="AT69" s="1649"/>
      <c r="AU69" s="1649"/>
      <c r="AV69" s="1649"/>
      <c r="AW69" s="1649"/>
      <c r="AX69" s="1649"/>
      <c r="AY69" s="1649"/>
      <c r="AZ69" s="1649"/>
      <c r="BA69" s="1649"/>
      <c r="BB69" s="1649"/>
      <c r="BC69" s="1649"/>
      <c r="BD69" s="1649"/>
      <c r="BE69" s="1649"/>
      <c r="BF69" s="1649"/>
      <c r="BG69" s="1649"/>
      <c r="BH69" s="1649"/>
      <c r="BI69" s="1649"/>
      <c r="BJ69" s="1649"/>
      <c r="BK69" s="1649"/>
      <c r="BL69" s="1649"/>
      <c r="BM69" s="1649"/>
      <c r="BN69" s="1649"/>
    </row>
    <row r="71" spans="1:66" ht="15" customHeight="1">
      <c r="H71" s="942"/>
      <c r="J71" s="942"/>
    </row>
    <row r="72" spans="1:66" ht="15" customHeight="1">
      <c r="H72" s="942"/>
      <c r="J72" s="942"/>
    </row>
    <row r="73" spans="1:66" ht="15" customHeight="1">
      <c r="H73" s="942"/>
      <c r="J73" s="942"/>
    </row>
    <row r="74" spans="1:66" ht="15" customHeight="1">
      <c r="H74" s="942"/>
      <c r="J74" s="942"/>
    </row>
    <row r="75" spans="1:66" ht="15" customHeight="1">
      <c r="H75" s="942"/>
      <c r="J75" s="942"/>
    </row>
    <row r="76" spans="1:66" ht="15" customHeight="1">
      <c r="H76" s="942"/>
      <c r="J76" s="942"/>
    </row>
    <row r="77" spans="1:66" ht="15" customHeight="1">
      <c r="H77" s="942"/>
      <c r="J77" s="942"/>
    </row>
    <row r="78" spans="1:66" ht="15" customHeight="1">
      <c r="H78" s="942"/>
      <c r="J78" s="942"/>
    </row>
    <row r="79" spans="1:66" ht="15" customHeight="1">
      <c r="H79" s="942"/>
      <c r="J79" s="942"/>
    </row>
    <row r="80" spans="1:66" ht="15" customHeight="1">
      <c r="H80" s="942"/>
      <c r="J80" s="942"/>
    </row>
    <row r="81" spans="8:10" ht="15" customHeight="1">
      <c r="H81" s="942"/>
      <c r="J81" s="942"/>
    </row>
    <row r="82" spans="8:10" ht="15" customHeight="1">
      <c r="H82" s="942"/>
      <c r="J82" s="942"/>
    </row>
  </sheetData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8" t="str">
        <f>CAPA!C9</f>
        <v>Cermissões</v>
      </c>
    </row>
    <row r="3" spans="1:14">
      <c r="A3" s="878" t="s">
        <v>1426</v>
      </c>
      <c r="B3" s="879">
        <v>0</v>
      </c>
    </row>
    <row r="7" spans="1:14">
      <c r="A7" s="880"/>
      <c r="B7" s="1831" t="s">
        <v>1427</v>
      </c>
      <c r="C7" s="1831"/>
      <c r="D7" s="1831"/>
      <c r="E7" s="880"/>
      <c r="F7" s="1831" t="s">
        <v>1428</v>
      </c>
      <c r="G7" s="1831"/>
      <c r="H7" s="1831"/>
      <c r="I7" s="880"/>
      <c r="J7" s="1831" t="s">
        <v>1429</v>
      </c>
      <c r="K7" s="1831"/>
      <c r="L7" s="1831"/>
    </row>
    <row r="8" spans="1:14">
      <c r="A8" s="1403" t="s">
        <v>1430</v>
      </c>
      <c r="B8" s="1403" t="s">
        <v>1431</v>
      </c>
      <c r="C8" s="1403" t="s">
        <v>110</v>
      </c>
      <c r="D8" s="1403" t="s">
        <v>1432</v>
      </c>
      <c r="E8" s="1403"/>
      <c r="F8" s="1403" t="s">
        <v>1431</v>
      </c>
      <c r="G8" s="1403" t="s">
        <v>1433</v>
      </c>
      <c r="H8" s="1403" t="s">
        <v>1434</v>
      </c>
      <c r="I8" s="1403"/>
      <c r="J8" s="1403" t="s">
        <v>1431</v>
      </c>
      <c r="K8" s="1403" t="s">
        <v>1433</v>
      </c>
      <c r="L8" s="1403" t="s">
        <v>1435</v>
      </c>
    </row>
    <row r="9" spans="1:14">
      <c r="A9" s="1404">
        <v>44013</v>
      </c>
      <c r="B9" s="1405">
        <f>SUMIFS(BDCOVID!F:F,BDCOVID!$C:$C,'Conta covid'!$A$1,BDCOVID!$AH:$AH,'Conta covid'!$A9)</f>
        <v>0</v>
      </c>
      <c r="C9" s="1405">
        <f>SUMIFS(BDCOVID!G:G,BDCOVID!$C:$C,'Conta covid'!$A$1,BDCOVID!$AH:$AH,'Conta covid'!$A9)</f>
        <v>0</v>
      </c>
      <c r="D9" s="1406">
        <f>B9-C9</f>
        <v>0</v>
      </c>
      <c r="E9" s="1405"/>
      <c r="F9" s="1407">
        <f>B9*VLOOKUP(SAS_RA0_DataFim,Índices!$B$6:$F$405,5,FALSE)/VLOOKUP(EDATE('Conta covid'!$A9,-1),Índices!$B$6:$F$405,5,FALSE)</f>
        <v>0</v>
      </c>
      <c r="G9" s="1407">
        <f>C9*VLOOKUP(SAS_RA0_DataFim,Índices!$B$6:$F$405,5,FALSE)/VLOOKUP(EDATE('Conta covid'!$A9,-1),Índices!$B$6:$F$405,5,FALSE)</f>
        <v>0</v>
      </c>
      <c r="H9" s="1407">
        <f>F9-G9</f>
        <v>0</v>
      </c>
      <c r="I9" s="1405"/>
      <c r="J9" s="1407">
        <f>IFERROR(IF($C$19,H9*$B$3,0),0)</f>
        <v>0</v>
      </c>
      <c r="K9" s="1407"/>
      <c r="L9" s="1407"/>
    </row>
    <row r="10" spans="1:14">
      <c r="A10" s="1404">
        <v>44044</v>
      </c>
      <c r="B10" s="1405">
        <f>SUMIFS(BDCOVID!F:F,BDCOVID!$C:$C,'Conta covid'!$A$1,BDCOVID!$AH:$AH,'Conta covid'!$A10)</f>
        <v>0</v>
      </c>
      <c r="C10" s="1405">
        <f>SUMIFS(BDCOVID!G:G,BDCOVID!$C:$C,'Conta covid'!$A$1,BDCOVID!$AH:$AH,'Conta covid'!$A10)</f>
        <v>0</v>
      </c>
      <c r="D10" s="1406">
        <f t="shared" ref="D10:D15" si="0">B10-C10</f>
        <v>0</v>
      </c>
      <c r="E10" s="1405"/>
      <c r="F10" s="1407">
        <f>B10*VLOOKUP(SAS_RA0_DataFim,Índices!$B$6:$F$405,5,FALSE)/VLOOKUP(EDATE('Conta covid'!$A10,-1),Índices!$B$6:$F$405,5,FALSE)</f>
        <v>0</v>
      </c>
      <c r="G10" s="1407">
        <f>C10*VLOOKUP(SAS_RA0_DataFim,Índices!$B$6:$F$405,5,FALSE)/VLOOKUP(EDATE('Conta covid'!$A10,-1),Índices!$B$6:$F$405,5,FALSE)</f>
        <v>0</v>
      </c>
      <c r="H10" s="1407">
        <f t="shared" ref="H10:H15" si="1">F10-G10</f>
        <v>0</v>
      </c>
      <c r="I10" s="1405"/>
      <c r="J10" s="1407">
        <f t="shared" ref="J10:J16" si="2">IFERROR(IF($C$19,H10*$B$3,0),0)</f>
        <v>0</v>
      </c>
      <c r="K10" s="1407"/>
      <c r="L10" s="1407"/>
    </row>
    <row r="11" spans="1:14">
      <c r="A11" s="1404">
        <v>44075</v>
      </c>
      <c r="B11" s="1405">
        <f>SUMIFS(BDCOVID!F:F,BDCOVID!$C:$C,'Conta covid'!$A$1,BDCOVID!$AH:$AH,'Conta covid'!$A11)</f>
        <v>0</v>
      </c>
      <c r="C11" s="1405">
        <f>SUMIFS(BDCOVID!G:G,BDCOVID!$C:$C,'Conta covid'!$A$1,BDCOVID!$AH:$AH,'Conta covid'!$A11)</f>
        <v>0</v>
      </c>
      <c r="D11" s="1406">
        <f t="shared" si="0"/>
        <v>0</v>
      </c>
      <c r="E11" s="1405"/>
      <c r="F11" s="1407">
        <f>B11*VLOOKUP(SAS_RA0_DataFim,Índices!$B$6:$F$405,5,FALSE)/VLOOKUP(EDATE('Conta covid'!$A11,-1),Índices!$B$6:$F$405,5,FALSE)</f>
        <v>0</v>
      </c>
      <c r="G11" s="1407">
        <f>C11*VLOOKUP(SAS_RA0_DataFim,Índices!$B$6:$F$405,5,FALSE)/VLOOKUP(EDATE('Conta covid'!$A11,-1),Índices!$B$6:$F$405,5,FALSE)</f>
        <v>0</v>
      </c>
      <c r="H11" s="1407">
        <f t="shared" si="1"/>
        <v>0</v>
      </c>
      <c r="I11" s="1405"/>
      <c r="J11" s="1407">
        <f t="shared" si="2"/>
        <v>0</v>
      </c>
      <c r="K11" s="1407"/>
      <c r="L11" s="1407"/>
    </row>
    <row r="12" spans="1:14">
      <c r="A12" s="1404">
        <v>44105</v>
      </c>
      <c r="B12" s="1405">
        <f>SUMIFS(BDCOVID!F:F,BDCOVID!$C:$C,'Conta covid'!$A$1,BDCOVID!$AH:$AH,'Conta covid'!$A12)</f>
        <v>0</v>
      </c>
      <c r="C12" s="1405">
        <f>SUMIFS(BDCOVID!G:G,BDCOVID!$C:$C,'Conta covid'!$A$1,BDCOVID!$AH:$AH,'Conta covid'!$A12)</f>
        <v>0</v>
      </c>
      <c r="D12" s="1406">
        <f t="shared" si="0"/>
        <v>0</v>
      </c>
      <c r="E12" s="1405"/>
      <c r="F12" s="1407">
        <f>B12*VLOOKUP(SAS_RA0_DataFim,Índices!$B$6:$F$405,5,FALSE)/VLOOKUP(EDATE('Conta covid'!$A12,-1),Índices!$B$6:$F$405,5,FALSE)</f>
        <v>0</v>
      </c>
      <c r="G12" s="1407">
        <f>C12*VLOOKUP(SAS_RA0_DataFim,Índices!$B$6:$F$405,5,FALSE)/VLOOKUP(EDATE('Conta covid'!$A12,-1),Índices!$B$6:$F$405,5,FALSE)</f>
        <v>0</v>
      </c>
      <c r="H12" s="1407">
        <f t="shared" si="1"/>
        <v>0</v>
      </c>
      <c r="I12" s="1405"/>
      <c r="J12" s="1407">
        <f t="shared" si="2"/>
        <v>0</v>
      </c>
      <c r="K12" s="1407"/>
      <c r="L12" s="1407"/>
    </row>
    <row r="13" spans="1:14">
      <c r="A13" s="1404">
        <v>44136</v>
      </c>
      <c r="B13" s="1405">
        <f>SUMIFS(BDCOVID!F:F,BDCOVID!$C:$C,'Conta covid'!$A$1,BDCOVID!$AH:$AH,'Conta covid'!$A13)</f>
        <v>0</v>
      </c>
      <c r="C13" s="1405">
        <f>SUMIFS(BDCOVID!G:G,BDCOVID!$C:$C,'Conta covid'!$A$1,BDCOVID!$AH:$AH,'Conta covid'!$A13)</f>
        <v>0</v>
      </c>
      <c r="D13" s="1406">
        <f t="shared" si="0"/>
        <v>0</v>
      </c>
      <c r="E13" s="1405"/>
      <c r="F13" s="1407">
        <f>B13*VLOOKUP(SAS_RA0_DataFim,Índices!$B$6:$F$405,5,FALSE)/VLOOKUP(EDATE('Conta covid'!$A13,-1),Índices!$B$6:$F$405,5,FALSE)</f>
        <v>0</v>
      </c>
      <c r="G13" s="1407">
        <f>C13*VLOOKUP(SAS_RA0_DataFim,Índices!$B$6:$F$405,5,FALSE)/VLOOKUP(EDATE('Conta covid'!$A13,-1),Índices!$B$6:$F$405,5,FALSE)</f>
        <v>0</v>
      </c>
      <c r="H13" s="1407">
        <f t="shared" si="1"/>
        <v>0</v>
      </c>
      <c r="I13" s="1405"/>
      <c r="J13" s="1407">
        <f t="shared" si="2"/>
        <v>0</v>
      </c>
      <c r="K13" s="1407"/>
      <c r="L13" s="1407"/>
      <c r="M13" s="881">
        <f t="shared" ref="M13:N13" si="3">SUM(M5:M12)</f>
        <v>0</v>
      </c>
      <c r="N13" s="881">
        <f t="shared" si="3"/>
        <v>0</v>
      </c>
    </row>
    <row r="14" spans="1:14">
      <c r="A14" s="1404">
        <v>44166</v>
      </c>
      <c r="B14" s="1405">
        <f>SUMIFS(BDCOVID!F:F,BDCOVID!$C:$C,'Conta covid'!$A$1,BDCOVID!$AH:$AH,'Conta covid'!$A14)</f>
        <v>0</v>
      </c>
      <c r="C14" s="1405">
        <f>SUMIFS(BDCOVID!G:G,BDCOVID!$C:$C,'Conta covid'!$A$1,BDCOVID!$AH:$AH,'Conta covid'!$A14)</f>
        <v>0</v>
      </c>
      <c r="D14" s="1406">
        <f t="shared" si="0"/>
        <v>0</v>
      </c>
      <c r="E14" s="1405"/>
      <c r="F14" s="1407">
        <f>B14*VLOOKUP(SAS_RA0_DataFim,Índices!$B$6:$F$405,5,FALSE)/VLOOKUP(EDATE('Conta covid'!$A14,-1),Índices!$B$6:$F$405,5,FALSE)</f>
        <v>0</v>
      </c>
      <c r="G14" s="1407">
        <f>C14*VLOOKUP(SAS_RA0_DataFim,Índices!$B$6:$F$405,5,FALSE)/VLOOKUP(EDATE('Conta covid'!$A14,-1),Índices!$B$6:$F$405,5,FALSE)</f>
        <v>0</v>
      </c>
      <c r="H14" s="1407">
        <f t="shared" si="1"/>
        <v>0</v>
      </c>
      <c r="I14" s="1405"/>
      <c r="J14" s="1407">
        <f t="shared" si="2"/>
        <v>0</v>
      </c>
      <c r="K14" s="1407"/>
      <c r="L14" s="1407"/>
    </row>
    <row r="15" spans="1:14">
      <c r="A15" s="1404">
        <v>44197</v>
      </c>
      <c r="B15" s="1405">
        <f>SUMIFS(BDCOVID!F:F,BDCOVID!$C:$C,'Conta covid'!$A$1,BDCOVID!$AH:$AH,'Conta covid'!$A15)</f>
        <v>0</v>
      </c>
      <c r="C15" s="1405">
        <f>SUMIFS(BDCOVID!G:G,BDCOVID!$C:$C,'Conta covid'!$A$1,BDCOVID!$AH:$AH,'Conta covid'!$A15)</f>
        <v>0</v>
      </c>
      <c r="D15" s="1406">
        <f t="shared" si="0"/>
        <v>0</v>
      </c>
      <c r="E15" s="1405"/>
      <c r="F15" s="1407">
        <f>B15*VLOOKUP(SAS_RA0_DataFim,Índices!$B$6:$F$405,5,FALSE)/VLOOKUP(EDATE('Conta covid'!$A15,-1),Índices!$B$6:$F$405,5,FALSE)</f>
        <v>0</v>
      </c>
      <c r="G15" s="1407">
        <f>C15*VLOOKUP(SAS_RA0_DataFim,Índices!$B$6:$F$405,5,FALSE)/VLOOKUP(EDATE('Conta covid'!$A15,-1),Índices!$B$6:$F$405,5,FALSE)</f>
        <v>0</v>
      </c>
      <c r="H15" s="1407">
        <f t="shared" si="1"/>
        <v>0</v>
      </c>
      <c r="I15" s="1405"/>
      <c r="J15" s="1407">
        <f t="shared" si="2"/>
        <v>0</v>
      </c>
      <c r="K15" s="1407"/>
      <c r="L15" s="1407"/>
    </row>
    <row r="16" spans="1:14">
      <c r="A16" s="1405"/>
      <c r="B16" s="1405"/>
      <c r="C16" s="1405"/>
      <c r="D16" s="1405"/>
      <c r="E16" s="1405"/>
      <c r="F16" s="1405"/>
      <c r="G16" s="1407"/>
      <c r="H16" s="1405"/>
      <c r="I16" s="1405"/>
      <c r="J16" s="1407">
        <f t="shared" si="2"/>
        <v>0</v>
      </c>
      <c r="K16" s="1405"/>
      <c r="L16" s="1405"/>
    </row>
    <row r="17" spans="1:12">
      <c r="A17" s="1408" t="s">
        <v>846</v>
      </c>
      <c r="B17" s="1409">
        <f>SUM(B9:B16)</f>
        <v>0</v>
      </c>
      <c r="C17" s="1409">
        <f t="shared" ref="C17:L17" si="4">SUM(C9:C16)</f>
        <v>0</v>
      </c>
      <c r="D17" s="1409">
        <f t="shared" si="4"/>
        <v>0</v>
      </c>
      <c r="E17" s="1409">
        <f t="shared" si="4"/>
        <v>0</v>
      </c>
      <c r="F17" s="1409">
        <f t="shared" si="4"/>
        <v>0</v>
      </c>
      <c r="G17" s="1409">
        <f t="shared" si="4"/>
        <v>0</v>
      </c>
      <c r="H17" s="1409">
        <f t="shared" si="4"/>
        <v>0</v>
      </c>
      <c r="I17" s="1409">
        <f t="shared" si="4"/>
        <v>0</v>
      </c>
      <c r="J17" s="1409">
        <f t="shared" si="4"/>
        <v>0</v>
      </c>
      <c r="K17" s="1409">
        <f t="shared" si="4"/>
        <v>0</v>
      </c>
      <c r="L17" s="1409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6" t="s">
        <v>1436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8"/>
      <c r="P1" s="358"/>
      <c r="Q1" s="358"/>
      <c r="R1" s="9"/>
      <c r="S1" s="9"/>
      <c r="T1" s="9"/>
      <c r="U1" s="9"/>
      <c r="V1" s="9"/>
    </row>
    <row r="2" spans="1:22">
      <c r="A2" s="695"/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358"/>
      <c r="P2" s="358"/>
      <c r="Q2" s="358"/>
      <c r="R2" s="9"/>
      <c r="S2" s="9"/>
      <c r="T2" s="9"/>
      <c r="U2" s="9"/>
      <c r="V2" s="9"/>
    </row>
    <row r="3" spans="1:22">
      <c r="A3" s="697" t="s">
        <v>1437</v>
      </c>
      <c r="B3" s="65"/>
      <c r="C3" s="65"/>
      <c r="D3" s="65"/>
      <c r="E3" s="65"/>
      <c r="F3" s="695"/>
      <c r="G3" s="358"/>
      <c r="H3" s="358"/>
      <c r="I3" s="697" t="s">
        <v>1438</v>
      </c>
      <c r="J3" s="358"/>
      <c r="K3" s="698"/>
      <c r="L3" s="9"/>
      <c r="M3" s="9"/>
      <c r="N3" s="695"/>
      <c r="O3" s="358"/>
      <c r="P3" s="358"/>
      <c r="Q3" s="358"/>
      <c r="R3" s="9"/>
      <c r="S3" s="9"/>
      <c r="T3" s="9"/>
      <c r="U3" s="9"/>
      <c r="V3" s="9"/>
    </row>
    <row r="4" spans="1:22" ht="25.5">
      <c r="A4" s="1410" t="s">
        <v>22</v>
      </c>
      <c r="B4" s="1411"/>
      <c r="C4" s="699" t="s">
        <v>930</v>
      </c>
      <c r="D4" s="699" t="s">
        <v>1439</v>
      </c>
      <c r="E4" s="699" t="s">
        <v>1440</v>
      </c>
      <c r="F4" s="699" t="s">
        <v>8</v>
      </c>
      <c r="G4" s="700" t="s">
        <v>1441</v>
      </c>
      <c r="H4" s="358"/>
      <c r="I4" s="1410" t="s">
        <v>22</v>
      </c>
      <c r="J4" s="1410"/>
      <c r="K4" s="1410"/>
      <c r="L4" s="699" t="s">
        <v>1440</v>
      </c>
      <c r="M4" s="699" t="s">
        <v>8</v>
      </c>
      <c r="N4" s="700" t="str">
        <f>G4</f>
        <v>Repasse CDE</v>
      </c>
      <c r="P4" s="358"/>
      <c r="Q4" s="358"/>
      <c r="R4" s="9"/>
      <c r="S4" s="9"/>
      <c r="T4" s="9"/>
      <c r="U4" s="9"/>
      <c r="V4" s="9"/>
    </row>
    <row r="5" spans="1:22">
      <c r="A5" s="1412" t="s">
        <v>774</v>
      </c>
      <c r="B5" s="1413"/>
      <c r="C5" s="1414">
        <f>SUMPRODUCT(C16:Q16,$C$22:$Q$22)</f>
        <v>501091.60265353508</v>
      </c>
      <c r="D5" s="704">
        <f>SUMPRODUCT(C28:Q28,$C$34:$Q$34)</f>
        <v>232006.92788232132</v>
      </c>
      <c r="E5" s="1415">
        <f>C5-D5</f>
        <v>269084.67477121379</v>
      </c>
      <c r="F5" s="1416">
        <f>Resultado!M9</f>
        <v>564530.97197516088</v>
      </c>
      <c r="G5" s="701">
        <f>F5+E5</f>
        <v>833615.64674637467</v>
      </c>
      <c r="H5" s="358"/>
      <c r="I5" s="1412" t="s">
        <v>774</v>
      </c>
      <c r="J5" s="1412"/>
      <c r="K5" s="1412"/>
      <c r="L5" s="1416">
        <f t="shared" ref="L5:N10" si="0">E5/12</f>
        <v>22423.72289760115</v>
      </c>
      <c r="M5" s="1416">
        <f t="shared" si="0"/>
        <v>47044.24766459674</v>
      </c>
      <c r="N5" s="1414">
        <f t="shared" si="0"/>
        <v>69467.970562197894</v>
      </c>
      <c r="P5" s="358"/>
      <c r="Q5" s="358"/>
      <c r="R5" s="9"/>
      <c r="S5" s="9"/>
      <c r="T5" s="9"/>
      <c r="U5" s="9"/>
      <c r="V5" s="9"/>
    </row>
    <row r="6" spans="1:22">
      <c r="A6" s="65" t="s">
        <v>776</v>
      </c>
      <c r="B6" s="702"/>
      <c r="C6" s="703">
        <f t="shared" ref="C6:C10" si="1">SUMPRODUCT(C17:Q17,$C$22:$Q$22)</f>
        <v>0</v>
      </c>
      <c r="D6" s="704">
        <f t="shared" ref="D6:D10" si="2">SUMPRODUCT(C29:Q29,$C$34:$Q$34)</f>
        <v>0</v>
      </c>
      <c r="E6" s="722">
        <f t="shared" ref="E6:E10" si="3">C6-D6</f>
        <v>0</v>
      </c>
      <c r="F6" s="704">
        <f>Resultado!M10</f>
        <v>0</v>
      </c>
      <c r="G6" s="701">
        <f t="shared" ref="G6:G10" si="4">F6+E6</f>
        <v>0</v>
      </c>
      <c r="H6" s="358"/>
      <c r="I6" s="65" t="s">
        <v>776</v>
      </c>
      <c r="J6" s="65"/>
      <c r="K6" s="65"/>
      <c r="L6" s="704">
        <f t="shared" si="0"/>
        <v>0</v>
      </c>
      <c r="M6" s="704">
        <f t="shared" si="0"/>
        <v>0</v>
      </c>
      <c r="N6" s="703">
        <f t="shared" si="0"/>
        <v>0</v>
      </c>
      <c r="P6" s="358"/>
      <c r="Q6" s="358"/>
      <c r="R6" s="9"/>
      <c r="S6" s="9"/>
      <c r="T6" s="9"/>
      <c r="U6" s="9"/>
      <c r="V6" s="9"/>
    </row>
    <row r="7" spans="1:22">
      <c r="A7" s="65" t="s">
        <v>778</v>
      </c>
      <c r="B7" s="702"/>
      <c r="C7" s="703">
        <f t="shared" si="1"/>
        <v>0</v>
      </c>
      <c r="D7" s="704">
        <f t="shared" si="2"/>
        <v>0</v>
      </c>
      <c r="E7" s="722">
        <f t="shared" si="3"/>
        <v>0</v>
      </c>
      <c r="F7" s="704">
        <f>-Financeiros!D37+Resultado!M11</f>
        <v>0</v>
      </c>
      <c r="G7" s="701">
        <f t="shared" si="4"/>
        <v>0</v>
      </c>
      <c r="H7" s="358"/>
      <c r="I7" s="65" t="s">
        <v>778</v>
      </c>
      <c r="J7" s="65"/>
      <c r="K7" s="65"/>
      <c r="L7" s="704">
        <f t="shared" si="0"/>
        <v>0</v>
      </c>
      <c r="M7" s="704">
        <f t="shared" si="0"/>
        <v>0</v>
      </c>
      <c r="N7" s="703">
        <f t="shared" si="0"/>
        <v>0</v>
      </c>
      <c r="P7" s="358"/>
      <c r="Q7" s="358"/>
      <c r="R7" s="9"/>
      <c r="S7" s="9"/>
      <c r="T7" s="9"/>
      <c r="U7" s="9"/>
      <c r="V7" s="9"/>
    </row>
    <row r="8" spans="1:22">
      <c r="A8" s="65" t="s">
        <v>779</v>
      </c>
      <c r="B8" s="702"/>
      <c r="C8" s="703">
        <f t="shared" si="1"/>
        <v>40536.041266881111</v>
      </c>
      <c r="D8" s="704">
        <f t="shared" si="2"/>
        <v>38941.975498738422</v>
      </c>
      <c r="E8" s="722">
        <f t="shared" si="3"/>
        <v>1594.0657681426892</v>
      </c>
      <c r="F8" s="704">
        <f>Resultado!M12</f>
        <v>22445.030427584512</v>
      </c>
      <c r="G8" s="701">
        <f t="shared" si="4"/>
        <v>24039.096195727201</v>
      </c>
      <c r="H8" s="358"/>
      <c r="I8" s="65" t="s">
        <v>779</v>
      </c>
      <c r="J8" s="65"/>
      <c r="K8" s="65"/>
      <c r="L8" s="704">
        <f t="shared" si="0"/>
        <v>132.83881401189078</v>
      </c>
      <c r="M8" s="704">
        <f t="shared" si="0"/>
        <v>1870.4192022987093</v>
      </c>
      <c r="N8" s="703">
        <f t="shared" si="0"/>
        <v>2003.2580163106002</v>
      </c>
      <c r="P8" s="358"/>
      <c r="Q8" s="358"/>
      <c r="R8" s="9"/>
      <c r="S8" s="9"/>
      <c r="T8" s="9"/>
      <c r="U8" s="9"/>
      <c r="V8" s="9"/>
    </row>
    <row r="9" spans="1:22">
      <c r="A9" s="65" t="s">
        <v>782</v>
      </c>
      <c r="B9" s="702"/>
      <c r="C9" s="703">
        <f t="shared" si="1"/>
        <v>4817278.1333449371</v>
      </c>
      <c r="D9" s="704">
        <f t="shared" si="2"/>
        <v>4814790.3126066243</v>
      </c>
      <c r="E9" s="722">
        <f>C9-D9</f>
        <v>2487.8207383127883</v>
      </c>
      <c r="F9" s="704">
        <f>Resultado!M13</f>
        <v>2642403.7658033175</v>
      </c>
      <c r="G9" s="701">
        <f t="shared" si="4"/>
        <v>2644891.5865416303</v>
      </c>
      <c r="H9" s="358"/>
      <c r="I9" s="65" t="s">
        <v>782</v>
      </c>
      <c r="J9" s="65"/>
      <c r="K9" s="65"/>
      <c r="L9" s="704">
        <f t="shared" si="0"/>
        <v>207.31839485939904</v>
      </c>
      <c r="M9" s="704">
        <f t="shared" si="0"/>
        <v>220200.31381694312</v>
      </c>
      <c r="N9" s="703">
        <f t="shared" si="0"/>
        <v>220407.63221180253</v>
      </c>
      <c r="P9" s="358"/>
      <c r="Q9" s="358"/>
      <c r="R9" s="9"/>
      <c r="S9" s="9"/>
      <c r="T9" s="9"/>
      <c r="U9" s="9"/>
      <c r="V9" s="9"/>
    </row>
    <row r="10" spans="1:22">
      <c r="A10" s="1137" t="s">
        <v>784</v>
      </c>
      <c r="B10" s="705"/>
      <c r="C10" s="703">
        <f t="shared" si="1"/>
        <v>4988075.1339193974</v>
      </c>
      <c r="D10" s="704">
        <f t="shared" si="2"/>
        <v>4225731.9240633752</v>
      </c>
      <c r="E10" s="1417">
        <f t="shared" si="3"/>
        <v>762343.20985602215</v>
      </c>
      <c r="F10" s="1418">
        <f>Resultado!M14</f>
        <v>4760261.7389613157</v>
      </c>
      <c r="G10" s="701">
        <f t="shared" si="4"/>
        <v>5522604.9488173379</v>
      </c>
      <c r="H10" s="358"/>
      <c r="I10" s="1137" t="s">
        <v>784</v>
      </c>
      <c r="J10" s="1137"/>
      <c r="K10" s="1137"/>
      <c r="L10" s="1418">
        <f t="shared" si="0"/>
        <v>63528.600821335182</v>
      </c>
      <c r="M10" s="1418">
        <f t="shared" si="0"/>
        <v>396688.47824677633</v>
      </c>
      <c r="N10" s="706">
        <f t="shared" si="0"/>
        <v>460217.07906811149</v>
      </c>
      <c r="P10" s="358"/>
      <c r="Q10" s="358"/>
      <c r="R10" s="9"/>
      <c r="S10" s="9"/>
      <c r="T10" s="9"/>
      <c r="U10" s="9"/>
      <c r="V10" s="9"/>
    </row>
    <row r="11" spans="1:22">
      <c r="A11" s="1419" t="s">
        <v>846</v>
      </c>
      <c r="B11" s="1419"/>
      <c r="C11" s="1420">
        <f>SUM(C5:C10)</f>
        <v>10346980.91118475</v>
      </c>
      <c r="D11" s="1420">
        <f>SUM(D5:D10)</f>
        <v>9311471.1400510594</v>
      </c>
      <c r="E11" s="1420">
        <f t="shared" ref="E11" si="5">SUM(E5:E10)</f>
        <v>1035509.7711336914</v>
      </c>
      <c r="F11" s="1420">
        <f>SUM(F5:F10)</f>
        <v>7989641.5071673784</v>
      </c>
      <c r="G11" s="1421">
        <f>SUM(G5:G10)</f>
        <v>9025151.2783010695</v>
      </c>
      <c r="H11" s="358"/>
      <c r="I11" s="1419" t="s">
        <v>846</v>
      </c>
      <c r="J11" s="1419"/>
      <c r="K11" s="1419"/>
      <c r="L11" s="1420">
        <f>SUM(L5:L10)</f>
        <v>86292.480927807628</v>
      </c>
      <c r="M11" s="1420">
        <f>SUM(M5:M10)</f>
        <v>665803.45893061487</v>
      </c>
      <c r="N11" s="1421">
        <f>SUM(N5:N10)</f>
        <v>752095.9398584225</v>
      </c>
      <c r="P11" s="358"/>
      <c r="Q11" s="358"/>
      <c r="R11" s="9"/>
      <c r="S11" s="9"/>
      <c r="T11" s="9"/>
      <c r="U11" s="9"/>
      <c r="V11" s="9"/>
    </row>
    <row r="12" spans="1:22">
      <c r="A12" s="695"/>
      <c r="B12" s="695"/>
      <c r="C12" s="695"/>
      <c r="D12" s="695"/>
      <c r="E12" s="695"/>
      <c r="F12" s="695"/>
      <c r="G12" s="695"/>
      <c r="H12" s="695"/>
      <c r="I12" s="9"/>
      <c r="J12" s="695"/>
      <c r="K12" s="695"/>
      <c r="L12" s="358"/>
      <c r="M12" s="358"/>
      <c r="N12" s="358"/>
      <c r="O12" s="358"/>
      <c r="P12" s="358"/>
      <c r="Q12" s="358"/>
      <c r="R12" s="9"/>
      <c r="S12" s="9"/>
      <c r="T12" s="9"/>
      <c r="U12" s="9"/>
      <c r="V12" s="9"/>
    </row>
    <row r="13" spans="1:22">
      <c r="A13" s="697" t="s">
        <v>1442</v>
      </c>
      <c r="B13" s="695"/>
      <c r="C13" s="358"/>
      <c r="D13" s="358"/>
      <c r="E13" s="358"/>
      <c r="F13" s="695"/>
      <c r="G13" s="695"/>
      <c r="H13" s="695"/>
      <c r="I13" s="695"/>
      <c r="J13" s="695"/>
      <c r="K13" s="695"/>
      <c r="L13" s="695"/>
      <c r="M13" s="695"/>
      <c r="N13" s="695"/>
      <c r="O13" s="358"/>
      <c r="P13" s="358"/>
      <c r="Q13" s="358"/>
      <c r="R13" s="9"/>
      <c r="S13" s="9"/>
      <c r="T13" s="9"/>
      <c r="U13" s="9"/>
      <c r="V13" s="9"/>
    </row>
    <row r="14" spans="1:22">
      <c r="A14" s="1832" t="s">
        <v>22</v>
      </c>
      <c r="B14" s="1833" t="s">
        <v>1443</v>
      </c>
      <c r="C14" s="358"/>
      <c r="D14" s="358"/>
      <c r="E14" s="358"/>
      <c r="F14" s="707" t="s">
        <v>954</v>
      </c>
      <c r="G14" s="707" t="s">
        <v>954</v>
      </c>
      <c r="H14" s="707" t="s">
        <v>954</v>
      </c>
      <c r="I14" s="707" t="s">
        <v>954</v>
      </c>
      <c r="J14" s="707" t="s">
        <v>954</v>
      </c>
      <c r="K14" s="707" t="s">
        <v>954</v>
      </c>
      <c r="L14" s="707" t="s">
        <v>954</v>
      </c>
      <c r="M14" s="707" t="s">
        <v>954</v>
      </c>
      <c r="N14" s="707" t="s">
        <v>954</v>
      </c>
      <c r="O14" s="707" t="s">
        <v>954</v>
      </c>
      <c r="P14" s="707" t="s">
        <v>954</v>
      </c>
      <c r="Q14" s="707" t="s">
        <v>954</v>
      </c>
      <c r="R14" s="9"/>
      <c r="S14" s="9"/>
      <c r="T14" s="9"/>
      <c r="U14" s="9"/>
      <c r="V14" s="9"/>
    </row>
    <row r="15" spans="1:22">
      <c r="A15" s="1832"/>
      <c r="B15" s="1833"/>
      <c r="C15" s="708">
        <f t="shared" ref="C15:P15" si="6">EDATE(D15,-1)</f>
        <v>44287</v>
      </c>
      <c r="D15" s="708">
        <f>EDATE(E15,-1)</f>
        <v>44317</v>
      </c>
      <c r="E15" s="708">
        <f>EDATE(F15,-1)</f>
        <v>44348</v>
      </c>
      <c r="F15" s="709">
        <f>EDATE(G15,-1)</f>
        <v>44378</v>
      </c>
      <c r="G15" s="709">
        <f t="shared" si="6"/>
        <v>44409</v>
      </c>
      <c r="H15" s="709">
        <f t="shared" si="6"/>
        <v>44440</v>
      </c>
      <c r="I15" s="709">
        <f t="shared" si="6"/>
        <v>44470</v>
      </c>
      <c r="J15" s="709">
        <f t="shared" si="6"/>
        <v>44501</v>
      </c>
      <c r="K15" s="709">
        <f t="shared" si="6"/>
        <v>44531</v>
      </c>
      <c r="L15" s="709">
        <f t="shared" si="6"/>
        <v>44562</v>
      </c>
      <c r="M15" s="709">
        <f t="shared" si="6"/>
        <v>44593</v>
      </c>
      <c r="N15" s="709">
        <f t="shared" si="6"/>
        <v>44621</v>
      </c>
      <c r="O15" s="709">
        <f t="shared" si="6"/>
        <v>44652</v>
      </c>
      <c r="P15" s="709">
        <f t="shared" si="6"/>
        <v>44682</v>
      </c>
      <c r="Q15" s="709">
        <f>DATE(YEAR(DataRevRea),MONTH(DataRevRea)-1,1)</f>
        <v>44713</v>
      </c>
      <c r="R15" s="9" t="s">
        <v>1017</v>
      </c>
      <c r="S15" s="9"/>
      <c r="T15" s="9"/>
      <c r="U15" s="9"/>
      <c r="V15" s="9"/>
    </row>
    <row r="16" spans="1:22">
      <c r="A16" s="710" t="s">
        <v>1444</v>
      </c>
      <c r="B16" s="711" t="s">
        <v>1006</v>
      </c>
      <c r="C16" s="712">
        <f>C40</f>
        <v>0</v>
      </c>
      <c r="D16" s="712">
        <f t="shared" ref="D16:E16" si="7">D40</f>
        <v>0</v>
      </c>
      <c r="E16" s="712">
        <f t="shared" si="7"/>
        <v>0</v>
      </c>
      <c r="F16" s="712">
        <f t="shared" ref="F16:Q21" si="8">DSUM(MercadoBase,$B16,F$14:F$15)</f>
        <v>24569.7619822544</v>
      </c>
      <c r="G16" s="712">
        <f t="shared" si="8"/>
        <v>24444.823683502098</v>
      </c>
      <c r="H16" s="712">
        <f t="shared" si="8"/>
        <v>49123.688277368296</v>
      </c>
      <c r="I16" s="712">
        <f t="shared" si="8"/>
        <v>49098.867069330096</v>
      </c>
      <c r="J16" s="712">
        <f t="shared" si="8"/>
        <v>49290.194945428593</v>
      </c>
      <c r="K16" s="712">
        <f t="shared" si="8"/>
        <v>49044.508839883201</v>
      </c>
      <c r="L16" s="712">
        <f t="shared" si="8"/>
        <v>49272.616515792091</v>
      </c>
      <c r="M16" s="712">
        <f t="shared" si="8"/>
        <v>49263.162677462402</v>
      </c>
      <c r="N16" s="712">
        <f t="shared" si="8"/>
        <v>49213.404734819997</v>
      </c>
      <c r="O16" s="712">
        <f t="shared" si="8"/>
        <v>24682.44</v>
      </c>
      <c r="P16" s="712">
        <f t="shared" si="8"/>
        <v>24754.864999999998</v>
      </c>
      <c r="Q16" s="712">
        <f t="shared" si="8"/>
        <v>24754.864999999998</v>
      </c>
      <c r="R16" s="9"/>
      <c r="S16" s="9"/>
      <c r="T16" s="9"/>
      <c r="U16" s="9"/>
      <c r="V16" s="9"/>
    </row>
    <row r="17" spans="1:22">
      <c r="A17" s="710" t="s">
        <v>1445</v>
      </c>
      <c r="B17" s="711" t="s">
        <v>1007</v>
      </c>
      <c r="C17" s="712">
        <f t="shared" ref="C17:E21" si="9">C41</f>
        <v>0</v>
      </c>
      <c r="D17" s="712">
        <f t="shared" si="9"/>
        <v>0</v>
      </c>
      <c r="E17" s="712">
        <f t="shared" si="9"/>
        <v>0</v>
      </c>
      <c r="F17" s="712">
        <f t="shared" si="8"/>
        <v>0</v>
      </c>
      <c r="G17" s="712">
        <f t="shared" si="8"/>
        <v>0</v>
      </c>
      <c r="H17" s="712">
        <f t="shared" si="8"/>
        <v>0</v>
      </c>
      <c r="I17" s="712">
        <f t="shared" si="8"/>
        <v>0</v>
      </c>
      <c r="J17" s="712">
        <f t="shared" si="8"/>
        <v>0</v>
      </c>
      <c r="K17" s="712">
        <f t="shared" si="8"/>
        <v>0</v>
      </c>
      <c r="L17" s="712">
        <f t="shared" si="8"/>
        <v>0</v>
      </c>
      <c r="M17" s="712">
        <f t="shared" si="8"/>
        <v>0</v>
      </c>
      <c r="N17" s="712">
        <f t="shared" si="8"/>
        <v>0</v>
      </c>
      <c r="O17" s="712">
        <f t="shared" si="8"/>
        <v>0</v>
      </c>
      <c r="P17" s="712">
        <f t="shared" si="8"/>
        <v>0</v>
      </c>
      <c r="Q17" s="712">
        <f t="shared" si="8"/>
        <v>0</v>
      </c>
      <c r="R17" s="9"/>
      <c r="S17" s="9"/>
      <c r="T17" s="9"/>
      <c r="U17" s="9"/>
      <c r="V17" s="9"/>
    </row>
    <row r="18" spans="1:22">
      <c r="A18" s="710" t="s">
        <v>1446</v>
      </c>
      <c r="B18" s="711" t="s">
        <v>1008</v>
      </c>
      <c r="C18" s="712">
        <f t="shared" si="9"/>
        <v>0</v>
      </c>
      <c r="D18" s="712">
        <f t="shared" si="9"/>
        <v>0</v>
      </c>
      <c r="E18" s="712">
        <f t="shared" si="9"/>
        <v>0</v>
      </c>
      <c r="F18" s="992">
        <f t="shared" ref="F18:Q18" si="10">IFERROR(DSUM(MercadoBase,$B18,F$14:F$15)+(DSUM(MercadoBase,$R$15,F$14:F$15)/($D$53/12))*$F$30,0)</f>
        <v>0</v>
      </c>
      <c r="G18" s="992">
        <f t="shared" si="10"/>
        <v>0</v>
      </c>
      <c r="H18" s="992">
        <f t="shared" si="10"/>
        <v>0</v>
      </c>
      <c r="I18" s="992">
        <f t="shared" si="10"/>
        <v>0</v>
      </c>
      <c r="J18" s="992">
        <f t="shared" si="10"/>
        <v>0</v>
      </c>
      <c r="K18" s="992">
        <f t="shared" si="10"/>
        <v>0</v>
      </c>
      <c r="L18" s="992">
        <f t="shared" si="10"/>
        <v>0</v>
      </c>
      <c r="M18" s="992">
        <f t="shared" si="10"/>
        <v>0</v>
      </c>
      <c r="N18" s="992">
        <f t="shared" si="10"/>
        <v>0</v>
      </c>
      <c r="O18" s="992">
        <f t="shared" si="10"/>
        <v>0</v>
      </c>
      <c r="P18" s="992">
        <f t="shared" si="10"/>
        <v>0</v>
      </c>
      <c r="Q18" s="992">
        <f t="shared" si="10"/>
        <v>0</v>
      </c>
      <c r="R18" s="9"/>
      <c r="S18" s="9"/>
      <c r="T18" s="9"/>
      <c r="U18" s="9"/>
      <c r="V18" s="9"/>
    </row>
    <row r="19" spans="1:22">
      <c r="A19" s="710" t="s">
        <v>1447</v>
      </c>
      <c r="B19" s="711" t="s">
        <v>1009</v>
      </c>
      <c r="C19" s="712">
        <f t="shared" si="9"/>
        <v>0</v>
      </c>
      <c r="D19" s="712">
        <f t="shared" si="9"/>
        <v>0</v>
      </c>
      <c r="E19" s="712">
        <f t="shared" si="9"/>
        <v>0</v>
      </c>
      <c r="F19" s="712">
        <f t="shared" si="8"/>
        <v>2900.4058607999996</v>
      </c>
      <c r="G19" s="712">
        <f t="shared" si="8"/>
        <v>3007.5799601999979</v>
      </c>
      <c r="H19" s="712">
        <f t="shared" si="8"/>
        <v>2858.9424959999983</v>
      </c>
      <c r="I19" s="712">
        <f t="shared" si="8"/>
        <v>2926.1392427999954</v>
      </c>
      <c r="J19" s="712">
        <f t="shared" si="8"/>
        <v>3200.4353484000067</v>
      </c>
      <c r="K19" s="712">
        <f t="shared" si="8"/>
        <v>3273.1412136000013</v>
      </c>
      <c r="L19" s="712">
        <f t="shared" si="8"/>
        <v>3709.7750910000004</v>
      </c>
      <c r="M19" s="712">
        <f t="shared" si="8"/>
        <v>3683.0993597999977</v>
      </c>
      <c r="N19" s="712">
        <f t="shared" si="8"/>
        <v>3007.9786464000044</v>
      </c>
      <c r="O19" s="712">
        <f t="shared" si="8"/>
        <v>3444.757500600007</v>
      </c>
      <c r="P19" s="712">
        <f t="shared" si="8"/>
        <v>2988.914197199997</v>
      </c>
      <c r="Q19" s="712">
        <f t="shared" si="8"/>
        <v>2988.914197199997</v>
      </c>
      <c r="R19" s="9"/>
      <c r="S19" s="9"/>
      <c r="T19" s="9"/>
      <c r="U19" s="9"/>
      <c r="V19" s="9"/>
    </row>
    <row r="20" spans="1:22">
      <c r="A20" s="710" t="s">
        <v>1448</v>
      </c>
      <c r="B20" s="711" t="s">
        <v>1010</v>
      </c>
      <c r="C20" s="712">
        <f t="shared" si="9"/>
        <v>0</v>
      </c>
      <c r="D20" s="712">
        <f t="shared" si="9"/>
        <v>0</v>
      </c>
      <c r="E20" s="712">
        <f t="shared" si="9"/>
        <v>0</v>
      </c>
      <c r="F20" s="712">
        <f t="shared" si="8"/>
        <v>292761.53724399966</v>
      </c>
      <c r="G20" s="712">
        <f t="shared" si="8"/>
        <v>323253.29741519975</v>
      </c>
      <c r="H20" s="712">
        <f t="shared" si="8"/>
        <v>324786.46641359956</v>
      </c>
      <c r="I20" s="712">
        <f t="shared" si="8"/>
        <v>341573.66430719971</v>
      </c>
      <c r="J20" s="712">
        <f t="shared" si="8"/>
        <v>426203.89303479972</v>
      </c>
      <c r="K20" s="712">
        <f t="shared" si="8"/>
        <v>462127.85298559972</v>
      </c>
      <c r="L20" s="712">
        <f t="shared" si="8"/>
        <v>488565.65678319969</v>
      </c>
      <c r="M20" s="712">
        <f t="shared" si="8"/>
        <v>506938.09180279961</v>
      </c>
      <c r="N20" s="712">
        <f t="shared" si="8"/>
        <v>415385.75914839946</v>
      </c>
      <c r="O20" s="712">
        <f t="shared" si="8"/>
        <v>334277.72681839962</v>
      </c>
      <c r="P20" s="712">
        <f t="shared" si="8"/>
        <v>295546.94133759983</v>
      </c>
      <c r="Q20" s="712">
        <f t="shared" si="8"/>
        <v>295546.94133759983</v>
      </c>
      <c r="R20" s="9"/>
      <c r="S20" s="9"/>
      <c r="T20" s="9"/>
      <c r="U20" s="9"/>
      <c r="V20" s="9"/>
    </row>
    <row r="21" spans="1:22">
      <c r="A21" s="710" t="s">
        <v>1449</v>
      </c>
      <c r="B21" s="711" t="s">
        <v>1011</v>
      </c>
      <c r="C21" s="712">
        <f t="shared" si="9"/>
        <v>0</v>
      </c>
      <c r="D21" s="712">
        <f t="shared" si="9"/>
        <v>0</v>
      </c>
      <c r="E21" s="712">
        <f t="shared" si="9"/>
        <v>0</v>
      </c>
      <c r="F21" s="712">
        <f t="shared" si="8"/>
        <v>35452.133687999987</v>
      </c>
      <c r="G21" s="712">
        <f t="shared" si="8"/>
        <v>208875.57629</v>
      </c>
      <c r="H21" s="712">
        <f t="shared" si="8"/>
        <v>107524.76782600002</v>
      </c>
      <c r="I21" s="712">
        <f t="shared" si="8"/>
        <v>271466.99064199999</v>
      </c>
      <c r="J21" s="712">
        <f t="shared" si="8"/>
        <v>954800.74300999998</v>
      </c>
      <c r="K21" s="712">
        <f t="shared" si="8"/>
        <v>1155205.7592600002</v>
      </c>
      <c r="L21" s="712">
        <f t="shared" si="8"/>
        <v>799240.6514979999</v>
      </c>
      <c r="M21" s="712">
        <f t="shared" si="8"/>
        <v>715101.64070800005</v>
      </c>
      <c r="N21" s="712">
        <f t="shared" si="8"/>
        <v>252508.49881599998</v>
      </c>
      <c r="O21" s="712">
        <f t="shared" si="8"/>
        <v>54554.684991999988</v>
      </c>
      <c r="P21" s="712">
        <f>DSUM(MercadoBase,$B21,P$14:P$15)</f>
        <v>28757.476039999994</v>
      </c>
      <c r="Q21" s="712">
        <f t="shared" si="8"/>
        <v>28757.476039999994</v>
      </c>
      <c r="R21" s="9"/>
      <c r="S21" s="9"/>
      <c r="T21" s="9"/>
      <c r="U21" s="9"/>
      <c r="V21" s="9"/>
    </row>
    <row r="22" spans="1:22">
      <c r="A22" s="1422" t="s">
        <v>1450</v>
      </c>
      <c r="B22" s="1423" t="s">
        <v>1277</v>
      </c>
      <c r="C22" s="1424">
        <f>VLOOKUP($Q$15,Índices!$B:$F,2,FALSE)/VLOOKUP(EDATE(C15,-1),Índices!$B:$F,2,FALSE)</f>
        <v>1.1768213386458592</v>
      </c>
      <c r="D22" s="1424">
        <f>VLOOKUP($Q$15,Índices!$B:$F,2,FALSE)/VLOOKUP(EDATE(D15,-1),Índices!$B:$F,2,FALSE)</f>
        <v>1.1593353264324466</v>
      </c>
      <c r="E22" s="1424">
        <f>VLOOKUP($Q$15,Índices!$B:$F,2,FALSE)/VLOOKUP(EDATE(E15,-1),Índices!$B:$F,2,FALSE)</f>
        <v>1.1137138790355088</v>
      </c>
      <c r="F22" s="1424">
        <f>VLOOKUP($Q$15,Índices!$B:$F,2,FALSE)/VLOOKUP(EDATE(F15,-1),Índices!$B:$F,2,FALSE)</f>
        <v>1.1070423608832305</v>
      </c>
      <c r="G22" s="1424">
        <f>VLOOKUP($Q$15,Índices!$B:$F,2,FALSE)/VLOOKUP(EDATE(G15,-1),Índices!$B:$F,2,FALSE)</f>
        <v>1.0985033599453922</v>
      </c>
      <c r="H22" s="1424">
        <f>VLOOKUP($Q$15,Índices!$B:$F,2,FALSE)/VLOOKUP(EDATE(H15,-1),Índices!$B:$F,2,FALSE)</f>
        <v>1.0912608014368317</v>
      </c>
      <c r="I22" s="1424">
        <f>VLOOKUP($Q$15,Índices!$B:$F,2,FALSE)/VLOOKUP(EDATE(I15,-1),Índices!$B:$F,2,FALSE)</f>
        <v>1.0982835198725092</v>
      </c>
      <c r="J22" s="1424">
        <f>VLOOKUP($Q$15,Índices!$B:$F,2,FALSE)/VLOOKUP(EDATE(J15,-1),Índices!$B:$F,2,FALSE)</f>
        <v>1.0912678012944399</v>
      </c>
      <c r="K22" s="1424">
        <f>VLOOKUP($Q$15,Índices!$B:$F,2,FALSE)/VLOOKUP(EDATE(K15,-1),Índices!$B:$F,2,FALSE)</f>
        <v>1.0910678407267911</v>
      </c>
      <c r="L22" s="1424">
        <f>VLOOKUP($Q$15,Índices!$B:$F,2,FALSE)/VLOOKUP(EDATE(L15,-1),Índices!$B:$F,2,FALSE)</f>
        <v>1.0816484829989064</v>
      </c>
      <c r="M22" s="1424">
        <f>VLOOKUP($Q$15,Índices!$B:$F,2,FALSE)/VLOOKUP(EDATE(M15,-1),Índices!$B:$F,2,FALSE)</f>
        <v>1.0623399307225074</v>
      </c>
      <c r="N22" s="1424">
        <f>VLOOKUP($Q$15,Índices!$B:$F,2,FALSE)/VLOOKUP(EDATE(N15,-1),Índices!$B:$F,2,FALSE)</f>
        <v>1.0432185825187947</v>
      </c>
      <c r="O22" s="1424">
        <f>VLOOKUP($Q$15,Índices!$B:$F,2,FALSE)/VLOOKUP(EDATE(O15,-1),Índices!$B:$F,2,FALSE)</f>
        <v>1.0253689885984203</v>
      </c>
      <c r="P22" s="1424">
        <f>VLOOKUP($Q$15,Índices!$B:$F,2,FALSE)/VLOOKUP(EDATE(P15,-1),Índices!$B:$F,2,FALSE)</f>
        <v>1.011099422741718</v>
      </c>
      <c r="Q22" s="1424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25" t="s">
        <v>1451</v>
      </c>
      <c r="B23" s="1426"/>
      <c r="C23" s="1427">
        <f t="shared" ref="C23:Q23" si="11">SUM(C16:C21)*C22</f>
        <v>0</v>
      </c>
      <c r="D23" s="1427">
        <f t="shared" si="11"/>
        <v>0</v>
      </c>
      <c r="E23" s="1427">
        <f t="shared" si="11"/>
        <v>0</v>
      </c>
      <c r="F23" s="1428">
        <f>SUM(F16:F21)*F22</f>
        <v>393757.07660554611</v>
      </c>
      <c r="G23" s="1428">
        <f t="shared" si="11"/>
        <v>614701.91333030304</v>
      </c>
      <c r="H23" s="1428">
        <f t="shared" si="11"/>
        <v>528490.91126499209</v>
      </c>
      <c r="I23" s="1428">
        <f t="shared" si="11"/>
        <v>730430.6553964311</v>
      </c>
      <c r="J23" s="1428">
        <f t="shared" si="11"/>
        <v>1564327.2274633425</v>
      </c>
      <c r="K23" s="1428">
        <f t="shared" si="11"/>
        <v>1821702.7975234217</v>
      </c>
      <c r="L23" s="1428">
        <f t="shared" si="11"/>
        <v>1450262.0632559222</v>
      </c>
      <c r="M23" s="1428">
        <f t="shared" si="11"/>
        <v>1354468.5331203556</v>
      </c>
      <c r="N23" s="1428">
        <f t="shared" si="11"/>
        <v>751238.01861418993</v>
      </c>
      <c r="O23" s="1428">
        <f t="shared" si="11"/>
        <v>427537.45288561215</v>
      </c>
      <c r="P23" s="1428">
        <f t="shared" si="11"/>
        <v>355955.72833404294</v>
      </c>
      <c r="Q23" s="1428">
        <f t="shared" si="11"/>
        <v>354108.53339059133</v>
      </c>
      <c r="R23" s="9"/>
      <c r="S23" s="9"/>
      <c r="T23" s="9"/>
      <c r="U23" s="9"/>
      <c r="V23" s="9"/>
    </row>
    <row r="24" spans="1:22">
      <c r="A24" s="9"/>
      <c r="B24" s="9"/>
      <c r="C24" s="9" t="s">
        <v>1452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7" t="s">
        <v>1453</v>
      </c>
      <c r="B25" s="695"/>
      <c r="C25" s="695"/>
      <c r="D25" s="695"/>
      <c r="E25" s="695"/>
      <c r="F25" s="695"/>
      <c r="G25" s="695"/>
      <c r="H25" s="695"/>
      <c r="I25" s="695"/>
      <c r="J25" s="695"/>
      <c r="K25" s="695"/>
      <c r="L25" s="695"/>
      <c r="M25" s="695"/>
      <c r="N25" s="695"/>
      <c r="O25" s="358"/>
      <c r="P25" s="358"/>
      <c r="Q25" s="358"/>
      <c r="R25" s="9"/>
      <c r="S25" s="9"/>
      <c r="T25" s="9"/>
      <c r="U25" s="9"/>
      <c r="V25" s="9"/>
    </row>
    <row r="26" spans="1:22">
      <c r="A26" s="1832" t="s">
        <v>22</v>
      </c>
      <c r="B26" s="1833" t="s">
        <v>1443</v>
      </c>
      <c r="C26" s="707" t="s">
        <v>954</v>
      </c>
      <c r="D26" s="707" t="s">
        <v>954</v>
      </c>
      <c r="E26" s="707" t="s">
        <v>954</v>
      </c>
      <c r="F26" s="707" t="s">
        <v>954</v>
      </c>
      <c r="G26" s="707" t="s">
        <v>954</v>
      </c>
      <c r="H26" s="707" t="s">
        <v>954</v>
      </c>
      <c r="I26" s="707" t="s">
        <v>954</v>
      </c>
      <c r="J26" s="707" t="s">
        <v>954</v>
      </c>
      <c r="K26" s="707" t="s">
        <v>954</v>
      </c>
      <c r="L26" s="707" t="s">
        <v>954</v>
      </c>
      <c r="M26" s="707" t="s">
        <v>954</v>
      </c>
      <c r="N26" s="707" t="s">
        <v>954</v>
      </c>
      <c r="O26" s="707" t="s">
        <v>954</v>
      </c>
      <c r="P26" s="707" t="s">
        <v>954</v>
      </c>
      <c r="Q26" s="707" t="s">
        <v>954</v>
      </c>
      <c r="R26" s="9"/>
      <c r="S26" s="9"/>
      <c r="T26" s="9"/>
      <c r="U26" s="9"/>
      <c r="V26" s="9"/>
    </row>
    <row r="27" spans="1:22">
      <c r="A27" s="1832"/>
      <c r="B27" s="1833"/>
      <c r="C27" s="708">
        <f t="shared" ref="C27:Q27" si="12">C15</f>
        <v>44287</v>
      </c>
      <c r="D27" s="708">
        <f t="shared" si="12"/>
        <v>44317</v>
      </c>
      <c r="E27" s="708">
        <f t="shared" si="12"/>
        <v>44348</v>
      </c>
      <c r="F27" s="709">
        <f>F15</f>
        <v>44378</v>
      </c>
      <c r="G27" s="709">
        <f t="shared" si="12"/>
        <v>44409</v>
      </c>
      <c r="H27" s="709">
        <f t="shared" si="12"/>
        <v>44440</v>
      </c>
      <c r="I27" s="709">
        <f t="shared" si="12"/>
        <v>44470</v>
      </c>
      <c r="J27" s="709">
        <f t="shared" si="12"/>
        <v>44501</v>
      </c>
      <c r="K27" s="709">
        <f t="shared" si="12"/>
        <v>44531</v>
      </c>
      <c r="L27" s="709">
        <f t="shared" si="12"/>
        <v>44562</v>
      </c>
      <c r="M27" s="709">
        <f t="shared" si="12"/>
        <v>44593</v>
      </c>
      <c r="N27" s="709">
        <f t="shared" si="12"/>
        <v>44621</v>
      </c>
      <c r="O27" s="709">
        <f t="shared" si="12"/>
        <v>44652</v>
      </c>
      <c r="P27" s="709">
        <f t="shared" si="12"/>
        <v>44682</v>
      </c>
      <c r="Q27" s="709">
        <f t="shared" si="12"/>
        <v>44713</v>
      </c>
      <c r="S27" s="9"/>
      <c r="T27" s="9"/>
      <c r="U27" s="9"/>
      <c r="V27" s="9"/>
    </row>
    <row r="28" spans="1:22">
      <c r="A28" s="710" t="s">
        <v>1444</v>
      </c>
      <c r="B28" s="711" t="s">
        <v>774</v>
      </c>
      <c r="C28" s="712">
        <f>IF(C40=0,0,VLOOKUP($B28,BD!$B$61:$C$66,2,FALSE))</f>
        <v>0</v>
      </c>
      <c r="D28" s="712">
        <f>IF(D40=0,0,VLOOKUP($B28,BD!$B$61:$C$66,2,FALSE))</f>
        <v>0</v>
      </c>
      <c r="E28" s="712">
        <f>IF(E40=0,0,VLOOKUP($B28,BD!$B$61:$C$66,2,FALSE))</f>
        <v>0</v>
      </c>
      <c r="F28" s="712">
        <f>VLOOKUP($B28,BD!$B$61:$C$66,2,FALSE)</f>
        <v>18115.7</v>
      </c>
      <c r="G28" s="712">
        <f>VLOOKUP($B28,BD!$B$61:$C$66,2,FALSE)</f>
        <v>18115.7</v>
      </c>
      <c r="H28" s="712">
        <f>VLOOKUP($B28,BD!$B$61:$C$66,2,FALSE)</f>
        <v>18115.7</v>
      </c>
      <c r="I28" s="712">
        <f>VLOOKUP($B28,BD!$B$61:$C$66,2,FALSE)</f>
        <v>18115.7</v>
      </c>
      <c r="J28" s="712">
        <f>VLOOKUP($B28,BD!$B$61:$C$66,2,FALSE)</f>
        <v>18115.7</v>
      </c>
      <c r="K28" s="712">
        <f>VLOOKUP($B28,BD!$B$61:$C$66,2,FALSE)</f>
        <v>18115.7</v>
      </c>
      <c r="L28" s="712">
        <f>VLOOKUP($B28,BD!$B$61:$C$66,2,FALSE)</f>
        <v>18115.7</v>
      </c>
      <c r="M28" s="712">
        <f>VLOOKUP($B28,BD!$B$61:$C$66,2,FALSE)</f>
        <v>18115.7</v>
      </c>
      <c r="N28" s="712">
        <f>VLOOKUP($B28,BD!$B$61:$C$66,2,FALSE)</f>
        <v>18115.7</v>
      </c>
      <c r="O28" s="712">
        <f>VLOOKUP($B28,BD!$B$61:$C$66,2,FALSE)</f>
        <v>18115.7</v>
      </c>
      <c r="P28" s="712">
        <f>VLOOKUP($B28,BD!$B$61:$C$66,2,FALSE)</f>
        <v>18115.7</v>
      </c>
      <c r="Q28" s="712">
        <f>VLOOKUP($B28,BD!$B$61:$C$66,2,FALSE)</f>
        <v>18115.7</v>
      </c>
      <c r="S28" s="9"/>
      <c r="T28" s="9"/>
      <c r="U28" s="9"/>
      <c r="V28" s="9"/>
    </row>
    <row r="29" spans="1:22">
      <c r="A29" s="710" t="s">
        <v>1445</v>
      </c>
      <c r="B29" s="711" t="s">
        <v>776</v>
      </c>
      <c r="C29" s="712">
        <f>IF(C41=0,0,VLOOKUP($B29,BD!$B$61:$C$66,2,FALSE))</f>
        <v>0</v>
      </c>
      <c r="D29" s="712">
        <f>IF(D41=0,0,VLOOKUP($B29,BD!$B$61:$C$66,2,FALSE))</f>
        <v>0</v>
      </c>
      <c r="E29" s="712">
        <f>IF(E41=0,0,VLOOKUP($B29,BD!$B$61:$C$66,2,FALSE))</f>
        <v>0</v>
      </c>
      <c r="F29" s="712">
        <f>VLOOKUP($B29,BD!$B$61:$C$66,2,FALSE)</f>
        <v>0</v>
      </c>
      <c r="G29" s="712">
        <f>VLOOKUP($B29,BD!$B$61:$C$66,2,FALSE)</f>
        <v>0</v>
      </c>
      <c r="H29" s="712">
        <f>VLOOKUP($B29,BD!$B$61:$C$66,2,FALSE)</f>
        <v>0</v>
      </c>
      <c r="I29" s="712">
        <f>VLOOKUP($B29,BD!$B$61:$C$66,2,FALSE)</f>
        <v>0</v>
      </c>
      <c r="J29" s="712">
        <f>VLOOKUP($B29,BD!$B$61:$C$66,2,FALSE)</f>
        <v>0</v>
      </c>
      <c r="K29" s="712">
        <f>VLOOKUP($B29,BD!$B$61:$C$66,2,FALSE)</f>
        <v>0</v>
      </c>
      <c r="L29" s="712">
        <f>VLOOKUP($B29,BD!$B$61:$C$66,2,FALSE)</f>
        <v>0</v>
      </c>
      <c r="M29" s="712">
        <f>VLOOKUP($B29,BD!$B$61:$C$66,2,FALSE)</f>
        <v>0</v>
      </c>
      <c r="N29" s="712">
        <f>VLOOKUP($B29,BD!$B$61:$C$66,2,FALSE)</f>
        <v>0</v>
      </c>
      <c r="O29" s="712">
        <f>VLOOKUP($B29,BD!$B$61:$C$66,2,FALSE)</f>
        <v>0</v>
      </c>
      <c r="P29" s="712">
        <f>VLOOKUP($B29,BD!$B$61:$C$66,2,FALSE)</f>
        <v>0</v>
      </c>
      <c r="Q29" s="712">
        <f>VLOOKUP($B29,BD!$B$61:$C$66,2,FALSE)</f>
        <v>0</v>
      </c>
      <c r="S29" s="9"/>
      <c r="T29" s="9"/>
      <c r="U29" s="9"/>
      <c r="V29" s="9"/>
    </row>
    <row r="30" spans="1:22">
      <c r="A30" s="710" t="s">
        <v>1446</v>
      </c>
      <c r="B30" s="711" t="s">
        <v>778</v>
      </c>
      <c r="C30" s="712">
        <f>IF(C42=0,0,VLOOKUP($B30,BD!$B$61:$C$66,2,FALSE))</f>
        <v>0</v>
      </c>
      <c r="D30" s="712">
        <f>IF(D42=0,0,VLOOKUP($B30,BD!$B$61:$C$66,2,FALSE))</f>
        <v>0</v>
      </c>
      <c r="E30" s="712">
        <f>IF(E42=0,0,VLOOKUP($B30,BD!$B$61:$C$66,2,FALSE))</f>
        <v>0</v>
      </c>
      <c r="F30" s="992">
        <f>VLOOKUP($B30,BD!$B$61:$C$66,2,FALSE)</f>
        <v>0</v>
      </c>
      <c r="G30" s="992">
        <f>VLOOKUP($B30,BD!$B$61:$C$66,2,FALSE)</f>
        <v>0</v>
      </c>
      <c r="H30" s="992">
        <f>VLOOKUP($B30,BD!$B$61:$C$66,2,FALSE)</f>
        <v>0</v>
      </c>
      <c r="I30" s="992">
        <f>VLOOKUP($B30,BD!$B$61:$C$66,2,FALSE)</f>
        <v>0</v>
      </c>
      <c r="J30" s="992">
        <f>VLOOKUP($B30,BD!$B$61:$C$66,2,FALSE)</f>
        <v>0</v>
      </c>
      <c r="K30" s="992">
        <f>VLOOKUP($B30,BD!$B$61:$C$66,2,FALSE)</f>
        <v>0</v>
      </c>
      <c r="L30" s="992">
        <f>VLOOKUP($B30,BD!$B$61:$C$66,2,FALSE)</f>
        <v>0</v>
      </c>
      <c r="M30" s="992">
        <f>VLOOKUP($B30,BD!$B$61:$C$66,2,FALSE)</f>
        <v>0</v>
      </c>
      <c r="N30" s="992">
        <f>VLOOKUP($B30,BD!$B$61:$C$66,2,FALSE)</f>
        <v>0</v>
      </c>
      <c r="O30" s="992">
        <f>VLOOKUP($B30,BD!$B$61:$C$66,2,FALSE)</f>
        <v>0</v>
      </c>
      <c r="P30" s="992">
        <f>VLOOKUP($B30,BD!$B$61:$C$66,2,FALSE)</f>
        <v>0</v>
      </c>
      <c r="Q30" s="992">
        <f>VLOOKUP($B30,BD!$B$61:$C$66,2,FALSE)</f>
        <v>0</v>
      </c>
      <c r="S30" s="9"/>
      <c r="T30" s="9"/>
      <c r="U30" s="9"/>
      <c r="V30" s="9"/>
    </row>
    <row r="31" spans="1:22">
      <c r="A31" s="710" t="s">
        <v>1447</v>
      </c>
      <c r="B31" s="711" t="s">
        <v>779</v>
      </c>
      <c r="C31" s="712">
        <f>IF(C43=0,0,VLOOKUP($B31,BD!$B$61:$C$66,2,FALSE))</f>
        <v>0</v>
      </c>
      <c r="D31" s="712">
        <f>IF(D43=0,0,VLOOKUP($B31,BD!$B$61:$C$66,2,FALSE))</f>
        <v>0</v>
      </c>
      <c r="E31" s="712">
        <f>IF(E43=0,0,VLOOKUP($B31,BD!$B$61:$C$66,2,FALSE))</f>
        <v>0</v>
      </c>
      <c r="F31" s="712">
        <f>VLOOKUP($B31,BD!$B$61:$C$66,2,FALSE)</f>
        <v>3040.69</v>
      </c>
      <c r="G31" s="712">
        <f>VLOOKUP($B31,BD!$B$61:$C$66,2,FALSE)</f>
        <v>3040.69</v>
      </c>
      <c r="H31" s="712">
        <f>VLOOKUP($B31,BD!$B$61:$C$66,2,FALSE)</f>
        <v>3040.69</v>
      </c>
      <c r="I31" s="712">
        <f>VLOOKUP($B31,BD!$B$61:$C$66,2,FALSE)</f>
        <v>3040.69</v>
      </c>
      <c r="J31" s="712">
        <f>VLOOKUP($B31,BD!$B$61:$C$66,2,FALSE)</f>
        <v>3040.69</v>
      </c>
      <c r="K31" s="712">
        <f>VLOOKUP($B31,BD!$B$61:$C$66,2,FALSE)</f>
        <v>3040.69</v>
      </c>
      <c r="L31" s="712">
        <f>VLOOKUP($B31,BD!$B$61:$C$66,2,FALSE)</f>
        <v>3040.69</v>
      </c>
      <c r="M31" s="712">
        <f>VLOOKUP($B31,BD!$B$61:$C$66,2,FALSE)</f>
        <v>3040.69</v>
      </c>
      <c r="N31" s="712">
        <f>VLOOKUP($B31,BD!$B$61:$C$66,2,FALSE)</f>
        <v>3040.69</v>
      </c>
      <c r="O31" s="712">
        <f>VLOOKUP($B31,BD!$B$61:$C$66,2,FALSE)</f>
        <v>3040.69</v>
      </c>
      <c r="P31" s="712">
        <f>VLOOKUP($B31,BD!$B$61:$C$66,2,FALSE)</f>
        <v>3040.69</v>
      </c>
      <c r="Q31" s="712">
        <f>VLOOKUP($B31,BD!$B$61:$C$66,2,FALSE)</f>
        <v>3040.69</v>
      </c>
      <c r="S31" s="9"/>
      <c r="T31" s="9"/>
      <c r="U31" s="9"/>
      <c r="V31" s="9"/>
    </row>
    <row r="32" spans="1:22">
      <c r="A32" s="710" t="s">
        <v>1448</v>
      </c>
      <c r="B32" s="711" t="s">
        <v>782</v>
      </c>
      <c r="C32" s="712">
        <f>IF(C44=0,0,VLOOKUP($B32,BD!$B$61:$C$66,2,FALSE))</f>
        <v>0</v>
      </c>
      <c r="D32" s="712">
        <f>IF(D44=0,0,VLOOKUP($B32,BD!$B$61:$C$66,2,FALSE))</f>
        <v>0</v>
      </c>
      <c r="E32" s="712">
        <f>IF(E44=0,0,VLOOKUP($B32,BD!$B$61:$C$66,2,FALSE))</f>
        <v>0</v>
      </c>
      <c r="F32" s="712">
        <f>VLOOKUP($B32,BD!$B$61:$C$66,2,FALSE)</f>
        <v>375951.26</v>
      </c>
      <c r="G32" s="712">
        <f>VLOOKUP($B32,BD!$B$61:$C$66,2,FALSE)</f>
        <v>375951.26</v>
      </c>
      <c r="H32" s="712">
        <f>VLOOKUP($B32,BD!$B$61:$C$66,2,FALSE)</f>
        <v>375951.26</v>
      </c>
      <c r="I32" s="712">
        <f>VLOOKUP($B32,BD!$B$61:$C$66,2,FALSE)</f>
        <v>375951.26</v>
      </c>
      <c r="J32" s="712">
        <f>VLOOKUP($B32,BD!$B$61:$C$66,2,FALSE)</f>
        <v>375951.26</v>
      </c>
      <c r="K32" s="712">
        <f>VLOOKUP($B32,BD!$B$61:$C$66,2,FALSE)</f>
        <v>375951.26</v>
      </c>
      <c r="L32" s="712">
        <f>VLOOKUP($B32,BD!$B$61:$C$66,2,FALSE)</f>
        <v>375951.26</v>
      </c>
      <c r="M32" s="712">
        <f>VLOOKUP($B32,BD!$B$61:$C$66,2,FALSE)</f>
        <v>375951.26</v>
      </c>
      <c r="N32" s="712">
        <f>VLOOKUP($B32,BD!$B$61:$C$66,2,FALSE)</f>
        <v>375951.26</v>
      </c>
      <c r="O32" s="712">
        <f>VLOOKUP($B32,BD!$B$61:$C$66,2,FALSE)</f>
        <v>375951.26</v>
      </c>
      <c r="P32" s="712">
        <f>VLOOKUP($B32,BD!$B$61:$C$66,2,FALSE)</f>
        <v>375951.26</v>
      </c>
      <c r="Q32" s="712">
        <f>VLOOKUP($B32,BD!$B$61:$C$66,2,FALSE)</f>
        <v>375951.26</v>
      </c>
      <c r="S32" s="9"/>
      <c r="T32" s="9"/>
      <c r="U32" s="9"/>
      <c r="V32" s="9"/>
    </row>
    <row r="33" spans="1:22">
      <c r="A33" s="713" t="s">
        <v>1449</v>
      </c>
      <c r="B33" s="711" t="s">
        <v>784</v>
      </c>
      <c r="C33" s="712">
        <f>IF(C45=0,0,VLOOKUP($B33,BD!$B$61:$C$66,2,FALSE))</f>
        <v>0</v>
      </c>
      <c r="D33" s="712">
        <f>IF(D45=0,0,VLOOKUP($B33,BD!$B$61:$C$66,2,FALSE))</f>
        <v>0</v>
      </c>
      <c r="E33" s="712">
        <f>IF(E45=0,0,VLOOKUP($B33,BD!$B$61:$C$66,2,FALSE))</f>
        <v>0</v>
      </c>
      <c r="F33" s="712">
        <f>VLOOKUP($B33,BD!$B$61:$C$66,2,FALSE)</f>
        <v>329956.06</v>
      </c>
      <c r="G33" s="712">
        <f>VLOOKUP($B33,BD!$B$61:$C$66,2,FALSE)</f>
        <v>329956.06</v>
      </c>
      <c r="H33" s="712">
        <f>VLOOKUP($B33,BD!$B$61:$C$66,2,FALSE)</f>
        <v>329956.06</v>
      </c>
      <c r="I33" s="712">
        <f>VLOOKUP($B33,BD!$B$61:$C$66,2,FALSE)</f>
        <v>329956.06</v>
      </c>
      <c r="J33" s="712">
        <f>VLOOKUP($B33,BD!$B$61:$C$66,2,FALSE)</f>
        <v>329956.06</v>
      </c>
      <c r="K33" s="712">
        <f>VLOOKUP($B33,BD!$B$61:$C$66,2,FALSE)</f>
        <v>329956.06</v>
      </c>
      <c r="L33" s="712">
        <f>VLOOKUP($B33,BD!$B$61:$C$66,2,FALSE)</f>
        <v>329956.06</v>
      </c>
      <c r="M33" s="712">
        <f>VLOOKUP($B33,BD!$B$61:$C$66,2,FALSE)</f>
        <v>329956.06</v>
      </c>
      <c r="N33" s="712">
        <f>VLOOKUP($B33,BD!$B$61:$C$66,2,FALSE)</f>
        <v>329956.06</v>
      </c>
      <c r="O33" s="712">
        <f>VLOOKUP($B33,BD!$B$61:$C$66,2,FALSE)</f>
        <v>329956.06</v>
      </c>
      <c r="P33" s="712">
        <f>VLOOKUP($B33,BD!$B$61:$C$66,2,FALSE)</f>
        <v>329956.06</v>
      </c>
      <c r="Q33" s="712">
        <f>VLOOKUP($B33,BD!$B$61:$C$66,2,FALSE)</f>
        <v>329956.06</v>
      </c>
      <c r="S33" s="9"/>
      <c r="T33" s="9"/>
      <c r="U33" s="9"/>
      <c r="V33" s="9"/>
    </row>
    <row r="34" spans="1:22">
      <c r="A34" s="1422" t="s">
        <v>1450</v>
      </c>
      <c r="B34" s="1423" t="s">
        <v>1277</v>
      </c>
      <c r="C34" s="1429">
        <f t="shared" ref="C34:Q34" si="13">C22</f>
        <v>1.1768213386458592</v>
      </c>
      <c r="D34" s="1429">
        <f t="shared" si="13"/>
        <v>1.1593353264324466</v>
      </c>
      <c r="E34" s="1429">
        <f t="shared" si="13"/>
        <v>1.1137138790355088</v>
      </c>
      <c r="F34" s="1424">
        <f t="shared" si="13"/>
        <v>1.1070423608832305</v>
      </c>
      <c r="G34" s="1424">
        <f t="shared" si="13"/>
        <v>1.0985033599453922</v>
      </c>
      <c r="H34" s="1424">
        <f t="shared" si="13"/>
        <v>1.0912608014368317</v>
      </c>
      <c r="I34" s="1424">
        <f t="shared" si="13"/>
        <v>1.0982835198725092</v>
      </c>
      <c r="J34" s="1424">
        <f t="shared" si="13"/>
        <v>1.0912678012944399</v>
      </c>
      <c r="K34" s="1424">
        <f t="shared" si="13"/>
        <v>1.0910678407267911</v>
      </c>
      <c r="L34" s="1424">
        <f t="shared" si="13"/>
        <v>1.0816484829989064</v>
      </c>
      <c r="M34" s="1424">
        <f t="shared" si="13"/>
        <v>1.0623399307225074</v>
      </c>
      <c r="N34" s="1424">
        <f t="shared" si="13"/>
        <v>1.0432185825187947</v>
      </c>
      <c r="O34" s="1424">
        <f t="shared" si="13"/>
        <v>1.0253689885984203</v>
      </c>
      <c r="P34" s="1424">
        <f t="shared" si="13"/>
        <v>1.011099422741718</v>
      </c>
      <c r="Q34" s="1424">
        <f t="shared" si="13"/>
        <v>1.0058524282636221</v>
      </c>
      <c r="S34" s="9"/>
      <c r="T34" s="9"/>
      <c r="U34" s="9"/>
      <c r="V34" s="9"/>
    </row>
    <row r="35" spans="1:22">
      <c r="A35" s="1425" t="s">
        <v>1451</v>
      </c>
      <c r="B35" s="1426"/>
      <c r="C35" s="1427">
        <f>SUM(C28:C33)*C34</f>
        <v>0</v>
      </c>
      <c r="D35" s="1427">
        <f t="shared" ref="D35:Q35" si="14">SUM(D28:D33)*D34</f>
        <v>0</v>
      </c>
      <c r="E35" s="1427">
        <f t="shared" si="14"/>
        <v>0</v>
      </c>
      <c r="F35" s="1428">
        <f t="shared" si="14"/>
        <v>804890.32603092038</v>
      </c>
      <c r="G35" s="1428">
        <f t="shared" si="14"/>
        <v>798681.92832936218</v>
      </c>
      <c r="H35" s="1428">
        <f t="shared" si="14"/>
        <v>793416.12687023613</v>
      </c>
      <c r="I35" s="1428">
        <f t="shared" si="14"/>
        <v>798522.09059036523</v>
      </c>
      <c r="J35" s="1428">
        <f t="shared" si="14"/>
        <v>793421.21621267824</v>
      </c>
      <c r="K35" s="1428">
        <f t="shared" si="14"/>
        <v>793275.83214050974</v>
      </c>
      <c r="L35" s="1428">
        <f t="shared" si="14"/>
        <v>786427.35896505672</v>
      </c>
      <c r="M35" s="1428">
        <f t="shared" si="14"/>
        <v>772388.81131224916</v>
      </c>
      <c r="N35" s="1428">
        <f t="shared" si="14"/>
        <v>758486.37294705596</v>
      </c>
      <c r="O35" s="1428">
        <f t="shared" si="14"/>
        <v>745508.58096931514</v>
      </c>
      <c r="P35" s="1428">
        <f t="shared" si="14"/>
        <v>735133.69747745187</v>
      </c>
      <c r="Q35" s="1428">
        <f t="shared" si="14"/>
        <v>731318.79820585786</v>
      </c>
      <c r="R35" s="9"/>
      <c r="S35" s="9"/>
      <c r="T35" s="9"/>
      <c r="U35" s="9"/>
      <c r="V35" s="9"/>
    </row>
    <row r="36" spans="1:22">
      <c r="A36" s="1430"/>
      <c r="B36" s="1412"/>
      <c r="C36" s="1430"/>
      <c r="D36" s="358"/>
      <c r="E36" s="358"/>
      <c r="F36" s="65"/>
      <c r="G36" s="358"/>
      <c r="H36" s="358"/>
      <c r="I36" s="358"/>
      <c r="J36" s="358"/>
      <c r="K36" s="358"/>
      <c r="L36" s="358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7" t="s">
        <v>1454</v>
      </c>
      <c r="B37" s="711"/>
      <c r="C37" s="358"/>
      <c r="D37" s="358"/>
      <c r="E37" s="358"/>
      <c r="F37" s="65"/>
      <c r="G37" s="358"/>
      <c r="H37" s="358"/>
      <c r="I37" s="358"/>
      <c r="J37" s="358"/>
      <c r="K37" s="358"/>
      <c r="L37" s="358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2" t="s">
        <v>22</v>
      </c>
      <c r="B38" s="1833" t="s">
        <v>1443</v>
      </c>
      <c r="C38" s="358"/>
      <c r="D38" s="358"/>
      <c r="E38" s="358"/>
      <c r="F38" s="9"/>
      <c r="G38" s="358"/>
      <c r="H38" s="358"/>
      <c r="I38" s="358"/>
      <c r="J38" s="358"/>
      <c r="K38" s="358"/>
      <c r="L38" s="358"/>
      <c r="M38" s="358"/>
      <c r="N38" s="358"/>
      <c r="O38" s="65"/>
      <c r="P38" s="65"/>
      <c r="Q38" s="65"/>
      <c r="R38" s="9"/>
      <c r="S38" s="9"/>
      <c r="T38" s="9"/>
      <c r="U38" s="9"/>
      <c r="V38" s="9"/>
    </row>
    <row r="39" spans="1:22">
      <c r="A39" s="1832"/>
      <c r="B39" s="1834"/>
      <c r="C39" s="1431">
        <f>C27</f>
        <v>44287</v>
      </c>
      <c r="D39" s="1431">
        <f t="shared" ref="D39:E39" si="15">D27</f>
        <v>44317</v>
      </c>
      <c r="E39" s="1431">
        <f t="shared" si="15"/>
        <v>44348</v>
      </c>
      <c r="G39" s="893"/>
      <c r="H39" s="893"/>
      <c r="I39" s="893"/>
      <c r="J39" s="893"/>
      <c r="K39" s="893"/>
      <c r="L39" s="896"/>
      <c r="M39" s="358"/>
      <c r="N39" s="358"/>
      <c r="O39" s="65"/>
      <c r="P39" s="65"/>
      <c r="Q39" s="65"/>
      <c r="R39" s="9"/>
      <c r="S39" s="9"/>
      <c r="T39" s="9"/>
      <c r="U39" s="9"/>
      <c r="V39" s="9"/>
    </row>
    <row r="40" spans="1:22">
      <c r="A40" s="710" t="s">
        <v>1444</v>
      </c>
      <c r="B40" s="714"/>
      <c r="C40" s="715"/>
      <c r="D40" s="716"/>
      <c r="E40" s="716"/>
      <c r="F40" s="65"/>
      <c r="G40" s="897"/>
      <c r="H40" s="712"/>
      <c r="I40" s="712"/>
      <c r="J40" s="712"/>
      <c r="K40" s="712"/>
      <c r="L40" s="358"/>
      <c r="M40" s="358"/>
      <c r="N40" s="358"/>
      <c r="O40" s="65"/>
      <c r="P40" s="65"/>
      <c r="Q40" s="65"/>
      <c r="R40" s="9"/>
      <c r="S40" s="9"/>
      <c r="T40" s="9"/>
      <c r="U40" s="9"/>
      <c r="V40" s="9"/>
    </row>
    <row r="41" spans="1:22">
      <c r="A41" s="710" t="s">
        <v>1445</v>
      </c>
      <c r="B41" s="714"/>
      <c r="C41" s="715"/>
      <c r="D41" s="716"/>
      <c r="E41" s="716"/>
      <c r="F41" s="65"/>
      <c r="G41" s="897"/>
      <c r="H41" s="712"/>
      <c r="I41" s="712"/>
      <c r="J41" s="712"/>
      <c r="K41" s="712"/>
      <c r="L41" s="358"/>
      <c r="M41" s="358"/>
      <c r="N41" s="358"/>
      <c r="O41" s="65"/>
      <c r="P41" s="65"/>
      <c r="Q41" s="65"/>
      <c r="R41" s="9"/>
      <c r="S41" s="9"/>
      <c r="T41" s="9"/>
      <c r="U41" s="9"/>
      <c r="V41" s="9"/>
    </row>
    <row r="42" spans="1:22">
      <c r="A42" s="710" t="s">
        <v>1446</v>
      </c>
      <c r="B42" s="714"/>
      <c r="C42" s="715"/>
      <c r="D42" s="716"/>
      <c r="E42" s="716"/>
      <c r="F42" s="65"/>
      <c r="G42" s="897"/>
      <c r="H42" s="712"/>
      <c r="I42" s="712"/>
      <c r="J42" s="712"/>
      <c r="K42" s="712"/>
      <c r="L42" s="898"/>
      <c r="M42" s="358"/>
      <c r="N42" s="358"/>
      <c r="O42" s="65"/>
      <c r="P42" s="65"/>
      <c r="Q42" s="65"/>
      <c r="R42" s="9"/>
      <c r="S42" s="9"/>
      <c r="T42" s="9"/>
      <c r="U42" s="9"/>
      <c r="V42" s="9"/>
    </row>
    <row r="43" spans="1:22">
      <c r="A43" s="710" t="s">
        <v>1447</v>
      </c>
      <c r="B43" s="714"/>
      <c r="C43" s="715"/>
      <c r="D43" s="716"/>
      <c r="E43" s="716"/>
      <c r="F43" s="65"/>
      <c r="G43" s="897"/>
      <c r="H43" s="712"/>
      <c r="I43" s="712"/>
      <c r="J43" s="712"/>
      <c r="K43" s="712"/>
      <c r="L43" s="898"/>
      <c r="M43" s="358"/>
      <c r="N43" s="358"/>
      <c r="O43" s="65"/>
      <c r="P43" s="65"/>
      <c r="Q43" s="65"/>
      <c r="R43" s="9"/>
      <c r="S43" s="9"/>
      <c r="T43" s="9"/>
      <c r="U43" s="9"/>
      <c r="V43" s="9"/>
    </row>
    <row r="44" spans="1:22">
      <c r="A44" s="710" t="s">
        <v>1448</v>
      </c>
      <c r="B44" s="714"/>
      <c r="C44" s="715"/>
      <c r="D44" s="716"/>
      <c r="E44" s="716"/>
      <c r="F44" s="65"/>
      <c r="G44" s="897"/>
      <c r="H44" s="712"/>
      <c r="I44" s="712"/>
      <c r="J44" s="712"/>
      <c r="K44" s="712"/>
      <c r="L44" s="898"/>
      <c r="M44" s="358"/>
      <c r="N44" s="358"/>
      <c r="O44" s="65"/>
      <c r="P44" s="65"/>
      <c r="Q44" s="65"/>
      <c r="R44" s="9"/>
      <c r="S44" s="9"/>
      <c r="T44" s="9"/>
      <c r="U44" s="9"/>
      <c r="V44" s="9"/>
    </row>
    <row r="45" spans="1:22">
      <c r="A45" s="713" t="s">
        <v>1449</v>
      </c>
      <c r="B45" s="714"/>
      <c r="C45" s="717"/>
      <c r="D45" s="895"/>
      <c r="E45" s="895"/>
      <c r="F45" s="65"/>
      <c r="G45" s="897"/>
      <c r="H45" s="712"/>
      <c r="I45" s="712"/>
      <c r="J45" s="712"/>
      <c r="K45" s="712"/>
      <c r="L45" s="898"/>
      <c r="M45" s="358"/>
      <c r="N45" s="358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8"/>
      <c r="I46" s="358"/>
      <c r="J46" s="358"/>
      <c r="K46" s="899"/>
      <c r="L46" s="900"/>
      <c r="M46" s="358"/>
      <c r="N46" s="358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32" t="s">
        <v>8</v>
      </c>
      <c r="B49" s="1433"/>
      <c r="C49" s="1432"/>
      <c r="D49" s="9" t="s">
        <v>1455</v>
      </c>
    </row>
    <row r="50" spans="1:10">
      <c r="A50" s="1433" t="s">
        <v>2</v>
      </c>
      <c r="B50" s="1433"/>
      <c r="C50" s="1407"/>
    </row>
    <row r="51" spans="1:10">
      <c r="A51" s="1433" t="s">
        <v>3</v>
      </c>
      <c r="B51" s="1433"/>
      <c r="C51" s="1407"/>
      <c r="D51" s="234"/>
    </row>
    <row r="52" spans="1:10">
      <c r="A52" s="1433" t="s">
        <v>4</v>
      </c>
      <c r="B52" s="1433"/>
      <c r="C52" s="1407"/>
      <c r="D52" s="234"/>
    </row>
    <row r="53" spans="1:10">
      <c r="A53" s="1433" t="s">
        <v>5</v>
      </c>
      <c r="B53" s="1433"/>
      <c r="C53" s="1407"/>
      <c r="D53" s="234">
        <f>VLOOKUP(idsreag,Subsidio!$A$1:$J$52,10,FALSE)</f>
        <v>0</v>
      </c>
    </row>
    <row r="54" spans="1:10">
      <c r="A54" s="1433" t="s">
        <v>6</v>
      </c>
      <c r="B54" s="1433"/>
      <c r="C54" s="1407"/>
      <c r="D54" s="234"/>
      <c r="H54" s="1434"/>
      <c r="I54" s="1435"/>
      <c r="J54" s="1436"/>
    </row>
    <row r="55" spans="1:10">
      <c r="A55" s="1433" t="s">
        <v>7</v>
      </c>
      <c r="B55" s="1433"/>
      <c r="C55" s="1407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J1" zoomScale="85" zoomScaleNormal="85" workbookViewId="0">
      <pane ySplit="3" topLeftCell="A27" activePane="bottomLeft" state="frozen"/>
      <selection activeCell="D36" sqref="D36"/>
      <selection pane="bottomLeft" activeCell="O36" sqref="O3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94" t="s">
        <v>1456</v>
      </c>
      <c r="C1" s="263"/>
      <c r="D1" s="263"/>
      <c r="E1" s="206"/>
      <c r="F1" s="1437"/>
      <c r="G1" s="1204" t="s">
        <v>953</v>
      </c>
      <c r="H1" s="1205">
        <f ca="1">LnkTXTIRTEco</f>
        <v>0.12970000000000001</v>
      </c>
    </row>
    <row r="2" spans="2:26" ht="14.25">
      <c r="B2" s="138" t="str">
        <f>CAPA!C9</f>
        <v>Cermissões</v>
      </c>
      <c r="C2" s="1438"/>
      <c r="D2" s="1438"/>
      <c r="E2" s="1438"/>
      <c r="F2" s="1439"/>
      <c r="G2" s="121" t="s">
        <v>957</v>
      </c>
      <c r="H2" s="122">
        <f ca="1">LnkTXTIRTTotal</f>
        <v>-9.4E-2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43"/>
      <c r="P4" s="1843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40" t="s">
        <v>1457</v>
      </c>
      <c r="M6" s="1441"/>
      <c r="O6" s="272"/>
      <c r="P6" s="292"/>
      <c r="Z6" s="68"/>
    </row>
    <row r="7" spans="2:26" ht="14.25">
      <c r="C7" s="71"/>
      <c r="L7" s="214" t="s">
        <v>1277</v>
      </c>
      <c r="M7" s="215">
        <v>1</v>
      </c>
      <c r="O7" s="272"/>
      <c r="P7" s="292"/>
      <c r="Z7" s="68"/>
    </row>
    <row r="8" spans="2:26" ht="14.25">
      <c r="L8" s="214" t="s">
        <v>849</v>
      </c>
      <c r="M8" s="215">
        <v>2</v>
      </c>
      <c r="O8" s="272"/>
      <c r="P8" s="292"/>
      <c r="Z8" s="68"/>
    </row>
    <row r="9" spans="2:26" ht="14.25">
      <c r="B9" s="293" t="s">
        <v>1458</v>
      </c>
      <c r="D9" s="294" t="s">
        <v>1459</v>
      </c>
      <c r="L9" s="214" t="s">
        <v>1460</v>
      </c>
      <c r="M9" s="215">
        <v>4</v>
      </c>
      <c r="O9" s="272"/>
      <c r="P9" s="292"/>
      <c r="Z9" s="68"/>
    </row>
    <row r="10" spans="2:26" ht="14.25">
      <c r="L10" s="214" t="s">
        <v>1461</v>
      </c>
      <c r="M10" s="216">
        <f>CAPA!K16</f>
        <v>0.10704236088323049</v>
      </c>
      <c r="O10" s="272"/>
      <c r="P10" s="292"/>
      <c r="Z10" s="68"/>
    </row>
    <row r="11" spans="2:26" ht="14.25">
      <c r="B11" s="1846" t="s">
        <v>1462</v>
      </c>
      <c r="C11" s="1847"/>
      <c r="D11" s="1442" t="s">
        <v>1463</v>
      </c>
      <c r="E11" s="1443" t="s">
        <v>1464</v>
      </c>
      <c r="F11" s="1444" t="s">
        <v>1465</v>
      </c>
      <c r="G11" s="1443"/>
      <c r="H11" s="1443"/>
      <c r="I11" s="1443"/>
      <c r="J11" s="1443"/>
      <c r="L11" s="214" t="s">
        <v>1466</v>
      </c>
      <c r="M11" s="216">
        <f>CAPA!K17</f>
        <v>0.11886869625198027</v>
      </c>
      <c r="O11" s="272"/>
      <c r="P11" s="292"/>
      <c r="Z11" s="68"/>
    </row>
    <row r="12" spans="2:26" ht="14.25">
      <c r="B12" s="1852" t="s">
        <v>1467</v>
      </c>
      <c r="C12" s="1847"/>
      <c r="D12" s="1445" t="s">
        <v>1460</v>
      </c>
      <c r="E12" s="1445" t="s">
        <v>849</v>
      </c>
      <c r="F12" s="1445" t="s">
        <v>849</v>
      </c>
      <c r="G12" s="1445" t="s">
        <v>849</v>
      </c>
      <c r="H12" s="1445" t="s">
        <v>849</v>
      </c>
      <c r="I12" s="1445" t="s">
        <v>849</v>
      </c>
      <c r="J12" s="1445" t="s">
        <v>849</v>
      </c>
      <c r="L12" s="1446" t="s">
        <v>1468</v>
      </c>
      <c r="M12" s="1447">
        <v>41275</v>
      </c>
      <c r="O12" s="272"/>
      <c r="P12" s="292"/>
      <c r="Z12" s="68"/>
    </row>
    <row r="13" spans="2:26" ht="14.25">
      <c r="B13" s="1853" t="s">
        <v>1469</v>
      </c>
      <c r="C13" s="1854"/>
      <c r="D13" s="1448">
        <v>43617</v>
      </c>
      <c r="E13" s="1448">
        <v>43617</v>
      </c>
      <c r="F13" s="1448">
        <v>44713</v>
      </c>
      <c r="G13" s="1448">
        <f t="shared" ref="G13:J14" si="0">F13</f>
        <v>44713</v>
      </c>
      <c r="H13" s="1448">
        <f t="shared" si="0"/>
        <v>44713</v>
      </c>
      <c r="I13" s="1448">
        <f t="shared" si="0"/>
        <v>44713</v>
      </c>
      <c r="J13" s="1448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44" t="s">
        <v>1470</v>
      </c>
      <c r="C14" s="1845"/>
      <c r="D14" s="1448">
        <v>42887</v>
      </c>
      <c r="E14" s="1448">
        <v>43252</v>
      </c>
      <c r="F14" s="1448">
        <v>44348</v>
      </c>
      <c r="G14" s="1448">
        <f t="shared" si="0"/>
        <v>44348</v>
      </c>
      <c r="H14" s="1448">
        <f t="shared" si="0"/>
        <v>44348</v>
      </c>
      <c r="I14" s="1448">
        <f t="shared" si="0"/>
        <v>44348</v>
      </c>
      <c r="J14" s="1448">
        <f t="shared" si="0"/>
        <v>44348</v>
      </c>
      <c r="L14" s="1449"/>
      <c r="M14" s="1450">
        <v>41334</v>
      </c>
      <c r="O14" s="272"/>
      <c r="P14" s="292"/>
      <c r="Z14" s="68"/>
    </row>
    <row r="15" spans="2:26" ht="14.25">
      <c r="B15" s="1844" t="s">
        <v>1471</v>
      </c>
      <c r="C15" s="1845"/>
      <c r="D15" s="1451">
        <f>VLOOKUP(D13,Índices!$B$6:$F$500,VLOOKUP(D12,$L$7:$M$9,2,FALSE)+1,FALSE)/VLOOKUP(D14,Índices!$B$6:$F$500,VLOOKUP(D12,$L$7:$M$9,2,FALSE)+1,FALSE)</f>
        <v>1.1414978440075982</v>
      </c>
      <c r="E15" s="1451">
        <f>VLOOKUP(E13,Índices!$B$6:$F$500,VLOOKUP(E12,$L$7:$M$9,2,FALSE)+1,FALSE)/VLOOKUP(E14,Índices!$B$6:$F$500,VLOOKUP(E12,$L$7:$M$9,2,FALSE)+1,FALSE)</f>
        <v>1.0336626715248016</v>
      </c>
      <c r="F15" s="1451">
        <f>VLOOKUP(F13,Índices!$B$6:$F$500,VLOOKUP(F12,$L$7:$M$9,2,FALSE)+1,FALSE)/VLOOKUP(F14,Índices!$B$6:$F$500,VLOOKUP(F12,$L$7:$M$9,2,FALSE)+1,FALSE)</f>
        <v>1.1188686962519803</v>
      </c>
      <c r="G15" s="1451">
        <f>VLOOKUP(G13,Índices!$B$6:$F$500,VLOOKUP(G12,$L$7:$M$9,2,FALSE)+1,FALSE)/VLOOKUP(G14,Índices!$B$6:$F$500,VLOOKUP(G12,$L$7:$M$9,2,FALSE)+1,FALSE)</f>
        <v>1.1188686962519803</v>
      </c>
      <c r="H15" s="1451">
        <f>VLOOKUP(H13,Índices!$B$6:$F$500,VLOOKUP(H12,$L$7:$M$9,2,FALSE)+1,FALSE)/VLOOKUP(H14,Índices!$B$6:$F$500,VLOOKUP(H12,$L$7:$M$9,2,FALSE)+1,FALSE)</f>
        <v>1.1188686962519803</v>
      </c>
      <c r="I15" s="1451">
        <f>VLOOKUP(I13,Índices!$B$6:$F$500,VLOOKUP(I12,$L$7:$M$9,2,FALSE)+1,FALSE)/VLOOKUP(I14,Índices!$B$6:$F$500,VLOOKUP(I12,$L$7:$M$9,2,FALSE)+1,FALSE)</f>
        <v>1.1188686962519803</v>
      </c>
      <c r="J15" s="1451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44" t="s">
        <v>1472</v>
      </c>
      <c r="C16" s="1845"/>
      <c r="D16" s="1452"/>
      <c r="E16" s="1452"/>
      <c r="F16" s="1626">
        <v>108.31529955634497</v>
      </c>
      <c r="G16" s="1452"/>
      <c r="H16" s="1452"/>
      <c r="I16" s="1452"/>
      <c r="J16" s="1452"/>
      <c r="O16" s="272"/>
      <c r="P16" s="292"/>
      <c r="Z16" s="68"/>
    </row>
    <row r="17" spans="1:26" ht="14.25">
      <c r="B17" s="1850" t="s">
        <v>1473</v>
      </c>
      <c r="C17" s="1851"/>
      <c r="D17" s="1453">
        <f t="shared" ref="D17:E17" si="1">D16*D15</f>
        <v>0</v>
      </c>
      <c r="E17" s="1453">
        <f t="shared" si="1"/>
        <v>0</v>
      </c>
      <c r="F17" s="1453">
        <f>F16*F15</f>
        <v>121.19059799875039</v>
      </c>
      <c r="G17" s="1453">
        <f>G16*G15</f>
        <v>0</v>
      </c>
      <c r="H17" s="1453">
        <f>H16*H15</f>
        <v>0</v>
      </c>
      <c r="I17" s="1453">
        <f>I16*I15</f>
        <v>0</v>
      </c>
      <c r="J17" s="1453">
        <f>J16*J15</f>
        <v>0</v>
      </c>
      <c r="O17" s="272"/>
      <c r="P17" s="93"/>
      <c r="Z17" s="68"/>
    </row>
    <row r="18" spans="1:26" ht="14.25">
      <c r="E18" s="295" t="s">
        <v>1474</v>
      </c>
      <c r="F18" s="505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1475</v>
      </c>
      <c r="F19" s="200">
        <f>F17*(1-F18)</f>
        <v>121.19059799875039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1476</v>
      </c>
      <c r="E20" s="296" t="s">
        <v>1477</v>
      </c>
      <c r="F20" s="143">
        <f>F17-F19</f>
        <v>0</v>
      </c>
      <c r="J20" s="408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54" t="s">
        <v>1462</v>
      </c>
      <c r="C22" s="1848" t="str">
        <f>Financeiros!C9</f>
        <v>Repasse de PIS COFINS</v>
      </c>
      <c r="D22" s="1849"/>
      <c r="E22" s="1837" t="s">
        <v>1478</v>
      </c>
      <c r="F22" s="1838"/>
      <c r="G22" s="1837" t="str">
        <f>Financeiros!C27</f>
        <v>Compensação DIC FIC</v>
      </c>
      <c r="H22" s="1838"/>
      <c r="I22" s="1839" t="s">
        <v>1259</v>
      </c>
      <c r="J22" s="1840"/>
      <c r="K22" s="1855" t="s">
        <v>1479</v>
      </c>
      <c r="L22" s="1856"/>
      <c r="M22" s="1857" t="s">
        <v>2345</v>
      </c>
      <c r="N22" s="1858"/>
      <c r="O22" s="1835" t="s">
        <v>1480</v>
      </c>
      <c r="P22" s="1836"/>
      <c r="Q22" s="1835" t="s">
        <v>233</v>
      </c>
      <c r="R22" s="1836"/>
      <c r="S22" s="1835" t="s">
        <v>2185</v>
      </c>
      <c r="T22" s="1836"/>
      <c r="U22" s="1835" t="s">
        <v>2186</v>
      </c>
      <c r="V22" s="1836"/>
      <c r="Z22" s="68"/>
    </row>
    <row r="23" spans="1:26" ht="14.25">
      <c r="B23" s="1455" t="s">
        <v>1005</v>
      </c>
      <c r="C23" s="1456" t="s">
        <v>1481</v>
      </c>
      <c r="D23" s="1457" t="s">
        <v>849</v>
      </c>
      <c r="E23" s="1456" t="s">
        <v>1481</v>
      </c>
      <c r="F23" s="1457" t="s">
        <v>849</v>
      </c>
      <c r="G23" s="1456" t="s">
        <v>1481</v>
      </c>
      <c r="H23" s="1457" t="s">
        <v>849</v>
      </c>
      <c r="I23" s="1456" t="s">
        <v>1481</v>
      </c>
      <c r="J23" s="1457" t="s">
        <v>849</v>
      </c>
      <c r="K23" s="1456" t="s">
        <v>1481</v>
      </c>
      <c r="L23" s="1457" t="s">
        <v>1460</v>
      </c>
      <c r="M23" s="1458" t="s">
        <v>1481</v>
      </c>
      <c r="N23" s="1459" t="s">
        <v>1460</v>
      </c>
      <c r="O23" s="1458" t="s">
        <v>1481</v>
      </c>
      <c r="P23" s="1459" t="s">
        <v>849</v>
      </c>
      <c r="Q23" s="1458" t="s">
        <v>1481</v>
      </c>
      <c r="R23" s="1459" t="s">
        <v>849</v>
      </c>
      <c r="S23" s="1458" t="s">
        <v>1481</v>
      </c>
      <c r="T23" s="1459" t="s">
        <v>849</v>
      </c>
      <c r="U23" s="1458" t="s">
        <v>1481</v>
      </c>
      <c r="V23" s="1459" t="s">
        <v>849</v>
      </c>
      <c r="Z23" s="68"/>
    </row>
    <row r="24" spans="1:26" ht="14.25">
      <c r="B24" s="1460">
        <f>DATE(YEAR(B25),MONTH(B25)-1,1)</f>
        <v>43983</v>
      </c>
      <c r="C24" s="495"/>
      <c r="D24" s="496"/>
      <c r="E24" s="495"/>
      <c r="F24" s="496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6"/>
      <c r="N24" s="100">
        <f>VLOOKUP($B$48,Índices!$B$6:$F$500,VLOOKUP(N$23,$L$7:$M$9,2,FALSE)+1,FALSE)/VLOOKUP(DATE(YEAR($B24),MONTH($B24)-1,1),Índices!$B$6:$F$500,VLOOKUP(N$23,$L$7:$M$9,2,FALSE)+1,FALSE)*M24</f>
        <v>0</v>
      </c>
      <c r="O24" s="416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6"/>
      <c r="N25" s="100">
        <f>VLOOKUP($B$48,Índices!$B$6:$F$500,VLOOKUP(N$23,$L$7:$M$9,2,FALSE)+1,FALSE)/VLOOKUP(DATE(YEAR($B25),MONTH($B25)-1,1),Índices!$B$6:$F$500,VLOOKUP(N$23,$L$7:$M$9,2,FALSE)+1,FALSE)*M25</f>
        <v>0</v>
      </c>
      <c r="O25" s="416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6"/>
      <c r="N26" s="100">
        <f>VLOOKUP($B$48,Índices!$B$6:$F$500,VLOOKUP(N$23,$L$7:$M$9,2,FALSE)+1,FALSE)/VLOOKUP(DATE(YEAR($B26),MONTH($B26)-1,1),Índices!$B$6:$F$500,VLOOKUP(N$23,$L$7:$M$9,2,FALSE)+1,FALSE)*M26</f>
        <v>0</v>
      </c>
      <c r="O26" s="416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6"/>
      <c r="N27" s="100">
        <f>VLOOKUP($B$48,Índices!$B$6:$F$500,VLOOKUP(N$23,$L$7:$M$9,2,FALSE)+1,FALSE)/VLOOKUP(DATE(YEAR($B27),MONTH($B27)-1,1),Índices!$B$6:$F$500,VLOOKUP(N$23,$L$7:$M$9,2,FALSE)+1,FALSE)*M27</f>
        <v>0</v>
      </c>
      <c r="O27" s="416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6"/>
      <c r="N28" s="100">
        <f>VLOOKUP($B$48,Índices!$B$6:$F$500,VLOOKUP(N$23,$L$7:$M$9,2,FALSE)+1,FALSE)/VLOOKUP(DATE(YEAR($B28),MONTH($B28)-1,1),Índices!$B$6:$F$500,VLOOKUP(N$23,$L$7:$M$9,2,FALSE)+1,FALSE)*M28</f>
        <v>0</v>
      </c>
      <c r="O28" s="416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6"/>
      <c r="N29" s="100">
        <f>VLOOKUP($B$48,Índices!$B$6:$F$500,VLOOKUP(N$23,$L$7:$M$9,2,FALSE)+1,FALSE)/VLOOKUP(DATE(YEAR($B29),MONTH($B29)-1,1),Índices!$B$6:$F$500,VLOOKUP(N$23,$L$7:$M$9,2,FALSE)+1,FALSE)*M29</f>
        <v>0</v>
      </c>
      <c r="O29" s="416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6"/>
      <c r="N30" s="100">
        <f>VLOOKUP($B$48,Índices!$B$6:$F$500,VLOOKUP(N$23,$L$7:$M$9,2,FALSE)+1,FALSE)/VLOOKUP(DATE(YEAR($B30),MONTH($B30)-1,1),Índices!$B$6:$F$500,VLOOKUP(N$23,$L$7:$M$9,2,FALSE)+1,FALSE)*M30</f>
        <v>0</v>
      </c>
      <c r="O30" s="416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6"/>
      <c r="N31" s="100">
        <f>VLOOKUP($B$48,Índices!$B$6:$F$500,VLOOKUP(N$23,$L$7:$M$9,2,FALSE)+1,FALSE)/VLOOKUP(DATE(YEAR($B31),MONTH($B31)-1,1),Índices!$B$6:$F$500,VLOOKUP(N$23,$L$7:$M$9,2,FALSE)+1,FALSE)*M31</f>
        <v>0</v>
      </c>
      <c r="O31" s="416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6"/>
      <c r="N32" s="100">
        <f>VLOOKUP($B$48,Índices!$B$6:$F$500,VLOOKUP(N$23,$L$7:$M$9,2,FALSE)+1,FALSE)/VLOOKUP(DATE(YEAR($B32),MONTH($B32)-1,1),Índices!$B$6:$F$500,VLOOKUP(N$23,$L$7:$M$9,2,FALSE)+1,FALSE)*M32</f>
        <v>0</v>
      </c>
      <c r="O32" s="416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6"/>
      <c r="N33" s="100">
        <f>VLOOKUP($B$48,Índices!$B$6:$F$500,VLOOKUP(N$23,$L$7:$M$9,2,FALSE)+1,FALSE)/VLOOKUP(DATE(YEAR($B33),MONTH($B33)-1,1),Índices!$B$6:$F$500,VLOOKUP(N$23,$L$7:$M$9,2,FALSE)+1,FALSE)*M33</f>
        <v>0</v>
      </c>
      <c r="O33" s="416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74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6"/>
      <c r="N34" s="100">
        <f>VLOOKUP($B$48,Índices!$B$6:$F$500,VLOOKUP(N$23,$L$7:$M$9,2,FALSE)+1,FALSE)/VLOOKUP(DATE(YEAR($B34),MONTH($B34)-1,1),Índices!$B$6:$F$500,VLOOKUP(N$23,$L$7:$M$9,2,FALSE)+1,FALSE)*M34</f>
        <v>0</v>
      </c>
      <c r="O34" s="416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74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6"/>
      <c r="N35" s="100">
        <f>VLOOKUP($B$48,Índices!$B$6:$F$500,VLOOKUP(N$23,$L$7:$M$9,2,FALSE)+1,FALSE)/VLOOKUP(DATE(YEAR($B35),MONTH($B35)-1,1),Índices!$B$6:$F$500,VLOOKUP(N$23,$L$7:$M$9,2,FALSE)+1,FALSE)*M35</f>
        <v>0</v>
      </c>
      <c r="O35" s="416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74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146907.83000000002</v>
      </c>
      <c r="D36" s="227">
        <f>VLOOKUP($B$48,Índices!$B$6:$F$500,VLOOKUP(D$23,$L$7:$M$9,2,FALSE)+1,FALSE)/VLOOKUP(DATE(YEAR($B36),MONTH($B36)-1,1),Índices!$B$6:$F$500,VLOOKUP(D$23,$L$7:$M$9,2,FALSE)+1,FALSE)*C36</f>
        <v>165241.7457619574</v>
      </c>
      <c r="E36" s="226"/>
      <c r="F36" s="227"/>
      <c r="G36" s="226">
        <f>CAPA!E65</f>
        <v>0.01</v>
      </c>
      <c r="H36" s="227">
        <f>VLOOKUP($B$48,Índices!$B$6:$F$500,VLOOKUP(H$23,$L$7:$M$9,2,FALSE)+1,FALSE)/VLOOKUP(DATE(YEAR($B36),MONTH($B36)-1,1),Índices!$B$6:$F$500,VLOOKUP(H$23,$L$7:$M$9,2,FALSE)+1,FALSE)*G36</f>
        <v>1.1247987650621303E-2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6"/>
      <c r="N36" s="100">
        <f>VLOOKUP($B$48,Índices!$B$6:$F$500,VLOOKUP(N$23,$L$7:$M$9,2,FALSE)+1,FALSE)/VLOOKUP(DATE(YEAR($B36),MONTH($B36)-1,1),Índices!$B$6:$F$500,VLOOKUP(N$23,$L$7:$M$9,2,FALSE)+1,FALSE)*M36</f>
        <v>0</v>
      </c>
      <c r="O36" s="416">
        <f>CAPA!G65</f>
        <v>17301.8</v>
      </c>
      <c r="P36" s="100">
        <f>VLOOKUP($B$48,Índices!$B$6:$F$500,VLOOKUP(P$23,$L$7:$M$9,2,FALSE)+1,FALSE)/VLOOKUP(DATE(YEAR($B36),MONTH($B36)-1,1),Índices!$B$6:$F$500,VLOOKUP(P$23,$L$7:$M$9,2,FALSE)+1,FALSE)*O36</f>
        <v>19461.043273351966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74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6" customFormat="1" ht="14.25">
      <c r="A37" s="870"/>
      <c r="B37" s="871">
        <f t="shared" si="2"/>
        <v>44378</v>
      </c>
      <c r="C37" s="872">
        <f>CAPA!C66</f>
        <v>168482.58000000002</v>
      </c>
      <c r="D37" s="873">
        <f>VLOOKUP($B$48,Índices!$B$6:$F$500,VLOOKUP(D$23,$L$7:$M$9,2,FALSE)+1,FALSE)/VLOOKUP(DATE(YEAR($B37),MONTH($B37)-1,1),Índices!$B$6:$F$500,VLOOKUP(D$23,$L$7:$M$9,2,FALSE)+1,FALSE)*C37</f>
        <v>188509.88462576998</v>
      </c>
      <c r="E37" s="874"/>
      <c r="F37" s="873">
        <f>VLOOKUP($B$48,Índices!$B$6:$F$500,VLOOKUP(F$23,$L$7:$M$9,2,FALSE)+1,FALSE)/VLOOKUP(DATE(YEAR($B37),MONTH($B37)-1,1),Índices!$B$6:$F$500,VLOOKUP(H$23,$L$7:$M$9,2,FALSE)+1,FALSE)*E37</f>
        <v>0</v>
      </c>
      <c r="G37" s="874">
        <f>CAPA!E66</f>
        <v>-37385.160000000003</v>
      </c>
      <c r="H37" s="873">
        <f>VLOOKUP($B$48,Índices!$B$6:$F$500,VLOOKUP(H$23,$L$7:$M$9,2,FALSE)+1,FALSE)/VLOOKUP(DATE(YEAR($B37),MONTH($B37)-1,1),Índices!$B$6:$F$500,VLOOKUP(H$23,$L$7:$M$9,2,FALSE)+1,FALSE)*G37</f>
        <v>-41829.085228371689</v>
      </c>
      <c r="I37" s="875">
        <f>IFERROR(HLOOKUP(B37,'Rede Básica + Ajuste'!$E$70:$P$71,2,FALSE),0)</f>
        <v>0</v>
      </c>
      <c r="J37" s="875">
        <f>VLOOKUP($B$48,Índices!$B$6:$F$500,VLOOKUP(J$23,$L$7:$M$9,2,FALSE)+1,FALSE)/VLOOKUP(DATE(YEAR($B37),MONTH($B37)-1,1),Índices!$B$6:$F$500,VLOOKUP(J$23,$L$7:$M$9,2,FALSE)+1,FALSE)*I37</f>
        <v>0</v>
      </c>
      <c r="K37" s="874">
        <f>CAPA!H66</f>
        <v>0</v>
      </c>
      <c r="L37" s="873">
        <f>VLOOKUP($B$48,Índices!$B$6:$F$500,VLOOKUP(L$23,$L$7:$M$9,2,FALSE)+1,FALSE)/VLOOKUP(DATE(YEAR($B37),MONTH($B37)-1,1),Índices!$B$6:$F$500,VLOOKUP(L$23,$L$7:$M$9,2,FALSE)+1,FALSE)*K37</f>
        <v>0</v>
      </c>
      <c r="M37" s="874">
        <f>CVE!I14/12</f>
        <v>104013.63044101333</v>
      </c>
      <c r="N37" s="873">
        <f>VLOOKUP($B$48,Índices!$B$6:$F$500,VLOOKUP(N$23,$L$7:$M$9,2,FALSE)+1,FALSE)/VLOOKUP(DATE(YEAR($B37),MONTH($B37)-1,1),Índices!$B$6:$F$500,VLOOKUP(N$23,$L$7:$M$9,2,FALSE)+1,FALSE)*M37</f>
        <v>113053.55205457102</v>
      </c>
      <c r="O37" s="416">
        <f>CAPA!G66</f>
        <v>16118.62</v>
      </c>
      <c r="P37" s="873">
        <f>VLOOKUP($B$48,Índices!$B$6:$F$500,VLOOKUP(P$23,$L$7:$M$9,2,FALSE)+1,FALSE)/VLOOKUP(DATE(YEAR($B37),MONTH($B37)-1,1),Índices!$B$6:$F$500,VLOOKUP(P$23,$L$7:$M$9,2,FALSE)+1,FALSE)*O37</f>
        <v>18034.619344781095</v>
      </c>
      <c r="Q37" s="874">
        <f>CAPA!D66</f>
        <v>0</v>
      </c>
      <c r="R37" s="873">
        <f>VLOOKUP($B$48,Índices!$B$6:$F$500,VLOOKUP(R$23,$L$7:$M$9,2,FALSE)+1,FALSE)/VLOOKUP(DATE(YEAR($B37),MONTH($B37)-1,1),Índices!$B$6:$F$500,VLOOKUP(R$23,$L$7:$M$9,2,FALSE)+1,FALSE)*Q37</f>
        <v>0</v>
      </c>
      <c r="S37" s="874">
        <f>ICMS!$B$9/12</f>
        <v>0</v>
      </c>
      <c r="T37" s="873">
        <f>VLOOKUP($B$48,Índices!$B$6:$F$500,VLOOKUP(T$23,$L$7:$M$9,2,FALSE)+1,FALSE)/VLOOKUP(DATE(YEAR($B37),MONTH($B37)-1,1),Índices!$B$6:$F$500,VLOOKUP(T$23,$L$7:$M$9,2,FALSE)+1,FALSE)*S37</f>
        <v>0</v>
      </c>
      <c r="U37" s="874">
        <f>ICMS!$B$8/12</f>
        <v>0</v>
      </c>
      <c r="V37" s="873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240501.18</v>
      </c>
      <c r="D38" s="227">
        <f>VLOOKUP($B$48,Índices!$B$6:$F$500,VLOOKUP(D$23,$L$7:$M$9,2,FALSE)+1,FALSE)/VLOOKUP(DATE(YEAR($B38),MONTH($B38)-1,1),Índices!$B$6:$F$500,VLOOKUP(D$23,$L$7:$M$9,2,FALSE)+1,FALSE)*C38</f>
        <v>266530.63117072394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-5197.8900000000003</v>
      </c>
      <c r="H38" s="227">
        <f>VLOOKUP($B$48,Índices!$B$6:$F$500,VLOOKUP(H$23,$L$7:$M$9,2,FALSE)+1,FALSE)/VLOOKUP(DATE(YEAR($B38),MONTH($B38)-1,1),Índices!$B$6:$F$500,VLOOKUP(H$23,$L$7:$M$9,2,FALSE)+1,FALSE)*G38</f>
        <v>-5760.4578175291881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6">
        <f>M37</f>
        <v>104013.63044101333</v>
      </c>
      <c r="N38" s="100">
        <f>VLOOKUP($B$48,Índices!$B$6:$F$500,VLOOKUP(N$23,$L$7:$M$9,2,FALSE)+1,FALSE)/VLOOKUP(DATE(YEAR($B38),MONTH($B38)-1,1),Índices!$B$6:$F$500,VLOOKUP(N$23,$L$7:$M$9,2,FALSE)+1,FALSE)*M38</f>
        <v>112652.93997500565</v>
      </c>
      <c r="O38" s="416">
        <f>CAPA!G67</f>
        <v>16267.07</v>
      </c>
      <c r="P38" s="100">
        <f>VLOOKUP($B$48,Índices!$B$6:$F$500,VLOOKUP(P$23,$L$7:$M$9,2,FALSE)+1,FALSE)/VLOOKUP(DATE(YEAR($B38),MONTH($B38)-1,1),Índices!$B$6:$F$500,VLOOKUP(P$23,$L$7:$M$9,2,FALSE)+1,FALSE)*O38</f>
        <v>18027.655558273553</v>
      </c>
      <c r="Q38" s="226">
        <f>CAPA!D67</f>
        <v>0</v>
      </c>
      <c r="R38" s="100">
        <f>VLOOKUP($B$48,Índices!$B$6:$F$500,VLOOKUP(R$23,$L$7:$M$9,2,FALSE)+1,FALSE)/VLOOKUP(DATE(YEAR($B38),MONTH($B38)-1,1),Índices!$B$6:$F$500,VLOOKUP(R$23,$L$7:$M$9,2,FALSE)+1,FALSE)*Q38</f>
        <v>0</v>
      </c>
      <c r="S38" s="874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74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211118.09000000003</v>
      </c>
      <c r="D39" s="227">
        <f>VLOOKUP($B$48,Índices!$B$6:$F$500,VLOOKUP(D$23,$L$7:$M$9,2,FALSE)+1,FALSE)/VLOOKUP(DATE(YEAR($B39),MONTH($B39)-1,1),Índices!$B$6:$F$500,VLOOKUP(D$23,$L$7:$M$9,2,FALSE)+1,FALSE)*C39</f>
        <v>231949.47648956359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-41114.36</v>
      </c>
      <c r="H39" s="227">
        <f>VLOOKUP($B$48,Índices!$B$6:$F$500,VLOOKUP(H$23,$L$7:$M$9,2,FALSE)+1,FALSE)/VLOOKUP(DATE(YEAR($B39),MONTH($B39)-1,1),Índices!$B$6:$F$500,VLOOKUP(H$23,$L$7:$M$9,2,FALSE)+1,FALSE)*G39</f>
        <v>-45171.18489563567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6">
        <f t="shared" ref="M39:M48" si="3">M38</f>
        <v>104013.63044101333</v>
      </c>
      <c r="N39" s="100">
        <f>VLOOKUP($B$48,Índices!$B$6:$F$500,VLOOKUP(N$23,$L$7:$M$9,2,FALSE)+1,FALSE)/VLOOKUP(DATE(YEAR($B39),MONTH($B39)-1,1),Índices!$B$6:$F$500,VLOOKUP(N$23,$L$7:$M$9,2,FALSE)+1,FALSE)*M39</f>
        <v>112172.8932992248</v>
      </c>
      <c r="O39" s="416">
        <f>CAPA!G68</f>
        <v>16067.58</v>
      </c>
      <c r="P39" s="100">
        <f>VLOOKUP($B$48,Índices!$B$6:$F$500,VLOOKUP(P$23,$L$7:$M$9,2,FALSE)+1,FALSE)/VLOOKUP(DATE(YEAR($B39),MONTH($B39)-1,1),Índices!$B$6:$F$500,VLOOKUP(P$23,$L$7:$M$9,2,FALSE)+1,FALSE)*O39</f>
        <v>17652.995863377608</v>
      </c>
      <c r="Q39" s="226">
        <f>CAPA!D68</f>
        <v>0</v>
      </c>
      <c r="R39" s="100">
        <f>VLOOKUP($B$48,Índices!$B$6:$F$500,VLOOKUP(R$23,$L$7:$M$9,2,FALSE)+1,FALSE)/VLOOKUP(DATE(YEAR($B39),MONTH($B39)-1,1),Índices!$B$6:$F$500,VLOOKUP(R$23,$L$7:$M$9,2,FALSE)+1,FALSE)*Q39</f>
        <v>0</v>
      </c>
      <c r="S39" s="874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74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237635.8</v>
      </c>
      <c r="D40" s="227">
        <f>VLOOKUP($B$48,Índices!$B$6:$F$500,VLOOKUP(D$23,$L$7:$M$9,2,FALSE)+1,FALSE)/VLOOKUP(DATE(YEAR($B40),MONTH($B40)-1,1),Índices!$B$6:$F$500,VLOOKUP(D$23,$L$7:$M$9,2,FALSE)+1,FALSE)*C40</f>
        <v>258089.98663068766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-35438.54</v>
      </c>
      <c r="H40" s="227">
        <f>VLOOKUP($B$48,Índices!$B$6:$F$500,VLOOKUP(H$23,$L$7:$M$9,2,FALSE)+1,FALSE)/VLOOKUP(DATE(YEAR($B40),MONTH($B40)-1,1),Índices!$B$6:$F$500,VLOOKUP(H$23,$L$7:$M$9,2,FALSE)+1,FALSE)*G40</f>
        <v>-38488.865376391477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6">
        <f t="shared" si="3"/>
        <v>104013.63044101333</v>
      </c>
      <c r="N40" s="100">
        <f>VLOOKUP($B$48,Índices!$B$6:$F$500,VLOOKUP(N$23,$L$7:$M$9,2,FALSE)+1,FALSE)/VLOOKUP(DATE(YEAR($B40),MONTH($B40)-1,1),Índices!$B$6:$F$500,VLOOKUP(N$23,$L$7:$M$9,2,FALSE)+1,FALSE)*M40</f>
        <v>111679.27166422375</v>
      </c>
      <c r="O40" s="416">
        <f>CAPA!G69</f>
        <v>16049.58</v>
      </c>
      <c r="P40" s="100">
        <f>VLOOKUP($B$48,Índices!$B$6:$F$500,VLOOKUP(P$23,$L$7:$M$9,2,FALSE)+1,FALSE)/VLOOKUP(DATE(YEAR($B40),MONTH($B40)-1,1),Índices!$B$6:$F$500,VLOOKUP(P$23,$L$7:$M$9,2,FALSE)+1,FALSE)*O40</f>
        <v>17431.026333692786</v>
      </c>
      <c r="Q40" s="226">
        <f>CAPA!D69</f>
        <v>0</v>
      </c>
      <c r="R40" s="100">
        <f>VLOOKUP($B$48,Índices!$B$6:$F$500,VLOOKUP(R$23,$L$7:$M$9,2,FALSE)+1,FALSE)/VLOOKUP(DATE(YEAR($B40),MONTH($B40)-1,1),Índices!$B$6:$F$500,VLOOKUP(R$23,$L$7:$M$9,2,FALSE)+1,FALSE)*Q40</f>
        <v>0</v>
      </c>
      <c r="S40" s="874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74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336246.02</v>
      </c>
      <c r="D41" s="227">
        <f>VLOOKUP($B$48,Índices!$B$6:$F$500,VLOOKUP(D$23,$L$7:$M$9,2,FALSE)+1,FALSE)/VLOOKUP(DATE(YEAR($B41),MONTH($B41)-1,1),Índices!$B$6:$F$500,VLOOKUP(D$23,$L$7:$M$9,2,FALSE)+1,FALSE)*C41</f>
        <v>360679.61475797172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6">
        <f t="shared" si="3"/>
        <v>104013.63044101333</v>
      </c>
      <c r="N41" s="100">
        <f>VLOOKUP($B$48,Índices!$B$6:$F$500,VLOOKUP(N$23,$L$7:$M$9,2,FALSE)+1,FALSE)/VLOOKUP(DATE(YEAR($B41),MONTH($B41)-1,1),Índices!$B$6:$F$500,VLOOKUP(N$23,$L$7:$M$9,2,FALSE)+1,FALSE)*M41</f>
        <v>111139.13977653901</v>
      </c>
      <c r="O41" s="416">
        <f>CAPA!G70</f>
        <v>16092.68</v>
      </c>
      <c r="P41" s="100">
        <f>VLOOKUP($B$48,Índices!$B$6:$F$500,VLOOKUP(P$23,$L$7:$M$9,2,FALSE)+1,FALSE)/VLOOKUP(DATE(YEAR($B41),MONTH($B41)-1,1),Índices!$B$6:$F$500,VLOOKUP(P$23,$L$7:$M$9,2,FALSE)+1,FALSE)*O41</f>
        <v>17262.067883579159</v>
      </c>
      <c r="Q41" s="226">
        <f>CAPA!D70</f>
        <v>0</v>
      </c>
      <c r="R41" s="100">
        <f>VLOOKUP($B$48,Índices!$B$6:$F$500,VLOOKUP(R$23,$L$7:$M$9,2,FALSE)+1,FALSE)/VLOOKUP(DATE(YEAR($B41),MONTH($B41)-1,1),Índices!$B$6:$F$500,VLOOKUP(R$23,$L$7:$M$9,2,FALSE)+1,FALSE)*Q41</f>
        <v>0</v>
      </c>
      <c r="S41" s="874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74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202926.74</v>
      </c>
      <c r="D42" s="227">
        <f>VLOOKUP($B$48,Índices!$B$6:$F$500,VLOOKUP(D$23,$L$7:$M$9,2,FALSE)+1,FALSE)/VLOOKUP(DATE(YEAR($B42),MONTH($B42)-1,1),Índices!$B$6:$F$500,VLOOKUP(D$23,$L$7:$M$9,2,FALSE)+1,FALSE)*C42</f>
        <v>215624.0022827037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-0.01</v>
      </c>
      <c r="H42" s="227">
        <f>VLOOKUP($B$48,Índices!$B$6:$F$500,VLOOKUP(H$23,$L$7:$M$9,2,FALSE)+1,FALSE)/VLOOKUP(DATE(YEAR($B42),MONTH($B42)-1,1),Índices!$B$6:$F$500,VLOOKUP(H$23,$L$7:$M$9,2,FALSE)+1,FALSE)*G42</f>
        <v>-1.0625706709855178E-2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6">
        <f t="shared" si="3"/>
        <v>104013.63044101333</v>
      </c>
      <c r="N42" s="100">
        <f>VLOOKUP($B$48,Índices!$B$6:$F$500,VLOOKUP(N$23,$L$7:$M$9,2,FALSE)+1,FALSE)/VLOOKUP(DATE(YEAR($B42),MONTH($B42)-1,1),Índices!$B$6:$F$500,VLOOKUP(N$23,$L$7:$M$9,2,FALSE)+1,FALSE)*M42</f>
        <v>110490.83579864741</v>
      </c>
      <c r="O42" s="416">
        <f>CAPA!G71</f>
        <v>20562.09</v>
      </c>
      <c r="P42" s="100">
        <f>VLOOKUP($B$48,Índices!$B$6:$F$500,VLOOKUP(P$23,$L$7:$M$9,2,FALSE)+1,FALSE)/VLOOKUP(DATE(YEAR($B42),MONTH($B42)-1,1),Índices!$B$6:$F$500,VLOOKUP(P$23,$L$7:$M$9,2,FALSE)+1,FALSE)*O42</f>
        <v>21848.673768164608</v>
      </c>
      <c r="Q42" s="226">
        <f>CAPA!D71</f>
        <v>0</v>
      </c>
      <c r="R42" s="100">
        <f>VLOOKUP($B$48,Índices!$B$6:$F$500,VLOOKUP(R$23,$L$7:$M$9,2,FALSE)+1,FALSE)/VLOOKUP(DATE(YEAR($B42),MONTH($B42)-1,1),Índices!$B$6:$F$500,VLOOKUP(R$23,$L$7:$M$9,2,FALSE)+1,FALSE)*Q42</f>
        <v>0</v>
      </c>
      <c r="S42" s="874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74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2775.5</v>
      </c>
      <c r="D43" s="227">
        <f>VLOOKUP($B$48,Índices!$B$6:$F$500,VLOOKUP(D$23,$L$7:$M$9,2,FALSE)+1,FALSE)/VLOOKUP(DATE(YEAR($B43),MONTH($B43)-1,1),Índices!$B$6:$F$500,VLOOKUP(D$23,$L$7:$M$9,2,FALSE)+1,FALSE)*C43</f>
        <v>2927.7932292926189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-68504.259999999995</v>
      </c>
      <c r="H43" s="227">
        <f>VLOOKUP($B$48,Índices!$B$6:$F$500,VLOOKUP(H$23,$L$7:$M$9,2,FALSE)+1,FALSE)/VLOOKUP(DATE(YEAR($B43),MONTH($B43)-1,1),Índices!$B$6:$F$500,VLOOKUP(H$23,$L$7:$M$9,2,FALSE)+1,FALSE)*G43</f>
        <v>-72263.126862079327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6">
        <f t="shared" si="3"/>
        <v>104013.63044101333</v>
      </c>
      <c r="N43" s="100">
        <f>VLOOKUP($B$48,Índices!$B$6:$F$500,VLOOKUP(N$23,$L$7:$M$9,2,FALSE)+1,FALSE)/VLOOKUP(DATE(YEAR($B43),MONTH($B43)-1,1),Índices!$B$6:$F$500,VLOOKUP(N$23,$L$7:$M$9,2,FALSE)+1,FALSE)*M43</f>
        <v>109647.55500343915</v>
      </c>
      <c r="O43" s="416">
        <f>CAPA!G72</f>
        <v>36246.870000000003</v>
      </c>
      <c r="P43" s="100">
        <f>VLOOKUP($B$48,Índices!$B$6:$F$500,VLOOKUP(P$23,$L$7:$M$9,2,FALSE)+1,FALSE)/VLOOKUP(DATE(YEAR($B43),MONTH($B43)-1,1),Índices!$B$6:$F$500,VLOOKUP(P$23,$L$7:$M$9,2,FALSE)+1,FALSE)*O43</f>
        <v>38235.755924716177</v>
      </c>
      <c r="Q43" s="226">
        <f>CAPA!D72</f>
        <v>0</v>
      </c>
      <c r="R43" s="100">
        <f>VLOOKUP($B$48,Índices!$B$6:$F$500,VLOOKUP(R$23,$L$7:$M$9,2,FALSE)+1,FALSE)/VLOOKUP(DATE(YEAR($B43),MONTH($B43)-1,1),Índices!$B$6:$F$500,VLOOKUP(R$23,$L$7:$M$9,2,FALSE)+1,FALSE)*Q43</f>
        <v>0</v>
      </c>
      <c r="S43" s="874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74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14427.57</v>
      </c>
      <c r="D44" s="227">
        <f>VLOOKUP($B$48,Índices!$B$6:$F$500,VLOOKUP(D$23,$L$7:$M$9,2,FALSE)+1,FALSE)/VLOOKUP(DATE(YEAR($B44),MONTH($B44)-1,1),Índices!$B$6:$F$500,VLOOKUP(D$23,$L$7:$M$9,2,FALSE)+1,FALSE)*C44</f>
        <v>15137.472031857164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-1960.66</v>
      </c>
      <c r="H44" s="227">
        <f>VLOOKUP($B$48,Índices!$B$6:$F$500,VLOOKUP(H$23,$L$7:$M$9,2,FALSE)+1,FALSE)/VLOOKUP(DATE(YEAR($B44),MONTH($B44)-1,1),Índices!$B$6:$F$500,VLOOKUP(H$23,$L$7:$M$9,2,FALSE)+1,FALSE)*G44</f>
        <v>-2057.1333851772038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6">
        <f t="shared" si="3"/>
        <v>104013.63044101333</v>
      </c>
      <c r="N44" s="100">
        <f>VLOOKUP($B$48,Índices!$B$6:$F$500,VLOOKUP(N$23,$L$7:$M$9,2,FALSE)+1,FALSE)/VLOOKUP(DATE(YEAR($B44),MONTH($B44)-1,1),Índices!$B$6:$F$500,VLOOKUP(N$23,$L$7:$M$9,2,FALSE)+1,FALSE)*M44</f>
        <v>108850.47527480587</v>
      </c>
      <c r="O44" s="416">
        <f>CAPA!G73</f>
        <v>42946.76</v>
      </c>
      <c r="P44" s="100">
        <f>VLOOKUP($B$48,Índices!$B$6:$F$500,VLOOKUP(P$23,$L$7:$M$9,2,FALSE)+1,FALSE)/VLOOKUP(DATE(YEAR($B44),MONTH($B44)-1,1),Índices!$B$6:$F$500,VLOOKUP(P$23,$L$7:$M$9,2,FALSE)+1,FALSE)*O44</f>
        <v>45059.935828339912</v>
      </c>
      <c r="Q44" s="226">
        <f>CAPA!D73</f>
        <v>0</v>
      </c>
      <c r="R44" s="100">
        <f>VLOOKUP($B$48,Índices!$B$6:$F$500,VLOOKUP(R$23,$L$7:$M$9,2,FALSE)+1,FALSE)/VLOOKUP(DATE(YEAR($B44),MONTH($B44)-1,1),Índices!$B$6:$F$500,VLOOKUP(R$23,$L$7:$M$9,2,FALSE)+1,FALSE)*Q44</f>
        <v>0</v>
      </c>
      <c r="S44" s="874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74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52568.909999999996</v>
      </c>
      <c r="D45" s="227">
        <f>VLOOKUP($B$48,Índices!$B$6:$F$500,VLOOKUP(D$23,$L$7:$M$9,2,FALSE)+1,FALSE)/VLOOKUP(DATE(YEAR($B45),MONTH($B45)-1,1),Índices!$B$6:$F$500,VLOOKUP(D$23,$L$7:$M$9,2,FALSE)+1,FALSE)*C45</f>
        <v>54604.005255388365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0.02</v>
      </c>
      <c r="H45" s="227">
        <f>VLOOKUP($B$48,Índices!$B$6:$F$500,VLOOKUP(H$23,$L$7:$M$9,2,FALSE)+1,FALSE)/VLOOKUP(DATE(YEAR($B45),MONTH($B45)-1,1),Índices!$B$6:$F$500,VLOOKUP(H$23,$L$7:$M$9,2,FALSE)+1,FALSE)*G45</f>
        <v>2.0774258113926414E-2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6">
        <f t="shared" si="3"/>
        <v>104013.63044101333</v>
      </c>
      <c r="N45" s="100">
        <f>VLOOKUP($B$48,Índices!$B$6:$F$500,VLOOKUP(N$23,$L$7:$M$9,2,FALSE)+1,FALSE)/VLOOKUP(DATE(YEAR($B45),MONTH($B45)-1,1),Índices!$B$6:$F$500,VLOOKUP(N$23,$L$7:$M$9,2,FALSE)+1,FALSE)*M45</f>
        <v>108034.76849243543</v>
      </c>
      <c r="O45" s="416">
        <f>CAPA!G74</f>
        <v>39560.519999999997</v>
      </c>
      <c r="P45" s="100">
        <f>VLOOKUP($B$48,Índices!$B$6:$F$500,VLOOKUP(P$23,$L$7:$M$9,2,FALSE)+1,FALSE)/VLOOKUP(DATE(YEAR($B45),MONTH($B45)-1,1),Índices!$B$6:$F$500,VLOOKUP(P$23,$L$7:$M$9,2,FALSE)+1,FALSE)*O45</f>
        <v>41092.022680057402</v>
      </c>
      <c r="Q45" s="226">
        <f>CAPA!D74</f>
        <v>0</v>
      </c>
      <c r="R45" s="100">
        <f>VLOOKUP($B$48,Índices!$B$6:$F$500,VLOOKUP(R$23,$L$7:$M$9,2,FALSE)+1,FALSE)/VLOOKUP(DATE(YEAR($B45),MONTH($B45)-1,1),Índices!$B$6:$F$500,VLOOKUP(R$23,$L$7:$M$9,2,FALSE)+1,FALSE)*Q45</f>
        <v>0</v>
      </c>
      <c r="S45" s="874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74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53317.919999999998</v>
      </c>
      <c r="D46" s="227">
        <f>VLOOKUP($B$48,Índices!$B$6:$F$500,VLOOKUP(D$23,$L$7:$M$9,2,FALSE)+1,FALSE)/VLOOKUP(DATE(YEAR($B46),MONTH($B46)-1,1),Índices!$B$6:$F$500,VLOOKUP(D$23,$L$7:$M$9,2,FALSE)+1,FALSE)*C46</f>
        <v>54499.098918449061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-450.06</v>
      </c>
      <c r="H46" s="227">
        <f>VLOOKUP($B$48,Índices!$B$6:$F$500,VLOOKUP(H$23,$L$7:$M$9,2,FALSE)+1,FALSE)/VLOOKUP(DATE(YEAR($B46),MONTH($B46)-1,1),Índices!$B$6:$F$500,VLOOKUP(H$23,$L$7:$M$9,2,FALSE)+1,FALSE)*G46</f>
        <v>-460.03040739843539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6">
        <f t="shared" si="3"/>
        <v>104013.63044101333</v>
      </c>
      <c r="N46" s="100">
        <f>VLOOKUP($B$48,Índices!$B$6:$F$500,VLOOKUP(N$23,$L$7:$M$9,2,FALSE)+1,FALSE)/VLOOKUP(DATE(YEAR($B46),MONTH($B46)-1,1),Índices!$B$6:$F$500,VLOOKUP(N$23,$L$7:$M$9,2,FALSE)+1,FALSE)*M46</f>
        <v>107042.42753305563</v>
      </c>
      <c r="O46" s="416">
        <f>CAPA!G75</f>
        <v>30743.279999999999</v>
      </c>
      <c r="P46" s="100">
        <f>VLOOKUP($B$48,Índices!$B$6:$F$500,VLOOKUP(P$23,$L$7:$M$9,2,FALSE)+1,FALSE)/VLOOKUP(DATE(YEAR($B46),MONTH($B46)-1,1),Índices!$B$6:$F$500,VLOOKUP(P$23,$L$7:$M$9,2,FALSE)+1,FALSE)*O46</f>
        <v>31424.351471279762</v>
      </c>
      <c r="Q46" s="226">
        <f>CAPA!D75</f>
        <v>0</v>
      </c>
      <c r="R46" s="100">
        <f>VLOOKUP($B$48,Índices!$B$6:$F$500,VLOOKUP(R$23,$L$7:$M$9,2,FALSE)+1,FALSE)/VLOOKUP(DATE(YEAR($B46),MONTH($B46)-1,1),Índices!$B$6:$F$500,VLOOKUP(R$23,$L$7:$M$9,2,FALSE)+1,FALSE)*Q46</f>
        <v>0</v>
      </c>
      <c r="S46" s="874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74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41623.21</v>
      </c>
      <c r="D47" s="227">
        <f>VLOOKUP($B$48,Índices!$B$6:$F$500,VLOOKUP(D$23,$L$7:$M$9,2,FALSE)+1,FALSE)/VLOOKUP(DATE(YEAR($B47),MONTH($B47)-1,1),Índices!$B$6:$F$500,VLOOKUP(D$23,$L$7:$M$9,2,FALSE)+1,FALSE)*C47</f>
        <v>42099.052508977133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-2918.29</v>
      </c>
      <c r="H47" s="227">
        <f>VLOOKUP($B$48,Índices!$B$6:$F$500,VLOOKUP(H$23,$L$7:$M$9,2,FALSE)+1,FALSE)/VLOOKUP(DATE(YEAR($B47),MONTH($B47)-1,1),Índices!$B$6:$F$500,VLOOKUP(H$23,$L$7:$M$9,2,FALSE)+1,FALSE)*G47</f>
        <v>-2951.6523100073946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6">
        <f t="shared" si="3"/>
        <v>104013.63044101333</v>
      </c>
      <c r="N47" s="100">
        <f>VLOOKUP($B$48,Índices!$B$6:$F$500,VLOOKUP(N$23,$L$7:$M$9,2,FALSE)+1,FALSE)/VLOOKUP(DATE(YEAR($B47),MONTH($B47)-1,1),Índices!$B$6:$F$500,VLOOKUP(N$23,$L$7:$M$9,2,FALSE)+1,FALSE)*M47</f>
        <v>106156.7400633932</v>
      </c>
      <c r="O47" s="416">
        <f>CAPA!G76</f>
        <v>22422.35</v>
      </c>
      <c r="P47" s="100">
        <f>VLOOKUP($B$48,Índices!$B$6:$F$500,VLOOKUP(P$23,$L$7:$M$9,2,FALSE)+1,FALSE)/VLOOKUP(DATE(YEAR($B47),MONTH($B47)-1,1),Índices!$B$6:$F$500,VLOOKUP(P$23,$L$7:$M$9,2,FALSE)+1,FALSE)*O47</f>
        <v>22678.685522444412</v>
      </c>
      <c r="Q47" s="226">
        <f>CAPA!D76</f>
        <v>0</v>
      </c>
      <c r="R47" s="100">
        <f>VLOOKUP($B$48,Índices!$B$6:$F$500,VLOOKUP(R$23,$L$7:$M$9,2,FALSE)+1,FALSE)/VLOOKUP(DATE(YEAR($B47),MONTH($B47)-1,1),Índices!$B$6:$F$500,VLOOKUP(R$23,$L$7:$M$9,2,FALSE)+1,FALSE)*Q47</f>
        <v>0</v>
      </c>
      <c r="S47" s="874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74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61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6">
        <f t="shared" si="3"/>
        <v>104013.63044101333</v>
      </c>
      <c r="N48" s="100">
        <f>VLOOKUP($B$48,Índices!$B$6:$F$500,VLOOKUP(N$23,$L$7:$M$9,2,FALSE)+1,FALSE)/VLOOKUP(DATE(YEAR($B48),MONTH($B48)-1,1),Índices!$B$6:$F$500,VLOOKUP(N$23,$L$7:$M$9,2,FALSE)+1,FALSE)*M48</f>
        <v>105069.69706630294</v>
      </c>
      <c r="O48" s="416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226">
        <f>CAPA!D77</f>
        <v>0</v>
      </c>
      <c r="R48" s="100">
        <f>VLOOKUP($B$48,Índices!$B$6:$F$500,VLOOKUP(R$23,$L$7:$M$9,2,FALSE)+1,FALSE)/VLOOKUP(DATE(YEAR($B48),MONTH($B48)-1,1),Índices!$B$6:$F$500,VLOOKUP(R$23,$L$7:$M$9,2,FALSE)+1,FALSE)*Q48</f>
        <v>0</v>
      </c>
      <c r="S48" s="874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74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62">
        <f t="shared" ref="C49:P49" si="4">SUM(C25:C48)</f>
        <v>1708531.35</v>
      </c>
      <c r="D49" s="1463">
        <f t="shared" si="4"/>
        <v>1855892.7636633427</v>
      </c>
      <c r="E49" s="1462">
        <f t="shared" si="4"/>
        <v>0</v>
      </c>
      <c r="F49" s="1463">
        <f t="shared" si="4"/>
        <v>0</v>
      </c>
      <c r="G49" s="1462">
        <f t="shared" si="4"/>
        <v>-192969.2</v>
      </c>
      <c r="H49" s="1463">
        <f t="shared" si="4"/>
        <v>-208981.51488605133</v>
      </c>
      <c r="I49" s="1464">
        <f>SUM(I24:I48)</f>
        <v>0</v>
      </c>
      <c r="J49" s="1464">
        <f>SUM(J24:J48)</f>
        <v>0</v>
      </c>
      <c r="K49" s="1465">
        <f t="shared" si="4"/>
        <v>0</v>
      </c>
      <c r="L49" s="1466">
        <f t="shared" si="4"/>
        <v>0</v>
      </c>
      <c r="M49" s="1467">
        <f t="shared" si="4"/>
        <v>1248163.56529216</v>
      </c>
      <c r="N49" s="1468">
        <f t="shared" si="4"/>
        <v>1315990.2960016439</v>
      </c>
      <c r="O49" s="1467">
        <f t="shared" si="4"/>
        <v>290379.19999999995</v>
      </c>
      <c r="P49" s="1468">
        <f t="shared" si="4"/>
        <v>308208.83345205843</v>
      </c>
      <c r="Q49" s="1467">
        <f t="shared" ref="Q49:R49" si="5">SUM(Q25:Q48)</f>
        <v>0</v>
      </c>
      <c r="R49" s="1468">
        <f t="shared" si="5"/>
        <v>0</v>
      </c>
      <c r="S49" s="1467">
        <f>-S51</f>
        <v>0</v>
      </c>
      <c r="T49" s="1468">
        <f t="shared" ref="T49:V49" si="6">SUM(T25:T48)</f>
        <v>0</v>
      </c>
      <c r="U49" s="1467">
        <f>-S52</f>
        <v>0</v>
      </c>
      <c r="V49" s="1468">
        <f t="shared" si="6"/>
        <v>0</v>
      </c>
      <c r="Z49" s="68"/>
    </row>
    <row r="50" spans="2:30" ht="14.25">
      <c r="J50" s="68" t="s">
        <v>928</v>
      </c>
      <c r="M50" s="200"/>
      <c r="N50" s="108"/>
      <c r="S50" s="1392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41" t="s">
        <v>2258</v>
      </c>
      <c r="D53" s="1842"/>
      <c r="E53" s="1841" t="s">
        <v>1483</v>
      </c>
      <c r="F53" s="1842"/>
      <c r="G53" s="1841" t="s">
        <v>1484</v>
      </c>
      <c r="H53" s="1842"/>
      <c r="I53" s="1841" t="s">
        <v>1485</v>
      </c>
      <c r="J53" s="1842"/>
      <c r="K53" s="1837" t="s">
        <v>1486</v>
      </c>
      <c r="L53" s="1838"/>
      <c r="M53" s="1841" t="s">
        <v>1487</v>
      </c>
      <c r="N53" s="1842"/>
      <c r="O53" s="1841" t="s">
        <v>2260</v>
      </c>
      <c r="P53" s="1842"/>
      <c r="Q53" s="1841" t="s">
        <v>2261</v>
      </c>
      <c r="R53" s="1842"/>
      <c r="S53" s="1841" t="s">
        <v>1488</v>
      </c>
      <c r="T53" s="1842"/>
      <c r="U53" s="1841" t="s">
        <v>1489</v>
      </c>
      <c r="V53" s="1842"/>
      <c r="W53" s="1841" t="s">
        <v>36</v>
      </c>
      <c r="X53" s="1842"/>
      <c r="Z53" s="68"/>
    </row>
    <row r="54" spans="2:30" ht="14.25">
      <c r="C54" s="1458" t="s">
        <v>1481</v>
      </c>
      <c r="D54" s="1459" t="s">
        <v>849</v>
      </c>
      <c r="E54" s="1458" t="s">
        <v>1481</v>
      </c>
      <c r="F54" s="1459" t="s">
        <v>849</v>
      </c>
      <c r="G54" s="1458" t="s">
        <v>1481</v>
      </c>
      <c r="H54" s="1459" t="s">
        <v>849</v>
      </c>
      <c r="I54" s="1458" t="s">
        <v>1481</v>
      </c>
      <c r="J54" s="1459" t="s">
        <v>849</v>
      </c>
      <c r="K54" s="1456" t="s">
        <v>1481</v>
      </c>
      <c r="L54" s="1457" t="s">
        <v>849</v>
      </c>
      <c r="M54" s="1458" t="s">
        <v>1481</v>
      </c>
      <c r="N54" s="1459" t="s">
        <v>849</v>
      </c>
      <c r="O54" s="1458" t="s">
        <v>1481</v>
      </c>
      <c r="P54" s="1459" t="s">
        <v>849</v>
      </c>
      <c r="Q54" s="1458" t="s">
        <v>1481</v>
      </c>
      <c r="R54" s="1459" t="s">
        <v>849</v>
      </c>
      <c r="S54" s="1458" t="s">
        <v>1481</v>
      </c>
      <c r="T54" s="1459" t="s">
        <v>849</v>
      </c>
      <c r="U54" s="1458" t="s">
        <v>1481</v>
      </c>
      <c r="V54" s="1459" t="s">
        <v>849</v>
      </c>
      <c r="W54" s="1458" t="s">
        <v>1481</v>
      </c>
      <c r="X54" s="1469" t="s">
        <v>1460</v>
      </c>
      <c r="Z54" s="68"/>
    </row>
    <row r="55" spans="2:30" ht="14.25">
      <c r="B55" s="272">
        <f t="shared" ref="B55:B79" si="7">B24</f>
        <v>43983</v>
      </c>
      <c r="C55" s="497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7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7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7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7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7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7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7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7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7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7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7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7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7"/>
        <v>44378</v>
      </c>
      <c r="C68" s="209">
        <f ca="1">Encargos!C31</f>
        <v>0</v>
      </c>
      <c r="D68" s="100">
        <f ca="1">VLOOKUP($B$79,Índices!$B$6:$F$500,VLOOKUP(D$54,$L$7:$M$9,2,FALSE)+1,FALSE)/VLOOKUP(DATE(YEAR($B68),MONTH($B68)-1,1),Índices!$B$6:$F$500,VLOOKUP(D$54,$L$7:$M$9,2,FALSE)+1,FALSE)*C68</f>
        <v>0</v>
      </c>
      <c r="E68" s="209">
        <f ca="1">Encargos!D31</f>
        <v>9995.6181765307119</v>
      </c>
      <c r="F68" s="100">
        <f ca="1">VLOOKUP($B$79,Índices!$B$6:$F$500,VLOOKUP(F$54,$L$7:$M$9,2,FALSE)+1,FALSE)/VLOOKUP(DATE(YEAR($B68),MONTH($B68)-1,1),Índices!$B$6:$F$500,VLOOKUP(F$54,$L$7:$M$9,2,FALSE)+1,FALSE)*E68</f>
        <v>11183.784277407514</v>
      </c>
      <c r="G68" s="209">
        <f ca="1">Encargos!E31</f>
        <v>5374.7699616019199</v>
      </c>
      <c r="H68" s="227">
        <f ca="1">VLOOKUP($B$48,Índices!$B$6:$F$500,VLOOKUP(H$54,$L$7:$M$9,2,FALSE)+1,FALSE)/VLOOKUP(DATE(YEAR($B68),MONTH($B68)-1,1),Índices!$B$6:$F$500,VLOOKUP(H$54,$L$7:$M$9,2,FALSE)+1,FALSE)*G68</f>
        <v>6013.6618595918462</v>
      </c>
      <c r="I68" s="209">
        <f ca="1">Encargos!F31</f>
        <v>201798.30139952077</v>
      </c>
      <c r="J68" s="227">
        <f ca="1">VLOOKUP($B$48,Índices!$B$6:$F$500,VLOOKUP(J$54,$L$7:$M$9,2,FALSE)+1,FALSE)/VLOOKUP(DATE(YEAR($B68),MONTH($B68)-1,1),Índices!$B$6:$F$500,VLOOKUP(J$54,$L$7:$M$9,2,FALSE)+1,FALSE)*I68</f>
        <v>225785.80239274597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34290.855513116447</v>
      </c>
      <c r="N68" s="227">
        <f ca="1">VLOOKUP($B$48,Índices!$B$6:$F$500,VLOOKUP(N$54,$L$7:$M$9,2,FALSE)+1,FALSE)/VLOOKUP(DATE(YEAR($B68),MONTH($B68)-1,1),Índices!$B$6:$F$500,VLOOKUP(N$54,$L$7:$M$9,2,FALSE)+1,FALSE)*M68</f>
        <v>38366.96480132563</v>
      </c>
      <c r="O68" s="209">
        <f ca="1">Encargos!H31</f>
        <v>0</v>
      </c>
      <c r="P68" s="227">
        <f ca="1">VLOOKUP($B$48,Índices!$B$6:$F$500,VLOOKUP(P$54,$L$7:$M$9,2,FALSE)+1,FALSE)/VLOOKUP(DATE(YEAR($B68),MONTH($B68)-1,1),Índices!$B$6:$F$500,VLOOKUP(P$54,$L$7:$M$9,2,FALSE)+1,FALSE)*O68</f>
        <v>0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7"/>
        <v>44409</v>
      </c>
      <c r="C69" s="209">
        <f ca="1">Encargos!C32</f>
        <v>0</v>
      </c>
      <c r="D69" s="100">
        <f ca="1">VLOOKUP($B$79,Índices!$B$6:$F$500,VLOOKUP(D$54,$L$7:$M$9,2,FALSE)+1,FALSE)/VLOOKUP(DATE(YEAR($B69),MONTH($B69)-1,1),Índices!$B$6:$F$500,VLOOKUP(D$54,$L$7:$M$9,2,FALSE)+1,FALSE)*C69</f>
        <v>0</v>
      </c>
      <c r="E69" s="209">
        <f ca="1">Encargos!D32</f>
        <v>6247.4058608817468</v>
      </c>
      <c r="F69" s="100">
        <f ca="1">VLOOKUP($B$79,Índices!$B$6:$F$500,VLOOKUP(F$54,$L$7:$M$9,2,FALSE)+1,FALSE)/VLOOKUP(DATE(YEAR($B69),MONTH($B69)-1,1),Índices!$B$6:$F$500,VLOOKUP(F$54,$L$7:$M$9,2,FALSE)+1,FALSE)*E69</f>
        <v>6923.5628169495549</v>
      </c>
      <c r="G69" s="209">
        <f ca="1">Encargos!E32</f>
        <v>3475.0143936146615</v>
      </c>
      <c r="H69" s="227">
        <f ca="1">VLOOKUP($B$48,Índices!$B$6:$F$500,VLOOKUP(H$54,$L$7:$M$9,2,FALSE)+1,FALSE)/VLOOKUP(DATE(YEAR($B69),MONTH($B69)-1,1),Índices!$B$6:$F$500,VLOOKUP(H$54,$L$7:$M$9,2,FALSE)+1,FALSE)*G69</f>
        <v>3851.1153236647997</v>
      </c>
      <c r="I69" s="209">
        <f ca="1">Encargos!F32</f>
        <v>128131.401588796</v>
      </c>
      <c r="J69" s="227">
        <f ca="1">VLOOKUP($B$48,Índices!$B$6:$F$500,VLOOKUP(J$54,$L$7:$M$9,2,FALSE)+1,FALSE)/VLOOKUP(DATE(YEAR($B69),MONTH($B69)-1,1),Índices!$B$6:$F$500,VLOOKUP(J$54,$L$7:$M$9,2,FALSE)+1,FALSE)*I69</f>
        <v>141999.06768961091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21453.146723082085</v>
      </c>
      <c r="N69" s="227">
        <f ca="1">VLOOKUP($B$48,Índices!$B$6:$F$500,VLOOKUP(N$54,$L$7:$M$9,2,FALSE)+1,FALSE)/VLOOKUP(DATE(YEAR($B69),MONTH($B69)-1,1),Índices!$B$6:$F$500,VLOOKUP(N$54,$L$7:$M$9,2,FALSE)+1,FALSE)*M69</f>
        <v>23775.021547508484</v>
      </c>
      <c r="O69" s="209">
        <f ca="1">Encargos!H32</f>
        <v>0</v>
      </c>
      <c r="P69" s="227">
        <f ca="1">VLOOKUP($B$48,Índices!$B$6:$F$500,VLOOKUP(P$54,$L$7:$M$9,2,FALSE)+1,FALSE)/VLOOKUP(DATE(YEAR($B69),MONTH($B69)-1,1),Índices!$B$6:$F$500,VLOOKUP(P$54,$L$7:$M$9,2,FALSE)+1,FALSE)*O69</f>
        <v>0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7"/>
        <v>44440</v>
      </c>
      <c r="C70" s="209">
        <f ca="1">Encargos!C33</f>
        <v>0</v>
      </c>
      <c r="D70" s="100">
        <f ca="1">VLOOKUP($B$79,Índices!$B$6:$F$500,VLOOKUP(D$54,$L$7:$M$9,2,FALSE)+1,FALSE)/VLOOKUP(DATE(YEAR($B70),MONTH($B70)-1,1),Índices!$B$6:$F$500,VLOOKUP(D$54,$L$7:$M$9,2,FALSE)+1,FALSE)*C70</f>
        <v>0</v>
      </c>
      <c r="E70" s="209">
        <f ca="1">Encargos!D33</f>
        <v>8011.1600375338712</v>
      </c>
      <c r="F70" s="100">
        <f ca="1">VLOOKUP($B$79,Índices!$B$6:$F$500,VLOOKUP(F$54,$L$7:$M$9,2,FALSE)+1,FALSE)/VLOOKUP(DATE(YEAR($B70),MONTH($B70)-1,1),Índices!$B$6:$F$500,VLOOKUP(F$54,$L$7:$M$9,2,FALSE)+1,FALSE)*E70</f>
        <v>8801.6350317497363</v>
      </c>
      <c r="G70" s="209">
        <f ca="1">Encargos!E33</f>
        <v>4290.4085859872521</v>
      </c>
      <c r="H70" s="227">
        <f ca="1">VLOOKUP($B$48,Índices!$B$6:$F$500,VLOOKUP(H$54,$L$7:$M$9,2,FALSE)+1,FALSE)/VLOOKUP(DATE(YEAR($B70),MONTH($B70)-1,1),Índices!$B$6:$F$500,VLOOKUP(H$54,$L$7:$M$9,2,FALSE)+1,FALSE)*G70</f>
        <v>4713.7506096520283</v>
      </c>
      <c r="I70" s="209">
        <f ca="1">Encargos!F33</f>
        <v>162565.342636802</v>
      </c>
      <c r="J70" s="227">
        <f ca="1">VLOOKUP($B$48,Índices!$B$6:$F$500,VLOOKUP(J$54,$L$7:$M$9,2,FALSE)+1,FALSE)/VLOOKUP(DATE(YEAR($B70),MONTH($B70)-1,1),Índices!$B$6:$F$500,VLOOKUP(J$54,$L$7:$M$9,2,FALSE)+1,FALSE)*I70</f>
        <v>178605.94570532895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27654.532932538103</v>
      </c>
      <c r="N70" s="227">
        <f ca="1">VLOOKUP($B$48,Índices!$B$6:$F$500,VLOOKUP(N$54,$L$7:$M$9,2,FALSE)+1,FALSE)/VLOOKUP(DATE(YEAR($B70),MONTH($B70)-1,1),Índices!$B$6:$F$500,VLOOKUP(N$54,$L$7:$M$9,2,FALSE)+1,FALSE)*M70</f>
        <v>30383.253449600685</v>
      </c>
      <c r="O70" s="209">
        <f ca="1">Encargos!H33</f>
        <v>0</v>
      </c>
      <c r="P70" s="227">
        <f ca="1">VLOOKUP($B$48,Índices!$B$6:$F$500,VLOOKUP(P$54,$L$7:$M$9,2,FALSE)+1,FALSE)/VLOOKUP(DATE(YEAR($B70),MONTH($B70)-1,1),Índices!$B$6:$F$500,VLOOKUP(P$54,$L$7:$M$9,2,FALSE)+1,FALSE)*O70</f>
        <v>0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7"/>
        <v>44470</v>
      </c>
      <c r="C71" s="209">
        <f ca="1">Encargos!C34</f>
        <v>0</v>
      </c>
      <c r="D71" s="100">
        <f ca="1">VLOOKUP($B$79,Índices!$B$6:$F$500,VLOOKUP(D$54,$L$7:$M$9,2,FALSE)+1,FALSE)/VLOOKUP(DATE(YEAR($B71),MONTH($B71)-1,1),Índices!$B$6:$F$500,VLOOKUP(D$54,$L$7:$M$9,2,FALSE)+1,FALSE)*C71</f>
        <v>0</v>
      </c>
      <c r="E71" s="209">
        <f ca="1">Encargos!D34</f>
        <v>3071.784104616705</v>
      </c>
      <c r="F71" s="100">
        <f ca="1">VLOOKUP($B$79,Índices!$B$6:$F$500,VLOOKUP(F$54,$L$7:$M$9,2,FALSE)+1,FALSE)/VLOOKUP(DATE(YEAR($B71),MONTH($B71)-1,1),Índices!$B$6:$F$500,VLOOKUP(F$54,$L$7:$M$9,2,FALSE)+1,FALSE)*E71</f>
        <v>3336.1838514772785</v>
      </c>
      <c r="G71" s="209">
        <f ca="1">Encargos!E34</f>
        <v>1890.4540265330506</v>
      </c>
      <c r="H71" s="227">
        <f ca="1">VLOOKUP($B$48,Índices!$B$6:$F$500,VLOOKUP(H$54,$L$7:$M$9,2,FALSE)+1,FALSE)/VLOOKUP(DATE(YEAR($B71),MONTH($B71)-1,1),Índices!$B$6:$F$500,VLOOKUP(H$54,$L$7:$M$9,2,FALSE)+1,FALSE)*G71</f>
        <v>2053.1723521196923</v>
      </c>
      <c r="I71" s="209">
        <f ca="1">Encargos!F34</f>
        <v>66366.35954175971</v>
      </c>
      <c r="J71" s="227">
        <f ca="1">VLOOKUP($B$48,Índices!$B$6:$F$500,VLOOKUP(J$54,$L$7:$M$9,2,FALSE)+1,FALSE)/VLOOKUP(DATE(YEAR($B71),MONTH($B71)-1,1),Índices!$B$6:$F$500,VLOOKUP(J$54,$L$7:$M$9,2,FALSE)+1,FALSE)*I71</f>
        <v>72078.756007555159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10614.370463255342</v>
      </c>
      <c r="N71" s="227">
        <f ca="1">VLOOKUP($B$48,Índices!$B$6:$F$500,VLOOKUP(N$54,$L$7:$M$9,2,FALSE)+1,FALSE)/VLOOKUP(DATE(YEAR($B71),MONTH($B71)-1,1),Índices!$B$6:$F$500,VLOOKUP(N$54,$L$7:$M$9,2,FALSE)+1,FALSE)*M71</f>
        <v>11527.988337425326</v>
      </c>
      <c r="O71" s="209">
        <f ca="1">Encargos!H34</f>
        <v>0</v>
      </c>
      <c r="P71" s="227">
        <f ca="1">VLOOKUP($B$48,Índices!$B$6:$F$500,VLOOKUP(P$54,$L$7:$M$9,2,FALSE)+1,FALSE)/VLOOKUP(DATE(YEAR($B71),MONTH($B71)-1,1),Índices!$B$6:$F$500,VLOOKUP(P$54,$L$7:$M$9,2,FALSE)+1,FALSE)*O71</f>
        <v>0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7"/>
        <v>44501</v>
      </c>
      <c r="C72" s="209">
        <f ca="1">Encargos!C35</f>
        <v>0</v>
      </c>
      <c r="D72" s="100">
        <f ca="1">VLOOKUP($B$79,Índices!$B$6:$F$500,VLOOKUP(D$54,$L$7:$M$9,2,FALSE)+1,FALSE)/VLOOKUP(DATE(YEAR($B72),MONTH($B72)-1,1),Índices!$B$6:$F$500,VLOOKUP(D$54,$L$7:$M$9,2,FALSE)+1,FALSE)*C72</f>
        <v>0</v>
      </c>
      <c r="E72" s="209">
        <f ca="1">Encargos!D35</f>
        <v>-16632.373360217189</v>
      </c>
      <c r="F72" s="100">
        <f ca="1">VLOOKUP($B$79,Índices!$B$6:$F$500,VLOOKUP(F$54,$L$7:$M$9,2,FALSE)+1,FALSE)/VLOOKUP(DATE(YEAR($B72),MONTH($B72)-1,1),Índices!$B$6:$F$500,VLOOKUP(F$54,$L$7:$M$9,2,FALSE)+1,FALSE)*E72</f>
        <v>-17840.978507563857</v>
      </c>
      <c r="G72" s="209">
        <f ca="1">Encargos!E35</f>
        <v>-8184.479275099995</v>
      </c>
      <c r="H72" s="227">
        <f ca="1">VLOOKUP($B$48,Índices!$B$6:$F$500,VLOOKUP(H$54,$L$7:$M$9,2,FALSE)+1,FALSE)/VLOOKUP(DATE(YEAR($B72),MONTH($B72)-1,1),Índices!$B$6:$F$500,VLOOKUP(H$54,$L$7:$M$9,2,FALSE)+1,FALSE)*G72</f>
        <v>-8779.2112214076751</v>
      </c>
      <c r="I72" s="209">
        <f ca="1">Encargos!F35</f>
        <v>-324430.30096419004</v>
      </c>
      <c r="J72" s="227">
        <f ca="1">VLOOKUP($B$48,Índices!$B$6:$F$500,VLOOKUP(J$54,$L$7:$M$9,2,FALSE)+1,FALSE)/VLOOKUP(DATE(YEAR($B72),MONTH($B72)-1,1),Índices!$B$6:$F$500,VLOOKUP(J$54,$L$7:$M$9,2,FALSE)+1,FALSE)*I72</f>
        <v>-348005.29673950304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-57199.086235212628</v>
      </c>
      <c r="N72" s="227">
        <f ca="1">VLOOKUP($B$48,Índices!$B$6:$F$500,VLOOKUP(N$54,$L$7:$M$9,2,FALSE)+1,FALSE)/VLOOKUP(DATE(YEAR($B72),MONTH($B72)-1,1),Índices!$B$6:$F$500,VLOOKUP(N$54,$L$7:$M$9,2,FALSE)+1,FALSE)*M72</f>
        <v>-61355.505078764923</v>
      </c>
      <c r="O72" s="209">
        <f ca="1">Encargos!H35</f>
        <v>0</v>
      </c>
      <c r="P72" s="227">
        <f ca="1">VLOOKUP($B$48,Índices!$B$6:$F$500,VLOOKUP(P$54,$L$7:$M$9,2,FALSE)+1,FALSE)/VLOOKUP(DATE(YEAR($B72),MONTH($B72)-1,1),Índices!$B$6:$F$500,VLOOKUP(P$54,$L$7:$M$9,2,FALSE)+1,FALSE)*O72</f>
        <v>0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7"/>
        <v>44531</v>
      </c>
      <c r="C73" s="209">
        <f ca="1">Encargos!C36</f>
        <v>0</v>
      </c>
      <c r="D73" s="100">
        <f ca="1">VLOOKUP($B$79,Índices!$B$6:$F$500,VLOOKUP(D$54,$L$7:$M$9,2,FALSE)+1,FALSE)/VLOOKUP(DATE(YEAR($B73),MONTH($B73)-1,1),Índices!$B$6:$F$500,VLOOKUP(D$54,$L$7:$M$9,2,FALSE)+1,FALSE)*C73</f>
        <v>0</v>
      </c>
      <c r="E73" s="209">
        <f ca="1">Encargos!D36</f>
        <v>-23058.545559011818</v>
      </c>
      <c r="F73" s="100">
        <f ca="1">VLOOKUP($B$79,Índices!$B$6:$F$500,VLOOKUP(F$54,$L$7:$M$9,2,FALSE)+1,FALSE)/VLOOKUP(DATE(YEAR($B73),MONTH($B73)-1,1),Índices!$B$6:$F$500,VLOOKUP(F$54,$L$7:$M$9,2,FALSE)+1,FALSE)*E73</f>
        <v>-24501.334226589319</v>
      </c>
      <c r="G73" s="209">
        <f ca="1">Encargos!E36</f>
        <v>-11509.154801747467</v>
      </c>
      <c r="H73" s="227">
        <f ca="1">VLOOKUP($B$48,Índices!$B$6:$F$500,VLOOKUP(H$54,$L$7:$M$9,2,FALSE)+1,FALSE)/VLOOKUP(DATE(YEAR($B73),MONTH($B73)-1,1),Índices!$B$6:$F$500,VLOOKUP(H$54,$L$7:$M$9,2,FALSE)+1,FALSE)*G73</f>
        <v>-12229.290340169</v>
      </c>
      <c r="I73" s="209">
        <f ca="1">Encargos!F36</f>
        <v>-452736.88974490401</v>
      </c>
      <c r="J73" s="227">
        <f ca="1">VLOOKUP($B$48,Índices!$B$6:$F$500,VLOOKUP(J$54,$L$7:$M$9,2,FALSE)+1,FALSE)/VLOOKUP(DATE(YEAR($B73),MONTH($B73)-1,1),Índices!$B$6:$F$500,VLOOKUP(J$54,$L$7:$M$9,2,FALSE)+1,FALSE)*I73</f>
        <v>-481064.94071613904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-79350.249724919035</v>
      </c>
      <c r="N73" s="227">
        <f ca="1">VLOOKUP($B$48,Índices!$B$6:$F$500,VLOOKUP(N$54,$L$7:$M$9,2,FALSE)+1,FALSE)/VLOOKUP(DATE(YEAR($B73),MONTH($B73)-1,1),Índices!$B$6:$F$500,VLOOKUP(N$54,$L$7:$M$9,2,FALSE)+1,FALSE)*M73</f>
        <v>-84315.248093075614</v>
      </c>
      <c r="O73" s="209">
        <f ca="1">Encargos!H36</f>
        <v>0</v>
      </c>
      <c r="P73" s="227">
        <f ca="1">VLOOKUP($B$48,Índices!$B$6:$F$500,VLOOKUP(P$54,$L$7:$M$9,2,FALSE)+1,FALSE)/VLOOKUP(DATE(YEAR($B73),MONTH($B73)-1,1),Índices!$B$6:$F$500,VLOOKUP(P$54,$L$7:$M$9,2,FALSE)+1,FALSE)*O73</f>
        <v>0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7"/>
        <v>44562</v>
      </c>
      <c r="C74" s="209">
        <f ca="1">Encargos!C37</f>
        <v>0</v>
      </c>
      <c r="D74" s="100">
        <f ca="1">VLOOKUP($B$79,Índices!$B$6:$F$500,VLOOKUP(D$54,$L$7:$M$9,2,FALSE)+1,FALSE)/VLOOKUP(DATE(YEAR($B74),MONTH($B74)-1,1),Índices!$B$6:$F$500,VLOOKUP(D$54,$L$7:$M$9,2,FALSE)+1,FALSE)*C74</f>
        <v>0</v>
      </c>
      <c r="E74" s="209">
        <f ca="1">Encargos!D37</f>
        <v>-18142.143944610285</v>
      </c>
      <c r="F74" s="100">
        <f ca="1">VLOOKUP($B$79,Índices!$B$6:$F$500,VLOOKUP(F$54,$L$7:$M$9,2,FALSE)+1,FALSE)/VLOOKUP(DATE(YEAR($B74),MONTH($B74)-1,1),Índices!$B$6:$F$500,VLOOKUP(F$54,$L$7:$M$9,2,FALSE)+1,FALSE)*E74</f>
        <v>-19137.613477168827</v>
      </c>
      <c r="G74" s="209">
        <f ca="1">Encargos!E37</f>
        <v>-9790.6647325692029</v>
      </c>
      <c r="H74" s="227">
        <f ca="1">VLOOKUP($B$48,Índices!$B$6:$F$500,VLOOKUP(H$54,$L$7:$M$9,2,FALSE)+1,FALSE)/VLOOKUP(DATE(YEAR($B74),MONTH($B74)-1,1),Índices!$B$6:$F$500,VLOOKUP(H$54,$L$7:$M$9,2,FALSE)+1,FALSE)*G74</f>
        <v>-10327.88395398672</v>
      </c>
      <c r="I74" s="209">
        <f ca="1">Encargos!F37</f>
        <v>-364693.8319865251</v>
      </c>
      <c r="J74" s="227">
        <f ca="1">VLOOKUP($B$48,Índices!$B$6:$F$500,VLOOKUP(J$54,$L$7:$M$9,2,FALSE)+1,FALSE)/VLOOKUP(DATE(YEAR($B74),MONTH($B74)-1,1),Índices!$B$6:$F$500,VLOOKUP(J$54,$L$7:$M$9,2,FALSE)+1,FALSE)*I74</f>
        <v>-384704.7854638545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-61906.902017966728</v>
      </c>
      <c r="N74" s="227">
        <f ca="1">VLOOKUP($B$48,Índices!$B$6:$F$500,VLOOKUP(N$54,$L$7:$M$9,2,FALSE)+1,FALSE)/VLOOKUP(DATE(YEAR($B74),MONTH($B74)-1,1),Índices!$B$6:$F$500,VLOOKUP(N$54,$L$7:$M$9,2,FALSE)+1,FALSE)*M74</f>
        <v>-65303.768176791411</v>
      </c>
      <c r="O74" s="209">
        <f ca="1">Encargos!H37</f>
        <v>0</v>
      </c>
      <c r="P74" s="227">
        <f ca="1">VLOOKUP($B$48,Índices!$B$6:$F$500,VLOOKUP(P$54,$L$7:$M$9,2,FALSE)+1,FALSE)/VLOOKUP(DATE(YEAR($B74),MONTH($B74)-1,1),Índices!$B$6:$F$500,VLOOKUP(P$54,$L$7:$M$9,2,FALSE)+1,FALSE)*O74</f>
        <v>0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7"/>
        <v>44593</v>
      </c>
      <c r="C75" s="209">
        <f ca="1">Encargos!C38</f>
        <v>0</v>
      </c>
      <c r="D75" s="100">
        <f ca="1">VLOOKUP($B$79,Índices!$B$6:$F$500,VLOOKUP(D$54,$L$7:$M$9,2,FALSE)+1,FALSE)/VLOOKUP(DATE(YEAR($B75),MONTH($B75)-1,1),Índices!$B$6:$F$500,VLOOKUP(D$54,$L$7:$M$9,2,FALSE)+1,FALSE)*C75</f>
        <v>0</v>
      </c>
      <c r="E75" s="209">
        <f ca="1">Encargos!D38</f>
        <v>-15330.033042297498</v>
      </c>
      <c r="F75" s="100">
        <f ca="1">VLOOKUP($B$79,Índices!$B$6:$F$500,VLOOKUP(F$54,$L$7:$M$9,2,FALSE)+1,FALSE)/VLOOKUP(DATE(YEAR($B75),MONTH($B75)-1,1),Índices!$B$6:$F$500,VLOOKUP(F$54,$L$7:$M$9,2,FALSE)+1,FALSE)*E75</f>
        <v>-16084.340358440442</v>
      </c>
      <c r="G75" s="209">
        <f ca="1">Encargos!E38</f>
        <v>-8689.1700739717235</v>
      </c>
      <c r="H75" s="227">
        <f ca="1">VLOOKUP($B$48,Índices!$B$6:$F$500,VLOOKUP(H$54,$L$7:$M$9,2,FALSE)+1,FALSE)/VLOOKUP(DATE(YEAR($B75),MONTH($B75)-1,1),Índices!$B$6:$F$500,VLOOKUP(H$54,$L$7:$M$9,2,FALSE)+1,FALSE)*G75</f>
        <v>-9116.7167426529359</v>
      </c>
      <c r="I75" s="209">
        <f ca="1">Encargos!F38</f>
        <v>-313826.09736311564</v>
      </c>
      <c r="J75" s="227">
        <f ca="1">VLOOKUP($B$48,Índices!$B$6:$F$500,VLOOKUP(J$54,$L$7:$M$9,2,FALSE)+1,FALSE)/VLOOKUP(DATE(YEAR($B75),MONTH($B75)-1,1),Índices!$B$6:$F$500,VLOOKUP(J$54,$L$7:$M$9,2,FALSE)+1,FALSE)*I75</f>
        <v>-329267.76800951554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-52146.984359018388</v>
      </c>
      <c r="N75" s="227">
        <f ca="1">VLOOKUP($B$48,Índices!$B$6:$F$500,VLOOKUP(N$54,$L$7:$M$9,2,FALSE)+1,FALSE)/VLOOKUP(DATE(YEAR($B75),MONTH($B75)-1,1),Índices!$B$6:$F$500,VLOOKUP(N$54,$L$7:$M$9,2,FALSE)+1,FALSE)*M75</f>
        <v>-54712.853050120975</v>
      </c>
      <c r="O75" s="209">
        <f ca="1">Encargos!H38</f>
        <v>0</v>
      </c>
      <c r="P75" s="227">
        <f ca="1">VLOOKUP($B$48,Índices!$B$6:$F$500,VLOOKUP(P$54,$L$7:$M$9,2,FALSE)+1,FALSE)/VLOOKUP(DATE(YEAR($B75),MONTH($B75)-1,1),Índices!$B$6:$F$500,VLOOKUP(P$54,$L$7:$M$9,2,FALSE)+1,FALSE)*O75</f>
        <v>0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7"/>
        <v>44621</v>
      </c>
      <c r="C76" s="209">
        <f ca="1">Encargos!C39</f>
        <v>0</v>
      </c>
      <c r="D76" s="100">
        <f ca="1">VLOOKUP($B$79,Índices!$B$6:$F$500,VLOOKUP(D$54,$L$7:$M$9,2,FALSE)+1,FALSE)/VLOOKUP(DATE(YEAR($B76),MONTH($B76)-1,1),Índices!$B$6:$F$500,VLOOKUP(D$54,$L$7:$M$9,2,FALSE)+1,FALSE)*C76</f>
        <v>0</v>
      </c>
      <c r="E76" s="209">
        <f ca="1">Encargos!D39</f>
        <v>-1455.957494995233</v>
      </c>
      <c r="F76" s="100">
        <f ca="1">VLOOKUP($B$79,Índices!$B$6:$F$500,VLOOKUP(F$54,$L$7:$M$9,2,FALSE)+1,FALSE)/VLOOKUP(DATE(YEAR($B76),MONTH($B76)-1,1),Índices!$B$6:$F$500,VLOOKUP(F$54,$L$7:$M$9,2,FALSE)+1,FALSE)*E76</f>
        <v>-1512.3218401968347</v>
      </c>
      <c r="G76" s="209">
        <f ca="1">Encargos!E39</f>
        <v>-1202.6413274800725</v>
      </c>
      <c r="H76" s="227">
        <f ca="1">VLOOKUP($B$48,Índices!$B$6:$F$500,VLOOKUP(H$54,$L$7:$M$9,2,FALSE)+1,FALSE)/VLOOKUP(DATE(YEAR($B76),MONTH($B76)-1,1),Índices!$B$6:$F$500,VLOOKUP(H$54,$L$7:$M$9,2,FALSE)+1,FALSE)*G76</f>
        <v>-1249.1990677773065</v>
      </c>
      <c r="I76" s="209">
        <f ca="1">Encargos!F39</f>
        <v>-27180.054205146967</v>
      </c>
      <c r="J76" s="227">
        <f ca="1">VLOOKUP($B$48,Índices!$B$6:$F$500,VLOOKUP(J$54,$L$7:$M$9,2,FALSE)+1,FALSE)/VLOOKUP(DATE(YEAR($B76),MONTH($B76)-1,1),Índices!$B$6:$F$500,VLOOKUP(J$54,$L$7:$M$9,2,FALSE)+1,FALSE)*I76</f>
        <v>-28232.273080411705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-3604.6165243748692</v>
      </c>
      <c r="N76" s="227">
        <f ca="1">VLOOKUP($B$48,Índices!$B$6:$F$500,VLOOKUP(N$54,$L$7:$M$9,2,FALSE)+1,FALSE)/VLOOKUP(DATE(YEAR($B76),MONTH($B76)-1,1),Índices!$B$6:$F$500,VLOOKUP(N$54,$L$7:$M$9,2,FALSE)+1,FALSE)*M76</f>
        <v>-3744.1617039543926</v>
      </c>
      <c r="O76" s="209">
        <f ca="1">Encargos!H39</f>
        <v>0</v>
      </c>
      <c r="P76" s="227">
        <f ca="1">VLOOKUP($B$48,Índices!$B$6:$F$500,VLOOKUP(P$54,$L$7:$M$9,2,FALSE)+1,FALSE)/VLOOKUP(DATE(YEAR($B76),MONTH($B76)-1,1),Índices!$B$6:$F$500,VLOOKUP(P$54,$L$7:$M$9,2,FALSE)+1,FALSE)*O76</f>
        <v>0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7"/>
        <v>44652</v>
      </c>
      <c r="C77" s="209">
        <f ca="1">Encargos!C40</f>
        <v>0</v>
      </c>
      <c r="D77" s="100">
        <f ca="1">VLOOKUP($B$79,Índices!$B$6:$F$500,VLOOKUP(D$54,$L$7:$M$9,2,FALSE)+1,FALSE)/VLOOKUP(DATE(YEAR($B77),MONTH($B77)-1,1),Índices!$B$6:$F$500,VLOOKUP(D$54,$L$7:$M$9,2,FALSE)+1,FALSE)*C77</f>
        <v>0</v>
      </c>
      <c r="E77" s="209">
        <f ca="1">Encargos!D40</f>
        <v>6374.6864430360074</v>
      </c>
      <c r="F77" s="100">
        <f ca="1">VLOOKUP($B$79,Índices!$B$6:$F$500,VLOOKUP(F$54,$L$7:$M$9,2,FALSE)+1,FALSE)/VLOOKUP(DATE(YEAR($B77),MONTH($B77)-1,1),Índices!$B$6:$F$500,VLOOKUP(F$54,$L$7:$M$9,2,FALSE)+1,FALSE)*E77</f>
        <v>6515.9081043130636</v>
      </c>
      <c r="G77" s="209">
        <f ca="1">Encargos!E40</f>
        <v>3293.7902121069565</v>
      </c>
      <c r="H77" s="227">
        <f ca="1">VLOOKUP($B$48,Índices!$B$6:$F$500,VLOOKUP(H$54,$L$7:$M$9,2,FALSE)+1,FALSE)/VLOOKUP(DATE(YEAR($B77),MONTH($B77)-1,1),Índices!$B$6:$F$500,VLOOKUP(H$54,$L$7:$M$9,2,FALSE)+1,FALSE)*G77</f>
        <v>3366.7592169056174</v>
      </c>
      <c r="I77" s="209">
        <f ca="1">Encargos!F40</f>
        <v>133864.99673511536</v>
      </c>
      <c r="J77" s="227">
        <f ca="1">VLOOKUP($B$48,Índices!$B$6:$F$500,VLOOKUP(J$54,$L$7:$M$9,2,FALSE)+1,FALSE)/VLOOKUP(DATE(YEAR($B77),MONTH($B77)-1,1),Índices!$B$6:$F$500,VLOOKUP(J$54,$L$7:$M$9,2,FALSE)+1,FALSE)*I77</f>
        <v>136830.57588864895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23002.108677446566</v>
      </c>
      <c r="N77" s="227">
        <f ca="1">VLOOKUP($B$48,Índices!$B$6:$F$500,VLOOKUP(N$54,$L$7:$M$9,2,FALSE)+1,FALSE)/VLOOKUP(DATE(YEAR($B77),MONTH($B77)-1,1),Índices!$B$6:$F$500,VLOOKUP(N$54,$L$7:$M$9,2,FALSE)+1,FALSE)*M77</f>
        <v>23511.686054990067</v>
      </c>
      <c r="O77" s="209">
        <f ca="1">Encargos!H40</f>
        <v>0</v>
      </c>
      <c r="P77" s="227">
        <f ca="1">VLOOKUP($B$48,Índices!$B$6:$F$500,VLOOKUP(P$54,$L$7:$M$9,2,FALSE)+1,FALSE)/VLOOKUP(DATE(YEAR($B77),MONTH($B77)-1,1),Índices!$B$6:$F$500,VLOOKUP(P$54,$L$7:$M$9,2,FALSE)+1,FALSE)*O77</f>
        <v>0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7"/>
        <v>44682</v>
      </c>
      <c r="C78" s="209">
        <f ca="1">Encargos!C41</f>
        <v>0</v>
      </c>
      <c r="D78" s="100">
        <f ca="1">VLOOKUP($B$79,Índices!$B$6:$F$500,VLOOKUP(D$54,$L$7:$M$9,2,FALSE)+1,FALSE)/VLOOKUP(DATE(YEAR($B78),MONTH($B78)-1,1),Índices!$B$6:$F$500,VLOOKUP(D$54,$L$7:$M$9,2,FALSE)+1,FALSE)*C78</f>
        <v>0</v>
      </c>
      <c r="E78" s="209">
        <f ca="1">Encargos!D41</f>
        <v>8533.5277064831389</v>
      </c>
      <c r="F78" s="100">
        <f ca="1">VLOOKUP($B$79,Índices!$B$6:$F$500,VLOOKUP(F$54,$L$7:$M$9,2,FALSE)+1,FALSE)/VLOOKUP(DATE(YEAR($B78),MONTH($B78)-1,1),Índices!$B$6:$F$500,VLOOKUP(F$54,$L$7:$M$9,2,FALSE)+1,FALSE)*E78</f>
        <v>8631.0842196468002</v>
      </c>
      <c r="G78" s="209">
        <f ca="1">Encargos!E41</f>
        <v>4630.3845564245094</v>
      </c>
      <c r="H78" s="227">
        <f ca="1">VLOOKUP($B$48,Índices!$B$6:$F$500,VLOOKUP(H$54,$L$7:$M$9,2,FALSE)+1,FALSE)/VLOOKUP(DATE(YEAR($B78),MONTH($B78)-1,1),Índices!$B$6:$F$500,VLOOKUP(H$54,$L$7:$M$9,2,FALSE)+1,FALSE)*G78</f>
        <v>4683.3197770588149</v>
      </c>
      <c r="I78" s="209">
        <f ca="1">Encargos!F41</f>
        <v>179481.63340646244</v>
      </c>
      <c r="J78" s="227">
        <f ca="1">VLOOKUP($B$48,Índices!$B$6:$F$500,VLOOKUP(J$54,$L$7:$M$9,2,FALSE)+1,FALSE)/VLOOKUP(DATE(YEAR($B78),MONTH($B78)-1,1),Índices!$B$6:$F$500,VLOOKUP(J$54,$L$7:$M$9,2,FALSE)+1,FALSE)*I78</f>
        <v>181533.49319227535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30283.44614100999</v>
      </c>
      <c r="N78" s="227">
        <f ca="1">VLOOKUP($B$48,Índices!$B$6:$F$500,VLOOKUP(N$54,$L$7:$M$9,2,FALSE)+1,FALSE)/VLOOKUP(DATE(YEAR($B78),MONTH($B78)-1,1),Índices!$B$6:$F$500,VLOOKUP(N$54,$L$7:$M$9,2,FALSE)+1,FALSE)*M78</f>
        <v>30629.650842478524</v>
      </c>
      <c r="O78" s="209">
        <f ca="1">Encargos!H41</f>
        <v>0</v>
      </c>
      <c r="P78" s="227">
        <f ca="1">VLOOKUP($B$48,Índices!$B$6:$F$500,VLOOKUP(P$54,$L$7:$M$9,2,FALSE)+1,FALSE)/VLOOKUP(DATE(YEAR($B78),MONTH($B78)-1,1),Índices!$B$6:$F$500,VLOOKUP(P$54,$L$7:$M$9,2,FALSE)+1,FALSE)*O78</f>
        <v>0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7"/>
        <v>44713</v>
      </c>
      <c r="C79" s="209">
        <f ca="1">Encargos!C42</f>
        <v>0</v>
      </c>
      <c r="D79" s="100">
        <f ca="1">VLOOKUP($B$79,Índices!$B$6:$F$500,VLOOKUP(D$54,$L$7:$M$9,2,FALSE)+1,FALSE)/VLOOKUP(DATE(YEAR($B79),MONTH($B79)-1,1),Índices!$B$6:$F$500,VLOOKUP(D$54,$L$7:$M$9,2,FALSE)+1,FALSE)*C79</f>
        <v>0</v>
      </c>
      <c r="E79" s="209">
        <f ca="1">Encargos!D42</f>
        <v>8533.5277064831389</v>
      </c>
      <c r="F79" s="100">
        <f ca="1">VLOOKUP($B$79,Índices!$B$6:$F$500,VLOOKUP(F$54,$L$7:$M$9,2,FALSE)+1,FALSE)/VLOOKUP(DATE(YEAR($B79),MONTH($B79)-1,1),Índices!$B$6:$F$500,VLOOKUP(F$54,$L$7:$M$9,2,FALSE)+1,FALSE)*E79</f>
        <v>8590.707270976407</v>
      </c>
      <c r="G79" s="209">
        <f ca="1">Encargos!E42</f>
        <v>4630.3845564245094</v>
      </c>
      <c r="H79" s="227">
        <f ca="1">VLOOKUP($B$48,Índices!$B$6:$F$500,VLOOKUP(H$54,$L$7:$M$9,2,FALSE)+1,FALSE)/VLOOKUP(DATE(YEAR($B79),MONTH($B79)-1,1),Índices!$B$6:$F$500,VLOOKUP(H$54,$L$7:$M$9,2,FALSE)+1,FALSE)*G79</f>
        <v>4661.4108074052801</v>
      </c>
      <c r="I79" s="209">
        <f ca="1">Encargos!F42</f>
        <v>179481.63340646244</v>
      </c>
      <c r="J79" s="227">
        <f ca="1">VLOOKUP($B$48,Índices!$B$6:$F$500,VLOOKUP(J$54,$L$7:$M$9,2,FALSE)+1,FALSE)/VLOOKUP(DATE(YEAR($B79),MONTH($B79)-1,1),Índices!$B$6:$F$500,VLOOKUP(J$54,$L$7:$M$9,2,FALSE)+1,FALSE)*I79</f>
        <v>180684.26401665251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30283.44614100999</v>
      </c>
      <c r="N79" s="227">
        <f ca="1">VLOOKUP($B$48,Índices!$B$6:$F$500,VLOOKUP(N$54,$L$7:$M$9,2,FALSE)+1,FALSE)/VLOOKUP(DATE(YEAR($B79),MONTH($B79)-1,1),Índices!$B$6:$F$500,VLOOKUP(N$54,$L$7:$M$9,2,FALSE)+1,FALSE)*M79</f>
        <v>30486.362721497884</v>
      </c>
      <c r="O79" s="209">
        <f ca="1">Encargos!H42</f>
        <v>0</v>
      </c>
      <c r="P79" s="227">
        <f ca="1">VLOOKUP($B$48,Índices!$B$6:$F$500,VLOOKUP(P$54,$L$7:$M$9,2,FALSE)+1,FALSE)/VLOOKUP(DATE(YEAR($B79),MONTH($B79)-1,1),Índices!$B$6:$F$500,VLOOKUP(P$54,$L$7:$M$9,2,FALSE)+1,FALSE)*O79</f>
        <v>0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467">
        <f ca="1">SUM(C56:C79)</f>
        <v>0</v>
      </c>
      <c r="D80" s="1468">
        <f ca="1">SUM(D56:D79)</f>
        <v>0</v>
      </c>
      <c r="E80" s="1467">
        <f ca="1">SUM(E56:E79)</f>
        <v>-23851.34336556671</v>
      </c>
      <c r="F80" s="1468">
        <f ca="1">SUM(F56:F79)</f>
        <v>-25093.72283743892</v>
      </c>
      <c r="G80" s="1467">
        <f ca="1">SUM(G55:G79)</f>
        <v>-11790.903918175602</v>
      </c>
      <c r="H80" s="1467">
        <f t="shared" ref="H80:N80" ca="1" si="8">SUM(H55:H79)</f>
        <v>-12359.111379595555</v>
      </c>
      <c r="I80" s="1467">
        <f t="shared" ca="1" si="8"/>
        <v>-431177.50554896303</v>
      </c>
      <c r="J80" s="1467">
        <f t="shared" ca="1" si="8"/>
        <v>-453757.159116606</v>
      </c>
      <c r="K80" s="1467">
        <f t="shared" ca="1" si="8"/>
        <v>0</v>
      </c>
      <c r="L80" s="1467">
        <f t="shared" ca="1" si="8"/>
        <v>0</v>
      </c>
      <c r="M80" s="1467">
        <f t="shared" ca="1" si="8"/>
        <v>-76625.93227003314</v>
      </c>
      <c r="N80" s="1467">
        <f t="shared" ca="1" si="8"/>
        <v>-80750.608347880712</v>
      </c>
      <c r="O80" s="1467">
        <f t="shared" ref="O80:R80" ca="1" si="9">SUM(O55:O79)</f>
        <v>0</v>
      </c>
      <c r="P80" s="1467">
        <f t="shared" ca="1" si="9"/>
        <v>0</v>
      </c>
      <c r="Q80" s="1467">
        <f t="shared" ca="1" si="9"/>
        <v>0</v>
      </c>
      <c r="R80" s="1467">
        <f t="shared" ca="1" si="9"/>
        <v>0</v>
      </c>
      <c r="S80" s="1467">
        <f t="shared" ref="S80:X80" si="10">SUM(S55:S79)</f>
        <v>0</v>
      </c>
      <c r="T80" s="1467">
        <f t="shared" si="10"/>
        <v>0</v>
      </c>
      <c r="U80" s="1467">
        <f t="shared" si="10"/>
        <v>0</v>
      </c>
      <c r="V80" s="1470">
        <f t="shared" si="10"/>
        <v>0</v>
      </c>
      <c r="W80" s="1467">
        <f t="shared" si="10"/>
        <v>0</v>
      </c>
      <c r="X80" s="1470">
        <f t="shared" si="10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1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233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1041</v>
      </c>
      <c r="O1" s="9" t="s">
        <v>955</v>
      </c>
      <c r="P1" s="9" t="s">
        <v>1501</v>
      </c>
      <c r="Q1" s="8" t="s">
        <v>949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1040</v>
      </c>
      <c r="C1" t="s">
        <v>1503</v>
      </c>
      <c r="D1" t="s">
        <v>959</v>
      </c>
      <c r="E1" t="s">
        <v>1504</v>
      </c>
      <c r="F1" t="s">
        <v>58</v>
      </c>
      <c r="G1" t="s">
        <v>588</v>
      </c>
      <c r="H1" t="s">
        <v>1041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1051</v>
      </c>
      <c r="O1" t="s">
        <v>1508</v>
      </c>
      <c r="P1" t="s">
        <v>1509</v>
      </c>
      <c r="Q1" t="s">
        <v>1510</v>
      </c>
      <c r="R1" t="s">
        <v>1511</v>
      </c>
      <c r="S1" t="s">
        <v>233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471" t="s">
        <v>1514</v>
      </c>
      <c r="D2" s="3" t="s">
        <v>1515</v>
      </c>
    </row>
    <row r="3" spans="2:15">
      <c r="B3" s="5"/>
    </row>
    <row r="6" spans="2:15">
      <c r="B6" s="1472" t="s">
        <v>1516</v>
      </c>
      <c r="C6" s="1472" t="s">
        <v>1517</v>
      </c>
      <c r="D6" s="1472" t="s">
        <v>849</v>
      </c>
      <c r="E6" s="6" t="s">
        <v>1518</v>
      </c>
      <c r="F6" s="6" t="s">
        <v>1519</v>
      </c>
      <c r="G6" s="1473" t="s">
        <v>1520</v>
      </c>
      <c r="K6" s="1588" t="s">
        <v>2298</v>
      </c>
      <c r="L6" s="1589" t="s">
        <v>37</v>
      </c>
      <c r="M6" s="1590" t="s">
        <v>2299</v>
      </c>
      <c r="N6" s="1589" t="s">
        <v>1423</v>
      </c>
      <c r="O6" s="1591" t="s">
        <v>2300</v>
      </c>
    </row>
    <row r="7" spans="2:15">
      <c r="B7" s="1474">
        <v>32629</v>
      </c>
      <c r="C7" s="1475">
        <v>2.5789999999999999E-5</v>
      </c>
      <c r="D7" s="1475">
        <v>3.4132578959999998E-4</v>
      </c>
      <c r="E7" s="1475">
        <v>0</v>
      </c>
      <c r="F7" s="1475">
        <v>1</v>
      </c>
      <c r="K7" s="1592">
        <v>42064</v>
      </c>
      <c r="L7" s="1593"/>
      <c r="M7" s="1594">
        <v>0</v>
      </c>
      <c r="N7" s="1595">
        <v>1</v>
      </c>
      <c r="O7" s="1595">
        <v>1</v>
      </c>
    </row>
    <row r="8" spans="2:15">
      <c r="B8" s="1474">
        <v>32660</v>
      </c>
      <c r="C8" s="1475">
        <v>3.0859999999999999E-5</v>
      </c>
      <c r="D8" s="1475">
        <v>4.3911559890000003E-4</v>
      </c>
      <c r="E8" s="1475">
        <v>0</v>
      </c>
      <c r="F8" s="1475">
        <v>1</v>
      </c>
      <c r="G8" s="10"/>
      <c r="K8" s="1592">
        <v>42065</v>
      </c>
      <c r="L8" s="1593" t="s">
        <v>2301</v>
      </c>
      <c r="M8" s="1594">
        <v>4.5512999999999998E-2</v>
      </c>
      <c r="N8" s="1595">
        <v>1.00045513</v>
      </c>
      <c r="O8" s="1595">
        <v>1.00045513</v>
      </c>
    </row>
    <row r="9" spans="2:15">
      <c r="B9" s="1474">
        <v>32690</v>
      </c>
      <c r="C9" s="1475">
        <v>4.1940000000000002E-5</v>
      </c>
      <c r="D9" s="1475">
        <v>5.6092617030000002E-4</v>
      </c>
      <c r="E9" s="1475">
        <v>0</v>
      </c>
      <c r="F9" s="1475">
        <v>1</v>
      </c>
      <c r="K9" s="1592">
        <v>42066</v>
      </c>
      <c r="L9" s="1593" t="s">
        <v>2301</v>
      </c>
      <c r="M9" s="1594">
        <v>4.5512999999999998E-2</v>
      </c>
      <c r="N9" s="1595">
        <v>1.0009104671433169</v>
      </c>
      <c r="O9" s="1595">
        <v>1.0009104671433169</v>
      </c>
    </row>
    <row r="10" spans="2:15">
      <c r="B10" s="1474">
        <v>32721</v>
      </c>
      <c r="C10" s="1475">
        <v>5.7429999999999997E-5</v>
      </c>
      <c r="D10" s="1475">
        <v>7.5001448160000002E-4</v>
      </c>
      <c r="E10" s="1475">
        <v>0</v>
      </c>
      <c r="F10" s="1475">
        <v>1</v>
      </c>
      <c r="K10" s="1592">
        <v>42067</v>
      </c>
      <c r="L10" s="1593" t="s">
        <v>2301</v>
      </c>
      <c r="M10" s="1594">
        <v>4.5512999999999998E-2</v>
      </c>
      <c r="N10" s="1595">
        <v>1.0013660115242278</v>
      </c>
      <c r="O10" s="1595">
        <v>1.0013660115242278</v>
      </c>
    </row>
    <row r="11" spans="2:15">
      <c r="B11" s="1474">
        <v>32752</v>
      </c>
      <c r="C11" s="1475">
        <v>8.0350000000000001E-5</v>
      </c>
      <c r="D11" s="1475">
        <v>1.031719911E-3</v>
      </c>
      <c r="E11" s="1475">
        <v>0</v>
      </c>
      <c r="F11" s="1475">
        <v>1</v>
      </c>
      <c r="K11" s="1592">
        <v>42068</v>
      </c>
      <c r="L11" s="1593" t="s">
        <v>2301</v>
      </c>
      <c r="M11" s="1594">
        <v>4.7279000000000002E-2</v>
      </c>
      <c r="N11" s="1595">
        <v>1.0018394473608161</v>
      </c>
      <c r="O11" s="1595">
        <v>1.0018394473608161</v>
      </c>
    </row>
    <row r="12" spans="2:15">
      <c r="B12" s="1474">
        <v>32782</v>
      </c>
      <c r="C12" s="1475">
        <v>1.13E-4</v>
      </c>
      <c r="D12" s="1475">
        <v>1.4420348808E-3</v>
      </c>
      <c r="E12" s="1475">
        <v>0</v>
      </c>
      <c r="F12" s="1475">
        <v>1</v>
      </c>
      <c r="K12" s="1592">
        <v>42069</v>
      </c>
      <c r="L12" s="1593" t="s">
        <v>2301</v>
      </c>
      <c r="M12" s="1594">
        <v>4.7279000000000002E-2</v>
      </c>
      <c r="N12" s="1595">
        <v>1.0023131070331337</v>
      </c>
      <c r="O12" s="1595">
        <v>1.0023131070331337</v>
      </c>
    </row>
    <row r="13" spans="2:15">
      <c r="B13" s="1474">
        <v>32813</v>
      </c>
      <c r="C13" s="1475">
        <v>1.5873999999999999E-4</v>
      </c>
      <c r="D13" s="1475">
        <v>2.1316159802999999E-3</v>
      </c>
      <c r="E13" s="1475">
        <v>0</v>
      </c>
      <c r="F13" s="1475">
        <v>1</v>
      </c>
      <c r="K13" s="1592">
        <v>42070</v>
      </c>
      <c r="L13" s="1593"/>
      <c r="M13" s="1594">
        <v>0</v>
      </c>
      <c r="N13" s="1595">
        <v>1.0023131070331337</v>
      </c>
      <c r="O13" s="1595">
        <v>1.0023131070331337</v>
      </c>
    </row>
    <row r="14" spans="2:15">
      <c r="B14" s="1474">
        <v>32843</v>
      </c>
      <c r="C14" s="1475">
        <v>2.3356000000000001E-4</v>
      </c>
      <c r="D14" s="1475">
        <v>3.2293981927000001E-3</v>
      </c>
      <c r="E14" s="1475">
        <v>0</v>
      </c>
      <c r="F14" s="1475">
        <v>1</v>
      </c>
      <c r="K14" s="1592">
        <v>42071</v>
      </c>
      <c r="L14" s="1593"/>
      <c r="M14" s="1594">
        <v>0</v>
      </c>
      <c r="N14" s="1595">
        <v>1.0023131070331337</v>
      </c>
      <c r="O14" s="1595">
        <v>1.0023131070331337</v>
      </c>
    </row>
    <row r="15" spans="2:15">
      <c r="B15" s="1474">
        <v>32874</v>
      </c>
      <c r="C15" s="1475">
        <v>3.7711E-4</v>
      </c>
      <c r="D15" s="1475">
        <v>5.4108567453999999E-3</v>
      </c>
      <c r="E15" s="1475">
        <v>0</v>
      </c>
      <c r="F15" s="1475">
        <v>1</v>
      </c>
      <c r="K15" s="1592">
        <v>42072</v>
      </c>
      <c r="L15" s="1593" t="s">
        <v>2301</v>
      </c>
      <c r="M15" s="1594">
        <v>4.7279000000000002E-2</v>
      </c>
      <c r="N15" s="1595">
        <v>1.0027869906470077</v>
      </c>
      <c r="O15" s="1595">
        <v>1.0027869906470077</v>
      </c>
    </row>
    <row r="16" spans="2:15">
      <c r="B16" s="1474">
        <v>32905</v>
      </c>
      <c r="C16" s="1475">
        <v>6.8364999999999995E-4</v>
      </c>
      <c r="D16" s="1475">
        <v>9.5084984832999996E-3</v>
      </c>
      <c r="E16" s="1475">
        <v>0</v>
      </c>
      <c r="F16" s="1475">
        <v>1</v>
      </c>
      <c r="K16" s="1592">
        <v>42073</v>
      </c>
      <c r="L16" s="1593" t="s">
        <v>2301</v>
      </c>
      <c r="M16" s="1594">
        <v>4.7279000000000002E-2</v>
      </c>
      <c r="N16" s="1595">
        <v>1.0032610983083157</v>
      </c>
      <c r="O16" s="1595">
        <v>1.0032610983083157</v>
      </c>
    </row>
    <row r="17" spans="2:15">
      <c r="B17" s="1474">
        <v>32933</v>
      </c>
      <c r="C17" s="1475">
        <v>1.2575500000000001E-3</v>
      </c>
      <c r="D17" s="1475">
        <v>1.7342550351000002E-2</v>
      </c>
      <c r="E17" s="1475">
        <v>0</v>
      </c>
      <c r="F17" s="1475">
        <v>1</v>
      </c>
      <c r="K17" s="1592">
        <v>42074</v>
      </c>
      <c r="L17" s="1593" t="s">
        <v>2301</v>
      </c>
      <c r="M17" s="1594">
        <v>4.7279000000000002E-2</v>
      </c>
      <c r="N17" s="1595">
        <v>1.0037354301229848</v>
      </c>
      <c r="O17" s="1595">
        <v>1.0037354301229848</v>
      </c>
    </row>
    <row r="18" spans="2:15">
      <c r="B18" s="1474">
        <v>32964</v>
      </c>
      <c r="C18" s="1475">
        <v>1.61407E-3</v>
      </c>
      <c r="D18" s="1475">
        <v>2.00341140678E-2</v>
      </c>
      <c r="E18" s="1475">
        <v>0</v>
      </c>
      <c r="F18" s="1475">
        <v>1</v>
      </c>
      <c r="K18" s="1592">
        <v>42075</v>
      </c>
      <c r="L18" s="1593" t="s">
        <v>2301</v>
      </c>
      <c r="M18" s="1594">
        <v>4.7279000000000002E-2</v>
      </c>
      <c r="N18" s="1595">
        <v>1.0042099861969926</v>
      </c>
      <c r="O18" s="1595">
        <v>1.0042099861969926</v>
      </c>
    </row>
    <row r="19" spans="2:15">
      <c r="B19" s="1474">
        <v>32994</v>
      </c>
      <c r="C19" s="1475">
        <v>1.70973E-3</v>
      </c>
      <c r="D19" s="1475">
        <v>2.1554703244099999E-2</v>
      </c>
      <c r="E19" s="1475">
        <v>0</v>
      </c>
      <c r="F19" s="1475">
        <v>1</v>
      </c>
      <c r="K19" s="1592">
        <v>42076</v>
      </c>
      <c r="L19" s="1593" t="s">
        <v>2301</v>
      </c>
      <c r="M19" s="1594">
        <v>4.7279000000000002E-2</v>
      </c>
      <c r="N19" s="1595">
        <v>1.0046847666363665</v>
      </c>
      <c r="O19" s="1595">
        <v>1.0046847666363665</v>
      </c>
    </row>
    <row r="20" spans="2:15">
      <c r="B20" s="1474">
        <v>33025</v>
      </c>
      <c r="C20" s="1475">
        <v>1.87962E-3</v>
      </c>
      <c r="D20" s="1475">
        <v>2.4087380951899998E-2</v>
      </c>
      <c r="E20" s="1475">
        <v>0</v>
      </c>
      <c r="F20" s="1475">
        <v>1</v>
      </c>
      <c r="K20" s="1592">
        <v>42077</v>
      </c>
      <c r="L20" s="1593"/>
      <c r="M20" s="1594">
        <v>0</v>
      </c>
      <c r="N20" s="1595">
        <v>1.0046847666363665</v>
      </c>
      <c r="O20" s="1595">
        <v>1.0046847666363665</v>
      </c>
    </row>
    <row r="21" spans="2:15">
      <c r="B21" s="1474">
        <v>33055</v>
      </c>
      <c r="C21" s="1475">
        <v>2.10539E-3</v>
      </c>
      <c r="D21" s="1475">
        <v>2.7199470492E-2</v>
      </c>
      <c r="E21" s="1475">
        <v>0</v>
      </c>
      <c r="F21" s="1475">
        <v>1</v>
      </c>
      <c r="K21" s="1592">
        <v>42078</v>
      </c>
      <c r="L21" s="1593"/>
      <c r="M21" s="1594">
        <v>0</v>
      </c>
      <c r="N21" s="1595">
        <v>1.0046847666363665</v>
      </c>
      <c r="O21" s="1595">
        <v>1.0046847666363665</v>
      </c>
    </row>
    <row r="22" spans="2:15">
      <c r="B22" s="1474">
        <v>33086</v>
      </c>
      <c r="C22" s="1475">
        <v>2.39215E-3</v>
      </c>
      <c r="D22" s="1475">
        <v>3.0702762318699998E-2</v>
      </c>
      <c r="E22" s="1475">
        <v>0</v>
      </c>
      <c r="F22" s="1475">
        <v>1</v>
      </c>
      <c r="K22" s="1592">
        <v>42079</v>
      </c>
      <c r="L22" s="1593" t="s">
        <v>2301</v>
      </c>
      <c r="M22" s="1594">
        <v>4.7279000000000002E-2</v>
      </c>
      <c r="N22" s="1595">
        <v>1.0051597715471845</v>
      </c>
      <c r="O22" s="1595">
        <v>1.0051597715471845</v>
      </c>
    </row>
    <row r="23" spans="2:15">
      <c r="B23" s="1474">
        <v>33117</v>
      </c>
      <c r="C23" s="1475">
        <v>2.6984000000000001E-3</v>
      </c>
      <c r="D23" s="1475">
        <v>3.51270304097E-2</v>
      </c>
      <c r="E23" s="1475">
        <v>0</v>
      </c>
      <c r="F23" s="1475">
        <v>1</v>
      </c>
      <c r="K23" s="1592">
        <v>42080</v>
      </c>
      <c r="L23" s="1593" t="s">
        <v>2301</v>
      </c>
      <c r="M23" s="1594">
        <v>4.7279000000000002E-2</v>
      </c>
      <c r="N23" s="1595">
        <v>1.0056350010355741</v>
      </c>
      <c r="O23" s="1595">
        <v>1.0056350010355741</v>
      </c>
    </row>
    <row r="24" spans="2:15">
      <c r="B24" s="1474">
        <v>33147</v>
      </c>
      <c r="C24" s="1475">
        <v>3.0483699999999999E-3</v>
      </c>
      <c r="D24" s="1475">
        <v>4.0171272055300002E-2</v>
      </c>
      <c r="E24" s="1475">
        <v>0</v>
      </c>
      <c r="F24" s="1475">
        <v>1</v>
      </c>
      <c r="K24" s="1592">
        <v>42081</v>
      </c>
      <c r="L24" s="1593" t="s">
        <v>2301</v>
      </c>
      <c r="M24" s="1594">
        <v>4.7279000000000002E-2</v>
      </c>
      <c r="N24" s="1595">
        <v>1.0061104552077136</v>
      </c>
      <c r="O24" s="1595">
        <v>1.0061104552077136</v>
      </c>
    </row>
    <row r="25" spans="2:15">
      <c r="B25" s="1474">
        <v>33178</v>
      </c>
      <c r="C25" s="1475">
        <v>3.5622900000000001E-3</v>
      </c>
      <c r="D25" s="1475">
        <v>4.6924062784199999E-2</v>
      </c>
      <c r="E25" s="1475">
        <v>0</v>
      </c>
      <c r="F25" s="1475">
        <v>1</v>
      </c>
      <c r="K25" s="1592">
        <v>42082</v>
      </c>
      <c r="L25" s="1593" t="s">
        <v>2301</v>
      </c>
      <c r="M25" s="1594">
        <v>4.7279000000000002E-2</v>
      </c>
      <c r="N25" s="1595">
        <v>1.0065861341698312</v>
      </c>
      <c r="O25" s="1595">
        <v>1.0065861341698312</v>
      </c>
    </row>
    <row r="26" spans="2:15">
      <c r="B26" s="1474">
        <v>33208</v>
      </c>
      <c r="C26" s="1475">
        <v>4.2034799999999999E-3</v>
      </c>
      <c r="D26" s="1475">
        <v>5.5576860018600002E-2</v>
      </c>
      <c r="E26" s="1475">
        <v>0</v>
      </c>
      <c r="F26" s="1475">
        <v>1</v>
      </c>
      <c r="K26" s="1592">
        <v>42083</v>
      </c>
      <c r="L26" s="1593" t="s">
        <v>2301</v>
      </c>
      <c r="M26" s="1594">
        <v>4.7279000000000002E-2</v>
      </c>
      <c r="N26" s="1595">
        <v>1.0070620380282054</v>
      </c>
      <c r="O26" s="1595">
        <v>1.0070620380282054</v>
      </c>
    </row>
    <row r="27" spans="2:15">
      <c r="B27" s="1474">
        <v>33239</v>
      </c>
      <c r="C27" s="1475">
        <v>4.9475200000000004E-3</v>
      </c>
      <c r="D27" s="1475">
        <v>6.7109058472399993E-2</v>
      </c>
      <c r="E27" s="1475">
        <v>0</v>
      </c>
      <c r="F27" s="1475">
        <v>1</v>
      </c>
      <c r="K27" s="1592">
        <v>42084</v>
      </c>
      <c r="L27" s="1593"/>
      <c r="M27" s="1594">
        <v>0</v>
      </c>
      <c r="N27" s="1595">
        <v>1.0070620380282054</v>
      </c>
      <c r="O27" s="1595">
        <v>1.0070620380282054</v>
      </c>
    </row>
    <row r="28" spans="2:15">
      <c r="B28" s="1474">
        <v>33270</v>
      </c>
      <c r="C28" s="1475">
        <v>5.9873900000000004E-3</v>
      </c>
      <c r="D28" s="1475">
        <v>8.1014388849100005E-2</v>
      </c>
      <c r="E28" s="1475">
        <v>0</v>
      </c>
      <c r="F28" s="1475">
        <v>1</v>
      </c>
      <c r="K28" s="1592">
        <v>42085</v>
      </c>
      <c r="L28" s="1593"/>
      <c r="M28" s="1594">
        <v>0</v>
      </c>
      <c r="N28" s="1595">
        <v>1.0070620380282054</v>
      </c>
      <c r="O28" s="1595">
        <v>1.0070620380282054</v>
      </c>
    </row>
    <row r="29" spans="2:15">
      <c r="B29" s="1474">
        <v>33298</v>
      </c>
      <c r="C29" s="1475">
        <v>6.5374099999999996E-3</v>
      </c>
      <c r="D29" s="1475">
        <v>9.0673647120300002E-2</v>
      </c>
      <c r="E29" s="1475">
        <v>0</v>
      </c>
      <c r="F29" s="1475">
        <v>1</v>
      </c>
      <c r="K29" s="1592">
        <v>42086</v>
      </c>
      <c r="L29" s="1593" t="s">
        <v>2301</v>
      </c>
      <c r="M29" s="1594">
        <v>4.7279000000000002E-2</v>
      </c>
      <c r="N29" s="1595">
        <v>1.0075381668891645</v>
      </c>
      <c r="O29" s="1595">
        <v>1.0075381668891645</v>
      </c>
    </row>
    <row r="30" spans="2:15">
      <c r="B30" s="1474">
        <v>33329</v>
      </c>
      <c r="C30" s="1475">
        <v>7.0477600000000001E-3</v>
      </c>
      <c r="D30" s="1475">
        <v>9.5197603525800006E-2</v>
      </c>
      <c r="E30" s="1475">
        <v>0</v>
      </c>
      <c r="F30" s="1475">
        <v>1</v>
      </c>
      <c r="K30" s="1592">
        <v>42087</v>
      </c>
      <c r="L30" s="1593" t="s">
        <v>2301</v>
      </c>
      <c r="M30" s="1594">
        <v>4.7279000000000002E-2</v>
      </c>
      <c r="N30" s="1595">
        <v>1.008014520859088</v>
      </c>
      <c r="O30" s="1595">
        <v>1.008014520859088</v>
      </c>
    </row>
    <row r="31" spans="2:15">
      <c r="B31" s="1474">
        <v>33359</v>
      </c>
      <c r="C31" s="1475">
        <v>7.57502E-3</v>
      </c>
      <c r="D31" s="1475">
        <v>0.10227253780620001</v>
      </c>
      <c r="E31" s="1475">
        <v>0</v>
      </c>
      <c r="F31" s="1475">
        <v>1</v>
      </c>
      <c r="K31" s="1592">
        <v>42088</v>
      </c>
      <c r="L31" s="1593" t="s">
        <v>2301</v>
      </c>
      <c r="M31" s="1594">
        <v>4.7279000000000002E-2</v>
      </c>
      <c r="N31" s="1595">
        <v>1.008491100044405</v>
      </c>
      <c r="O31" s="1595">
        <v>1.008491100044405</v>
      </c>
    </row>
    <row r="32" spans="2:15">
      <c r="B32" s="1474">
        <v>33390</v>
      </c>
      <c r="C32" s="1475">
        <v>8.2174099999999996E-3</v>
      </c>
      <c r="D32" s="1475">
        <v>0.113715813284</v>
      </c>
      <c r="E32" s="1475">
        <v>0</v>
      </c>
      <c r="F32" s="1475">
        <v>1</v>
      </c>
      <c r="K32" s="1592">
        <v>42089</v>
      </c>
      <c r="L32" s="1593" t="s">
        <v>2301</v>
      </c>
      <c r="M32" s="1594">
        <v>4.7279000000000002E-2</v>
      </c>
      <c r="N32" s="1595">
        <v>1.0089679045515949</v>
      </c>
      <c r="O32" s="1595">
        <v>1.0089679045515949</v>
      </c>
    </row>
    <row r="33" spans="2:15">
      <c r="B33" s="1474">
        <v>33420</v>
      </c>
      <c r="C33" s="1475">
        <v>9.3037399999999996E-3</v>
      </c>
      <c r="D33" s="1475">
        <v>0.12782677804270001</v>
      </c>
      <c r="E33" s="1475">
        <v>0</v>
      </c>
      <c r="F33" s="1475">
        <v>1</v>
      </c>
      <c r="K33" s="1592">
        <v>42090</v>
      </c>
      <c r="L33" s="1593" t="s">
        <v>2301</v>
      </c>
      <c r="M33" s="1594">
        <v>4.7279000000000002E-2</v>
      </c>
      <c r="N33" s="1595">
        <v>1.0094449344871876</v>
      </c>
      <c r="O33" s="1595">
        <v>1.0094449344871876</v>
      </c>
    </row>
    <row r="34" spans="2:15">
      <c r="B34" s="1474">
        <v>33451</v>
      </c>
      <c r="C34" s="1475">
        <v>1.072268E-2</v>
      </c>
      <c r="D34" s="1475">
        <v>0.14780665921940001</v>
      </c>
      <c r="E34" s="1476">
        <v>0</v>
      </c>
      <c r="F34" s="1476">
        <v>1</v>
      </c>
      <c r="K34" s="1592">
        <v>42091</v>
      </c>
      <c r="L34" s="1593"/>
      <c r="M34" s="1594">
        <v>0</v>
      </c>
      <c r="N34" s="1595">
        <v>1.0094449344871876</v>
      </c>
      <c r="O34" s="1595">
        <v>1.0094449344871876</v>
      </c>
    </row>
    <row r="35" spans="2:15">
      <c r="B35" s="1474">
        <v>33482</v>
      </c>
      <c r="C35" s="1475">
        <v>1.232337E-2</v>
      </c>
      <c r="D35" s="1475">
        <v>0.17090995992909999</v>
      </c>
      <c r="E35" s="1476">
        <v>0</v>
      </c>
      <c r="F35" s="1476">
        <v>1</v>
      </c>
      <c r="K35" s="1592">
        <v>42092</v>
      </c>
      <c r="L35" s="1593"/>
      <c r="M35" s="1594">
        <v>0</v>
      </c>
      <c r="N35" s="1595">
        <v>1.0094449344871876</v>
      </c>
      <c r="O35" s="1595">
        <v>1.0094449344871876</v>
      </c>
    </row>
    <row r="36" spans="2:15">
      <c r="B36" s="1474">
        <v>33512</v>
      </c>
      <c r="C36" s="1475">
        <v>1.5112230000000001E-2</v>
      </c>
      <c r="D36" s="1475">
        <v>0.20548432454660001</v>
      </c>
      <c r="E36" s="1476">
        <v>0</v>
      </c>
      <c r="F36" s="1476">
        <v>1</v>
      </c>
      <c r="K36" s="1592">
        <v>42093</v>
      </c>
      <c r="L36" s="1593" t="s">
        <v>2301</v>
      </c>
      <c r="M36" s="1594">
        <v>4.7279000000000002E-2</v>
      </c>
      <c r="N36" s="1595">
        <v>1.0099221899577637</v>
      </c>
      <c r="O36" s="1595">
        <v>1.0099221899577637</v>
      </c>
    </row>
    <row r="37" spans="2:15">
      <c r="B37" s="1474">
        <v>33543</v>
      </c>
      <c r="C37" s="1475">
        <v>1.8984250000000001E-2</v>
      </c>
      <c r="D37" s="1475">
        <v>0.2572875157699</v>
      </c>
      <c r="E37" s="1476">
        <v>0</v>
      </c>
      <c r="F37" s="1476">
        <v>1</v>
      </c>
      <c r="K37" s="1592">
        <v>42094</v>
      </c>
      <c r="L37" s="1593" t="s">
        <v>2301</v>
      </c>
      <c r="M37" s="1594">
        <v>4.7279000000000002E-2</v>
      </c>
      <c r="N37" s="1595">
        <v>1.0103996710699537</v>
      </c>
      <c r="O37" s="1595">
        <v>1.0103996710699537</v>
      </c>
    </row>
    <row r="38" spans="2:15">
      <c r="B38" s="1474">
        <v>33573</v>
      </c>
      <c r="C38" s="1475">
        <v>2.347107E-2</v>
      </c>
      <c r="D38" s="1475">
        <v>0.31828867732630001</v>
      </c>
      <c r="E38" s="1476">
        <v>0</v>
      </c>
      <c r="F38" s="1476">
        <v>1</v>
      </c>
      <c r="K38" s="1592">
        <v>42095</v>
      </c>
      <c r="L38" s="1593" t="s">
        <v>2301</v>
      </c>
      <c r="M38" s="1594">
        <v>4.7279000000000002E-2</v>
      </c>
      <c r="N38" s="1595">
        <v>1.0108773779304387</v>
      </c>
      <c r="O38" s="1595">
        <v>1.0108773779304387</v>
      </c>
    </row>
    <row r="39" spans="2:15">
      <c r="B39" s="1474">
        <v>33604</v>
      </c>
      <c r="C39" s="1475">
        <v>2.9000140000000001E-2</v>
      </c>
      <c r="D39" s="1475">
        <v>0.40085366056990002</v>
      </c>
      <c r="E39" s="1476">
        <v>0</v>
      </c>
      <c r="F39" s="1476">
        <v>1</v>
      </c>
      <c r="K39" s="1592">
        <v>42096</v>
      </c>
      <c r="L39" s="1593" t="s">
        <v>2301</v>
      </c>
      <c r="M39" s="1594">
        <v>4.7279000000000002E-2</v>
      </c>
      <c r="N39" s="1595">
        <v>1.0113553106459503</v>
      </c>
      <c r="O39" s="1595">
        <v>1.0113553106459503</v>
      </c>
    </row>
    <row r="40" spans="2:15">
      <c r="B40" s="1474">
        <v>33635</v>
      </c>
      <c r="C40" s="1475">
        <v>3.7078809999999997E-2</v>
      </c>
      <c r="D40" s="1475">
        <v>0.49834103072840003</v>
      </c>
      <c r="E40" s="1476">
        <v>0</v>
      </c>
      <c r="F40" s="1476">
        <v>1</v>
      </c>
      <c r="K40" s="1592">
        <v>42097</v>
      </c>
      <c r="L40" s="1593"/>
      <c r="M40" s="1594">
        <v>0</v>
      </c>
      <c r="N40" s="1595">
        <v>1.0113553106459503</v>
      </c>
      <c r="O40" s="1595">
        <v>1.0113553106459503</v>
      </c>
    </row>
    <row r="41" spans="2:15">
      <c r="B41" s="1474">
        <v>33664</v>
      </c>
      <c r="C41" s="1475">
        <v>4.501144E-2</v>
      </c>
      <c r="D41" s="1475">
        <v>0.60498746741809994</v>
      </c>
      <c r="E41" s="1476">
        <v>0</v>
      </c>
      <c r="F41" s="1476">
        <v>1</v>
      </c>
      <c r="K41" s="1592">
        <v>42098</v>
      </c>
      <c r="L41" s="1593"/>
      <c r="M41" s="1594">
        <v>0</v>
      </c>
      <c r="N41" s="1595">
        <v>1.0113553106459503</v>
      </c>
      <c r="O41" s="1595">
        <v>1.0113553106459503</v>
      </c>
    </row>
    <row r="42" spans="2:15">
      <c r="B42" s="1474">
        <v>33695</v>
      </c>
      <c r="C42" s="1475">
        <v>5.3986060000000002E-2</v>
      </c>
      <c r="D42" s="1475">
        <v>0.72556146522830001</v>
      </c>
      <c r="E42" s="1476">
        <v>0</v>
      </c>
      <c r="F42" s="1476">
        <v>1</v>
      </c>
      <c r="K42" s="1592">
        <v>42099</v>
      </c>
      <c r="L42" s="1593"/>
      <c r="M42" s="1594">
        <v>0</v>
      </c>
      <c r="N42" s="1595">
        <v>1.0113553106459503</v>
      </c>
      <c r="O42" s="1595">
        <v>1.0113553106459503</v>
      </c>
    </row>
    <row r="43" spans="2:15">
      <c r="B43" s="1474">
        <v>33725</v>
      </c>
      <c r="C43" s="1475">
        <v>6.5012799999999996E-2</v>
      </c>
      <c r="D43" s="1475">
        <v>0.90593616441860003</v>
      </c>
      <c r="E43" s="1476">
        <v>0</v>
      </c>
      <c r="F43" s="1476">
        <v>1</v>
      </c>
      <c r="K43" s="1592">
        <v>42100</v>
      </c>
      <c r="L43" s="1593" t="s">
        <v>2301</v>
      </c>
      <c r="M43" s="1594">
        <v>4.7279000000000002E-2</v>
      </c>
      <c r="N43" s="1595">
        <v>1.0118334693232705</v>
      </c>
      <c r="O43" s="1595">
        <v>1.0118334693232705</v>
      </c>
    </row>
    <row r="44" spans="2:15">
      <c r="B44" s="1474">
        <v>33756</v>
      </c>
      <c r="C44" s="1475">
        <v>8.0361459999999996E-2</v>
      </c>
      <c r="D44" s="1475">
        <v>1.0890285720637001</v>
      </c>
      <c r="E44" s="1476">
        <v>0</v>
      </c>
      <c r="F44" s="1476">
        <v>1</v>
      </c>
      <c r="K44" s="1592">
        <v>42101</v>
      </c>
      <c r="L44" s="1593" t="s">
        <v>2301</v>
      </c>
      <c r="M44" s="1594">
        <v>4.7279000000000002E-2</v>
      </c>
      <c r="N44" s="1595">
        <v>1.0123118540692317</v>
      </c>
      <c r="O44" s="1595">
        <v>1.0123118540692317</v>
      </c>
    </row>
    <row r="45" spans="2:15">
      <c r="B45" s="1474">
        <v>33786</v>
      </c>
      <c r="C45" s="1475">
        <v>9.7908469999999997E-2</v>
      </c>
      <c r="D45" s="1475">
        <v>1.3267641484791</v>
      </c>
      <c r="E45" s="1476">
        <v>0</v>
      </c>
      <c r="F45" s="1476">
        <v>1</v>
      </c>
      <c r="K45" s="1592">
        <v>42102</v>
      </c>
      <c r="L45" s="1593" t="s">
        <v>2301</v>
      </c>
      <c r="M45" s="1594">
        <v>4.7279000000000002E-2</v>
      </c>
      <c r="N45" s="1595">
        <v>1.0127904649907171</v>
      </c>
      <c r="O45" s="1595">
        <v>1.0127904649907171</v>
      </c>
    </row>
    <row r="46" spans="2:15">
      <c r="B46" s="1474">
        <v>33817</v>
      </c>
      <c r="C46" s="1475">
        <v>0.12202180999999999</v>
      </c>
      <c r="D46" s="1475">
        <v>1.6205100844213001</v>
      </c>
      <c r="E46" s="1476">
        <v>0</v>
      </c>
      <c r="F46" s="1476">
        <v>1</v>
      </c>
      <c r="K46" s="1592">
        <v>42103</v>
      </c>
      <c r="L46" s="1593" t="s">
        <v>2301</v>
      </c>
      <c r="M46" s="1594">
        <v>4.7279000000000002E-2</v>
      </c>
      <c r="N46" s="1595">
        <v>1.0132693021946599</v>
      </c>
      <c r="O46" s="1595">
        <v>1.0132693021946599</v>
      </c>
    </row>
    <row r="47" spans="2:15">
      <c r="B47" s="1474">
        <v>33848</v>
      </c>
      <c r="C47" s="1475">
        <v>0.15285811999999999</v>
      </c>
      <c r="D47" s="1475">
        <v>2.0196408623306001</v>
      </c>
      <c r="E47" s="1476">
        <v>0</v>
      </c>
      <c r="F47" s="1476">
        <v>1</v>
      </c>
      <c r="K47" s="1592">
        <v>42104</v>
      </c>
      <c r="L47" s="1593" t="s">
        <v>2301</v>
      </c>
      <c r="M47" s="1594">
        <v>4.7279000000000002E-2</v>
      </c>
      <c r="N47" s="1595">
        <v>1.0137483657880444</v>
      </c>
      <c r="O47" s="1595">
        <v>1.0137483657880444</v>
      </c>
    </row>
    <row r="48" spans="2:15">
      <c r="B48" s="1474">
        <v>33878</v>
      </c>
      <c r="C48" s="1475">
        <v>0.19376498</v>
      </c>
      <c r="D48" s="1475">
        <v>2.5293973801068002</v>
      </c>
      <c r="E48" s="1476">
        <v>0</v>
      </c>
      <c r="F48" s="1476">
        <v>1</v>
      </c>
      <c r="K48" s="1592">
        <v>42105</v>
      </c>
      <c r="L48" s="1593"/>
      <c r="M48" s="1594">
        <v>0</v>
      </c>
      <c r="N48" s="1595">
        <v>1.0137483657880444</v>
      </c>
      <c r="O48" s="1595">
        <v>1.0137483657880444</v>
      </c>
    </row>
    <row r="49" spans="2:15">
      <c r="B49" s="1474">
        <v>33909</v>
      </c>
      <c r="C49" s="1475">
        <v>0.23916162999999999</v>
      </c>
      <c r="D49" s="1475">
        <v>3.0982598885127999</v>
      </c>
      <c r="E49" s="1476">
        <v>0</v>
      </c>
      <c r="F49" s="1476">
        <v>1</v>
      </c>
      <c r="K49" s="1592">
        <v>42106</v>
      </c>
      <c r="L49" s="1593"/>
      <c r="M49" s="1594">
        <v>0</v>
      </c>
      <c r="N49" s="1595">
        <v>1.0137483657880444</v>
      </c>
      <c r="O49" s="1595">
        <v>1.0137483657880444</v>
      </c>
    </row>
    <row r="50" spans="2:15">
      <c r="B50" s="1474">
        <v>33939</v>
      </c>
      <c r="C50" s="1475">
        <v>0.29913278999999998</v>
      </c>
      <c r="D50" s="1475">
        <v>3.8802596550900001</v>
      </c>
      <c r="E50" s="1476">
        <v>0</v>
      </c>
      <c r="F50" s="1476">
        <v>1</v>
      </c>
      <c r="K50" s="1592">
        <v>42107</v>
      </c>
      <c r="L50" s="1593" t="s">
        <v>2301</v>
      </c>
      <c r="M50" s="1594">
        <v>4.7279000000000002E-2</v>
      </c>
      <c r="N50" s="1595">
        <v>1.0142276558779053</v>
      </c>
      <c r="O50" s="1595">
        <v>1.0142276558779053</v>
      </c>
    </row>
    <row r="51" spans="2:15">
      <c r="B51" s="1474">
        <v>33970</v>
      </c>
      <c r="C51" s="1475">
        <v>0.37638683000000001</v>
      </c>
      <c r="D51" s="1475">
        <v>5.0579166458253004</v>
      </c>
      <c r="E51" s="1476">
        <v>0</v>
      </c>
      <c r="F51" s="1476">
        <v>1</v>
      </c>
      <c r="K51" s="1592">
        <v>42108</v>
      </c>
      <c r="L51" s="1593" t="s">
        <v>2301</v>
      </c>
      <c r="M51" s="1594">
        <v>4.7279000000000002E-2</v>
      </c>
      <c r="N51" s="1595">
        <v>1.0147071725713277</v>
      </c>
      <c r="O51" s="1595">
        <v>1.0147071725713277</v>
      </c>
    </row>
    <row r="52" spans="2:15">
      <c r="B52" s="1474">
        <v>34001</v>
      </c>
      <c r="C52" s="1475">
        <v>0.48335073000000001</v>
      </c>
      <c r="D52" s="1475">
        <v>6.3213843084293</v>
      </c>
      <c r="E52" s="1476">
        <v>0</v>
      </c>
      <c r="F52" s="1476">
        <v>1</v>
      </c>
      <c r="K52" s="1592">
        <v>42109</v>
      </c>
      <c r="L52" s="1593" t="s">
        <v>2301</v>
      </c>
      <c r="M52" s="1594">
        <v>4.7279000000000002E-2</v>
      </c>
      <c r="N52" s="1595">
        <v>1.0151869159754476</v>
      </c>
      <c r="O52" s="1595">
        <v>1.0151869159754476</v>
      </c>
    </row>
    <row r="53" spans="2:15">
      <c r="B53" s="1474">
        <v>34029</v>
      </c>
      <c r="C53" s="1475">
        <v>0.61023090000000002</v>
      </c>
      <c r="D53" s="1475">
        <v>8.0445948724788998</v>
      </c>
      <c r="E53" s="1476">
        <v>0</v>
      </c>
      <c r="F53" s="1476">
        <v>1</v>
      </c>
      <c r="K53" s="1592">
        <v>42110</v>
      </c>
      <c r="L53" s="1593" t="s">
        <v>2301</v>
      </c>
      <c r="M53" s="1594">
        <v>4.7279000000000002E-2</v>
      </c>
      <c r="N53" s="1595">
        <v>1.0156668861974516</v>
      </c>
      <c r="O53" s="1595">
        <v>1.0156668861974516</v>
      </c>
    </row>
    <row r="54" spans="2:15">
      <c r="B54" s="1474">
        <v>34060</v>
      </c>
      <c r="C54" s="1475">
        <v>0.78617482000000005</v>
      </c>
      <c r="D54" s="1475">
        <v>10.2769672819025</v>
      </c>
      <c r="E54" s="1476">
        <v>0</v>
      </c>
      <c r="F54" s="1476">
        <v>1</v>
      </c>
      <c r="K54" s="1592">
        <v>42111</v>
      </c>
      <c r="L54" s="1593" t="s">
        <v>2301</v>
      </c>
      <c r="M54" s="1594">
        <v>4.7279000000000002E-2</v>
      </c>
      <c r="N54" s="1595">
        <v>1.0161470833445767</v>
      </c>
      <c r="O54" s="1595">
        <v>1.0161470833445767</v>
      </c>
    </row>
    <row r="55" spans="2:15">
      <c r="B55" s="1474">
        <v>34090</v>
      </c>
      <c r="C55" s="1475">
        <v>1.01968087</v>
      </c>
      <c r="D55" s="1475">
        <v>13.1226581300609</v>
      </c>
      <c r="E55" s="1476">
        <v>0</v>
      </c>
      <c r="F55" s="1476">
        <v>1</v>
      </c>
      <c r="K55" s="1592">
        <v>42112</v>
      </c>
      <c r="L55" s="1593"/>
      <c r="M55" s="1594">
        <v>0</v>
      </c>
      <c r="N55" s="1595">
        <v>1.0161470833445767</v>
      </c>
      <c r="O55" s="1595">
        <v>1.0161470833445767</v>
      </c>
    </row>
    <row r="56" spans="2:15">
      <c r="B56" s="1474">
        <v>34121</v>
      </c>
      <c r="C56" s="1475">
        <v>1.3408208699999999</v>
      </c>
      <c r="D56" s="1475">
        <v>17.068642979808899</v>
      </c>
      <c r="E56" s="1476">
        <v>0</v>
      </c>
      <c r="F56" s="1476">
        <v>1</v>
      </c>
      <c r="K56" s="1592">
        <v>42113</v>
      </c>
      <c r="L56" s="1593"/>
      <c r="M56" s="1594">
        <v>0</v>
      </c>
      <c r="N56" s="1595">
        <v>1.0161470833445767</v>
      </c>
      <c r="O56" s="1595">
        <v>1.0161470833445767</v>
      </c>
    </row>
    <row r="57" spans="2:15">
      <c r="B57" s="1474">
        <v>34151</v>
      </c>
      <c r="C57" s="1475">
        <v>1.75984608</v>
      </c>
      <c r="D57" s="1475">
        <v>22.312130761236201</v>
      </c>
      <c r="E57" s="1476">
        <v>0</v>
      </c>
      <c r="F57" s="1476">
        <v>1</v>
      </c>
      <c r="K57" s="1592">
        <v>42114</v>
      </c>
      <c r="L57" s="1593" t="s">
        <v>2301</v>
      </c>
      <c r="M57" s="1594">
        <v>4.7279000000000002E-2</v>
      </c>
      <c r="N57" s="1595">
        <v>1.0166275075241111</v>
      </c>
      <c r="O57" s="1595">
        <v>1.0166275075241111</v>
      </c>
    </row>
    <row r="58" spans="2:15">
      <c r="B58" s="1474">
        <v>34182</v>
      </c>
      <c r="C58" s="1475">
        <v>2.31923637</v>
      </c>
      <c r="D58" s="1475">
        <v>29.666210936414501</v>
      </c>
      <c r="E58" s="1476">
        <v>0</v>
      </c>
      <c r="F58" s="1476">
        <v>1</v>
      </c>
      <c r="K58" s="1592">
        <v>42115</v>
      </c>
      <c r="L58" s="1593"/>
      <c r="M58" s="1594">
        <v>0</v>
      </c>
      <c r="N58" s="1595">
        <v>1.0166275075241111</v>
      </c>
      <c r="O58" s="1595">
        <v>1.0166275075241111</v>
      </c>
    </row>
    <row r="59" spans="2:15">
      <c r="B59" s="1474">
        <v>34213</v>
      </c>
      <c r="C59" s="1475">
        <v>3.1375231000000001</v>
      </c>
      <c r="D59" s="1475">
        <v>40.254080730946797</v>
      </c>
      <c r="E59" s="1476">
        <v>0</v>
      </c>
      <c r="F59" s="1476">
        <v>1</v>
      </c>
      <c r="K59" s="1592">
        <v>42116</v>
      </c>
      <c r="L59" s="1593" t="s">
        <v>2301</v>
      </c>
      <c r="M59" s="1594">
        <v>4.7279000000000002E-2</v>
      </c>
      <c r="N59" s="1595">
        <v>1.0171081588433935</v>
      </c>
      <c r="O59" s="1595">
        <v>1.0171081588433935</v>
      </c>
    </row>
    <row r="60" spans="2:15">
      <c r="B60" s="1474">
        <v>34243</v>
      </c>
      <c r="C60" s="1475">
        <v>4.2367972299999996</v>
      </c>
      <c r="D60" s="1475">
        <v>53.908264834853298</v>
      </c>
      <c r="E60" s="1476">
        <v>0</v>
      </c>
      <c r="F60" s="1476">
        <v>1</v>
      </c>
      <c r="K60" s="1592">
        <v>42117</v>
      </c>
      <c r="L60" s="1593" t="s">
        <v>2301</v>
      </c>
      <c r="M60" s="1594">
        <v>4.7279000000000002E-2</v>
      </c>
      <c r="N60" s="1595">
        <v>1.0175890374098129</v>
      </c>
      <c r="O60" s="1595">
        <v>1.0175890374098129</v>
      </c>
    </row>
    <row r="61" spans="2:15">
      <c r="B61" s="1474">
        <v>34274</v>
      </c>
      <c r="C61" s="1475">
        <v>5.7685216500000003</v>
      </c>
      <c r="D61" s="1475">
        <v>73.078046584524003</v>
      </c>
      <c r="E61" s="1476">
        <v>0</v>
      </c>
      <c r="F61" s="1476">
        <v>1</v>
      </c>
      <c r="K61" s="1592">
        <v>42118</v>
      </c>
      <c r="L61" s="1593" t="s">
        <v>2301</v>
      </c>
      <c r="M61" s="1594">
        <v>4.7279000000000002E-2</v>
      </c>
      <c r="N61" s="1595">
        <v>1.0180701433308097</v>
      </c>
      <c r="O61" s="1595">
        <v>1.0180701433308097</v>
      </c>
    </row>
    <row r="62" spans="2:15">
      <c r="B62" s="1474">
        <v>34304</v>
      </c>
      <c r="C62" s="1475">
        <v>7.9792505900000004</v>
      </c>
      <c r="D62" s="1475">
        <v>100</v>
      </c>
      <c r="E62" s="1476">
        <v>0</v>
      </c>
      <c r="F62" s="1476">
        <v>1</v>
      </c>
      <c r="K62" s="1592">
        <v>42119</v>
      </c>
      <c r="L62" s="1593"/>
      <c r="M62" s="1594">
        <v>0</v>
      </c>
      <c r="N62" s="1595">
        <v>1.0180701433308097</v>
      </c>
      <c r="O62" s="1595">
        <v>1.0180701433308097</v>
      </c>
    </row>
    <row r="63" spans="2:15">
      <c r="B63" s="1474">
        <v>34335</v>
      </c>
      <c r="C63" s="1475">
        <v>11.0967647</v>
      </c>
      <c r="D63" s="1475">
        <v>141.31</v>
      </c>
      <c r="E63" s="1476">
        <v>0</v>
      </c>
      <c r="F63" s="1476">
        <v>1</v>
      </c>
      <c r="K63" s="1592">
        <v>42120</v>
      </c>
      <c r="L63" s="1593"/>
      <c r="M63" s="1594">
        <v>0</v>
      </c>
      <c r="N63" s="1595">
        <v>1.0180701433308097</v>
      </c>
      <c r="O63" s="1595">
        <v>1.0180701433308097</v>
      </c>
    </row>
    <row r="64" spans="2:15">
      <c r="B64" s="1474">
        <v>34366</v>
      </c>
      <c r="C64" s="1475">
        <v>15.62186911</v>
      </c>
      <c r="D64" s="1475">
        <v>198.22</v>
      </c>
      <c r="E64" s="1476">
        <v>0</v>
      </c>
      <c r="F64" s="1476">
        <v>1</v>
      </c>
      <c r="K64" s="1592">
        <v>42121</v>
      </c>
      <c r="L64" s="1593" t="s">
        <v>2301</v>
      </c>
      <c r="M64" s="1594">
        <v>4.7314000000000002E-2</v>
      </c>
      <c r="N64" s="1595">
        <v>1.0185518330384251</v>
      </c>
      <c r="O64" s="1595">
        <v>1.0185518330384251</v>
      </c>
    </row>
    <row r="65" spans="2:15">
      <c r="B65" s="1474">
        <v>34394</v>
      </c>
      <c r="C65" s="1475">
        <v>22.762782099999999</v>
      </c>
      <c r="D65" s="1475">
        <v>282.95999999999998</v>
      </c>
      <c r="E65" s="1476">
        <v>0</v>
      </c>
      <c r="F65" s="1476">
        <v>1</v>
      </c>
      <c r="K65" s="1592">
        <v>42122</v>
      </c>
      <c r="L65" s="1593" t="s">
        <v>2301</v>
      </c>
      <c r="M65" s="1594">
        <v>4.7350000000000003E-2</v>
      </c>
      <c r="N65" s="1595">
        <v>1.0190341173313688</v>
      </c>
      <c r="O65" s="1595">
        <v>1.0190341173313688</v>
      </c>
    </row>
    <row r="66" spans="2:15">
      <c r="B66" s="1474">
        <v>34425</v>
      </c>
      <c r="C66" s="1475">
        <v>32.074938510000003</v>
      </c>
      <c r="D66" s="1475">
        <v>403.73</v>
      </c>
      <c r="E66" s="1476">
        <v>0</v>
      </c>
      <c r="F66" s="1476">
        <v>1</v>
      </c>
      <c r="K66" s="1592">
        <v>42123</v>
      </c>
      <c r="L66" s="1593" t="s">
        <v>2301</v>
      </c>
      <c r="M66" s="1594">
        <v>4.7350000000000003E-2</v>
      </c>
      <c r="N66" s="1595">
        <v>1.0195166299859253</v>
      </c>
      <c r="O66" s="1595">
        <v>1.0195166299859253</v>
      </c>
    </row>
    <row r="67" spans="2:15">
      <c r="B67" s="1474">
        <v>34455</v>
      </c>
      <c r="C67" s="1475">
        <v>45.731576959999998</v>
      </c>
      <c r="D67" s="1475">
        <v>581.49</v>
      </c>
      <c r="E67" s="1476">
        <v>0</v>
      </c>
      <c r="F67" s="1476">
        <v>1</v>
      </c>
      <c r="K67" s="1592">
        <v>42124</v>
      </c>
      <c r="L67" s="1593" t="s">
        <v>2301</v>
      </c>
      <c r="M67" s="1594">
        <v>4.9036999999999997E-2</v>
      </c>
      <c r="N67" s="1595">
        <v>1.0200165703557715</v>
      </c>
      <c r="O67" s="1595">
        <v>1.0200165703557715</v>
      </c>
    </row>
    <row r="68" spans="2:15">
      <c r="B68" s="1474">
        <v>34486</v>
      </c>
      <c r="C68" s="1475">
        <v>66.408212939999999</v>
      </c>
      <c r="D68" s="1475">
        <v>857.29</v>
      </c>
      <c r="E68" s="1476">
        <v>0</v>
      </c>
      <c r="F68" s="1476">
        <v>1</v>
      </c>
      <c r="K68" s="1592">
        <v>42125</v>
      </c>
      <c r="L68" s="1593"/>
      <c r="M68" s="1594">
        <v>0</v>
      </c>
      <c r="N68" s="1595">
        <v>1.0200165703557715</v>
      </c>
      <c r="O68" s="1595">
        <v>1.0200165703557715</v>
      </c>
    </row>
    <row r="69" spans="2:15">
      <c r="B69" s="1474">
        <v>34516</v>
      </c>
      <c r="C69" s="1475">
        <v>92.968426030000003</v>
      </c>
      <c r="D69" s="1475">
        <v>915.93</v>
      </c>
      <c r="E69" s="1476">
        <v>0</v>
      </c>
      <c r="F69" s="1476">
        <v>1</v>
      </c>
      <c r="K69" s="1592">
        <v>42126</v>
      </c>
      <c r="L69" s="1593"/>
      <c r="M69" s="1594">
        <v>0</v>
      </c>
      <c r="N69" s="1595">
        <v>1.0200165703557715</v>
      </c>
      <c r="O69" s="1595">
        <v>1.0200165703557715</v>
      </c>
    </row>
    <row r="70" spans="2:15">
      <c r="B70" s="1474">
        <v>34547</v>
      </c>
      <c r="C70" s="1475">
        <v>100</v>
      </c>
      <c r="D70" s="1475">
        <v>932.97</v>
      </c>
      <c r="E70" s="1476">
        <v>1.0417031360600404</v>
      </c>
      <c r="F70" s="1476">
        <v>1.0417031360600404</v>
      </c>
      <c r="K70" s="1592">
        <v>42127</v>
      </c>
      <c r="L70" s="1593"/>
      <c r="M70" s="1594">
        <v>0</v>
      </c>
      <c r="N70" s="1595">
        <v>1.0200165703557715</v>
      </c>
      <c r="O70" s="1595">
        <v>1.0200165703557715</v>
      </c>
    </row>
    <row r="71" spans="2:15">
      <c r="B71" s="1474">
        <v>34578</v>
      </c>
      <c r="C71" s="1475">
        <v>101.751</v>
      </c>
      <c r="D71" s="1475">
        <v>947.24</v>
      </c>
      <c r="E71" s="1476">
        <v>1.040191380612066</v>
      </c>
      <c r="F71" s="1476">
        <v>1.0835706232862121</v>
      </c>
      <c r="K71" s="1592">
        <v>42128</v>
      </c>
      <c r="L71" s="1593" t="s">
        <v>2301</v>
      </c>
      <c r="M71" s="1594">
        <v>4.9036999999999997E-2</v>
      </c>
      <c r="N71" s="1595">
        <v>1.020516755881377</v>
      </c>
      <c r="O71" s="1595">
        <v>1.020516755881377</v>
      </c>
    </row>
    <row r="72" spans="2:15">
      <c r="B72" s="1474">
        <v>34608</v>
      </c>
      <c r="C72" s="1475">
        <v>103.602</v>
      </c>
      <c r="D72" s="1475">
        <v>972.06</v>
      </c>
      <c r="E72" s="1476">
        <v>1.0400235119965635</v>
      </c>
      <c r="F72" s="1476">
        <v>1.1269389251264317</v>
      </c>
      <c r="K72" s="1592">
        <v>42129</v>
      </c>
      <c r="L72" s="1593" t="s">
        <v>2301</v>
      </c>
      <c r="M72" s="1594">
        <v>4.9036999999999997E-2</v>
      </c>
      <c r="N72" s="1595">
        <v>1.0210171866829587</v>
      </c>
      <c r="O72" s="1595">
        <v>1.0210171866829587</v>
      </c>
    </row>
    <row r="73" spans="2:15">
      <c r="B73" s="1474">
        <v>34639</v>
      </c>
      <c r="C73" s="1475">
        <v>106.553</v>
      </c>
      <c r="D73" s="1475">
        <v>999.37</v>
      </c>
      <c r="E73" s="1476">
        <v>1.0448704061969656</v>
      </c>
      <c r="F73" s="1476">
        <v>1.1775051324560264</v>
      </c>
      <c r="K73" s="1592">
        <v>42130</v>
      </c>
      <c r="L73" s="1593" t="s">
        <v>2301</v>
      </c>
      <c r="M73" s="1594">
        <v>4.9036999999999997E-2</v>
      </c>
      <c r="N73" s="1595">
        <v>1.0215178628807926</v>
      </c>
      <c r="O73" s="1595">
        <v>1.0215178628807926</v>
      </c>
    </row>
    <row r="74" spans="2:15">
      <c r="B74" s="1474">
        <v>34669</v>
      </c>
      <c r="C74" s="1475">
        <v>107.45</v>
      </c>
      <c r="D74" s="1475">
        <v>1016.46</v>
      </c>
      <c r="E74" s="1476">
        <v>1.0379749903132509</v>
      </c>
      <c r="F74" s="1476">
        <v>1.2222208784548472</v>
      </c>
      <c r="K74" s="1592">
        <v>42131</v>
      </c>
      <c r="L74" s="1593" t="s">
        <v>2301</v>
      </c>
      <c r="M74" s="1594">
        <v>4.9036999999999997E-2</v>
      </c>
      <c r="N74" s="1595">
        <v>1.0220187845952136</v>
      </c>
      <c r="O74" s="1595">
        <v>1.0220187845952136</v>
      </c>
    </row>
    <row r="75" spans="2:15">
      <c r="B75" s="1474">
        <v>34700</v>
      </c>
      <c r="C75" s="1475">
        <v>108.44199999999999</v>
      </c>
      <c r="D75" s="1475">
        <v>1033.74</v>
      </c>
      <c r="E75" s="1476">
        <v>1.033745155557255</v>
      </c>
      <c r="F75" s="1476">
        <v>1.2634649121236308</v>
      </c>
      <c r="K75" s="1592">
        <v>42132</v>
      </c>
      <c r="L75" s="1593" t="s">
        <v>2301</v>
      </c>
      <c r="M75" s="1594">
        <v>4.9036999999999997E-2</v>
      </c>
      <c r="N75" s="1595">
        <v>1.0225199519466155</v>
      </c>
      <c r="O75" s="1595">
        <v>1.0225199519466155</v>
      </c>
    </row>
    <row r="76" spans="2:15">
      <c r="B76" s="1474">
        <v>34731</v>
      </c>
      <c r="C76" s="1475">
        <v>109.9455</v>
      </c>
      <c r="D76" s="1475">
        <v>1044.28</v>
      </c>
      <c r="E76" s="1476">
        <v>1.0361946548110796</v>
      </c>
      <c r="F76" s="1476">
        <v>1.3091955884838566</v>
      </c>
      <c r="K76" s="1592">
        <v>42133</v>
      </c>
      <c r="L76" s="1593"/>
      <c r="M76" s="1594">
        <v>0</v>
      </c>
      <c r="N76" s="1595">
        <v>1.0225199519466155</v>
      </c>
      <c r="O76" s="1595">
        <v>1.0225199519466155</v>
      </c>
    </row>
    <row r="77" spans="2:15">
      <c r="B77" s="1474">
        <v>34759</v>
      </c>
      <c r="C77" s="1475">
        <v>111.178</v>
      </c>
      <c r="D77" s="1475">
        <v>1060.47</v>
      </c>
      <c r="E77" s="1476">
        <v>1.0426211014987152</v>
      </c>
      <c r="F77" s="1476">
        <v>1.3649949465422972</v>
      </c>
      <c r="K77" s="1592">
        <v>42134</v>
      </c>
      <c r="L77" s="1593"/>
      <c r="M77" s="1594">
        <v>0</v>
      </c>
      <c r="N77" s="1595">
        <v>1.0225199519466155</v>
      </c>
      <c r="O77" s="1595">
        <v>1.0225199519466155</v>
      </c>
    </row>
    <row r="78" spans="2:15">
      <c r="B78" s="1474">
        <v>34790</v>
      </c>
      <c r="C78" s="1475">
        <v>113.518</v>
      </c>
      <c r="D78" s="1475">
        <v>1086.24</v>
      </c>
      <c r="E78" s="1476">
        <v>1.0502446731743562</v>
      </c>
      <c r="F78" s="1476">
        <v>1.4335786715159629</v>
      </c>
      <c r="K78" s="1592">
        <v>42135</v>
      </c>
      <c r="L78" s="1593" t="s">
        <v>2301</v>
      </c>
      <c r="M78" s="1594">
        <v>4.9036999999999997E-2</v>
      </c>
      <c r="N78" s="1595">
        <v>1.0230213650554516</v>
      </c>
      <c r="O78" s="1595">
        <v>1.0230213650554516</v>
      </c>
    </row>
    <row r="79" spans="2:15">
      <c r="B79" s="1474">
        <v>34820</v>
      </c>
      <c r="C79" s="1475">
        <v>114.17100000000001</v>
      </c>
      <c r="D79" s="1475">
        <v>1115.24</v>
      </c>
      <c r="E79" s="1476">
        <v>1.0450356278102417</v>
      </c>
      <c r="F79" s="1476">
        <v>1.4981407870030565</v>
      </c>
      <c r="K79" s="1592">
        <v>42136</v>
      </c>
      <c r="L79" s="1593" t="s">
        <v>2301</v>
      </c>
      <c r="M79" s="1594">
        <v>4.9036999999999997E-2</v>
      </c>
      <c r="N79" s="1595">
        <v>1.0235230240422339</v>
      </c>
      <c r="O79" s="1595">
        <v>1.0235230240422339</v>
      </c>
    </row>
    <row r="80" spans="2:15">
      <c r="B80" s="1474">
        <v>34851</v>
      </c>
      <c r="C80" s="1475">
        <v>116.98399999999999</v>
      </c>
      <c r="D80" s="1475">
        <v>1140.44</v>
      </c>
      <c r="E80" s="1476">
        <v>1.0423602226147934</v>
      </c>
      <c r="F80" s="1476">
        <v>1.5616023642488079</v>
      </c>
      <c r="K80" s="1592">
        <v>42137</v>
      </c>
      <c r="L80" s="1593" t="s">
        <v>2301</v>
      </c>
      <c r="M80" s="1594">
        <v>4.9036999999999997E-2</v>
      </c>
      <c r="N80" s="1595">
        <v>1.0240249290275336</v>
      </c>
      <c r="O80" s="1595">
        <v>1.0240249290275336</v>
      </c>
    </row>
    <row r="81" spans="2:15">
      <c r="B81" s="1474">
        <v>34881</v>
      </c>
      <c r="C81" s="1475">
        <v>119.114</v>
      </c>
      <c r="D81" s="1475">
        <v>1167.3499999999999</v>
      </c>
      <c r="E81" s="1476">
        <v>1.0402311780170954</v>
      </c>
      <c r="F81" s="1476">
        <v>1.6244274669568188</v>
      </c>
      <c r="K81" s="1592">
        <v>42138</v>
      </c>
      <c r="L81" s="1593" t="s">
        <v>2301</v>
      </c>
      <c r="M81" s="1594">
        <v>4.9036999999999997E-2</v>
      </c>
      <c r="N81" s="1595">
        <v>1.024527080131981</v>
      </c>
      <c r="O81" s="1595">
        <v>1.024527080131981</v>
      </c>
    </row>
    <row r="82" spans="2:15">
      <c r="B82" s="1474">
        <v>34912</v>
      </c>
      <c r="C82" s="1475">
        <v>121.729</v>
      </c>
      <c r="D82" s="1475">
        <v>1178.9100000000001</v>
      </c>
      <c r="E82" s="1475">
        <v>1.0383979241220025</v>
      </c>
      <c r="F82" s="1475">
        <v>1.6868021095747234</v>
      </c>
      <c r="G82" s="7">
        <v>41036.512291666666</v>
      </c>
      <c r="K82" s="1592">
        <v>42139</v>
      </c>
      <c r="L82" s="1593" t="s">
        <v>2301</v>
      </c>
      <c r="M82" s="1594">
        <v>4.9036999999999997E-2</v>
      </c>
      <c r="N82" s="1595">
        <v>1.0250294774762654</v>
      </c>
      <c r="O82" s="1595">
        <v>1.0250294774762654</v>
      </c>
    </row>
    <row r="83" spans="2:15">
      <c r="B83" s="1474">
        <v>34943</v>
      </c>
      <c r="C83" s="1475">
        <v>120.869</v>
      </c>
      <c r="D83" s="1475">
        <v>1190.58</v>
      </c>
      <c r="E83" s="1475">
        <v>1.0349384575781275</v>
      </c>
      <c r="F83" s="1475">
        <v>1.745736373522796</v>
      </c>
      <c r="K83" s="1592">
        <v>42140</v>
      </c>
      <c r="L83" s="1593"/>
      <c r="M83" s="1594">
        <v>0</v>
      </c>
      <c r="N83" s="1595">
        <v>1.0250294774762654</v>
      </c>
      <c r="O83" s="1595">
        <v>1.0250294774762654</v>
      </c>
    </row>
    <row r="84" spans="2:15">
      <c r="B84" s="1474">
        <v>34973</v>
      </c>
      <c r="C84" s="1475">
        <v>121.503</v>
      </c>
      <c r="D84" s="1475">
        <v>1207.3699999999999</v>
      </c>
      <c r="E84" s="1475">
        <v>1.0324041438440343</v>
      </c>
      <c r="F84" s="1475">
        <v>1.8023054660841915</v>
      </c>
      <c r="K84" s="1592">
        <v>42141</v>
      </c>
      <c r="L84" s="1593"/>
      <c r="M84" s="1594">
        <v>0</v>
      </c>
      <c r="N84" s="1595">
        <v>1.0250294774762654</v>
      </c>
      <c r="O84" s="1595">
        <v>1.0250294774762654</v>
      </c>
    </row>
    <row r="85" spans="2:15">
      <c r="B85" s="1474">
        <v>35004</v>
      </c>
      <c r="C85" s="1475">
        <v>122.955</v>
      </c>
      <c r="D85" s="1475">
        <v>1225.1199999999999</v>
      </c>
      <c r="E85" s="1475">
        <v>1.0316999077357936</v>
      </c>
      <c r="F85" s="1475">
        <v>1.8594383830707768</v>
      </c>
      <c r="K85" s="1592">
        <v>42142</v>
      </c>
      <c r="L85" s="1593" t="s">
        <v>2301</v>
      </c>
      <c r="M85" s="1594">
        <v>4.9036999999999997E-2</v>
      </c>
      <c r="N85" s="1595">
        <v>1.0255321211811355</v>
      </c>
      <c r="O85" s="1595">
        <v>1.0255321211811355</v>
      </c>
    </row>
    <row r="86" spans="2:15">
      <c r="B86" s="1474">
        <v>35034</v>
      </c>
      <c r="C86" s="1475">
        <v>123.833</v>
      </c>
      <c r="D86" s="1475">
        <v>1244.23</v>
      </c>
      <c r="E86" s="1475">
        <v>1.0292086837764389</v>
      </c>
      <c r="F86" s="1475">
        <v>1.913750130803664</v>
      </c>
      <c r="K86" s="1592">
        <v>42143</v>
      </c>
      <c r="L86" s="1593" t="s">
        <v>2301</v>
      </c>
      <c r="M86" s="1594">
        <v>4.9036999999999997E-2</v>
      </c>
      <c r="N86" s="1595">
        <v>1.0260350113673991</v>
      </c>
      <c r="O86" s="1595">
        <v>1.0260350113673991</v>
      </c>
    </row>
    <row r="87" spans="2:15">
      <c r="B87" s="1474">
        <v>35065</v>
      </c>
      <c r="C87" s="1475">
        <v>125.977</v>
      </c>
      <c r="D87" s="1475">
        <v>1260.9000000000001</v>
      </c>
      <c r="E87" s="1475">
        <v>1.0271429062533448</v>
      </c>
      <c r="F87" s="1475">
        <v>1.9656948711963942</v>
      </c>
      <c r="K87" s="1592">
        <v>42144</v>
      </c>
      <c r="L87" s="1593" t="s">
        <v>2301</v>
      </c>
      <c r="M87" s="1594">
        <v>4.9036999999999997E-2</v>
      </c>
      <c r="N87" s="1595">
        <v>1.0265381481559233</v>
      </c>
      <c r="O87" s="1595">
        <v>1.0265381481559233</v>
      </c>
    </row>
    <row r="88" spans="2:15">
      <c r="B88" s="1474">
        <v>35096</v>
      </c>
      <c r="C88" s="1475">
        <v>127.202</v>
      </c>
      <c r="D88" s="1475">
        <v>1273.8900000000001</v>
      </c>
      <c r="E88" s="1475">
        <v>1.026088709032714</v>
      </c>
      <c r="F88" s="1475">
        <v>2.0169773127381352</v>
      </c>
      <c r="K88" s="1592">
        <v>42145</v>
      </c>
      <c r="L88" s="1593" t="s">
        <v>2301</v>
      </c>
      <c r="M88" s="1594">
        <v>4.9036999999999997E-2</v>
      </c>
      <c r="N88" s="1595">
        <v>1.0270415316676345</v>
      </c>
      <c r="O88" s="1595">
        <v>1.0270415316676345</v>
      </c>
    </row>
    <row r="89" spans="2:15">
      <c r="B89" s="1474">
        <v>35125</v>
      </c>
      <c r="C89" s="1475">
        <v>127.715</v>
      </c>
      <c r="D89" s="1475">
        <v>1278.3499999999999</v>
      </c>
      <c r="E89" s="1475">
        <v>1.0222082178682002</v>
      </c>
      <c r="F89" s="1475">
        <v>2.0617707843346404</v>
      </c>
      <c r="K89" s="1592">
        <v>42146</v>
      </c>
      <c r="L89" s="1593" t="s">
        <v>2301</v>
      </c>
      <c r="M89" s="1594">
        <v>4.9036999999999997E-2</v>
      </c>
      <c r="N89" s="1595">
        <v>1.0275451620235183</v>
      </c>
      <c r="O89" s="1595">
        <v>1.0275451620235183</v>
      </c>
    </row>
    <row r="90" spans="2:15">
      <c r="B90" s="1474">
        <v>35156</v>
      </c>
      <c r="C90" s="1475">
        <v>128.13</v>
      </c>
      <c r="D90" s="1475">
        <v>1294.46</v>
      </c>
      <c r="E90" s="1475">
        <v>1.0227569082086725</v>
      </c>
      <c r="F90" s="1475">
        <v>2.1086903128210666</v>
      </c>
      <c r="K90" s="1592">
        <v>42147</v>
      </c>
      <c r="L90" s="1593"/>
      <c r="M90" s="1594">
        <v>0</v>
      </c>
      <c r="N90" s="1595">
        <v>1.0275451620235183</v>
      </c>
      <c r="O90" s="1595">
        <v>1.0275451620235183</v>
      </c>
    </row>
    <row r="91" spans="2:15">
      <c r="B91" s="1474">
        <v>35186</v>
      </c>
      <c r="C91" s="1475">
        <v>130.12100000000001</v>
      </c>
      <c r="D91" s="1475">
        <v>1310.25</v>
      </c>
      <c r="E91" s="1475">
        <v>1.0210626514511167</v>
      </c>
      <c r="F91" s="1475">
        <v>2.1531049218983629</v>
      </c>
      <c r="K91" s="1592">
        <v>42148</v>
      </c>
      <c r="L91" s="1593"/>
      <c r="M91" s="1594">
        <v>0</v>
      </c>
      <c r="N91" s="1595">
        <v>1.0275451620235183</v>
      </c>
      <c r="O91" s="1595">
        <v>1.0275451620235183</v>
      </c>
    </row>
    <row r="92" spans="2:15">
      <c r="B92" s="1474">
        <v>35217</v>
      </c>
      <c r="C92" s="1475">
        <v>131.44499999999999</v>
      </c>
      <c r="D92" s="1475">
        <v>1325.84</v>
      </c>
      <c r="E92" s="1475">
        <v>1.020826552130859</v>
      </c>
      <c r="F92" s="1475">
        <v>2.1979466737974884</v>
      </c>
      <c r="K92" s="1592">
        <v>42149</v>
      </c>
      <c r="L92" s="1593" t="s">
        <v>2301</v>
      </c>
      <c r="M92" s="1594">
        <v>4.9036999999999997E-2</v>
      </c>
      <c r="N92" s="1595">
        <v>1.0280490393446198</v>
      </c>
      <c r="O92" s="1595">
        <v>1.0280490393446198</v>
      </c>
    </row>
    <row r="93" spans="2:15">
      <c r="B93" s="1474">
        <v>35247</v>
      </c>
      <c r="C93" s="1475">
        <v>133.21299999999999</v>
      </c>
      <c r="D93" s="1475">
        <v>1340.56</v>
      </c>
      <c r="E93" s="1475">
        <v>1.0192856968560815</v>
      </c>
      <c r="F93" s="1475">
        <v>2.2403356070541793</v>
      </c>
      <c r="K93" s="1592">
        <v>42150</v>
      </c>
      <c r="L93" s="1593" t="s">
        <v>2301</v>
      </c>
      <c r="M93" s="1594">
        <v>4.9036999999999997E-2</v>
      </c>
      <c r="N93" s="1595">
        <v>1.0285531637520433</v>
      </c>
      <c r="O93" s="1595">
        <v>1.0285531637520433</v>
      </c>
    </row>
    <row r="94" spans="2:15">
      <c r="B94" s="1474">
        <v>35278</v>
      </c>
      <c r="C94" s="1475">
        <v>133.58699999999999</v>
      </c>
      <c r="D94" s="1475">
        <v>1346.46</v>
      </c>
      <c r="E94" s="1475">
        <v>1.0196791435025818</v>
      </c>
      <c r="F94" s="1475">
        <v>2.2844234929593421</v>
      </c>
      <c r="K94" s="1592">
        <v>42151</v>
      </c>
      <c r="L94" s="1593" t="s">
        <v>2301</v>
      </c>
      <c r="M94" s="1594">
        <v>4.9036999999999997E-2</v>
      </c>
      <c r="N94" s="1595">
        <v>1.0290575353669524</v>
      </c>
      <c r="O94" s="1595">
        <v>1.0290575353669524</v>
      </c>
    </row>
    <row r="95" spans="2:15">
      <c r="B95" s="1474">
        <v>35309</v>
      </c>
      <c r="C95" s="1475">
        <v>133.72200000000001</v>
      </c>
      <c r="D95" s="1475">
        <v>1348.48</v>
      </c>
      <c r="E95" s="1475">
        <v>1.0190405257020327</v>
      </c>
      <c r="F95" s="1475">
        <v>2.3279201171913617</v>
      </c>
      <c r="K95" s="1592">
        <v>42152</v>
      </c>
      <c r="L95" s="1593" t="s">
        <v>2301</v>
      </c>
      <c r="M95" s="1594">
        <v>4.9036999999999997E-2</v>
      </c>
      <c r="N95" s="1595">
        <v>1.0295621543105704</v>
      </c>
      <c r="O95" s="1595">
        <v>1.0295621543105704</v>
      </c>
    </row>
    <row r="96" spans="2:15">
      <c r="B96" s="1474">
        <v>35339</v>
      </c>
      <c r="C96" s="1475">
        <v>133.97800000000001</v>
      </c>
      <c r="D96" s="1475">
        <v>1352.53</v>
      </c>
      <c r="E96" s="1475">
        <v>1.0194350405573067</v>
      </c>
      <c r="F96" s="1475">
        <v>2.3731633390831459</v>
      </c>
      <c r="K96" s="1592">
        <v>42153</v>
      </c>
      <c r="L96" s="1593" t="s">
        <v>2301</v>
      </c>
      <c r="M96" s="1594">
        <v>4.9036999999999997E-2</v>
      </c>
      <c r="N96" s="1595">
        <v>1.0300670207041798</v>
      </c>
      <c r="O96" s="1595">
        <v>1.0300670207041798</v>
      </c>
    </row>
    <row r="97" spans="2:15">
      <c r="B97" s="1474">
        <v>35370</v>
      </c>
      <c r="C97" s="1475">
        <v>134.24199999999999</v>
      </c>
      <c r="D97" s="1475">
        <v>1356.86</v>
      </c>
      <c r="E97" s="1475">
        <v>1.018952291397875</v>
      </c>
      <c r="F97" s="1475">
        <v>2.4181402222202037</v>
      </c>
      <c r="K97" s="1592">
        <v>42154</v>
      </c>
      <c r="L97" s="1593"/>
      <c r="M97" s="1594">
        <v>0</v>
      </c>
      <c r="N97" s="1595">
        <v>1.0300670207041798</v>
      </c>
      <c r="O97" s="1595">
        <v>1.0300670207041798</v>
      </c>
    </row>
    <row r="98" spans="2:15">
      <c r="B98" s="1474">
        <v>35400</v>
      </c>
      <c r="C98" s="1475">
        <v>135.22499999999999</v>
      </c>
      <c r="D98" s="1475">
        <v>1363.24</v>
      </c>
      <c r="E98" s="1475">
        <v>1.0189221360623306</v>
      </c>
      <c r="F98" s="1475">
        <v>2.4638966005228489</v>
      </c>
      <c r="K98" s="1592">
        <v>42155</v>
      </c>
      <c r="L98" s="1593"/>
      <c r="M98" s="1594">
        <v>0</v>
      </c>
      <c r="N98" s="1595">
        <v>1.0300670207041798</v>
      </c>
      <c r="O98" s="1595">
        <v>1.0300670207041798</v>
      </c>
    </row>
    <row r="99" spans="2:15">
      <c r="B99" s="1474">
        <v>35431</v>
      </c>
      <c r="C99" s="1475">
        <v>137.613</v>
      </c>
      <c r="D99" s="1475">
        <v>1379.33</v>
      </c>
      <c r="E99" s="1475">
        <v>1.0182168360386268</v>
      </c>
      <c r="F99" s="1475">
        <v>2.5087810009107034</v>
      </c>
      <c r="K99" s="1592">
        <v>42156</v>
      </c>
      <c r="L99" s="1593" t="s">
        <v>2301</v>
      </c>
      <c r="M99" s="1594">
        <v>4.9036999999999997E-2</v>
      </c>
      <c r="N99" s="1595">
        <v>1.0305721346691226</v>
      </c>
      <c r="O99" s="1595">
        <v>1.0305721346691226</v>
      </c>
    </row>
    <row r="100" spans="2:15">
      <c r="B100" s="1474">
        <v>35462</v>
      </c>
      <c r="C100" s="1475">
        <v>138.20400000000001</v>
      </c>
      <c r="D100" s="1475">
        <v>1386.23</v>
      </c>
      <c r="E100" s="1475">
        <v>1.018615977536991</v>
      </c>
      <c r="F100" s="1475">
        <v>2.5554844116688868</v>
      </c>
      <c r="K100" s="1592">
        <v>42157</v>
      </c>
      <c r="L100" s="1593" t="s">
        <v>2301</v>
      </c>
      <c r="M100" s="1594">
        <v>4.9036999999999997E-2</v>
      </c>
      <c r="N100" s="1595">
        <v>1.0310774963268003</v>
      </c>
      <c r="O100" s="1595">
        <v>1.0310774963268003</v>
      </c>
    </row>
    <row r="101" spans="2:15">
      <c r="B101" s="1474">
        <v>35490</v>
      </c>
      <c r="C101" s="1475">
        <v>139.79499999999999</v>
      </c>
      <c r="D101" s="1475">
        <v>1393.3</v>
      </c>
      <c r="E101" s="1475">
        <v>1.0181653196053577</v>
      </c>
      <c r="F101" s="1475">
        <v>2.6019056027533618</v>
      </c>
      <c r="K101" s="1592">
        <v>42158</v>
      </c>
      <c r="L101" s="1593" t="s">
        <v>2301</v>
      </c>
      <c r="M101" s="1594">
        <v>4.9036999999999997E-2</v>
      </c>
      <c r="N101" s="1595">
        <v>1.0315831057986742</v>
      </c>
      <c r="O101" s="1595">
        <v>1.0315831057986742</v>
      </c>
    </row>
    <row r="102" spans="2:15">
      <c r="B102" s="1474">
        <v>35521</v>
      </c>
      <c r="C102" s="1475">
        <v>140.74199999999999</v>
      </c>
      <c r="D102" s="1475">
        <v>1405.56</v>
      </c>
      <c r="E102" s="1475">
        <v>1.0174130782041242</v>
      </c>
      <c r="F102" s="1475">
        <v>2.6472127884938548</v>
      </c>
      <c r="K102" s="1592">
        <v>42159</v>
      </c>
      <c r="L102" s="1593"/>
      <c r="M102" s="1594">
        <v>0</v>
      </c>
      <c r="N102" s="1595">
        <v>1.0315831057986742</v>
      </c>
      <c r="O102" s="1595">
        <v>1.0315831057986742</v>
      </c>
    </row>
    <row r="103" spans="2:15">
      <c r="B103" s="1474">
        <v>35551</v>
      </c>
      <c r="C103" s="1475">
        <v>141.04</v>
      </c>
      <c r="D103" s="1475">
        <v>1411.32</v>
      </c>
      <c r="E103" s="1475">
        <v>1.0173859708262292</v>
      </c>
      <c r="F103" s="1475">
        <v>2.6932371528054295</v>
      </c>
      <c r="K103" s="1592">
        <v>42160</v>
      </c>
      <c r="L103" s="1593" t="s">
        <v>2301</v>
      </c>
      <c r="M103" s="1594">
        <v>5.0788E-2</v>
      </c>
      <c r="N103" s="1595">
        <v>1.0321070262264471</v>
      </c>
      <c r="O103" s="1595">
        <v>1.0321070262264471</v>
      </c>
    </row>
    <row r="104" spans="2:15">
      <c r="B104" s="1474">
        <v>35582</v>
      </c>
      <c r="C104" s="1475">
        <v>142.09</v>
      </c>
      <c r="D104" s="1475">
        <v>1418.94</v>
      </c>
      <c r="E104" s="1475">
        <v>1.0160683269749473</v>
      </c>
      <c r="F104" s="1475">
        <v>2.7365129679977831</v>
      </c>
      <c r="K104" s="1592">
        <v>42161</v>
      </c>
      <c r="L104" s="1593"/>
      <c r="M104" s="1594">
        <v>0</v>
      </c>
      <c r="N104" s="1595">
        <v>1.0321070262264471</v>
      </c>
      <c r="O104" s="1595">
        <v>1.0321070262264471</v>
      </c>
    </row>
    <row r="105" spans="2:15">
      <c r="B105" s="1474">
        <v>35612</v>
      </c>
      <c r="C105" s="1475">
        <v>142.221</v>
      </c>
      <c r="D105" s="1475">
        <v>1422.06</v>
      </c>
      <c r="E105" s="1475">
        <v>1.0160384417373229</v>
      </c>
      <c r="F105" s="1475">
        <v>2.7804023717984441</v>
      </c>
      <c r="K105" s="1592">
        <v>42162</v>
      </c>
      <c r="L105" s="1593"/>
      <c r="M105" s="1594">
        <v>0</v>
      </c>
      <c r="N105" s="1595">
        <v>1.0321070262264471</v>
      </c>
      <c r="O105" s="1595">
        <v>1.0321070262264471</v>
      </c>
    </row>
    <row r="106" spans="2:15">
      <c r="B106" s="1474">
        <v>35643</v>
      </c>
      <c r="C106" s="1475">
        <v>142.35300000000001</v>
      </c>
      <c r="D106" s="1475">
        <v>1421.78</v>
      </c>
      <c r="E106" s="1475">
        <v>1.0158585469231169</v>
      </c>
      <c r="F106" s="1475">
        <v>2.8244955132767555</v>
      </c>
      <c r="K106" s="1592">
        <v>42163</v>
      </c>
      <c r="L106" s="1593" t="s">
        <v>2301</v>
      </c>
      <c r="M106" s="1594">
        <v>5.0788E-2</v>
      </c>
      <c r="N106" s="1595">
        <v>1.0326312127429271</v>
      </c>
      <c r="O106" s="1595">
        <v>1.0326312127429271</v>
      </c>
    </row>
    <row r="107" spans="2:15">
      <c r="B107" s="1474">
        <v>35674</v>
      </c>
      <c r="C107" s="1475">
        <v>143.042</v>
      </c>
      <c r="D107" s="1475">
        <v>1422.63</v>
      </c>
      <c r="E107" s="1475">
        <v>1.0159028051900765</v>
      </c>
      <c r="F107" s="1475">
        <v>2.869412915184641</v>
      </c>
      <c r="K107" s="1592">
        <v>42164</v>
      </c>
      <c r="L107" s="1593" t="s">
        <v>2301</v>
      </c>
      <c r="M107" s="1594">
        <v>5.0788E-2</v>
      </c>
      <c r="N107" s="1595">
        <v>1.033155665483255</v>
      </c>
      <c r="O107" s="1595">
        <v>1.033155665483255</v>
      </c>
    </row>
    <row r="108" spans="2:15">
      <c r="B108" s="1474">
        <v>35704</v>
      </c>
      <c r="C108" s="1475">
        <v>143.56700000000001</v>
      </c>
      <c r="D108" s="1475">
        <v>1425.9</v>
      </c>
      <c r="E108" s="1475">
        <v>1.0167288802763557</v>
      </c>
      <c r="F108" s="1475">
        <v>2.9174149803061935</v>
      </c>
      <c r="K108" s="1592">
        <v>42165</v>
      </c>
      <c r="L108" s="1593" t="s">
        <v>2301</v>
      </c>
      <c r="M108" s="1594">
        <v>5.0788E-2</v>
      </c>
      <c r="N108" s="1595">
        <v>1.0336803845826406</v>
      </c>
      <c r="O108" s="1595">
        <v>1.0336803845826406</v>
      </c>
    </row>
    <row r="109" spans="2:15">
      <c r="B109" s="1474">
        <v>35735</v>
      </c>
      <c r="C109" s="1475">
        <v>144.48099999999999</v>
      </c>
      <c r="D109" s="1475">
        <v>1428.32</v>
      </c>
      <c r="E109" s="1475">
        <v>1.0304347964479648</v>
      </c>
      <c r="F109" s="1475">
        <v>3.0062059113860555</v>
      </c>
      <c r="K109" s="1592">
        <v>42166</v>
      </c>
      <c r="L109" s="1593" t="s">
        <v>2301</v>
      </c>
      <c r="M109" s="1594">
        <v>5.0788E-2</v>
      </c>
      <c r="N109" s="1595">
        <v>1.0342053701763625</v>
      </c>
      <c r="O109" s="1595">
        <v>1.0342053701763625</v>
      </c>
    </row>
    <row r="110" spans="2:15">
      <c r="B110" s="1474">
        <v>35765</v>
      </c>
      <c r="C110" s="1475">
        <v>145.69499999999999</v>
      </c>
      <c r="D110" s="1475">
        <v>1434.46</v>
      </c>
      <c r="E110" s="1475">
        <v>1.0311549813439238</v>
      </c>
      <c r="F110" s="1475">
        <v>3.0998642004712815</v>
      </c>
      <c r="K110" s="1592">
        <v>42167</v>
      </c>
      <c r="L110" s="1593" t="s">
        <v>2301</v>
      </c>
      <c r="M110" s="1594">
        <v>5.0788E-2</v>
      </c>
      <c r="N110" s="1595">
        <v>1.0347306223997677</v>
      </c>
      <c r="O110" s="1595">
        <v>1.0347306223997677</v>
      </c>
    </row>
    <row r="111" spans="2:15">
      <c r="B111" s="1474">
        <v>35796</v>
      </c>
      <c r="C111" s="1475">
        <v>147.09100000000001</v>
      </c>
      <c r="D111" s="1475">
        <v>1444.64</v>
      </c>
      <c r="E111" s="1475">
        <v>1.0280960413836384</v>
      </c>
      <c r="F111" s="1475">
        <v>3.1869581133313818</v>
      </c>
      <c r="K111" s="1592">
        <v>42168</v>
      </c>
      <c r="L111" s="1593"/>
      <c r="M111" s="1594">
        <v>0</v>
      </c>
      <c r="N111" s="1595">
        <v>1.0347306223997677</v>
      </c>
      <c r="O111" s="1595">
        <v>1.0347306223997677</v>
      </c>
    </row>
    <row r="112" spans="2:15">
      <c r="B112" s="1474">
        <v>35827</v>
      </c>
      <c r="C112" s="1475">
        <v>147.35599999999999</v>
      </c>
      <c r="D112" s="1475">
        <v>1451.29</v>
      </c>
      <c r="E112" s="1475">
        <v>1.0236711069024262</v>
      </c>
      <c r="F112" s="1475">
        <v>3.2623969395256034</v>
      </c>
      <c r="K112" s="1592">
        <v>42169</v>
      </c>
      <c r="L112" s="1593"/>
      <c r="M112" s="1594">
        <v>0</v>
      </c>
      <c r="N112" s="1595">
        <v>1.0347306223997677</v>
      </c>
      <c r="O112" s="1595">
        <v>1.0347306223997677</v>
      </c>
    </row>
    <row r="113" spans="2:15">
      <c r="B113" s="1474">
        <v>35855</v>
      </c>
      <c r="C113" s="1475">
        <v>147.63499999999999</v>
      </c>
      <c r="D113" s="1475">
        <v>1456.22</v>
      </c>
      <c r="E113" s="1475">
        <v>1.0220072916308196</v>
      </c>
      <c r="F113" s="1475">
        <v>3.3341934603892365</v>
      </c>
      <c r="K113" s="1592">
        <v>42170</v>
      </c>
      <c r="L113" s="1593" t="s">
        <v>2301</v>
      </c>
      <c r="M113" s="1594">
        <v>5.0788E-2</v>
      </c>
      <c r="N113" s="1595">
        <v>1.0352561413882722</v>
      </c>
      <c r="O113" s="1595">
        <v>1.0352561413882722</v>
      </c>
    </row>
    <row r="114" spans="2:15">
      <c r="B114" s="1474">
        <v>35886</v>
      </c>
      <c r="C114" s="1475">
        <v>147.821</v>
      </c>
      <c r="D114" s="1475">
        <v>1459.71</v>
      </c>
      <c r="E114" s="1475">
        <v>1.0199031041694671</v>
      </c>
      <c r="F114" s="1475">
        <v>3.4005542601525192</v>
      </c>
      <c r="K114" s="1592">
        <v>42171</v>
      </c>
      <c r="L114" s="1593" t="s">
        <v>2301</v>
      </c>
      <c r="M114" s="1594">
        <v>5.0788E-2</v>
      </c>
      <c r="N114" s="1595">
        <v>1.0357819272773605</v>
      </c>
      <c r="O114" s="1595">
        <v>1.0357819272773605</v>
      </c>
    </row>
    <row r="115" spans="2:15">
      <c r="B115" s="1474">
        <v>35916</v>
      </c>
      <c r="C115" s="1475">
        <v>148.02099999999999</v>
      </c>
      <c r="D115" s="1475">
        <v>1467.01</v>
      </c>
      <c r="E115" s="1475">
        <v>1.0171306475499944</v>
      </c>
      <c r="F115" s="1475">
        <v>3.4588079566578238</v>
      </c>
      <c r="K115" s="1592">
        <v>42172</v>
      </c>
      <c r="L115" s="1593" t="s">
        <v>2301</v>
      </c>
      <c r="M115" s="1594">
        <v>5.0788E-2</v>
      </c>
      <c r="N115" s="1595">
        <v>1.0363079802025861</v>
      </c>
      <c r="O115" s="1595">
        <v>1.0363079802025861</v>
      </c>
    </row>
    <row r="116" spans="2:15">
      <c r="B116" s="1474">
        <v>35947</v>
      </c>
      <c r="C116" s="1475">
        <v>148.58799999999999</v>
      </c>
      <c r="D116" s="1475">
        <v>1467.3</v>
      </c>
      <c r="E116" s="1475">
        <v>1.0167959651913006</v>
      </c>
      <c r="F116" s="1475">
        <v>3.5169019747012422</v>
      </c>
      <c r="K116" s="1592">
        <v>42173</v>
      </c>
      <c r="L116" s="1593" t="s">
        <v>2301</v>
      </c>
      <c r="M116" s="1594">
        <v>5.0788E-2</v>
      </c>
      <c r="N116" s="1595">
        <v>1.0368343002995715</v>
      </c>
      <c r="O116" s="1595">
        <v>1.0368343002995715</v>
      </c>
    </row>
    <row r="117" spans="2:15">
      <c r="B117" s="1474">
        <v>35977</v>
      </c>
      <c r="C117" s="1475">
        <v>148.339</v>
      </c>
      <c r="D117" s="1475">
        <v>1465.54</v>
      </c>
      <c r="E117" s="1475">
        <v>1.0170373206405035</v>
      </c>
      <c r="F117" s="1475">
        <v>3.5768205613054471</v>
      </c>
      <c r="K117" s="1592">
        <v>42174</v>
      </c>
      <c r="L117" s="1593" t="s">
        <v>2301</v>
      </c>
      <c r="M117" s="1594">
        <v>5.0788E-2</v>
      </c>
      <c r="N117" s="1595">
        <v>1.0373608877040077</v>
      </c>
      <c r="O117" s="1595">
        <v>1.0373608877040077</v>
      </c>
    </row>
    <row r="118" spans="2:15">
      <c r="B118" s="1474">
        <v>36008</v>
      </c>
      <c r="C118" s="1475">
        <v>148.10900000000001</v>
      </c>
      <c r="D118" s="1475">
        <v>1458.07</v>
      </c>
      <c r="E118" s="1475">
        <v>1.0147631694962493</v>
      </c>
      <c r="F118" s="1475">
        <v>3.6296257695096692</v>
      </c>
      <c r="K118" s="1592">
        <v>42175</v>
      </c>
      <c r="L118" s="1593"/>
      <c r="M118" s="1594">
        <v>0</v>
      </c>
      <c r="N118" s="1595">
        <v>1.0373608877040077</v>
      </c>
      <c r="O118" s="1595">
        <v>1.0373608877040077</v>
      </c>
    </row>
    <row r="119" spans="2:15">
      <c r="B119" s="1474">
        <v>36039</v>
      </c>
      <c r="C119" s="1475">
        <v>147.98400000000001</v>
      </c>
      <c r="D119" s="1475">
        <v>1454.86</v>
      </c>
      <c r="E119" s="1475">
        <v>1.0255896332244516</v>
      </c>
      <c r="F119" s="1475">
        <v>3.7225065616934394</v>
      </c>
      <c r="K119" s="1592">
        <v>42176</v>
      </c>
      <c r="L119" s="1593"/>
      <c r="M119" s="1594">
        <v>0</v>
      </c>
      <c r="N119" s="1595">
        <v>1.0373608877040077</v>
      </c>
      <c r="O119" s="1595">
        <v>1.0373608877040077</v>
      </c>
    </row>
    <row r="120" spans="2:15">
      <c r="B120" s="1474">
        <v>36069</v>
      </c>
      <c r="C120" s="1475">
        <v>148.1</v>
      </c>
      <c r="D120" s="1475">
        <v>1455.15</v>
      </c>
      <c r="E120" s="1475">
        <v>1.0308188720930029</v>
      </c>
      <c r="F120" s="1475">
        <v>3.8372300152836338</v>
      </c>
      <c r="K120" s="1592">
        <v>42177</v>
      </c>
      <c r="L120" s="1593" t="s">
        <v>2301</v>
      </c>
      <c r="M120" s="1594">
        <v>5.0788E-2</v>
      </c>
      <c r="N120" s="1595">
        <v>1.0378877425516548</v>
      </c>
      <c r="O120" s="1595">
        <v>1.0378877425516548</v>
      </c>
    </row>
    <row r="121" spans="2:15">
      <c r="B121" s="1474">
        <v>36100</v>
      </c>
      <c r="C121" s="1475">
        <v>147.62799999999999</v>
      </c>
      <c r="D121" s="1475">
        <v>1453.4</v>
      </c>
      <c r="E121" s="1475">
        <v>1.0277678356785036</v>
      </c>
      <c r="F121" s="1475">
        <v>3.9437815878086515</v>
      </c>
      <c r="K121" s="1592">
        <v>42178</v>
      </c>
      <c r="L121" s="1593" t="s">
        <v>2301</v>
      </c>
      <c r="M121" s="1594">
        <v>5.0788E-2</v>
      </c>
      <c r="N121" s="1595">
        <v>1.038414864978342</v>
      </c>
      <c r="O121" s="1595">
        <v>1.038414864978342</v>
      </c>
    </row>
    <row r="122" spans="2:15">
      <c r="B122" s="1474">
        <v>36130</v>
      </c>
      <c r="C122" s="1475">
        <v>148.291</v>
      </c>
      <c r="D122" s="1475">
        <v>1458.2</v>
      </c>
      <c r="E122" s="1475">
        <v>1.025049538167373</v>
      </c>
      <c r="F122" s="1475">
        <v>4.0425714952162473</v>
      </c>
      <c r="K122" s="1592">
        <v>42179</v>
      </c>
      <c r="L122" s="1593" t="s">
        <v>2301</v>
      </c>
      <c r="M122" s="1594">
        <v>5.0788E-2</v>
      </c>
      <c r="N122" s="1595">
        <v>1.0389422551199672</v>
      </c>
      <c r="O122" s="1595">
        <v>1.0389422551199672</v>
      </c>
    </row>
    <row r="123" spans="2:15">
      <c r="B123" s="1474">
        <v>36161</v>
      </c>
      <c r="C123" s="1475">
        <v>149.53299999999999</v>
      </c>
      <c r="D123" s="1475">
        <v>1468.41</v>
      </c>
      <c r="E123" s="1475">
        <v>1.022811290449001</v>
      </c>
      <c r="F123" s="1475">
        <v>4.1347877677544771</v>
      </c>
      <c r="K123" s="1592">
        <v>42180</v>
      </c>
      <c r="L123" s="1593" t="s">
        <v>2301</v>
      </c>
      <c r="M123" s="1594">
        <v>5.0788E-2</v>
      </c>
      <c r="N123" s="1595">
        <v>1.0394699131124976</v>
      </c>
      <c r="O123" s="1595">
        <v>1.0394699131124976</v>
      </c>
    </row>
    <row r="124" spans="2:15">
      <c r="B124" s="1474">
        <v>36192</v>
      </c>
      <c r="C124" s="1475">
        <v>154.93299999999999</v>
      </c>
      <c r="D124" s="1475">
        <v>1483.83</v>
      </c>
      <c r="E124" s="1475">
        <v>1.0264662861429437</v>
      </c>
      <c r="F124" s="1475">
        <v>4.2442202439562102</v>
      </c>
      <c r="K124" s="1592">
        <v>42181</v>
      </c>
      <c r="L124" s="1593" t="s">
        <v>2301</v>
      </c>
      <c r="M124" s="1594">
        <v>5.0788E-2</v>
      </c>
      <c r="N124" s="1595">
        <v>1.0399978390919691</v>
      </c>
      <c r="O124" s="1595">
        <v>1.0399978390919691</v>
      </c>
    </row>
    <row r="125" spans="2:15">
      <c r="B125" s="1474">
        <v>36220</v>
      </c>
      <c r="C125" s="1475">
        <v>159.32499999999999</v>
      </c>
      <c r="D125" s="1475">
        <v>1500.15</v>
      </c>
      <c r="E125" s="1475">
        <v>1.033345195070198</v>
      </c>
      <c r="F125" s="1475">
        <v>4.3857445959118131</v>
      </c>
      <c r="K125" s="1592">
        <v>42182</v>
      </c>
      <c r="L125" s="1593"/>
      <c r="M125" s="1594">
        <v>0</v>
      </c>
      <c r="N125" s="1595">
        <v>1.0399978390919691</v>
      </c>
      <c r="O125" s="1595">
        <v>1.0399978390919691</v>
      </c>
    </row>
    <row r="126" spans="2:15">
      <c r="B126" s="1474">
        <v>36251</v>
      </c>
      <c r="C126" s="1475">
        <v>160.459</v>
      </c>
      <c r="D126" s="1475">
        <v>1508.55</v>
      </c>
      <c r="E126" s="1475">
        <v>1.027563660965396</v>
      </c>
      <c r="F126" s="1475">
        <v>4.5066317730343437</v>
      </c>
      <c r="K126" s="1592">
        <v>42183</v>
      </c>
      <c r="L126" s="1593"/>
      <c r="M126" s="1594">
        <v>0</v>
      </c>
      <c r="N126" s="1595">
        <v>1.0399978390919691</v>
      </c>
      <c r="O126" s="1595">
        <v>1.0399978390919691</v>
      </c>
    </row>
    <row r="127" spans="2:15">
      <c r="B127" s="1474">
        <v>36281</v>
      </c>
      <c r="C127" s="1475">
        <v>159.99600000000001</v>
      </c>
      <c r="D127" s="1475">
        <v>1513.08</v>
      </c>
      <c r="E127" s="1475">
        <v>1.0201883000304468</v>
      </c>
      <c r="F127" s="1475">
        <v>4.5976130073951058</v>
      </c>
      <c r="K127" s="1592">
        <v>42184</v>
      </c>
      <c r="L127" s="1593" t="s">
        <v>2301</v>
      </c>
      <c r="M127" s="1594">
        <v>5.0788E-2</v>
      </c>
      <c r="N127" s="1595">
        <v>1.0405260331944872</v>
      </c>
      <c r="O127" s="1595">
        <v>1.0405260331944872</v>
      </c>
    </row>
    <row r="128" spans="2:15">
      <c r="B128" s="1474">
        <v>36312</v>
      </c>
      <c r="C128" s="1475">
        <v>160.57300000000001</v>
      </c>
      <c r="D128" s="1475">
        <v>1515.95</v>
      </c>
      <c r="E128" s="1475">
        <v>1.0175637707499077</v>
      </c>
      <c r="F128" s="1475">
        <v>4.6783644282537873</v>
      </c>
      <c r="K128" s="1592">
        <v>42185</v>
      </c>
      <c r="L128" s="1593" t="s">
        <v>2301</v>
      </c>
      <c r="M128" s="1594">
        <v>5.0788E-2</v>
      </c>
      <c r="N128" s="1595">
        <v>1.041054495556226</v>
      </c>
      <c r="O128" s="1595">
        <v>1.041054495556226</v>
      </c>
    </row>
    <row r="129" spans="2:15">
      <c r="B129" s="1474">
        <v>36342</v>
      </c>
      <c r="C129" s="1475">
        <v>163.06</v>
      </c>
      <c r="D129" s="1475">
        <v>1532.47</v>
      </c>
      <c r="E129" s="1475">
        <v>1.0165876375704719</v>
      </c>
      <c r="F129" s="1475">
        <v>4.7559674418122491</v>
      </c>
      <c r="K129" s="1592">
        <v>42186</v>
      </c>
      <c r="L129" s="1593" t="s">
        <v>2301</v>
      </c>
      <c r="M129" s="1594">
        <v>5.0788E-2</v>
      </c>
      <c r="N129" s="1595">
        <v>1.041583226313429</v>
      </c>
      <c r="O129" s="1595">
        <v>1.041583226313429</v>
      </c>
    </row>
    <row r="130" spans="2:15">
      <c r="B130" s="1474">
        <v>36373</v>
      </c>
      <c r="C130" s="1475">
        <v>165.60300000000001</v>
      </c>
      <c r="D130" s="1475">
        <v>1541.05</v>
      </c>
      <c r="E130" s="1475">
        <v>1.0156847483880824</v>
      </c>
      <c r="F130" s="1475">
        <v>4.8305635944789866</v>
      </c>
      <c r="K130" s="1592">
        <v>42187</v>
      </c>
      <c r="L130" s="1593" t="s">
        <v>2301</v>
      </c>
      <c r="M130" s="1594">
        <v>5.0788E-2</v>
      </c>
      <c r="N130" s="1595">
        <v>1.0421122256024091</v>
      </c>
      <c r="O130" s="1595">
        <v>1.0421122256024091</v>
      </c>
    </row>
    <row r="131" spans="2:15">
      <c r="B131" s="1474">
        <v>36404</v>
      </c>
      <c r="C131" s="1475">
        <v>167.99700000000001</v>
      </c>
      <c r="D131" s="1475">
        <v>1545.83</v>
      </c>
      <c r="E131" s="1475">
        <v>1.0155901672784533</v>
      </c>
      <c r="F131" s="1475">
        <v>4.9058728889661207</v>
      </c>
      <c r="K131" s="1592">
        <v>42188</v>
      </c>
      <c r="L131" s="1593" t="s">
        <v>2301</v>
      </c>
      <c r="M131" s="1594">
        <v>5.0788E-2</v>
      </c>
      <c r="N131" s="1595">
        <v>1.042641493559548</v>
      </c>
      <c r="O131" s="1595">
        <v>1.042641493559548</v>
      </c>
    </row>
    <row r="132" spans="2:15">
      <c r="B132" s="1474">
        <v>36434</v>
      </c>
      <c r="C132" s="1475">
        <v>170.86099999999999</v>
      </c>
      <c r="D132" s="1475">
        <v>1564.23</v>
      </c>
      <c r="E132" s="1475">
        <v>1.0145370189540868</v>
      </c>
      <c r="F132" s="1475">
        <v>4.9771896561393616</v>
      </c>
      <c r="K132" s="1592">
        <v>42189</v>
      </c>
      <c r="L132" s="1593"/>
      <c r="M132" s="1594">
        <v>0</v>
      </c>
      <c r="N132" s="1595">
        <v>1.042641493559548</v>
      </c>
      <c r="O132" s="1595">
        <v>1.042641493559548</v>
      </c>
    </row>
    <row r="133" spans="2:15">
      <c r="B133" s="1474">
        <v>36465</v>
      </c>
      <c r="C133" s="1475">
        <v>174.93899999999999</v>
      </c>
      <c r="D133" s="1475">
        <v>1579.09</v>
      </c>
      <c r="E133" s="1475">
        <v>1.0152599173733607</v>
      </c>
      <c r="F133" s="1475">
        <v>5.0531411590435944</v>
      </c>
      <c r="K133" s="1592">
        <v>42190</v>
      </c>
      <c r="L133" s="1593"/>
      <c r="M133" s="1594">
        <v>0</v>
      </c>
      <c r="N133" s="1595">
        <v>1.042641493559548</v>
      </c>
      <c r="O133" s="1595">
        <v>1.042641493559548</v>
      </c>
    </row>
    <row r="134" spans="2:15">
      <c r="B134" s="1474">
        <v>36495</v>
      </c>
      <c r="C134" s="1475">
        <v>178.09899999999999</v>
      </c>
      <c r="D134" s="1475">
        <v>1588.56</v>
      </c>
      <c r="E134" s="1475">
        <v>1.0159962861507461</v>
      </c>
      <c r="F134" s="1475">
        <v>5.1339726509837682</v>
      </c>
      <c r="K134" s="1592">
        <v>42191</v>
      </c>
      <c r="L134" s="1593" t="s">
        <v>2301</v>
      </c>
      <c r="M134" s="1594">
        <v>5.0788E-2</v>
      </c>
      <c r="N134" s="1595">
        <v>1.0431710303212971</v>
      </c>
      <c r="O134" s="1595">
        <v>1.0431710303212971</v>
      </c>
    </row>
    <row r="135" spans="2:15">
      <c r="B135" s="1474">
        <v>36526</v>
      </c>
      <c r="C135" s="1475">
        <v>180.30099999999999</v>
      </c>
      <c r="D135" s="1475">
        <v>1598.41</v>
      </c>
      <c r="E135" s="1475">
        <v>1.0145573263269665</v>
      </c>
      <c r="F135" s="1475">
        <v>5.20870956621786</v>
      </c>
      <c r="K135" s="1592">
        <v>42192</v>
      </c>
      <c r="L135" s="1593" t="s">
        <v>2301</v>
      </c>
      <c r="M135" s="1594">
        <v>5.0788E-2</v>
      </c>
      <c r="N135" s="1595">
        <v>1.0437008360241766</v>
      </c>
      <c r="O135" s="1595">
        <v>1.0437008360241766</v>
      </c>
    </row>
    <row r="136" spans="2:15">
      <c r="B136" s="1474">
        <v>36557</v>
      </c>
      <c r="C136" s="1475">
        <v>180.935</v>
      </c>
      <c r="D136" s="1475">
        <v>1600.49</v>
      </c>
      <c r="E136" s="1475">
        <v>1.0145089461247463</v>
      </c>
      <c r="F136" s="1475">
        <v>5.2842824526935654</v>
      </c>
      <c r="K136" s="1592">
        <v>42193</v>
      </c>
      <c r="L136" s="1593" t="s">
        <v>2301</v>
      </c>
      <c r="M136" s="1594">
        <v>5.0788E-2</v>
      </c>
      <c r="N136" s="1595">
        <v>1.0442309108047767</v>
      </c>
      <c r="O136" s="1595">
        <v>1.0442309108047767</v>
      </c>
    </row>
    <row r="137" spans="2:15">
      <c r="B137" s="1474">
        <v>36586</v>
      </c>
      <c r="C137" s="1475">
        <v>181.214</v>
      </c>
      <c r="D137" s="1475">
        <v>1604.01</v>
      </c>
      <c r="E137" s="1475">
        <v>1.0158860407835757</v>
      </c>
      <c r="F137" s="1475">
        <v>5.3682287792489891</v>
      </c>
      <c r="K137" s="1592">
        <v>42194</v>
      </c>
      <c r="L137" s="1593" t="s">
        <v>2301</v>
      </c>
      <c r="M137" s="1594">
        <v>5.0788E-2</v>
      </c>
      <c r="N137" s="1595">
        <v>1.0447612547997562</v>
      </c>
      <c r="O137" s="1595">
        <v>1.0447612547997562</v>
      </c>
    </row>
    <row r="138" spans="2:15">
      <c r="B138" s="1474">
        <v>36617</v>
      </c>
      <c r="C138" s="1475">
        <v>181.63499999999999</v>
      </c>
      <c r="D138" s="1475">
        <v>1610.75</v>
      </c>
      <c r="E138" s="1475">
        <v>1.0136441914221253</v>
      </c>
      <c r="F138" s="1475">
        <v>5.4414739203108242</v>
      </c>
      <c r="K138" s="1592">
        <v>42195</v>
      </c>
      <c r="L138" s="1593" t="s">
        <v>2301</v>
      </c>
      <c r="M138" s="1594">
        <v>5.0788E-2</v>
      </c>
      <c r="N138" s="1595">
        <v>1.0452918681458438</v>
      </c>
      <c r="O138" s="1595">
        <v>1.0452918681458438</v>
      </c>
    </row>
    <row r="139" spans="2:15">
      <c r="B139" s="1474">
        <v>36647</v>
      </c>
      <c r="C139" s="1475">
        <v>182.18899999999999</v>
      </c>
      <c r="D139" s="1475">
        <v>1610.91</v>
      </c>
      <c r="E139" s="1475">
        <v>1.0156265899953318</v>
      </c>
      <c r="F139" s="1475">
        <v>5.5265056022338124</v>
      </c>
      <c r="K139" s="1592">
        <v>42196</v>
      </c>
      <c r="L139" s="1593"/>
      <c r="M139" s="1594">
        <v>0</v>
      </c>
      <c r="N139" s="1595">
        <v>1.0452918681458438</v>
      </c>
      <c r="O139" s="1595">
        <v>1.0452918681458438</v>
      </c>
    </row>
    <row r="140" spans="2:15">
      <c r="B140" s="1474">
        <v>36678</v>
      </c>
      <c r="C140" s="1475">
        <v>183.745</v>
      </c>
      <c r="D140" s="1475">
        <v>1614.62</v>
      </c>
      <c r="E140" s="1475">
        <v>1.0145668910909638</v>
      </c>
      <c r="F140" s="1475">
        <v>5.6070096074551534</v>
      </c>
      <c r="K140" s="1592">
        <v>42197</v>
      </c>
      <c r="L140" s="1593"/>
      <c r="M140" s="1594">
        <v>0</v>
      </c>
      <c r="N140" s="1595">
        <v>1.0452918681458438</v>
      </c>
      <c r="O140" s="1595">
        <v>1.0452918681458438</v>
      </c>
    </row>
    <row r="141" spans="2:15">
      <c r="B141" s="1474">
        <v>36708</v>
      </c>
      <c r="C141" s="1475">
        <v>186.63399999999999</v>
      </c>
      <c r="D141" s="1475">
        <v>1640.62</v>
      </c>
      <c r="E141" s="1475">
        <v>1.0130599958288005</v>
      </c>
      <c r="F141" s="1475">
        <v>5.6802371295405623</v>
      </c>
      <c r="K141" s="1592">
        <v>42198</v>
      </c>
      <c r="L141" s="1593" t="s">
        <v>2301</v>
      </c>
      <c r="M141" s="1594">
        <v>5.0788E-2</v>
      </c>
      <c r="N141" s="1595">
        <v>1.0458227509798377</v>
      </c>
      <c r="O141" s="1595">
        <v>1.0458227509798377</v>
      </c>
    </row>
    <row r="142" spans="2:15">
      <c r="B142" s="1474">
        <v>36739</v>
      </c>
      <c r="C142" s="1475">
        <v>191.08699999999999</v>
      </c>
      <c r="D142" s="1475">
        <v>1662.11</v>
      </c>
      <c r="E142" s="1475">
        <v>1.0140543715890855</v>
      </c>
      <c r="F142" s="1475">
        <v>5.7600692928732462</v>
      </c>
      <c r="K142" s="1592">
        <v>42199</v>
      </c>
      <c r="L142" s="1593" t="s">
        <v>2301</v>
      </c>
      <c r="M142" s="1594">
        <v>5.0788E-2</v>
      </c>
      <c r="N142" s="1595">
        <v>1.0463539034386053</v>
      </c>
      <c r="O142" s="1595">
        <v>1.0463539034386053</v>
      </c>
    </row>
    <row r="143" spans="2:15">
      <c r="B143" s="1474">
        <v>36770</v>
      </c>
      <c r="C143" s="1475">
        <v>193.297</v>
      </c>
      <c r="D143" s="1475">
        <v>1665.93</v>
      </c>
      <c r="E143" s="1475">
        <v>1.0128508890656427</v>
      </c>
      <c r="F143" s="1475">
        <v>5.8340913043663756</v>
      </c>
      <c r="K143" s="1592">
        <v>42200</v>
      </c>
      <c r="L143" s="1593" t="s">
        <v>2301</v>
      </c>
      <c r="M143" s="1594">
        <v>5.0788E-2</v>
      </c>
      <c r="N143" s="1595">
        <v>1.0468853256590838</v>
      </c>
      <c r="O143" s="1595">
        <v>1.0468853256590838</v>
      </c>
    </row>
    <row r="144" spans="2:15">
      <c r="B144" s="1474">
        <v>36800</v>
      </c>
      <c r="C144" s="1475">
        <v>194.04</v>
      </c>
      <c r="D144" s="1475">
        <v>1668.26</v>
      </c>
      <c r="E144" s="1475">
        <v>1.013495295624836</v>
      </c>
      <c r="F144" s="1475">
        <v>5.9128240912210845</v>
      </c>
      <c r="K144" s="1592">
        <v>42201</v>
      </c>
      <c r="L144" s="1593" t="s">
        <v>2301</v>
      </c>
      <c r="M144" s="1594">
        <v>5.0788E-2</v>
      </c>
      <c r="N144" s="1595">
        <v>1.0474170177782796</v>
      </c>
      <c r="O144" s="1595">
        <v>1.0474170177782796</v>
      </c>
    </row>
    <row r="145" spans="2:15">
      <c r="B145" s="1474">
        <v>36831</v>
      </c>
      <c r="C145" s="1475">
        <v>194.59899999999999</v>
      </c>
      <c r="D145" s="1475">
        <v>1673.6</v>
      </c>
      <c r="E145" s="1475">
        <v>1.013431060777086</v>
      </c>
      <c r="F145" s="1475">
        <v>5.992239590954493</v>
      </c>
      <c r="K145" s="1592">
        <v>42202</v>
      </c>
      <c r="L145" s="1593" t="s">
        <v>2301</v>
      </c>
      <c r="M145" s="1594">
        <v>5.0788E-2</v>
      </c>
      <c r="N145" s="1595">
        <v>1.0479489799332689</v>
      </c>
      <c r="O145" s="1595">
        <v>1.0479489799332689</v>
      </c>
    </row>
    <row r="146" spans="2:15">
      <c r="B146" s="1474">
        <v>36861</v>
      </c>
      <c r="C146" s="1475">
        <v>195.827</v>
      </c>
      <c r="D146" s="1475">
        <v>1683.47</v>
      </c>
      <c r="E146" s="1475">
        <v>1.0125716392096709</v>
      </c>
      <c r="F146" s="1475">
        <v>6.0675718651498789</v>
      </c>
      <c r="K146" s="1592">
        <v>42203</v>
      </c>
      <c r="L146" s="1593"/>
      <c r="M146" s="1594">
        <v>0</v>
      </c>
      <c r="N146" s="1595">
        <v>1.0479489799332689</v>
      </c>
      <c r="O146" s="1595">
        <v>1.0479489799332689</v>
      </c>
    </row>
    <row r="147" spans="2:15">
      <c r="B147" s="1474">
        <v>36892</v>
      </c>
      <c r="C147" s="1475">
        <v>197.04499999999999</v>
      </c>
      <c r="D147" s="1475">
        <v>1693.07</v>
      </c>
      <c r="E147" s="1475">
        <v>1.0126506879847863</v>
      </c>
      <c r="F147" s="1475">
        <v>6.144330823641158</v>
      </c>
      <c r="K147" s="1592">
        <v>42204</v>
      </c>
      <c r="L147" s="1593"/>
      <c r="M147" s="1594">
        <v>0</v>
      </c>
      <c r="N147" s="1595">
        <v>1.0479489799332689</v>
      </c>
      <c r="O147" s="1595">
        <v>1.0479489799332689</v>
      </c>
    </row>
    <row r="148" spans="2:15">
      <c r="B148" s="1474">
        <v>36923</v>
      </c>
      <c r="C148" s="1475">
        <v>197.49100000000001</v>
      </c>
      <c r="D148" s="1475">
        <v>1700.86</v>
      </c>
      <c r="E148" s="1475">
        <v>1.0101583510827936</v>
      </c>
      <c r="F148" s="1475">
        <v>6.206747093316535</v>
      </c>
      <c r="K148" s="1592">
        <v>42205</v>
      </c>
      <c r="L148" s="1593" t="s">
        <v>2301</v>
      </c>
      <c r="M148" s="1594">
        <v>5.0788E-2</v>
      </c>
      <c r="N148" s="1595">
        <v>1.0484812122611973</v>
      </c>
      <c r="O148" s="1595">
        <v>1.0484812122611973</v>
      </c>
    </row>
    <row r="149" spans="2:15">
      <c r="B149" s="1474">
        <v>36951</v>
      </c>
      <c r="C149" s="1475">
        <v>198.60599999999999</v>
      </c>
      <c r="D149" s="1475">
        <v>1707.32</v>
      </c>
      <c r="E149" s="1475">
        <v>1.0125785495836725</v>
      </c>
      <c r="F149" s="1475">
        <v>6.2848189693831324</v>
      </c>
      <c r="K149" s="1592">
        <v>42206</v>
      </c>
      <c r="L149" s="1593" t="s">
        <v>2301</v>
      </c>
      <c r="M149" s="1594">
        <v>5.0788E-2</v>
      </c>
      <c r="N149" s="1595">
        <v>1.0490137148992804</v>
      </c>
      <c r="O149" s="1595">
        <v>1.0490137148992804</v>
      </c>
    </row>
    <row r="150" spans="2:15">
      <c r="B150" s="1474">
        <v>36982</v>
      </c>
      <c r="C150" s="1475">
        <v>200.59100000000001</v>
      </c>
      <c r="D150" s="1475">
        <v>1717.22</v>
      </c>
      <c r="E150" s="1475">
        <v>1.0118637336714187</v>
      </c>
      <c r="F150" s="1475">
        <v>6.3593803878089741</v>
      </c>
      <c r="K150" s="1592">
        <v>42207</v>
      </c>
      <c r="L150" s="1593" t="s">
        <v>2301</v>
      </c>
      <c r="M150" s="1594">
        <v>5.0788E-2</v>
      </c>
      <c r="N150" s="1595">
        <v>1.0495464879848035</v>
      </c>
      <c r="O150" s="1595">
        <v>1.0495464879848035</v>
      </c>
    </row>
    <row r="151" spans="2:15">
      <c r="B151" s="1474">
        <v>37012</v>
      </c>
      <c r="C151" s="1475">
        <v>202.32400000000001</v>
      </c>
      <c r="D151" s="1475">
        <v>1724.26</v>
      </c>
      <c r="E151" s="1475">
        <v>1.0133677002760824</v>
      </c>
      <c r="F151" s="1475">
        <v>6.4443906787748011</v>
      </c>
      <c r="K151" s="1592">
        <v>42208</v>
      </c>
      <c r="L151" s="1593" t="s">
        <v>2301</v>
      </c>
      <c r="M151" s="1594">
        <v>5.0788E-2</v>
      </c>
      <c r="N151" s="1595">
        <v>1.0500795316551212</v>
      </c>
      <c r="O151" s="1595">
        <v>1.0500795316551212</v>
      </c>
    </row>
    <row r="152" spans="2:15">
      <c r="B152" s="1474">
        <v>37043</v>
      </c>
      <c r="C152" s="1475">
        <v>204.31</v>
      </c>
      <c r="D152" s="1475">
        <v>1733.23</v>
      </c>
      <c r="E152" s="1475">
        <v>1.0127331554566117</v>
      </c>
      <c r="F152" s="1475">
        <v>6.5264481071107801</v>
      </c>
      <c r="K152" s="1592">
        <v>42209</v>
      </c>
      <c r="L152" s="1593" t="s">
        <v>2301</v>
      </c>
      <c r="M152" s="1594">
        <v>5.0788E-2</v>
      </c>
      <c r="N152" s="1595">
        <v>1.0506128460476583</v>
      </c>
      <c r="O152" s="1595">
        <v>1.0506128460476583</v>
      </c>
    </row>
    <row r="153" spans="2:15">
      <c r="B153" s="1474">
        <v>37073</v>
      </c>
      <c r="C153" s="1475">
        <v>207.34100000000001</v>
      </c>
      <c r="D153" s="1475">
        <v>1756.28</v>
      </c>
      <c r="E153" s="1475">
        <v>1.014979822756394</v>
      </c>
      <c r="F153" s="1475">
        <v>6.6242131429841029</v>
      </c>
      <c r="K153" s="1592">
        <v>42210</v>
      </c>
      <c r="L153" s="1593"/>
      <c r="M153" s="1594">
        <v>0</v>
      </c>
      <c r="N153" s="1595">
        <v>1.0506128460476583</v>
      </c>
      <c r="O153" s="1595">
        <v>1.0506128460476583</v>
      </c>
    </row>
    <row r="154" spans="2:15">
      <c r="B154" s="1474">
        <v>37104</v>
      </c>
      <c r="C154" s="1475">
        <v>210.21100000000001</v>
      </c>
      <c r="D154" s="1475">
        <v>1768.57</v>
      </c>
      <c r="E154" s="1475">
        <v>1.0160000122718875</v>
      </c>
      <c r="F154" s="1475">
        <v>6.7302006345634471</v>
      </c>
      <c r="K154" s="1592">
        <v>42211</v>
      </c>
      <c r="L154" s="1593"/>
      <c r="M154" s="1594">
        <v>0</v>
      </c>
      <c r="N154" s="1595">
        <v>1.0506128460476583</v>
      </c>
      <c r="O154" s="1595">
        <v>1.0506128460476583</v>
      </c>
    </row>
    <row r="155" spans="2:15">
      <c r="B155" s="1474">
        <v>37135</v>
      </c>
      <c r="C155" s="1475">
        <v>210.85300000000001</v>
      </c>
      <c r="D155" s="1475">
        <v>1773.52</v>
      </c>
      <c r="E155" s="1475">
        <v>1.013243107438228</v>
      </c>
      <c r="F155" s="1475">
        <v>6.8193294046478012</v>
      </c>
      <c r="K155" s="1592">
        <v>42212</v>
      </c>
      <c r="L155" s="1593" t="s">
        <v>2301</v>
      </c>
      <c r="M155" s="1594">
        <v>5.0788E-2</v>
      </c>
      <c r="N155" s="1595">
        <v>1.051146431299909</v>
      </c>
      <c r="O155" s="1595">
        <v>1.051146431299909</v>
      </c>
    </row>
    <row r="156" spans="2:15">
      <c r="B156" s="1474">
        <v>37165</v>
      </c>
      <c r="C156" s="1475">
        <v>213.339</v>
      </c>
      <c r="D156" s="1475">
        <v>1788.24</v>
      </c>
      <c r="E156" s="1475">
        <v>1.0153493751182632</v>
      </c>
      <c r="F156" s="1475">
        <v>6.9240018497347426</v>
      </c>
      <c r="K156" s="1592">
        <v>42213</v>
      </c>
      <c r="L156" s="1593" t="s">
        <v>2301</v>
      </c>
      <c r="M156" s="1594">
        <v>5.0788E-2</v>
      </c>
      <c r="N156" s="1595">
        <v>1.0516802875494375</v>
      </c>
      <c r="O156" s="1595">
        <v>1.0516802875494375</v>
      </c>
    </row>
    <row r="157" spans="2:15">
      <c r="B157" s="1474">
        <v>37196</v>
      </c>
      <c r="C157" s="1475">
        <v>215.685</v>
      </c>
      <c r="D157" s="1475">
        <v>1800.94</v>
      </c>
      <c r="E157" s="1475">
        <v>1.0139343824698488</v>
      </c>
      <c r="F157" s="1475">
        <v>7.0204835397308871</v>
      </c>
      <c r="K157" s="1592">
        <v>42214</v>
      </c>
      <c r="L157" s="1593" t="s">
        <v>2301</v>
      </c>
      <c r="M157" s="1594">
        <v>5.0788E-2</v>
      </c>
      <c r="N157" s="1595">
        <v>1.0522144149338781</v>
      </c>
      <c r="O157" s="1595">
        <v>1.0522144149338781</v>
      </c>
    </row>
    <row r="158" spans="2:15">
      <c r="B158" s="1474">
        <v>37226</v>
      </c>
      <c r="C158" s="1475">
        <v>216.16300000000001</v>
      </c>
      <c r="D158" s="1475">
        <v>1812.65</v>
      </c>
      <c r="E158" s="1475">
        <v>1.0139354159682339</v>
      </c>
      <c r="F158" s="1475">
        <v>7.1183168981551761</v>
      </c>
      <c r="K158" s="1592">
        <v>42215</v>
      </c>
      <c r="L158" s="1593" t="s">
        <v>2301</v>
      </c>
      <c r="M158" s="1594">
        <v>5.2531000000000001E-2</v>
      </c>
      <c r="N158" s="1595">
        <v>1.0527671536881871</v>
      </c>
      <c r="O158" s="1595">
        <v>1.0527671536881871</v>
      </c>
    </row>
    <row r="159" spans="2:15">
      <c r="B159" s="1474">
        <v>37257</v>
      </c>
      <c r="C159" s="1475">
        <v>216.94399999999999</v>
      </c>
      <c r="D159" s="1475">
        <v>1822.08</v>
      </c>
      <c r="E159" s="1475">
        <v>1.0153395939759675</v>
      </c>
      <c r="F159" s="1475">
        <v>7.2275089891651447</v>
      </c>
      <c r="K159" s="1592">
        <v>42216</v>
      </c>
      <c r="L159" s="1593" t="s">
        <v>2301</v>
      </c>
      <c r="M159" s="1594">
        <v>5.2531000000000001E-2</v>
      </c>
      <c r="N159" s="1595">
        <v>1.0533201828016909</v>
      </c>
      <c r="O159" s="1595">
        <v>1.0533201828016909</v>
      </c>
    </row>
    <row r="160" spans="2:15">
      <c r="B160" s="1474">
        <v>37288</v>
      </c>
      <c r="C160" s="1475">
        <v>217.07400000000001</v>
      </c>
      <c r="D160" s="1475">
        <v>1828.64</v>
      </c>
      <c r="E160" s="1475">
        <v>1.012482154231837</v>
      </c>
      <c r="F160" s="1475">
        <v>7.3177238710798918</v>
      </c>
      <c r="K160" s="1592">
        <v>42217</v>
      </c>
      <c r="L160" s="1593"/>
      <c r="M160" s="1594">
        <v>0</v>
      </c>
      <c r="N160" s="1595">
        <v>1.0533201828016909</v>
      </c>
      <c r="O160" s="1595">
        <v>1.0533201828016909</v>
      </c>
    </row>
    <row r="161" spans="2:15">
      <c r="B161" s="1474">
        <v>37316</v>
      </c>
      <c r="C161" s="1475">
        <v>217.27600000000001</v>
      </c>
      <c r="D161" s="1475">
        <v>1839.61</v>
      </c>
      <c r="E161" s="1475">
        <v>1.013713327882185</v>
      </c>
      <c r="F161" s="1475">
        <v>7.4180742178753025</v>
      </c>
      <c r="K161" s="1592">
        <v>42218</v>
      </c>
      <c r="L161" s="1593"/>
      <c r="M161" s="1594">
        <v>0</v>
      </c>
      <c r="N161" s="1595">
        <v>1.0533201828016909</v>
      </c>
      <c r="O161" s="1595">
        <v>1.0533201828016909</v>
      </c>
    </row>
    <row r="162" spans="2:15">
      <c r="B162" s="1474">
        <v>37347</v>
      </c>
      <c r="C162" s="1475">
        <v>218.48599999999999</v>
      </c>
      <c r="D162" s="1475">
        <v>1854.33</v>
      </c>
      <c r="E162" s="1475">
        <v>1.0148356719718208</v>
      </c>
      <c r="F162" s="1475">
        <v>7.5281263336343214</v>
      </c>
      <c r="K162" s="1592">
        <v>42219</v>
      </c>
      <c r="L162" s="1593" t="s">
        <v>2301</v>
      </c>
      <c r="M162" s="1594">
        <v>5.2531000000000001E-2</v>
      </c>
      <c r="N162" s="1595">
        <v>1.0538735024269186</v>
      </c>
      <c r="O162" s="1595">
        <v>1.0538735024269186</v>
      </c>
    </row>
    <row r="163" spans="2:15">
      <c r="B163" s="1474">
        <v>37377</v>
      </c>
      <c r="C163" s="1475">
        <v>220.292</v>
      </c>
      <c r="D163" s="1475">
        <v>1858.22</v>
      </c>
      <c r="E163" s="1475">
        <v>1.0141498936566418</v>
      </c>
      <c r="F163" s="1475">
        <v>7.6346485206890113</v>
      </c>
      <c r="K163" s="1592">
        <v>42220</v>
      </c>
      <c r="L163" s="1593" t="s">
        <v>2301</v>
      </c>
      <c r="M163" s="1594">
        <v>5.2531000000000001E-2</v>
      </c>
      <c r="N163" s="1595">
        <v>1.0544271127164784</v>
      </c>
      <c r="O163" s="1595">
        <v>1.0544271127164784</v>
      </c>
    </row>
    <row r="164" spans="2:15">
      <c r="B164" s="1474">
        <v>37408</v>
      </c>
      <c r="C164" s="1475">
        <v>223.68799999999999</v>
      </c>
      <c r="D164" s="1475">
        <v>1866.02</v>
      </c>
      <c r="E164" s="1475">
        <v>1.0132903281280037</v>
      </c>
      <c r="F164" s="1475">
        <v>7.7361155046709458</v>
      </c>
      <c r="K164" s="1592">
        <v>42221</v>
      </c>
      <c r="L164" s="1593" t="s">
        <v>2301</v>
      </c>
      <c r="M164" s="1594">
        <v>5.2531000000000001E-2</v>
      </c>
      <c r="N164" s="1595">
        <v>1.0549810138230595</v>
      </c>
      <c r="O164" s="1595">
        <v>1.0549810138230595</v>
      </c>
    </row>
    <row r="165" spans="2:15">
      <c r="B165" s="1474">
        <v>37438</v>
      </c>
      <c r="C165" s="1475">
        <v>228.05699999999999</v>
      </c>
      <c r="D165" s="1475">
        <v>1888.23</v>
      </c>
      <c r="E165" s="1475">
        <v>1.0153543455443825</v>
      </c>
      <c r="F165" s="1475">
        <v>7.8548984953009189</v>
      </c>
      <c r="K165" s="1592">
        <v>42222</v>
      </c>
      <c r="L165" s="1593" t="s">
        <v>2301</v>
      </c>
      <c r="M165" s="1594">
        <v>5.2531000000000001E-2</v>
      </c>
      <c r="N165" s="1595">
        <v>1.055535205899431</v>
      </c>
      <c r="O165" s="1595">
        <v>1.055535205899431</v>
      </c>
    </row>
    <row r="166" spans="2:15">
      <c r="B166" s="1474">
        <v>37469</v>
      </c>
      <c r="C166" s="1475">
        <v>233.34800000000001</v>
      </c>
      <c r="D166" s="1475">
        <v>1900.5</v>
      </c>
      <c r="E166" s="1475">
        <v>1.0144340404848073</v>
      </c>
      <c r="F166" s="1475">
        <v>7.9682764181861447</v>
      </c>
      <c r="K166" s="1592">
        <v>42223</v>
      </c>
      <c r="L166" s="1593" t="s">
        <v>2301</v>
      </c>
      <c r="M166" s="1594">
        <v>5.2531000000000001E-2</v>
      </c>
      <c r="N166" s="1595">
        <v>1.0560896890984419</v>
      </c>
      <c r="O166" s="1595">
        <v>1.0560896890984419</v>
      </c>
    </row>
    <row r="167" spans="2:15">
      <c r="B167" s="1474">
        <v>37500</v>
      </c>
      <c r="C167" s="1475">
        <v>238.94300000000001</v>
      </c>
      <c r="D167" s="1475">
        <v>1914.18</v>
      </c>
      <c r="E167" s="1475">
        <v>1.0138126637754254</v>
      </c>
      <c r="F167" s="1475">
        <v>8.0783395412202008</v>
      </c>
      <c r="K167" s="1592">
        <v>42224</v>
      </c>
      <c r="L167" s="1593"/>
      <c r="M167" s="1594">
        <v>0</v>
      </c>
      <c r="N167" s="1595">
        <v>1.0560896890984419</v>
      </c>
      <c r="O167" s="1595">
        <v>1.0560896890984419</v>
      </c>
    </row>
    <row r="168" spans="2:15">
      <c r="B168" s="1474">
        <v>37530</v>
      </c>
      <c r="C168" s="1475">
        <v>248.19900000000001</v>
      </c>
      <c r="D168" s="1475">
        <v>1939.26</v>
      </c>
      <c r="E168" s="1475">
        <v>1.0164592520111337</v>
      </c>
      <c r="F168" s="1475">
        <v>8.2113029675606501</v>
      </c>
      <c r="K168" s="1592">
        <v>42225</v>
      </c>
      <c r="L168" s="1593"/>
      <c r="M168" s="1594">
        <v>0</v>
      </c>
      <c r="N168" s="1595">
        <v>1.0560896890984419</v>
      </c>
      <c r="O168" s="1595">
        <v>1.0560896890984419</v>
      </c>
    </row>
    <row r="169" spans="2:15">
      <c r="B169" s="1474">
        <v>37561</v>
      </c>
      <c r="C169" s="1475">
        <v>261.08</v>
      </c>
      <c r="D169" s="1475">
        <v>1997.83</v>
      </c>
      <c r="E169" s="1475">
        <v>1.0154093077816833</v>
      </c>
      <c r="F169" s="1475">
        <v>8.337833462276441</v>
      </c>
      <c r="K169" s="1592">
        <v>42226</v>
      </c>
      <c r="L169" s="1593" t="s">
        <v>2301</v>
      </c>
      <c r="M169" s="1594">
        <v>5.2531000000000001E-2</v>
      </c>
      <c r="N169" s="1595">
        <v>1.0566444635730223</v>
      </c>
      <c r="O169" s="1595">
        <v>1.0566444635730223</v>
      </c>
    </row>
    <row r="170" spans="2:15">
      <c r="B170" s="1474">
        <v>37591</v>
      </c>
      <c r="C170" s="1475">
        <v>270.86700000000002</v>
      </c>
      <c r="D170" s="1475">
        <v>2039.78</v>
      </c>
      <c r="E170" s="1475">
        <v>1.0174244857414556</v>
      </c>
      <c r="F170" s="1475">
        <v>8.483115922554509</v>
      </c>
      <c r="K170" s="1592">
        <v>42227</v>
      </c>
      <c r="L170" s="1593" t="s">
        <v>2301</v>
      </c>
      <c r="M170" s="1594">
        <v>5.2531000000000001E-2</v>
      </c>
      <c r="N170" s="1595">
        <v>1.0571995294761818</v>
      </c>
      <c r="O170" s="1595">
        <v>1.0571995294761818</v>
      </c>
    </row>
    <row r="171" spans="2:15">
      <c r="B171" s="1474">
        <v>37622</v>
      </c>
      <c r="C171" s="1475">
        <v>277.173</v>
      </c>
      <c r="D171" s="1475">
        <v>2085.6799999999998</v>
      </c>
      <c r="E171" s="1475">
        <v>1.0197126646415859</v>
      </c>
      <c r="F171" s="1475">
        <v>8.6503407418515241</v>
      </c>
      <c r="K171" s="1592">
        <v>42228</v>
      </c>
      <c r="L171" s="1593" t="s">
        <v>2301</v>
      </c>
      <c r="M171" s="1594">
        <v>5.2531000000000001E-2</v>
      </c>
      <c r="N171" s="1595">
        <v>1.0577548869610109</v>
      </c>
      <c r="O171" s="1595">
        <v>1.0577548869610109</v>
      </c>
    </row>
    <row r="172" spans="2:15">
      <c r="B172" s="1474">
        <v>37653</v>
      </c>
      <c r="C172" s="1475">
        <v>283.50599999999997</v>
      </c>
      <c r="D172" s="1475">
        <v>2118.4299999999998</v>
      </c>
      <c r="E172" s="1475">
        <v>1.0183037986307939</v>
      </c>
      <c r="F172" s="1475">
        <v>8.8086748368781276</v>
      </c>
      <c r="K172" s="1592">
        <v>42229</v>
      </c>
      <c r="L172" s="1593" t="s">
        <v>2301</v>
      </c>
      <c r="M172" s="1594">
        <v>5.2531000000000001E-2</v>
      </c>
      <c r="N172" s="1595">
        <v>1.0583105361806804</v>
      </c>
      <c r="O172" s="1595">
        <v>1.0583105361806804</v>
      </c>
    </row>
    <row r="173" spans="2:15">
      <c r="B173" s="1474">
        <v>37681</v>
      </c>
      <c r="C173" s="1475">
        <v>287.85500000000002</v>
      </c>
      <c r="D173" s="1475">
        <v>2144.4899999999998</v>
      </c>
      <c r="E173" s="1475">
        <v>1.0177701866474056</v>
      </c>
      <c r="F173" s="1475">
        <v>8.9652066328457565</v>
      </c>
      <c r="K173" s="1592">
        <v>42230</v>
      </c>
      <c r="L173" s="1593" t="s">
        <v>2301</v>
      </c>
      <c r="M173" s="1594">
        <v>5.2531000000000001E-2</v>
      </c>
      <c r="N173" s="1595">
        <v>1.0588664772884415</v>
      </c>
      <c r="O173" s="1595">
        <v>1.0588664772884415</v>
      </c>
    </row>
    <row r="174" spans="2:15">
      <c r="B174" s="1474">
        <v>37712</v>
      </c>
      <c r="C174" s="1475">
        <v>290.512</v>
      </c>
      <c r="D174" s="1475">
        <v>2165.29</v>
      </c>
      <c r="E174" s="1475">
        <v>1.0187159495984839</v>
      </c>
      <c r="F174" s="1475">
        <v>9.1329989883260918</v>
      </c>
      <c r="K174" s="1592">
        <v>42231</v>
      </c>
      <c r="L174" s="1593"/>
      <c r="M174" s="1594">
        <v>0</v>
      </c>
      <c r="N174" s="1595">
        <v>1.0588664772884415</v>
      </c>
      <c r="O174" s="1595">
        <v>1.0588664772884415</v>
      </c>
    </row>
    <row r="175" spans="2:15">
      <c r="B175" s="1474">
        <v>37742</v>
      </c>
      <c r="C175" s="1475">
        <v>289.74700000000001</v>
      </c>
      <c r="D175" s="1475">
        <v>2178.5</v>
      </c>
      <c r="E175" s="1475">
        <v>1.0196535248447016</v>
      </c>
      <c r="F175" s="1475">
        <v>9.312494610849793</v>
      </c>
      <c r="K175" s="1592">
        <v>42232</v>
      </c>
      <c r="L175" s="1593"/>
      <c r="M175" s="1594">
        <v>0</v>
      </c>
      <c r="N175" s="1595">
        <v>1.0588664772884415</v>
      </c>
      <c r="O175" s="1595">
        <v>1.0588664772884415</v>
      </c>
    </row>
    <row r="176" spans="2:15">
      <c r="B176" s="1474">
        <v>37773</v>
      </c>
      <c r="C176" s="1475">
        <v>286.84300000000002</v>
      </c>
      <c r="D176" s="1475">
        <v>2175.23</v>
      </c>
      <c r="E176" s="1475">
        <v>1.0185667947451373</v>
      </c>
      <c r="F176" s="1475">
        <v>9.4853977868546391</v>
      </c>
      <c r="K176" s="1592">
        <v>42233</v>
      </c>
      <c r="L176" s="1593" t="s">
        <v>2301</v>
      </c>
      <c r="M176" s="1594">
        <v>5.2531000000000001E-2</v>
      </c>
      <c r="N176" s="1595">
        <v>1.0594227104376259</v>
      </c>
      <c r="O176" s="1595">
        <v>1.0594227104376259</v>
      </c>
    </row>
    <row r="177" spans="2:15">
      <c r="B177" s="1474">
        <v>37803</v>
      </c>
      <c r="C177" s="1475">
        <v>285.649</v>
      </c>
      <c r="D177" s="1475">
        <v>2179.58</v>
      </c>
      <c r="E177" s="1475">
        <v>1.0208424747911398</v>
      </c>
      <c r="F177" s="1475">
        <v>9.6830969511110894</v>
      </c>
      <c r="K177" s="1592">
        <v>42234</v>
      </c>
      <c r="L177" s="1593" t="s">
        <v>2301</v>
      </c>
      <c r="M177" s="1594">
        <v>5.2531000000000001E-2</v>
      </c>
      <c r="N177" s="1595">
        <v>1.059979235781646</v>
      </c>
      <c r="O177" s="1595">
        <v>1.059979235781646</v>
      </c>
    </row>
    <row r="178" spans="2:15">
      <c r="B178" s="1474">
        <v>37834</v>
      </c>
      <c r="C178" s="1475">
        <v>286.73500000000001</v>
      </c>
      <c r="D178" s="1475">
        <v>2186.9899999999998</v>
      </c>
      <c r="E178" s="1475">
        <v>1.0177426111342931</v>
      </c>
      <c r="F178" s="1475">
        <v>9.8549003748903132</v>
      </c>
      <c r="K178" s="1592">
        <v>42235</v>
      </c>
      <c r="L178" s="1593" t="s">
        <v>2301</v>
      </c>
      <c r="M178" s="1594">
        <v>5.2531000000000001E-2</v>
      </c>
      <c r="N178" s="1595">
        <v>1.0605360534739945</v>
      </c>
      <c r="O178" s="1595">
        <v>1.0605360534739945</v>
      </c>
    </row>
    <row r="179" spans="2:15">
      <c r="B179" s="1474">
        <v>37865</v>
      </c>
      <c r="C179" s="1475">
        <v>290.12700000000001</v>
      </c>
      <c r="D179" s="1475">
        <v>2204.0500000000002</v>
      </c>
      <c r="E179" s="1475">
        <v>1.0167950902831471</v>
      </c>
      <c r="F179" s="1475">
        <v>10.020414316418016</v>
      </c>
      <c r="K179" s="1592">
        <v>42236</v>
      </c>
      <c r="L179" s="1593" t="s">
        <v>2301</v>
      </c>
      <c r="M179" s="1594">
        <v>5.2531000000000001E-2</v>
      </c>
      <c r="N179" s="1595">
        <v>1.061093163668245</v>
      </c>
      <c r="O179" s="1595">
        <v>1.061093163668245</v>
      </c>
    </row>
    <row r="180" spans="2:15">
      <c r="B180" s="1474">
        <v>37895</v>
      </c>
      <c r="C180" s="1475">
        <v>291.22899999999998</v>
      </c>
      <c r="D180" s="1475">
        <v>2210.44</v>
      </c>
      <c r="E180" s="1475">
        <v>1.0164205992977207</v>
      </c>
      <c r="F180" s="1475">
        <v>10.18495552470506</v>
      </c>
      <c r="K180" s="1592">
        <v>42237</v>
      </c>
      <c r="L180" s="1593" t="s">
        <v>2301</v>
      </c>
      <c r="M180" s="1594">
        <v>5.2531000000000001E-2</v>
      </c>
      <c r="N180" s="1595">
        <v>1.0616505665180516</v>
      </c>
      <c r="O180" s="1595">
        <v>1.0616505665180516</v>
      </c>
    </row>
    <row r="181" spans="2:15">
      <c r="B181" s="1474">
        <v>37926</v>
      </c>
      <c r="C181" s="1475">
        <v>292.65699999999998</v>
      </c>
      <c r="D181" s="1475">
        <v>2217.96</v>
      </c>
      <c r="E181" s="1475">
        <v>1.0134353138584866</v>
      </c>
      <c r="F181" s="1475">
        <v>10.3217935988142</v>
      </c>
      <c r="K181" s="1592">
        <v>42238</v>
      </c>
      <c r="L181" s="1593"/>
      <c r="M181" s="1594">
        <v>0</v>
      </c>
      <c r="N181" s="1595">
        <v>1.0616505665180516</v>
      </c>
      <c r="O181" s="1595">
        <v>1.0616505665180516</v>
      </c>
    </row>
    <row r="182" spans="2:15">
      <c r="B182" s="1474">
        <v>37956</v>
      </c>
      <c r="C182" s="1475">
        <v>294.45499999999998</v>
      </c>
      <c r="D182" s="1475">
        <v>2229.4899999999998</v>
      </c>
      <c r="E182" s="1475">
        <v>1.0137325047762002</v>
      </c>
      <c r="F182" s="1475">
        <v>10.463537678708869</v>
      </c>
      <c r="K182" s="1592">
        <v>42239</v>
      </c>
      <c r="L182" s="1593"/>
      <c r="M182" s="1594">
        <v>0</v>
      </c>
      <c r="N182" s="1595">
        <v>1.0616505665180516</v>
      </c>
      <c r="O182" s="1595">
        <v>1.0616505665180516</v>
      </c>
    </row>
    <row r="183" spans="2:15">
      <c r="B183" s="1474">
        <v>37987</v>
      </c>
      <c r="C183" s="1475">
        <v>297.03899999999999</v>
      </c>
      <c r="D183" s="1475">
        <v>2246.4299999999998</v>
      </c>
      <c r="E183" s="1475">
        <v>1.0126755135884871</v>
      </c>
      <c r="F183" s="1475">
        <v>10.59616839273899</v>
      </c>
      <c r="K183" s="1592">
        <v>42240</v>
      </c>
      <c r="L183" s="1593" t="s">
        <v>2301</v>
      </c>
      <c r="M183" s="1594">
        <v>5.2531000000000001E-2</v>
      </c>
      <c r="N183" s="1595">
        <v>1.0622082621771491</v>
      </c>
      <c r="O183" s="1595">
        <v>1.0622082621771491</v>
      </c>
    </row>
    <row r="184" spans="2:15">
      <c r="B184" s="1474">
        <v>38018</v>
      </c>
      <c r="C184" s="1475">
        <v>299.09699999999998</v>
      </c>
      <c r="D184" s="1475">
        <v>2260.13</v>
      </c>
      <c r="E184" s="1475">
        <v>1.0108439419169848</v>
      </c>
      <c r="F184" s="1475">
        <v>10.711072627332442</v>
      </c>
      <c r="K184" s="1592">
        <v>42241</v>
      </c>
      <c r="L184" s="1593" t="s">
        <v>2301</v>
      </c>
      <c r="M184" s="1594">
        <v>5.2531000000000001E-2</v>
      </c>
      <c r="N184" s="1595">
        <v>1.0627662507993534</v>
      </c>
      <c r="O184" s="1595">
        <v>1.0627662507993534</v>
      </c>
    </row>
    <row r="185" spans="2:15">
      <c r="B185" s="1474">
        <v>38047</v>
      </c>
      <c r="C185" s="1475">
        <v>302.48399999999998</v>
      </c>
      <c r="D185" s="1475">
        <v>2270.75</v>
      </c>
      <c r="E185" s="1475">
        <v>1.0137912342986635</v>
      </c>
      <c r="F185" s="1475">
        <v>10.858791539525985</v>
      </c>
      <c r="K185" s="1592">
        <v>42242</v>
      </c>
      <c r="L185" s="1593" t="s">
        <v>2301</v>
      </c>
      <c r="M185" s="1594">
        <v>5.2531000000000001E-2</v>
      </c>
      <c r="N185" s="1595">
        <v>1.0633245325385607</v>
      </c>
      <c r="O185" s="1595">
        <v>1.0633245325385607</v>
      </c>
    </row>
    <row r="186" spans="2:15">
      <c r="B186" s="1474">
        <v>38078</v>
      </c>
      <c r="C186" s="1475">
        <v>306.15100000000001</v>
      </c>
      <c r="D186" s="1475">
        <v>2279.15</v>
      </c>
      <c r="E186" s="1475">
        <v>1.011818501098614</v>
      </c>
      <c r="F186" s="1475">
        <v>10.987126179265493</v>
      </c>
      <c r="K186" s="1592">
        <v>42243</v>
      </c>
      <c r="L186" s="1593" t="s">
        <v>2301</v>
      </c>
      <c r="M186" s="1594">
        <v>5.2531000000000001E-2</v>
      </c>
      <c r="N186" s="1595">
        <v>1.0638831075487485</v>
      </c>
      <c r="O186" s="1595">
        <v>1.0638831075487485</v>
      </c>
    </row>
    <row r="187" spans="2:15">
      <c r="B187" s="1474">
        <v>38108</v>
      </c>
      <c r="C187" s="1475">
        <v>310.15199999999999</v>
      </c>
      <c r="D187" s="1475">
        <v>2290.77</v>
      </c>
      <c r="E187" s="1475">
        <v>1.0122780474663127</v>
      </c>
      <c r="F187" s="1475">
        <v>11.122026636012881</v>
      </c>
      <c r="K187" s="1592">
        <v>42244</v>
      </c>
      <c r="L187" s="1593" t="s">
        <v>2301</v>
      </c>
      <c r="M187" s="1594">
        <v>5.2531000000000001E-2</v>
      </c>
      <c r="N187" s="1595">
        <v>1.0644419759839749</v>
      </c>
      <c r="O187" s="1595">
        <v>1.0644419759839749</v>
      </c>
    </row>
    <row r="188" spans="2:15">
      <c r="B188" s="1474">
        <v>38139</v>
      </c>
      <c r="C188" s="1475">
        <v>314.41899999999998</v>
      </c>
      <c r="D188" s="1475">
        <v>2307.0300000000002</v>
      </c>
      <c r="E188" s="1475">
        <v>1.0122988884857291</v>
      </c>
      <c r="F188" s="1475">
        <v>11.258815201344513</v>
      </c>
      <c r="K188" s="1592">
        <v>42245</v>
      </c>
      <c r="L188" s="1593"/>
      <c r="M188" s="1594">
        <v>0</v>
      </c>
      <c r="N188" s="1595">
        <v>1.0644419759839749</v>
      </c>
      <c r="O188" s="1595">
        <v>1.0644419759839749</v>
      </c>
    </row>
    <row r="189" spans="2:15">
      <c r="B189" s="1474">
        <v>38169</v>
      </c>
      <c r="C189" s="1475">
        <v>318.53199999999998</v>
      </c>
      <c r="D189" s="1475">
        <v>2328.02</v>
      </c>
      <c r="E189" s="1475">
        <v>1.012868893920805</v>
      </c>
      <c r="F189" s="1475">
        <v>11.403703699844563</v>
      </c>
      <c r="K189" s="1592">
        <v>42246</v>
      </c>
      <c r="L189" s="1593"/>
      <c r="M189" s="1594">
        <v>0</v>
      </c>
      <c r="N189" s="1595">
        <v>1.0644419759839749</v>
      </c>
      <c r="O189" s="1595">
        <v>1.0644419759839749</v>
      </c>
    </row>
    <row r="190" spans="2:15">
      <c r="B190" s="1474">
        <v>38200</v>
      </c>
      <c r="C190" s="1475">
        <v>322.41199999999998</v>
      </c>
      <c r="D190" s="1475">
        <v>2344.08</v>
      </c>
      <c r="E190" s="1475">
        <v>1.0129358583775749</v>
      </c>
      <c r="F190" s="1475">
        <v>11.551220395885579</v>
      </c>
      <c r="K190" s="1592">
        <v>42247</v>
      </c>
      <c r="L190" s="1593" t="s">
        <v>2301</v>
      </c>
      <c r="M190" s="1594">
        <v>5.2531000000000001E-2</v>
      </c>
      <c r="N190" s="1595">
        <v>1.065001137998379</v>
      </c>
      <c r="O190" s="1595">
        <v>1.065001137998379</v>
      </c>
    </row>
    <row r="191" spans="2:15">
      <c r="B191" s="1474">
        <v>38231</v>
      </c>
      <c r="C191" s="1475">
        <v>324.65100000000001</v>
      </c>
      <c r="D191" s="1475">
        <v>2351.8200000000002</v>
      </c>
      <c r="E191" s="1475">
        <v>1.0125132709021758</v>
      </c>
      <c r="F191" s="1475">
        <v>11.695763945950034</v>
      </c>
      <c r="K191" s="1592">
        <v>42248</v>
      </c>
      <c r="L191" s="1593" t="s">
        <v>2301</v>
      </c>
      <c r="M191" s="1594">
        <v>5.2531000000000001E-2</v>
      </c>
      <c r="N191" s="1595">
        <v>1.065560593746181</v>
      </c>
      <c r="O191" s="1595">
        <v>1.065560593746181</v>
      </c>
    </row>
    <row r="192" spans="2:15">
      <c r="B192" s="1474">
        <v>38261</v>
      </c>
      <c r="C192" s="1475">
        <v>325.92500000000001</v>
      </c>
      <c r="D192" s="1475">
        <v>2362.17</v>
      </c>
      <c r="E192" s="1475">
        <v>1.0121322386789289</v>
      </c>
      <c r="F192" s="1475">
        <v>11.837659745674712</v>
      </c>
      <c r="K192" s="1592">
        <v>42249</v>
      </c>
      <c r="L192" s="1593" t="s">
        <v>2301</v>
      </c>
      <c r="M192" s="1594">
        <v>5.2531000000000001E-2</v>
      </c>
      <c r="N192" s="1595">
        <v>1.0661203433816817</v>
      </c>
      <c r="O192" s="1595">
        <v>1.0661203433816817</v>
      </c>
    </row>
    <row r="193" spans="2:15">
      <c r="B193" s="1474">
        <v>38292</v>
      </c>
      <c r="C193" s="1475">
        <v>328.58800000000002</v>
      </c>
      <c r="D193" s="1475">
        <v>2378.4699999999998</v>
      </c>
      <c r="E193" s="1475">
        <v>1.0125098562166484</v>
      </c>
      <c r="F193" s="1475">
        <v>11.985747167034708</v>
      </c>
      <c r="K193" s="1592">
        <v>42250</v>
      </c>
      <c r="L193" s="1593" t="s">
        <v>2301</v>
      </c>
      <c r="M193" s="1594">
        <v>5.2531000000000001E-2</v>
      </c>
      <c r="N193" s="1595">
        <v>1.0666803870592636</v>
      </c>
      <c r="O193" s="1595">
        <v>1.0666803870592636</v>
      </c>
    </row>
    <row r="194" spans="2:15">
      <c r="B194" s="1474">
        <v>38322</v>
      </c>
      <c r="C194" s="1475">
        <v>331.005</v>
      </c>
      <c r="D194" s="1475">
        <v>2398.92</v>
      </c>
      <c r="E194" s="1475">
        <v>1.0148282315457626</v>
      </c>
      <c r="F194" s="1475">
        <v>12.163474601276468</v>
      </c>
      <c r="K194" s="1592">
        <v>42251</v>
      </c>
      <c r="L194" s="1593" t="s">
        <v>2301</v>
      </c>
      <c r="M194" s="1594">
        <v>5.2531000000000001E-2</v>
      </c>
      <c r="N194" s="1595">
        <v>1.0672407249333897</v>
      </c>
      <c r="O194" s="1595">
        <v>1.0672407249333897</v>
      </c>
    </row>
    <row r="195" spans="2:15">
      <c r="B195" s="1474">
        <v>38353</v>
      </c>
      <c r="C195" s="1475">
        <v>332.298</v>
      </c>
      <c r="D195" s="1475">
        <v>2412.83</v>
      </c>
      <c r="E195" s="1475">
        <v>1.0138388229391033</v>
      </c>
      <c r="F195" s="1475">
        <v>12.331802772607814</v>
      </c>
      <c r="K195" s="1592">
        <v>42252</v>
      </c>
      <c r="L195" s="1593"/>
      <c r="M195" s="1594">
        <v>0</v>
      </c>
      <c r="N195" s="1595">
        <v>1.0672407249333897</v>
      </c>
      <c r="O195" s="1595">
        <v>1.0672407249333897</v>
      </c>
    </row>
    <row r="196" spans="2:15">
      <c r="B196" s="1474">
        <v>38384</v>
      </c>
      <c r="C196" s="1475">
        <v>333.28800000000001</v>
      </c>
      <c r="D196" s="1475">
        <v>2427.0700000000002</v>
      </c>
      <c r="E196" s="1475">
        <v>1.0121818576713373</v>
      </c>
      <c r="F196" s="1475">
        <v>12.482027038814724</v>
      </c>
      <c r="K196" s="1592">
        <v>42253</v>
      </c>
      <c r="L196" s="1593"/>
      <c r="M196" s="1594">
        <v>0</v>
      </c>
      <c r="N196" s="1595">
        <v>1.0672407249333897</v>
      </c>
      <c r="O196" s="1595">
        <v>1.0672407249333897</v>
      </c>
    </row>
    <row r="197" spans="2:15">
      <c r="B197" s="1474">
        <v>38412</v>
      </c>
      <c r="C197" s="1475">
        <v>336.12299999999999</v>
      </c>
      <c r="D197" s="1475">
        <v>2441.87</v>
      </c>
      <c r="E197" s="1475">
        <v>1.0152817807540921</v>
      </c>
      <c r="F197" s="1475">
        <v>12.672774639388541</v>
      </c>
      <c r="G197" s="67"/>
      <c r="K197" s="1592">
        <v>42254</v>
      </c>
      <c r="L197" s="1593"/>
      <c r="M197" s="1594">
        <v>0</v>
      </c>
      <c r="N197" s="1595">
        <v>1.0672407249333897</v>
      </c>
      <c r="O197" s="1595">
        <v>1.0672407249333897</v>
      </c>
    </row>
    <row r="198" spans="2:15">
      <c r="B198" s="1474">
        <v>38443</v>
      </c>
      <c r="C198" s="1475">
        <v>339.03</v>
      </c>
      <c r="D198" s="1475">
        <v>2463.11</v>
      </c>
      <c r="E198" s="1475">
        <v>1.0141152901477553</v>
      </c>
      <c r="F198" s="1475">
        <v>12.851654530400625</v>
      </c>
      <c r="K198" s="1592">
        <v>42255</v>
      </c>
      <c r="L198" s="1593" t="s">
        <v>2301</v>
      </c>
      <c r="M198" s="1594">
        <v>5.2531000000000001E-2</v>
      </c>
      <c r="N198" s="1595">
        <v>1.0678013571586045</v>
      </c>
      <c r="O198" s="1595">
        <v>1.0678013571586045</v>
      </c>
    </row>
    <row r="199" spans="2:15">
      <c r="B199" s="1474">
        <v>38473</v>
      </c>
      <c r="C199" s="1475">
        <v>338.29899999999998</v>
      </c>
      <c r="D199" s="1475">
        <v>2475.1799999999998</v>
      </c>
      <c r="E199" s="1475">
        <v>1.0150306502044895</v>
      </c>
      <c r="F199" s="1475">
        <v>13.044823254196018</v>
      </c>
      <c r="K199" s="1592">
        <v>42256</v>
      </c>
      <c r="L199" s="1593" t="s">
        <v>2301</v>
      </c>
      <c r="M199" s="1594">
        <v>5.2531000000000001E-2</v>
      </c>
      <c r="N199" s="1595">
        <v>1.0683622838895335</v>
      </c>
      <c r="O199" s="1595">
        <v>1.0683622838895335</v>
      </c>
    </row>
    <row r="200" spans="2:15">
      <c r="B200" s="1474">
        <v>38504</v>
      </c>
      <c r="C200" s="1475">
        <v>336.80099999999999</v>
      </c>
      <c r="D200" s="1475">
        <v>2474.6799999999998</v>
      </c>
      <c r="E200" s="1475">
        <v>1.0158560276185216</v>
      </c>
      <c r="F200" s="1475">
        <v>13.251662331993282</v>
      </c>
      <c r="K200" s="1592">
        <v>42257</v>
      </c>
      <c r="L200" s="1593" t="s">
        <v>2301</v>
      </c>
      <c r="M200" s="1594">
        <v>5.2531000000000001E-2</v>
      </c>
      <c r="N200" s="1595">
        <v>1.0689235052808834</v>
      </c>
      <c r="O200" s="1595">
        <v>1.0689235052808834</v>
      </c>
    </row>
    <row r="201" spans="2:15">
      <c r="B201" s="1474">
        <v>38534</v>
      </c>
      <c r="C201" s="1475">
        <v>335.66300000000001</v>
      </c>
      <c r="D201" s="1475">
        <v>2480.87</v>
      </c>
      <c r="E201" s="1475">
        <v>1.0151134516871545</v>
      </c>
      <c r="F201" s="1475">
        <v>13.451940690422347</v>
      </c>
      <c r="K201" s="1592">
        <v>42258</v>
      </c>
      <c r="L201" s="1593" t="s">
        <v>2301</v>
      </c>
      <c r="M201" s="1594">
        <v>5.2531000000000001E-2</v>
      </c>
      <c r="N201" s="1595">
        <v>1.0694850214874425</v>
      </c>
      <c r="O201" s="1595">
        <v>1.0694850214874425</v>
      </c>
    </row>
    <row r="202" spans="2:15">
      <c r="B202" s="1474">
        <v>38565</v>
      </c>
      <c r="C202" s="1475">
        <v>333.47399999999999</v>
      </c>
      <c r="D202" s="1475">
        <v>2485.09</v>
      </c>
      <c r="E202" s="1475">
        <v>1.0165848332092207</v>
      </c>
      <c r="F202" s="1475">
        <v>13.675038883113331</v>
      </c>
      <c r="K202" s="1592">
        <v>42259</v>
      </c>
      <c r="L202" s="1593"/>
      <c r="M202" s="1594">
        <v>0</v>
      </c>
      <c r="N202" s="1595">
        <v>1.0694850214874425</v>
      </c>
      <c r="O202" s="1595">
        <v>1.0694850214874425</v>
      </c>
    </row>
    <row r="203" spans="2:15">
      <c r="B203" s="1474">
        <v>38596</v>
      </c>
      <c r="C203" s="1475">
        <v>331.69</v>
      </c>
      <c r="D203" s="1475">
        <v>2493.79</v>
      </c>
      <c r="E203" s="1475">
        <v>1.0150313602253485</v>
      </c>
      <c r="F203" s="1475">
        <v>13.880593318661054</v>
      </c>
      <c r="K203" s="1592">
        <v>42260</v>
      </c>
      <c r="L203" s="1593"/>
      <c r="M203" s="1594">
        <v>0</v>
      </c>
      <c r="N203" s="1595">
        <v>1.0694850214874425</v>
      </c>
      <c r="O203" s="1595">
        <v>1.0694850214874425</v>
      </c>
    </row>
    <row r="204" spans="2:15">
      <c r="B204" s="1474">
        <v>38626</v>
      </c>
      <c r="C204" s="1475">
        <v>333.69400000000002</v>
      </c>
      <c r="D204" s="1475">
        <v>2512.4899999999998</v>
      </c>
      <c r="E204" s="1475">
        <v>1.0140716431638075</v>
      </c>
      <c r="F204" s="1475">
        <v>14.075916074743184</v>
      </c>
      <c r="K204" s="1592">
        <v>42261</v>
      </c>
      <c r="L204" s="1593" t="s">
        <v>2301</v>
      </c>
      <c r="M204" s="1594">
        <v>5.2531000000000001E-2</v>
      </c>
      <c r="N204" s="1595">
        <v>1.0700468326640802</v>
      </c>
      <c r="O204" s="1595">
        <v>1.0700468326640802</v>
      </c>
    </row>
    <row r="205" spans="2:15">
      <c r="B205" s="1474">
        <v>38657</v>
      </c>
      <c r="C205" s="1475">
        <v>335.03300000000002</v>
      </c>
      <c r="D205" s="1475">
        <v>2526.31</v>
      </c>
      <c r="E205" s="1475">
        <v>1.0138104099310956</v>
      </c>
      <c r="F205" s="1475">
        <v>14.270310245891086</v>
      </c>
      <c r="K205" s="1592">
        <v>42262</v>
      </c>
      <c r="L205" s="1593" t="s">
        <v>2301</v>
      </c>
      <c r="M205" s="1594">
        <v>5.2531000000000001E-2</v>
      </c>
      <c r="N205" s="1595">
        <v>1.0706089389657469</v>
      </c>
      <c r="O205" s="1595">
        <v>1.0706089389657469</v>
      </c>
    </row>
    <row r="206" spans="2:15">
      <c r="B206" s="1474">
        <v>38687</v>
      </c>
      <c r="C206" s="1475">
        <v>335.00599999999997</v>
      </c>
      <c r="D206" s="1475">
        <v>2535.4</v>
      </c>
      <c r="E206" s="1475">
        <v>1.0147357208231795</v>
      </c>
      <c r="F206" s="1475">
        <v>14.480593553734694</v>
      </c>
      <c r="K206" s="1592">
        <v>42263</v>
      </c>
      <c r="L206" s="1593" t="s">
        <v>2301</v>
      </c>
      <c r="M206" s="1594">
        <v>5.2531000000000001E-2</v>
      </c>
      <c r="N206" s="1595">
        <v>1.071171340547475</v>
      </c>
      <c r="O206" s="1595">
        <v>1.071171340547475</v>
      </c>
    </row>
    <row r="207" spans="2:15">
      <c r="B207" s="1474">
        <v>38718</v>
      </c>
      <c r="C207" s="1475">
        <v>338.08300000000003</v>
      </c>
      <c r="D207" s="1475">
        <v>2550.36</v>
      </c>
      <c r="E207" s="1475">
        <v>1.0142931741687891</v>
      </c>
      <c r="F207" s="1475">
        <v>14.687567199465668</v>
      </c>
      <c r="K207" s="1592">
        <v>42264</v>
      </c>
      <c r="L207" s="1593" t="s">
        <v>2301</v>
      </c>
      <c r="M207" s="1594">
        <v>5.2531000000000001E-2</v>
      </c>
      <c r="N207" s="1595">
        <v>1.071734037564378</v>
      </c>
      <c r="O207" s="1595">
        <v>1.071734037564378</v>
      </c>
    </row>
    <row r="208" spans="2:15">
      <c r="B208" s="1474">
        <v>38749</v>
      </c>
      <c r="C208" s="1475">
        <v>338.12799999999999</v>
      </c>
      <c r="D208" s="1475">
        <v>2560.8200000000002</v>
      </c>
      <c r="E208" s="1475">
        <v>1.0114506306443078</v>
      </c>
      <c r="F208" s="1475">
        <v>14.855749106530201</v>
      </c>
      <c r="K208" s="1592">
        <v>42265</v>
      </c>
      <c r="L208" s="1593" t="s">
        <v>2301</v>
      </c>
      <c r="M208" s="1594">
        <v>5.2531000000000001E-2</v>
      </c>
      <c r="N208" s="1595">
        <v>1.072297030171651</v>
      </c>
      <c r="O208" s="1595">
        <v>1.072297030171651</v>
      </c>
    </row>
    <row r="209" spans="2:15">
      <c r="B209" s="1474">
        <v>38777</v>
      </c>
      <c r="C209" s="1475">
        <v>337.339</v>
      </c>
      <c r="D209" s="1475">
        <v>2571.83</v>
      </c>
      <c r="E209" s="1475">
        <v>1.0142230199009199</v>
      </c>
      <c r="F209" s="1475">
        <v>15.067042721715453</v>
      </c>
      <c r="K209" s="1592">
        <v>42266</v>
      </c>
      <c r="L209" s="1593"/>
      <c r="M209" s="1594">
        <v>0</v>
      </c>
      <c r="N209" s="1595">
        <v>1.072297030171651</v>
      </c>
      <c r="O209" s="1595">
        <v>1.072297030171651</v>
      </c>
    </row>
    <row r="210" spans="2:15">
      <c r="B210" s="1474">
        <v>38808</v>
      </c>
      <c r="C210" s="1475">
        <v>335.92099999999999</v>
      </c>
      <c r="D210" s="1475">
        <v>2577.23</v>
      </c>
      <c r="E210" s="1475">
        <v>1.0107787821533378</v>
      </c>
      <c r="F210" s="1475">
        <v>15.229447092907858</v>
      </c>
      <c r="K210" s="1592">
        <v>42267</v>
      </c>
      <c r="L210" s="1593"/>
      <c r="M210" s="1594">
        <v>0</v>
      </c>
      <c r="N210" s="1595">
        <v>1.072297030171651</v>
      </c>
      <c r="O210" s="1595">
        <v>1.072297030171651</v>
      </c>
    </row>
    <row r="211" spans="2:15">
      <c r="B211" s="1474">
        <v>38838</v>
      </c>
      <c r="C211" s="1475">
        <v>337.185</v>
      </c>
      <c r="D211" s="1475">
        <v>2579.81</v>
      </c>
      <c r="E211" s="1475">
        <v>1.0128136552027243</v>
      </c>
      <c r="F211" s="1475">
        <v>15.424591976884511</v>
      </c>
      <c r="K211" s="1592">
        <v>42268</v>
      </c>
      <c r="L211" s="1593" t="s">
        <v>2301</v>
      </c>
      <c r="M211" s="1594">
        <v>5.2531000000000001E-2</v>
      </c>
      <c r="N211" s="1595">
        <v>1.0728603185245704</v>
      </c>
      <c r="O211" s="1595">
        <v>1.0728603185245704</v>
      </c>
    </row>
    <row r="212" spans="2:15">
      <c r="B212" s="1474">
        <v>38869</v>
      </c>
      <c r="C212" s="1475">
        <v>339.71199999999999</v>
      </c>
      <c r="D212" s="1475">
        <v>2574.39</v>
      </c>
      <c r="E212" s="1475">
        <v>1.0118439390435949</v>
      </c>
      <c r="F212" s="1475">
        <v>15.607279904031055</v>
      </c>
      <c r="K212" s="1592">
        <v>42269</v>
      </c>
      <c r="L212" s="1593" t="s">
        <v>2301</v>
      </c>
      <c r="M212" s="1594">
        <v>5.2531000000000001E-2</v>
      </c>
      <c r="N212" s="1595">
        <v>1.0734239027784946</v>
      </c>
      <c r="O212" s="1595">
        <v>1.0734239027784946</v>
      </c>
    </row>
    <row r="213" spans="2:15">
      <c r="B213" s="1474">
        <v>38899</v>
      </c>
      <c r="C213" s="1475">
        <v>340.31200000000001</v>
      </c>
      <c r="D213" s="1475">
        <v>2579.2800000000002</v>
      </c>
      <c r="E213" s="1475">
        <v>1.0116996590630269</v>
      </c>
      <c r="F213" s="1475">
        <v>15.78987975780945</v>
      </c>
      <c r="K213" s="1592">
        <v>42270</v>
      </c>
      <c r="L213" s="1593" t="s">
        <v>2301</v>
      </c>
      <c r="M213" s="1594">
        <v>5.2531000000000001E-2</v>
      </c>
      <c r="N213" s="1595">
        <v>1.0739877830888631</v>
      </c>
      <c r="O213" s="1595">
        <v>1.0739877830888631</v>
      </c>
    </row>
    <row r="214" spans="2:15">
      <c r="B214" s="1474">
        <v>38930</v>
      </c>
      <c r="C214" s="1475">
        <v>341.57400000000001</v>
      </c>
      <c r="D214" s="1475">
        <v>2580.5700000000002</v>
      </c>
      <c r="E214" s="1475">
        <v>1.012562646303421</v>
      </c>
      <c r="F214" s="1475">
        <v>15.988242432380357</v>
      </c>
      <c r="K214" s="1592">
        <v>42271</v>
      </c>
      <c r="L214" s="1593" t="s">
        <v>2301</v>
      </c>
      <c r="M214" s="1594">
        <v>5.2531000000000001E-2</v>
      </c>
      <c r="N214" s="1595">
        <v>1.0745519596111974</v>
      </c>
      <c r="O214" s="1595">
        <v>1.0745519596111974</v>
      </c>
    </row>
    <row r="215" spans="2:15" ht="13.5" customHeight="1">
      <c r="B215" s="1474">
        <v>38961</v>
      </c>
      <c r="C215" s="1475">
        <v>342.56099999999998</v>
      </c>
      <c r="D215" s="1475">
        <v>2585.9899999999998</v>
      </c>
      <c r="E215" s="1475">
        <v>1.0105730983323107</v>
      </c>
      <c r="F215" s="1475">
        <v>16.157287691778738</v>
      </c>
      <c r="K215" s="1592">
        <v>42272</v>
      </c>
      <c r="L215" s="1593" t="s">
        <v>2301</v>
      </c>
      <c r="M215" s="1594">
        <v>5.2531000000000001E-2</v>
      </c>
      <c r="N215" s="1595">
        <v>1.0751164325011009</v>
      </c>
      <c r="O215" s="1595">
        <v>1.0751164325011009</v>
      </c>
    </row>
    <row r="216" spans="2:15">
      <c r="B216" s="1474">
        <v>38991</v>
      </c>
      <c r="C216" s="1475">
        <v>344.15499999999997</v>
      </c>
      <c r="D216" s="1475">
        <v>2594.52</v>
      </c>
      <c r="E216" s="1475">
        <v>1.0109424441222723</v>
      </c>
      <c r="F216" s="1475">
        <v>16.334087909513503</v>
      </c>
      <c r="K216" s="1592">
        <v>42273</v>
      </c>
      <c r="L216" s="1593"/>
      <c r="M216" s="1594">
        <v>0</v>
      </c>
      <c r="N216" s="1595">
        <v>1.0751164325011009</v>
      </c>
      <c r="O216" s="1595">
        <v>1.0751164325011009</v>
      </c>
    </row>
    <row r="217" spans="2:15">
      <c r="B217" s="1474">
        <v>39022</v>
      </c>
      <c r="C217" s="1475">
        <v>346.74599999999998</v>
      </c>
      <c r="D217" s="1475">
        <v>2602.56</v>
      </c>
      <c r="E217" s="1475">
        <v>1.0102060517349183</v>
      </c>
      <c r="F217" s="1475">
        <v>16.500794455760701</v>
      </c>
      <c r="K217" s="1592">
        <v>42274</v>
      </c>
      <c r="L217" s="1593"/>
      <c r="M217" s="1594">
        <v>0</v>
      </c>
      <c r="N217" s="1595">
        <v>1.0751164325011009</v>
      </c>
      <c r="O217" s="1595">
        <v>1.0751164325011009</v>
      </c>
    </row>
    <row r="218" spans="2:15">
      <c r="B218" s="1474">
        <v>39052</v>
      </c>
      <c r="C218" s="1475">
        <v>347.84199999999998</v>
      </c>
      <c r="D218" s="1475">
        <v>2615.0500000000002</v>
      </c>
      <c r="E218" s="1475">
        <v>1.0098788606332807</v>
      </c>
      <c r="F218" s="1475">
        <v>16.663803504527571</v>
      </c>
      <c r="K218" s="1592">
        <v>42275</v>
      </c>
      <c r="L218" s="1593" t="s">
        <v>2301</v>
      </c>
      <c r="M218" s="1594">
        <v>5.2531000000000001E-2</v>
      </c>
      <c r="N218" s="1595">
        <v>1.0756812019142581</v>
      </c>
      <c r="O218" s="1595">
        <v>1.0756812019142581</v>
      </c>
    </row>
    <row r="219" spans="2:15">
      <c r="B219" s="1474">
        <v>39083</v>
      </c>
      <c r="C219" s="1475">
        <v>349.59300000000002</v>
      </c>
      <c r="D219" s="1475">
        <v>2626.56</v>
      </c>
      <c r="E219" s="1475">
        <v>1.0108280266006449</v>
      </c>
      <c r="F219" s="1475">
        <v>16.844239612142516</v>
      </c>
      <c r="K219" s="1592">
        <v>42276</v>
      </c>
      <c r="L219" s="1593" t="s">
        <v>2301</v>
      </c>
      <c r="M219" s="1594">
        <v>5.2531000000000001E-2</v>
      </c>
      <c r="N219" s="1595">
        <v>1.0762462680064357</v>
      </c>
      <c r="O219" s="1595">
        <v>1.0762462680064357</v>
      </c>
    </row>
    <row r="220" spans="2:15">
      <c r="B220" s="1474">
        <v>39114</v>
      </c>
      <c r="C220" s="1475">
        <v>350.524</v>
      </c>
      <c r="D220" s="1475">
        <v>2638.12</v>
      </c>
      <c r="E220" s="1475">
        <v>1.008724844950982</v>
      </c>
      <c r="F220" s="1475">
        <v>16.991202991075649</v>
      </c>
      <c r="K220" s="1592">
        <v>42277</v>
      </c>
      <c r="L220" s="1593" t="s">
        <v>2301</v>
      </c>
      <c r="M220" s="1594">
        <v>5.2531000000000001E-2</v>
      </c>
      <c r="N220" s="1595">
        <v>1.0768116309334823</v>
      </c>
      <c r="O220" s="1595">
        <v>1.0768116309334823</v>
      </c>
    </row>
    <row r="221" spans="2:15">
      <c r="B221" s="1474">
        <v>39142</v>
      </c>
      <c r="C221" s="1475">
        <v>351.71699999999998</v>
      </c>
      <c r="D221" s="1475">
        <v>2647.88</v>
      </c>
      <c r="E221" s="1475">
        <v>1.0105222327764332</v>
      </c>
      <c r="F221" s="1475">
        <v>17.169988384099376</v>
      </c>
      <c r="K221" s="1592">
        <v>42278</v>
      </c>
      <c r="L221" s="1593" t="s">
        <v>2301</v>
      </c>
      <c r="M221" s="1594">
        <v>5.2531000000000001E-2</v>
      </c>
      <c r="N221" s="1595">
        <v>1.0773772908513279</v>
      </c>
      <c r="O221" s="1595">
        <v>1.0773772908513279</v>
      </c>
    </row>
    <row r="222" spans="2:15">
      <c r="B222" s="1474">
        <v>39173</v>
      </c>
      <c r="C222" s="1475">
        <v>351.86900000000003</v>
      </c>
      <c r="D222" s="1475">
        <v>2654.5</v>
      </c>
      <c r="E222" s="1475">
        <v>1.0094482340398951</v>
      </c>
      <c r="F222" s="1475">
        <v>17.332214452814629</v>
      </c>
      <c r="K222" s="1592">
        <v>42279</v>
      </c>
      <c r="L222" s="1593" t="s">
        <v>2301</v>
      </c>
      <c r="M222" s="1594">
        <v>5.2531000000000001E-2</v>
      </c>
      <c r="N222" s="1595">
        <v>1.0779432479159849</v>
      </c>
      <c r="O222" s="1595">
        <v>1.0779432479159849</v>
      </c>
    </row>
    <row r="223" spans="2:15">
      <c r="B223" s="1474">
        <v>39203</v>
      </c>
      <c r="C223" s="1475">
        <v>352.02</v>
      </c>
      <c r="D223" s="1475">
        <v>2661.93</v>
      </c>
      <c r="E223" s="1475">
        <v>1.0102807696314628</v>
      </c>
      <c r="F223" s="1475">
        <v>17.510402956807127</v>
      </c>
      <c r="K223" s="1592">
        <v>42280</v>
      </c>
      <c r="L223" s="1593"/>
      <c r="M223" s="1594">
        <v>0</v>
      </c>
      <c r="N223" s="1595">
        <v>1.0779432479159849</v>
      </c>
      <c r="O223" s="1595">
        <v>1.0779432479159849</v>
      </c>
    </row>
    <row r="224" spans="2:15">
      <c r="B224" s="1474">
        <v>39234</v>
      </c>
      <c r="C224" s="1475">
        <v>352.93599999999998</v>
      </c>
      <c r="D224" s="1475">
        <v>2669.38</v>
      </c>
      <c r="E224" s="1475">
        <v>1.0090562894719608</v>
      </c>
      <c r="F224" s="1475">
        <v>17.668982234754651</v>
      </c>
      <c r="K224" s="1592">
        <v>42281</v>
      </c>
      <c r="L224" s="1593"/>
      <c r="M224" s="1594">
        <v>0</v>
      </c>
      <c r="N224" s="1595">
        <v>1.0779432479159849</v>
      </c>
      <c r="O224" s="1595">
        <v>1.0779432479159849</v>
      </c>
    </row>
    <row r="225" spans="2:15">
      <c r="B225" s="1474">
        <v>39264</v>
      </c>
      <c r="C225" s="1475">
        <v>353.92</v>
      </c>
      <c r="D225" s="1475">
        <v>2675.79</v>
      </c>
      <c r="E225" s="1475">
        <v>1.0097263257608722</v>
      </c>
      <c r="F225" s="1475">
        <v>17.840836511832936</v>
      </c>
      <c r="K225" s="1592">
        <v>42282</v>
      </c>
      <c r="L225" s="1593" t="s">
        <v>2301</v>
      </c>
      <c r="M225" s="1594">
        <v>5.2531000000000001E-2</v>
      </c>
      <c r="N225" s="1595">
        <v>1.0785095022835478</v>
      </c>
      <c r="O225" s="1595">
        <v>1.0785095022835478</v>
      </c>
    </row>
    <row r="226" spans="2:15">
      <c r="B226" s="1474">
        <v>39295</v>
      </c>
      <c r="C226" s="1475">
        <v>357.404</v>
      </c>
      <c r="D226" s="1475">
        <v>2688.37</v>
      </c>
      <c r="E226" s="1475">
        <v>1.0099263513682912</v>
      </c>
      <c r="F226" s="1475">
        <v>18.017930923753628</v>
      </c>
      <c r="K226" s="1592">
        <v>42283</v>
      </c>
      <c r="L226" s="1593" t="s">
        <v>2301</v>
      </c>
      <c r="M226" s="1594">
        <v>5.2531000000000001E-2</v>
      </c>
      <c r="N226" s="1595">
        <v>1.0790760541101925</v>
      </c>
      <c r="O226" s="1595">
        <v>1.0790760541101925</v>
      </c>
    </row>
    <row r="227" spans="2:15">
      <c r="B227" s="1474">
        <v>39326</v>
      </c>
      <c r="C227" s="1475">
        <v>361.99700000000001</v>
      </c>
      <c r="D227" s="1475">
        <v>2693.21</v>
      </c>
      <c r="E227" s="1475">
        <v>1.0080496134415582</v>
      </c>
      <c r="F227" s="1475">
        <v>18.162968302706542</v>
      </c>
      <c r="K227" s="1592">
        <v>42284</v>
      </c>
      <c r="L227" s="1593" t="s">
        <v>2301</v>
      </c>
      <c r="M227" s="1594">
        <v>5.2531000000000001E-2</v>
      </c>
      <c r="N227" s="1595">
        <v>1.0796429035521771</v>
      </c>
      <c r="O227" s="1595">
        <v>1.0796429035521771</v>
      </c>
    </row>
    <row r="228" spans="2:15">
      <c r="B228" s="1474">
        <v>39356</v>
      </c>
      <c r="C228" s="1475">
        <v>365.79399999999998</v>
      </c>
      <c r="D228" s="1475">
        <v>2701.29</v>
      </c>
      <c r="E228" s="1475">
        <v>1.0092949262855189</v>
      </c>
      <c r="F228" s="1475">
        <v>18.331791754206414</v>
      </c>
      <c r="K228" s="1592">
        <v>42285</v>
      </c>
      <c r="L228" s="1593" t="s">
        <v>2301</v>
      </c>
      <c r="M228" s="1594">
        <v>5.2531000000000001E-2</v>
      </c>
      <c r="N228" s="1595">
        <v>1.0802100507658421</v>
      </c>
      <c r="O228" s="1595">
        <v>1.0802100507658421</v>
      </c>
    </row>
    <row r="229" spans="2:15">
      <c r="B229" s="1474">
        <v>39387</v>
      </c>
      <c r="C229" s="1475">
        <v>368.334</v>
      </c>
      <c r="D229" s="1475">
        <v>2711.55</v>
      </c>
      <c r="E229" s="1475">
        <v>1.0084467048252397</v>
      </c>
      <c r="F229" s="1475">
        <v>18.486634988071959</v>
      </c>
      <c r="K229" s="1592">
        <v>42286</v>
      </c>
      <c r="L229" s="1593" t="s">
        <v>2301</v>
      </c>
      <c r="M229" s="1594">
        <v>5.2531000000000001E-2</v>
      </c>
      <c r="N229" s="1595">
        <v>1.08077749590761</v>
      </c>
      <c r="O229" s="1595">
        <v>1.08077749590761</v>
      </c>
    </row>
    <row r="230" spans="2:15">
      <c r="B230" s="1474">
        <v>39417</v>
      </c>
      <c r="C230" s="1475">
        <v>374.815</v>
      </c>
      <c r="D230" s="1475">
        <v>2731.62</v>
      </c>
      <c r="E230" s="1475">
        <v>1.0084467048252395</v>
      </c>
      <c r="F230" s="1475">
        <v>18.642786137028146</v>
      </c>
      <c r="K230" s="1592">
        <v>42287</v>
      </c>
      <c r="L230" s="1593"/>
      <c r="M230" s="1594">
        <v>0</v>
      </c>
      <c r="N230" s="1595">
        <v>1.08077749590761</v>
      </c>
      <c r="O230" s="1595">
        <v>1.08077749590761</v>
      </c>
    </row>
    <row r="231" spans="2:15">
      <c r="B231" s="1474">
        <v>39448</v>
      </c>
      <c r="C231" s="1475">
        <v>378.9</v>
      </c>
      <c r="D231" s="1475">
        <v>2746.37</v>
      </c>
      <c r="E231" s="1475">
        <v>1.0092938367057227</v>
      </c>
      <c r="F231" s="1475">
        <v>18.816049147125398</v>
      </c>
      <c r="K231" s="1592">
        <v>42288</v>
      </c>
      <c r="L231" s="1593"/>
      <c r="M231" s="1594">
        <v>0</v>
      </c>
      <c r="N231" s="1595">
        <v>1.08077749590761</v>
      </c>
      <c r="O231" s="1595">
        <v>1.08077749590761</v>
      </c>
    </row>
    <row r="232" spans="2:15">
      <c r="B232" s="1474">
        <v>39479</v>
      </c>
      <c r="C232" s="1475">
        <v>380.90600000000001</v>
      </c>
      <c r="D232" s="1475">
        <v>2759.83</v>
      </c>
      <c r="E232" s="1475">
        <v>1.0080223173492819</v>
      </c>
      <c r="F232" s="1475">
        <v>18.966997464643324</v>
      </c>
      <c r="K232" s="1592">
        <v>42289</v>
      </c>
      <c r="L232" s="1593"/>
      <c r="M232" s="1594">
        <v>0</v>
      </c>
      <c r="N232" s="1595">
        <v>1.08077749590761</v>
      </c>
      <c r="O232" s="1595">
        <v>1.08077749590761</v>
      </c>
    </row>
    <row r="233" spans="2:15">
      <c r="B233" s="1474">
        <v>39508</v>
      </c>
      <c r="C233" s="1475">
        <v>383.73099999999999</v>
      </c>
      <c r="D233" s="1475">
        <v>2773.08</v>
      </c>
      <c r="E233" s="1475">
        <v>1.0084459790490408</v>
      </c>
      <c r="F233" s="1475">
        <v>19.12719232785291</v>
      </c>
      <c r="K233" s="1592">
        <v>42290</v>
      </c>
      <c r="L233" s="1593" t="s">
        <v>2301</v>
      </c>
      <c r="M233" s="1594">
        <v>5.2531000000000001E-2</v>
      </c>
      <c r="N233" s="1595">
        <v>1.0813452391339853</v>
      </c>
      <c r="O233" s="1595">
        <v>1.0813452391339853</v>
      </c>
    </row>
    <row r="234" spans="2:15">
      <c r="B234" s="1474">
        <v>39539</v>
      </c>
      <c r="C234" s="1475">
        <v>386.38</v>
      </c>
      <c r="D234" s="1475">
        <v>2788.33</v>
      </c>
      <c r="E234" s="1475">
        <v>1.0090142575644072</v>
      </c>
      <c r="F234" s="1475">
        <v>19.299609765980129</v>
      </c>
      <c r="K234" s="1592">
        <v>42291</v>
      </c>
      <c r="L234" s="1593" t="s">
        <v>2301</v>
      </c>
      <c r="M234" s="1594">
        <v>5.2531000000000001E-2</v>
      </c>
      <c r="N234" s="1595">
        <v>1.0819132806015548</v>
      </c>
      <c r="O234" s="1595">
        <v>1.0819132806015548</v>
      </c>
    </row>
    <row r="235" spans="2:15">
      <c r="B235" s="1474">
        <v>39569</v>
      </c>
      <c r="C235" s="1475">
        <v>392.59199999999998</v>
      </c>
      <c r="D235" s="1475">
        <v>2810.36</v>
      </c>
      <c r="E235" s="1475">
        <v>1.0087678287685495</v>
      </c>
      <c r="F235" s="1475">
        <v>19.46882543970807</v>
      </c>
      <c r="K235" s="1592">
        <v>42292</v>
      </c>
      <c r="L235" s="1593" t="s">
        <v>2301</v>
      </c>
      <c r="M235" s="1594">
        <v>5.2531000000000001E-2</v>
      </c>
      <c r="N235" s="1595">
        <v>1.0824816204669876</v>
      </c>
      <c r="O235" s="1595">
        <v>1.0824816204669876</v>
      </c>
    </row>
    <row r="236" spans="2:15">
      <c r="B236" s="1474">
        <v>39600</v>
      </c>
      <c r="C236" s="1475">
        <v>400.38200000000001</v>
      </c>
      <c r="D236" s="1475">
        <v>2831.16</v>
      </c>
      <c r="E236" s="1475">
        <v>1.0095559246898425</v>
      </c>
      <c r="F236" s="1475">
        <v>19.654868069409609</v>
      </c>
      <c r="K236" s="1592">
        <v>42293</v>
      </c>
      <c r="L236" s="1593" t="s">
        <v>2301</v>
      </c>
      <c r="M236" s="1594">
        <v>5.2531000000000001E-2</v>
      </c>
      <c r="N236" s="1595">
        <v>1.0830502588870352</v>
      </c>
      <c r="O236" s="1595">
        <v>1.0830502588870352</v>
      </c>
    </row>
    <row r="237" spans="2:15">
      <c r="B237" s="1474">
        <v>39630</v>
      </c>
      <c r="C237" s="1475">
        <v>407.44600000000003</v>
      </c>
      <c r="D237" s="1475">
        <v>2846.16</v>
      </c>
      <c r="E237" s="1475">
        <v>1.0106967121371</v>
      </c>
      <c r="F237" s="1475">
        <v>19.865110535240763</v>
      </c>
      <c r="K237" s="1592">
        <v>42294</v>
      </c>
      <c r="L237" s="1593"/>
      <c r="M237" s="1594">
        <v>0</v>
      </c>
      <c r="N237" s="1595">
        <v>1.0830502588870352</v>
      </c>
      <c r="O237" s="1595">
        <v>1.0830502588870352</v>
      </c>
    </row>
    <row r="238" spans="2:15">
      <c r="B238" s="1474">
        <v>39661</v>
      </c>
      <c r="C238" s="1475">
        <v>406.12700000000001</v>
      </c>
      <c r="D238" s="1475">
        <v>2854.13</v>
      </c>
      <c r="E238" s="1475">
        <v>1.0101765713502602</v>
      </c>
      <c r="F238" s="1475">
        <v>20.067269249983447</v>
      </c>
      <c r="K238" s="1592">
        <v>42295</v>
      </c>
      <c r="L238" s="1593"/>
      <c r="M238" s="1594">
        <v>0</v>
      </c>
      <c r="N238" s="1595">
        <v>1.0830502588870352</v>
      </c>
      <c r="O238" s="1595">
        <v>1.0830502588870352</v>
      </c>
    </row>
    <row r="239" spans="2:15">
      <c r="B239" s="1474">
        <v>39692</v>
      </c>
      <c r="C239" s="1475">
        <v>406.55700000000002</v>
      </c>
      <c r="D239" s="1475">
        <v>2861.55</v>
      </c>
      <c r="E239" s="1475">
        <v>1.011030909274969</v>
      </c>
      <c r="F239" s="1475">
        <v>20.288629476476387</v>
      </c>
      <c r="K239" s="1592">
        <v>42296</v>
      </c>
      <c r="L239" s="1593" t="s">
        <v>2301</v>
      </c>
      <c r="M239" s="1594">
        <v>5.2531000000000001E-2</v>
      </c>
      <c r="N239" s="1595">
        <v>1.0836191960185311</v>
      </c>
      <c r="O239" s="1595">
        <v>1.0836191960185311</v>
      </c>
    </row>
    <row r="240" spans="2:15">
      <c r="B240" s="1474">
        <v>39722</v>
      </c>
      <c r="C240" s="1475">
        <v>410.524</v>
      </c>
      <c r="D240" s="1475">
        <v>2874.43</v>
      </c>
      <c r="E240" s="1475">
        <v>1.0117587656900342</v>
      </c>
      <c r="F240" s="1475">
        <v>20.527198716662195</v>
      </c>
      <c r="K240" s="1592">
        <v>42297</v>
      </c>
      <c r="L240" s="1593" t="s">
        <v>2301</v>
      </c>
      <c r="M240" s="1594">
        <v>5.2531000000000001E-2</v>
      </c>
      <c r="N240" s="1595">
        <v>1.0841884320183917</v>
      </c>
      <c r="O240" s="1595">
        <v>1.0841884320183917</v>
      </c>
    </row>
    <row r="241" spans="2:15">
      <c r="B241" s="1474">
        <v>39753</v>
      </c>
      <c r="C241" s="1475">
        <v>412.10399999999998</v>
      </c>
      <c r="D241" s="1475">
        <v>2884.78</v>
      </c>
      <c r="E241" s="1475">
        <v>1.0101996908301405</v>
      </c>
      <c r="F241" s="1475">
        <v>20.736569797181005</v>
      </c>
      <c r="K241" s="1592">
        <v>42298</v>
      </c>
      <c r="L241" s="1593" t="s">
        <v>2301</v>
      </c>
      <c r="M241" s="1594">
        <v>5.2531000000000001E-2</v>
      </c>
      <c r="N241" s="1595">
        <v>1.0847579670436152</v>
      </c>
      <c r="O241" s="1595">
        <v>1.0847579670436152</v>
      </c>
    </row>
    <row r="242" spans="2:15">
      <c r="B242" s="1474">
        <v>39783</v>
      </c>
      <c r="C242" s="1475">
        <v>411.57499999999999</v>
      </c>
      <c r="D242" s="1475">
        <v>2892.86</v>
      </c>
      <c r="E242" s="1475">
        <v>1.0112409294280835</v>
      </c>
      <c r="F242" s="1475">
        <v>20.969668114851643</v>
      </c>
      <c r="K242" s="1592">
        <v>42299</v>
      </c>
      <c r="L242" s="1593" t="s">
        <v>2301</v>
      </c>
      <c r="M242" s="1594">
        <v>5.2531000000000001E-2</v>
      </c>
      <c r="N242" s="1595">
        <v>1.0853278012512828</v>
      </c>
      <c r="O242" s="1595">
        <v>1.0853278012512828</v>
      </c>
    </row>
    <row r="243" spans="2:15">
      <c r="B243" s="1474">
        <v>39814</v>
      </c>
      <c r="C243" s="1475">
        <v>409.78199999999998</v>
      </c>
      <c r="D243" s="1475">
        <v>2906.74</v>
      </c>
      <c r="E243" s="1475">
        <v>1.0104780743150839</v>
      </c>
      <c r="F243" s="1475">
        <v>21.189389855721704</v>
      </c>
      <c r="K243" s="1592">
        <v>42300</v>
      </c>
      <c r="L243" s="1593" t="s">
        <v>2301</v>
      </c>
      <c r="M243" s="1594">
        <v>5.2531000000000001E-2</v>
      </c>
      <c r="N243" s="1595">
        <v>1.0858979347985582</v>
      </c>
      <c r="O243" s="1595">
        <v>1.0858979347985582</v>
      </c>
    </row>
    <row r="244" spans="2:15">
      <c r="B244" s="1474">
        <v>39845</v>
      </c>
      <c r="C244" s="1475">
        <v>410.84899999999999</v>
      </c>
      <c r="D244" s="1475">
        <v>2922.73</v>
      </c>
      <c r="E244" s="1475">
        <v>1.0085508573858042</v>
      </c>
      <c r="F244" s="1475">
        <v>21.370577306470185</v>
      </c>
      <c r="K244" s="1592">
        <v>42301</v>
      </c>
      <c r="L244" s="1593"/>
      <c r="M244" s="1594">
        <v>0</v>
      </c>
      <c r="N244" s="1595">
        <v>1.0858979347985582</v>
      </c>
      <c r="O244" s="1595">
        <v>1.0858979347985582</v>
      </c>
    </row>
    <row r="245" spans="2:15">
      <c r="B245" s="1474">
        <v>39873</v>
      </c>
      <c r="C245" s="1475">
        <v>407.80799999999999</v>
      </c>
      <c r="D245" s="1475">
        <v>2928.57</v>
      </c>
      <c r="E245" s="1475">
        <v>1.0097088387156097</v>
      </c>
      <c r="F245" s="1475">
        <v>21.578060794798173</v>
      </c>
      <c r="K245" s="1592">
        <v>42302</v>
      </c>
      <c r="L245" s="1593"/>
      <c r="M245" s="1594">
        <v>0</v>
      </c>
      <c r="N245" s="1595">
        <v>1.0858979347985582</v>
      </c>
      <c r="O245" s="1595">
        <v>1.0858979347985582</v>
      </c>
    </row>
    <row r="246" spans="2:15">
      <c r="B246" s="1474">
        <v>39904</v>
      </c>
      <c r="C246" s="1475">
        <v>407.18099999999998</v>
      </c>
      <c r="D246" s="1475">
        <v>2942.63</v>
      </c>
      <c r="E246" s="1475">
        <v>1.008395669248594</v>
      </c>
      <c r="F246" s="1475">
        <v>21.759223056257351</v>
      </c>
      <c r="K246" s="1592">
        <v>42303</v>
      </c>
      <c r="L246" s="1593" t="s">
        <v>2301</v>
      </c>
      <c r="M246" s="1594">
        <v>5.2531000000000001E-2</v>
      </c>
      <c r="N246" s="1595">
        <v>1.0864683678426872</v>
      </c>
      <c r="O246" s="1595">
        <v>1.0864683678426872</v>
      </c>
    </row>
    <row r="247" spans="2:15">
      <c r="B247" s="1474">
        <v>39934</v>
      </c>
      <c r="C247" s="1475">
        <v>406.88499999999999</v>
      </c>
      <c r="D247" s="1475">
        <v>2956.46</v>
      </c>
      <c r="E247" s="1475">
        <v>1.0077089274459567</v>
      </c>
      <c r="F247" s="1475">
        <v>21.926963328078429</v>
      </c>
      <c r="K247" s="1592">
        <v>42304</v>
      </c>
      <c r="L247" s="1593" t="s">
        <v>2301</v>
      </c>
      <c r="M247" s="1594">
        <v>5.2531000000000001E-2</v>
      </c>
      <c r="N247" s="1595">
        <v>1.0870391005409987</v>
      </c>
      <c r="O247" s="1595">
        <v>1.0870391005409987</v>
      </c>
    </row>
    <row r="248" spans="2:15">
      <c r="B248" s="1474">
        <v>39965</v>
      </c>
      <c r="C248" s="1475">
        <v>406.48599999999999</v>
      </c>
      <c r="D248" s="1475">
        <v>2967.1</v>
      </c>
      <c r="E248" s="1475">
        <v>1.0076218232644543</v>
      </c>
      <c r="F248" s="1475">
        <v>22.094086767291213</v>
      </c>
      <c r="K248" s="1592">
        <v>42305</v>
      </c>
      <c r="L248" s="1593" t="s">
        <v>2301</v>
      </c>
      <c r="M248" s="1594">
        <v>5.2531000000000001E-2</v>
      </c>
      <c r="N248" s="1595">
        <v>1.0876101330509038</v>
      </c>
      <c r="O248" s="1595">
        <v>1.0876101330509038</v>
      </c>
    </row>
    <row r="249" spans="2:15">
      <c r="B249" s="1474">
        <v>39995</v>
      </c>
      <c r="C249" s="1475">
        <v>404.71800000000002</v>
      </c>
      <c r="D249" s="1475">
        <v>2974.22</v>
      </c>
      <c r="E249" s="1475">
        <v>1.0079014252372847</v>
      </c>
      <c r="F249" s="1475">
        <v>22.268661542069044</v>
      </c>
      <c r="K249" s="1592">
        <v>42306</v>
      </c>
      <c r="L249" s="1593" t="s">
        <v>2301</v>
      </c>
      <c r="M249" s="1594">
        <v>5.2531000000000001E-2</v>
      </c>
      <c r="N249" s="1595">
        <v>1.0881814655298967</v>
      </c>
      <c r="O249" s="1595">
        <v>1.0881814655298967</v>
      </c>
    </row>
    <row r="250" spans="2:15">
      <c r="B250" s="1474">
        <v>40026</v>
      </c>
      <c r="C250" s="1475">
        <v>403.25299999999999</v>
      </c>
      <c r="D250" s="1475">
        <v>2978.68</v>
      </c>
      <c r="E250" s="1475">
        <v>1.0069374854840563</v>
      </c>
      <c r="F250" s="1475">
        <v>22.423150058266511</v>
      </c>
      <c r="K250" s="1592">
        <v>42307</v>
      </c>
      <c r="L250" s="1593" t="s">
        <v>2301</v>
      </c>
      <c r="M250" s="1594">
        <v>5.2531000000000001E-2</v>
      </c>
      <c r="N250" s="1595">
        <v>1.0887530981355542</v>
      </c>
      <c r="O250" s="1595">
        <v>1.0887530981355542</v>
      </c>
    </row>
    <row r="251" spans="2:15">
      <c r="B251" s="1474">
        <v>40057</v>
      </c>
      <c r="C251" s="1475">
        <v>404.94499999999999</v>
      </c>
      <c r="D251" s="1475">
        <v>2985.83</v>
      </c>
      <c r="E251" s="1475">
        <v>1.0069374854840563</v>
      </c>
      <c r="F251" s="1475">
        <v>22.578710336302549</v>
      </c>
      <c r="K251" s="1592">
        <v>42308</v>
      </c>
      <c r="L251" s="1593"/>
      <c r="M251" s="1594">
        <v>0</v>
      </c>
      <c r="N251" s="1595">
        <v>1.0887530981355542</v>
      </c>
      <c r="O251" s="1595">
        <v>1.0887530981355542</v>
      </c>
    </row>
    <row r="252" spans="2:15">
      <c r="B252" s="1474">
        <v>40087</v>
      </c>
      <c r="C252" s="1475">
        <v>405.12900000000002</v>
      </c>
      <c r="D252" s="1475">
        <v>2994.19</v>
      </c>
      <c r="E252" s="1475">
        <v>1.006937485484056</v>
      </c>
      <c r="F252" s="1475">
        <v>22.735349811509355</v>
      </c>
      <c r="K252" s="1592">
        <v>42309</v>
      </c>
      <c r="L252" s="1593"/>
      <c r="M252" s="1594">
        <v>0</v>
      </c>
      <c r="N252" s="1595">
        <v>1.0887530981355542</v>
      </c>
      <c r="O252" s="1595">
        <v>1.0887530981355542</v>
      </c>
    </row>
    <row r="253" spans="2:15">
      <c r="B253" s="1474">
        <v>40118</v>
      </c>
      <c r="C253" s="1475">
        <v>405.548</v>
      </c>
      <c r="D253" s="1475">
        <v>3006.47</v>
      </c>
      <c r="E253" s="1475">
        <v>1.006606040313162</v>
      </c>
      <c r="F253" s="1475">
        <v>22.885540448898027</v>
      </c>
      <c r="K253" s="1592">
        <v>42310</v>
      </c>
      <c r="L253" s="1593"/>
      <c r="M253" s="1594">
        <v>0</v>
      </c>
      <c r="N253" s="1595">
        <v>1.0887530981355542</v>
      </c>
      <c r="O253" s="1595">
        <v>1.0887530981355542</v>
      </c>
    </row>
    <row r="254" spans="2:15">
      <c r="B254" s="1474">
        <v>40148</v>
      </c>
      <c r="C254" s="1475">
        <v>404.49900000000002</v>
      </c>
      <c r="D254" s="1475">
        <v>3017.59</v>
      </c>
      <c r="E254" s="1475">
        <v>1.0072686672230315</v>
      </c>
      <c r="F254" s="1475">
        <v>23.051887826640293</v>
      </c>
      <c r="K254" s="1592">
        <v>42311</v>
      </c>
      <c r="L254" s="1593" t="s">
        <v>2301</v>
      </c>
      <c r="M254" s="1594">
        <v>5.2531000000000001E-2</v>
      </c>
      <c r="N254" s="1595">
        <v>1.0893250310255358</v>
      </c>
      <c r="O254" s="1595">
        <v>1.0893250310255358</v>
      </c>
    </row>
    <row r="255" spans="2:15">
      <c r="B255" s="1474">
        <v>40179</v>
      </c>
      <c r="C255" s="1475">
        <v>407.04899999999998</v>
      </c>
      <c r="D255" s="1475">
        <v>3040.22</v>
      </c>
      <c r="E255" s="1475">
        <v>1.0066056679915218</v>
      </c>
      <c r="F255" s="1475">
        <v>23.204160944200883</v>
      </c>
      <c r="K255" s="1592">
        <v>42312</v>
      </c>
      <c r="L255" s="1593" t="s">
        <v>2301</v>
      </c>
      <c r="M255" s="1594">
        <v>5.2531000000000001E-2</v>
      </c>
      <c r="N255" s="1595">
        <v>1.0898972643575837</v>
      </c>
      <c r="O255" s="1595">
        <v>1.0898972643575837</v>
      </c>
    </row>
    <row r="256" spans="2:15">
      <c r="B256" s="1474">
        <v>40210</v>
      </c>
      <c r="C256" s="1475">
        <v>411.84300000000002</v>
      </c>
      <c r="D256" s="1475">
        <v>3063.93</v>
      </c>
      <c r="E256" s="1475">
        <v>1.0059434772325486</v>
      </c>
      <c r="F256" s="1475">
        <v>23.342074346473133</v>
      </c>
      <c r="K256" s="1592">
        <v>42313</v>
      </c>
      <c r="L256" s="1593" t="s">
        <v>2301</v>
      </c>
      <c r="M256" s="1594">
        <v>5.2531000000000001E-2</v>
      </c>
      <c r="N256" s="1595">
        <v>1.0904697982895235</v>
      </c>
      <c r="O256" s="1595">
        <v>1.0904697982895235</v>
      </c>
    </row>
    <row r="257" spans="2:15">
      <c r="B257" s="1474">
        <v>40238</v>
      </c>
      <c r="C257" s="1475">
        <v>415.73399999999998</v>
      </c>
      <c r="D257" s="1475">
        <v>3079.86</v>
      </c>
      <c r="E257" s="1475">
        <v>1.0076007032666325</v>
      </c>
      <c r="F257" s="1475">
        <v>23.519490527208351</v>
      </c>
      <c r="K257" s="1592">
        <v>42314</v>
      </c>
      <c r="L257" s="1593" t="s">
        <v>2301</v>
      </c>
      <c r="M257" s="1594">
        <v>5.2531000000000001E-2</v>
      </c>
      <c r="N257" s="1595">
        <v>1.0910426329792631</v>
      </c>
      <c r="O257" s="1595">
        <v>1.0910426329792631</v>
      </c>
    </row>
    <row r="258" spans="2:15">
      <c r="B258" s="1474">
        <v>40269</v>
      </c>
      <c r="C258" s="1475">
        <v>418.91699999999997</v>
      </c>
      <c r="D258" s="1475">
        <v>3097.42</v>
      </c>
      <c r="E258" s="1475">
        <v>1.0066591320264642</v>
      </c>
      <c r="F258" s="1475">
        <v>23.676109919824206</v>
      </c>
      <c r="K258" s="1592">
        <v>42315</v>
      </c>
      <c r="L258" s="1593"/>
      <c r="M258" s="1594">
        <v>0</v>
      </c>
      <c r="N258" s="1595">
        <v>1.0910426329792631</v>
      </c>
      <c r="O258" s="1595">
        <v>1.0910426329792631</v>
      </c>
    </row>
    <row r="259" spans="2:15">
      <c r="B259" s="1474">
        <v>40299</v>
      </c>
      <c r="C259" s="1475">
        <v>423.88499999999999</v>
      </c>
      <c r="D259" s="1475">
        <v>3110.74</v>
      </c>
      <c r="E259" s="1475">
        <v>1.0075136425194853</v>
      </c>
      <c r="F259" s="1475">
        <v>23.854003746013806</v>
      </c>
      <c r="K259" s="1592">
        <v>42316</v>
      </c>
      <c r="L259" s="1593"/>
      <c r="M259" s="1594">
        <v>0</v>
      </c>
      <c r="N259" s="1595">
        <v>1.0910426329792631</v>
      </c>
      <c r="O259" s="1595">
        <v>1.0910426329792631</v>
      </c>
    </row>
    <row r="260" spans="2:15">
      <c r="B260" s="1474">
        <v>40330</v>
      </c>
      <c r="C260" s="1475">
        <v>427.48899999999998</v>
      </c>
      <c r="D260" s="1475">
        <v>3110.74</v>
      </c>
      <c r="E260" s="1475">
        <v>1.0079257581819461</v>
      </c>
      <c r="F260" s="1475">
        <v>24.043064811375949</v>
      </c>
      <c r="K260" s="1592">
        <v>42317</v>
      </c>
      <c r="L260" s="1593" t="s">
        <v>2301</v>
      </c>
      <c r="M260" s="1594">
        <v>5.2531000000000001E-2</v>
      </c>
      <c r="N260" s="1595">
        <v>1.0916157685847934</v>
      </c>
      <c r="O260" s="1595">
        <v>1.0916157685847934</v>
      </c>
    </row>
    <row r="261" spans="2:15">
      <c r="B261" s="1474">
        <v>40360</v>
      </c>
      <c r="C261" s="1475">
        <v>428.15</v>
      </c>
      <c r="D261" s="1475">
        <v>3111.05</v>
      </c>
      <c r="E261" s="1475">
        <v>1.0086102956499179</v>
      </c>
      <c r="F261" s="1475">
        <v>24.250082707732034</v>
      </c>
      <c r="K261" s="1592">
        <v>42318</v>
      </c>
      <c r="L261" s="1593" t="s">
        <v>2301</v>
      </c>
      <c r="M261" s="1594">
        <v>5.2531000000000001E-2</v>
      </c>
      <c r="N261" s="1595">
        <v>1.0921892052641886</v>
      </c>
      <c r="O261" s="1595">
        <v>1.0921892052641886</v>
      </c>
    </row>
    <row r="262" spans="2:15">
      <c r="B262" s="1474">
        <v>40391</v>
      </c>
      <c r="C262" s="1475">
        <v>431.44499999999999</v>
      </c>
      <c r="D262" s="1475">
        <v>3112.29</v>
      </c>
      <c r="E262" s="1475">
        <v>1.0088820963555043</v>
      </c>
      <c r="F262" s="1475">
        <v>24.465474278971058</v>
      </c>
      <c r="K262" s="1592">
        <v>42319</v>
      </c>
      <c r="L262" s="1593" t="s">
        <v>2301</v>
      </c>
      <c r="M262" s="1594">
        <v>5.2531000000000001E-2</v>
      </c>
      <c r="N262" s="1595">
        <v>1.0927629431756058</v>
      </c>
      <c r="O262" s="1595">
        <v>1.0927629431756058</v>
      </c>
    </row>
    <row r="263" spans="2:15">
      <c r="B263" s="1474">
        <v>40422</v>
      </c>
      <c r="C263" s="1475">
        <v>436.423</v>
      </c>
      <c r="D263" s="1475">
        <v>3126.29</v>
      </c>
      <c r="E263" s="1475">
        <v>1.0084766584844942</v>
      </c>
      <c r="F263" s="1475">
        <v>24.672859749095071</v>
      </c>
      <c r="K263" s="1592">
        <v>42320</v>
      </c>
      <c r="L263" s="1593" t="s">
        <v>2301</v>
      </c>
      <c r="M263" s="1594">
        <v>5.2531000000000001E-2</v>
      </c>
      <c r="N263" s="1595">
        <v>1.0933369824772854</v>
      </c>
      <c r="O263" s="1595">
        <v>1.0933369824772854</v>
      </c>
    </row>
    <row r="264" spans="2:15">
      <c r="B264" s="1474">
        <v>40452</v>
      </c>
      <c r="C264" s="1475">
        <v>440.82900000000001</v>
      </c>
      <c r="D264" s="1475">
        <v>3149.74</v>
      </c>
      <c r="E264" s="1475">
        <v>1.0080713835461668</v>
      </c>
      <c r="F264" s="1475">
        <v>24.872003863310798</v>
      </c>
      <c r="K264" s="1592">
        <v>42321</v>
      </c>
      <c r="L264" s="1593" t="s">
        <v>2301</v>
      </c>
      <c r="M264" s="1594">
        <v>5.2531000000000001E-2</v>
      </c>
      <c r="N264" s="1595">
        <v>1.0939113233275506</v>
      </c>
      <c r="O264" s="1595">
        <v>1.0939113233275506</v>
      </c>
    </row>
    <row r="265" spans="2:15">
      <c r="B265" s="1474">
        <v>40483</v>
      </c>
      <c r="C265" s="1475">
        <v>447.20600000000002</v>
      </c>
      <c r="D265" s="1475">
        <v>3175.88</v>
      </c>
      <c r="E265" s="1475">
        <v>1.008071383546167</v>
      </c>
      <c r="F265" s="1475">
        <v>25.072755346053327</v>
      </c>
      <c r="K265" s="1592">
        <v>42322</v>
      </c>
      <c r="L265" s="1593"/>
      <c r="M265" s="1594">
        <v>0</v>
      </c>
      <c r="N265" s="1595">
        <v>1.0939113233275506</v>
      </c>
      <c r="O265" s="1595">
        <v>1.0939113233275506</v>
      </c>
    </row>
    <row r="266" spans="2:15">
      <c r="B266" s="1474">
        <v>40513</v>
      </c>
      <c r="C266" s="1475">
        <v>450.30099999999999</v>
      </c>
      <c r="D266" s="1475">
        <v>3195.89</v>
      </c>
      <c r="E266" s="1475">
        <v>1.0092887868177591</v>
      </c>
      <c r="F266" s="1475">
        <v>25.305650825396647</v>
      </c>
      <c r="K266" s="1592">
        <v>42323</v>
      </c>
      <c r="L266" s="1593"/>
      <c r="M266" s="1594">
        <v>0</v>
      </c>
      <c r="N266" s="1595">
        <v>1.0939113233275506</v>
      </c>
      <c r="O266" s="1595">
        <v>1.0939113233275506</v>
      </c>
    </row>
    <row r="267" spans="2:15">
      <c r="B267" s="1474">
        <v>40544</v>
      </c>
      <c r="C267" s="1475">
        <v>453.875</v>
      </c>
      <c r="D267" s="1475">
        <v>3222.42</v>
      </c>
      <c r="E267" s="1475">
        <v>1.0086232010755674</v>
      </c>
      <c r="F267" s="1475">
        <v>25.52386654081214</v>
      </c>
      <c r="K267" s="1592">
        <v>42324</v>
      </c>
      <c r="L267" s="1593" t="s">
        <v>2301</v>
      </c>
      <c r="M267" s="1594">
        <v>5.2531000000000001E-2</v>
      </c>
      <c r="N267" s="1595">
        <v>1.0944859658848078</v>
      </c>
      <c r="O267" s="1595">
        <v>1.0944859658848078</v>
      </c>
    </row>
    <row r="268" spans="2:15">
      <c r="B268" s="1474">
        <v>40575</v>
      </c>
      <c r="C268" s="1475">
        <v>458.39699999999999</v>
      </c>
      <c r="D268" s="1475">
        <v>3248.2</v>
      </c>
      <c r="E268" s="1475">
        <v>1.0084390842010735</v>
      </c>
      <c r="F268" s="1475">
        <v>25.739264599687019</v>
      </c>
      <c r="K268" s="1592">
        <v>42325</v>
      </c>
      <c r="L268" s="1593" t="s">
        <v>2301</v>
      </c>
      <c r="M268" s="1594">
        <v>5.2531000000000001E-2</v>
      </c>
      <c r="N268" s="1595">
        <v>1.0950609103075468</v>
      </c>
      <c r="O268" s="1595">
        <v>1.0950609103075468</v>
      </c>
    </row>
    <row r="269" spans="2:15">
      <c r="B269" s="1474">
        <v>40603</v>
      </c>
      <c r="C269" s="1475">
        <v>461.24900000000002</v>
      </c>
      <c r="D269" s="1475">
        <v>3273.86</v>
      </c>
      <c r="E269" s="1475">
        <v>1.0092045846073012</v>
      </c>
      <c r="F269" s="1475">
        <v>25.97618383842455</v>
      </c>
      <c r="K269" s="1592">
        <v>42326</v>
      </c>
      <c r="L269" s="1593" t="s">
        <v>2301</v>
      </c>
      <c r="M269" s="1594">
        <v>5.2531000000000001E-2</v>
      </c>
      <c r="N269" s="1595">
        <v>1.0956361567543405</v>
      </c>
      <c r="O269" s="1595">
        <v>1.0956361567543405</v>
      </c>
    </row>
    <row r="270" spans="2:15">
      <c r="B270" s="1474">
        <v>40634</v>
      </c>
      <c r="C270" s="1475">
        <v>463.31099999999998</v>
      </c>
      <c r="D270" s="1475">
        <v>3299.07</v>
      </c>
      <c r="E270" s="1475">
        <v>1.0084015541577225</v>
      </c>
      <c r="F270" s="1475">
        <v>26.194424153754028</v>
      </c>
      <c r="K270" s="1592">
        <v>42327</v>
      </c>
      <c r="L270" s="1593" t="s">
        <v>2301</v>
      </c>
      <c r="M270" s="1594">
        <v>5.2531000000000001E-2</v>
      </c>
      <c r="N270" s="1595">
        <v>1.0962117053838452</v>
      </c>
      <c r="O270" s="1595">
        <v>1.0962117053838452</v>
      </c>
    </row>
    <row r="271" spans="2:15">
      <c r="B271" s="1474">
        <v>40664</v>
      </c>
      <c r="C271" s="1475">
        <v>465.31099999999998</v>
      </c>
      <c r="D271" s="1475">
        <v>3314.58</v>
      </c>
      <c r="E271" s="1475">
        <v>1.0098798495673293</v>
      </c>
      <c r="F271" s="1475">
        <v>26.453221123895936</v>
      </c>
      <c r="K271" s="1592">
        <v>42328</v>
      </c>
      <c r="L271" s="1593" t="s">
        <v>2301</v>
      </c>
      <c r="M271" s="1594">
        <v>5.2531000000000001E-2</v>
      </c>
      <c r="N271" s="1595">
        <v>1.0967875563548004</v>
      </c>
      <c r="O271" s="1595">
        <v>1.0967875563548004</v>
      </c>
    </row>
    <row r="272" spans="2:15">
      <c r="B272" s="1474">
        <v>40695</v>
      </c>
      <c r="C272" s="1475">
        <v>464.46300000000002</v>
      </c>
      <c r="D272" s="1475">
        <v>3319.55</v>
      </c>
      <c r="E272" s="1475">
        <v>1.0095627565914342</v>
      </c>
      <c r="F272" s="1475">
        <v>26.706186838563141</v>
      </c>
      <c r="K272" s="1592">
        <v>42329</v>
      </c>
      <c r="L272" s="1593"/>
      <c r="M272" s="1594">
        <v>0</v>
      </c>
      <c r="N272" s="1595">
        <v>1.0967875563548004</v>
      </c>
      <c r="O272" s="1595">
        <v>1.0967875563548004</v>
      </c>
    </row>
    <row r="273" spans="2:15">
      <c r="B273" s="1474">
        <v>40725</v>
      </c>
      <c r="C273" s="1475">
        <v>463.92700000000002</v>
      </c>
      <c r="D273" s="1475">
        <v>3324.86</v>
      </c>
      <c r="E273" s="1475">
        <v>1.0096788504099796</v>
      </c>
      <c r="F273" s="1475">
        <v>26.96467202599456</v>
      </c>
      <c r="K273" s="1592">
        <v>42330</v>
      </c>
      <c r="L273" s="1593"/>
      <c r="M273" s="1594">
        <v>0</v>
      </c>
      <c r="N273" s="1595">
        <v>1.0967875563548004</v>
      </c>
      <c r="O273" s="1595">
        <v>1.0967875563548004</v>
      </c>
    </row>
    <row r="274" spans="2:15">
      <c r="B274" s="1474">
        <v>40756</v>
      </c>
      <c r="C274" s="1475">
        <v>465.96800000000002</v>
      </c>
      <c r="D274" s="1475">
        <v>3337.16</v>
      </c>
      <c r="E274" s="1475">
        <v>1.0107406292787873</v>
      </c>
      <c r="F274" s="1475">
        <v>27.254289571849853</v>
      </c>
      <c r="K274" s="1592">
        <v>42331</v>
      </c>
      <c r="L274" s="1593" t="s">
        <v>2301</v>
      </c>
      <c r="M274" s="1594">
        <v>5.2531000000000001E-2</v>
      </c>
      <c r="N274" s="1595">
        <v>1.0973637098260292</v>
      </c>
      <c r="O274" s="1595">
        <v>1.0973637098260292</v>
      </c>
    </row>
    <row r="275" spans="2:15">
      <c r="B275" s="1474">
        <v>40787</v>
      </c>
      <c r="C275" s="1475">
        <v>468.97500000000002</v>
      </c>
      <c r="D275" s="1475">
        <v>3354.85</v>
      </c>
      <c r="E275" s="1475">
        <v>1.00941760689889</v>
      </c>
      <c r="F275" s="1475">
        <v>27.510959757346054</v>
      </c>
      <c r="K275" s="1592">
        <v>42332</v>
      </c>
      <c r="L275" s="1593" t="s">
        <v>2301</v>
      </c>
      <c r="M275" s="1594">
        <v>5.2531000000000001E-2</v>
      </c>
      <c r="N275" s="1595">
        <v>1.0979401659564378</v>
      </c>
      <c r="O275" s="1595">
        <v>1.0979401659564378</v>
      </c>
    </row>
    <row r="276" spans="2:15">
      <c r="B276" s="1474">
        <v>40817</v>
      </c>
      <c r="C276" s="1475">
        <v>471.46600000000001</v>
      </c>
      <c r="D276" s="1475">
        <v>3369.28</v>
      </c>
      <c r="E276" s="1475">
        <v>1.0088195463919019</v>
      </c>
      <c r="F276" s="1475">
        <v>27.753593943211712</v>
      </c>
      <c r="K276" s="1592">
        <v>42333</v>
      </c>
      <c r="L276" s="1593" t="s">
        <v>2301</v>
      </c>
      <c r="M276" s="1594">
        <v>5.2531000000000001E-2</v>
      </c>
      <c r="N276" s="1595">
        <v>1.0985169249050164</v>
      </c>
      <c r="O276" s="1595">
        <v>1.0985169249050164</v>
      </c>
    </row>
    <row r="277" spans="2:15">
      <c r="B277" s="1474">
        <v>40848</v>
      </c>
      <c r="C277" s="1475">
        <v>473.80799999999999</v>
      </c>
      <c r="D277" s="1475">
        <v>3386.8</v>
      </c>
      <c r="E277" s="1475">
        <v>1.0086047745492386</v>
      </c>
      <c r="F277" s="1475">
        <v>27.992407362024164</v>
      </c>
      <c r="K277" s="1592">
        <v>42334</v>
      </c>
      <c r="L277" s="1593" t="s">
        <v>2301</v>
      </c>
      <c r="M277" s="1594">
        <v>5.2531000000000001E-2</v>
      </c>
      <c r="N277" s="1595">
        <v>1.0990939868308383</v>
      </c>
      <c r="O277" s="1595">
        <v>1.0990939868308383</v>
      </c>
    </row>
    <row r="278" spans="2:15">
      <c r="B278" s="1474">
        <v>40878</v>
      </c>
      <c r="C278" s="1475">
        <v>473.25200000000001</v>
      </c>
      <c r="D278" s="1475">
        <v>3403.73</v>
      </c>
      <c r="E278" s="1475">
        <v>1.0090732804800764</v>
      </c>
      <c r="F278" s="1475">
        <v>28.246390325332364</v>
      </c>
      <c r="K278" s="1592">
        <v>42335</v>
      </c>
      <c r="L278" s="1593" t="s">
        <v>2301</v>
      </c>
      <c r="M278" s="1594">
        <v>5.2531000000000001E-2</v>
      </c>
      <c r="N278" s="1595">
        <v>1.0996713518930603</v>
      </c>
      <c r="O278" s="1595">
        <v>1.0996713518930603</v>
      </c>
    </row>
    <row r="279" spans="2:15">
      <c r="B279" s="1474">
        <v>40909</v>
      </c>
      <c r="C279" s="1475">
        <v>474.42899999999997</v>
      </c>
      <c r="D279" s="1475">
        <v>3422.79</v>
      </c>
      <c r="E279" s="1475">
        <v>1.0089101617717657</v>
      </c>
      <c r="F279" s="1475">
        <v>28.498070232599513</v>
      </c>
      <c r="K279" s="1592">
        <v>42336</v>
      </c>
      <c r="L279" s="1593"/>
      <c r="M279" s="1594">
        <v>0</v>
      </c>
      <c r="N279" s="1595">
        <v>1.0996713518930603</v>
      </c>
      <c r="O279" s="1595">
        <v>1.0996713518930603</v>
      </c>
    </row>
    <row r="280" spans="2:15">
      <c r="B280" s="1474">
        <v>40940</v>
      </c>
      <c r="C280" s="1475">
        <v>474.13799999999998</v>
      </c>
      <c r="D280" s="1475">
        <v>3438.19</v>
      </c>
      <c r="E280" s="1475">
        <v>1.0074877292470876</v>
      </c>
      <c r="F280" s="1475">
        <v>28.711456066565706</v>
      </c>
      <c r="K280" s="1592">
        <v>42337</v>
      </c>
      <c r="L280" s="1593"/>
      <c r="M280" s="1594">
        <v>0</v>
      </c>
      <c r="N280" s="1595">
        <v>1.0996713518930603</v>
      </c>
      <c r="O280" s="1595">
        <v>1.0996713518930603</v>
      </c>
    </row>
    <row r="281" spans="2:15">
      <c r="B281" s="1474">
        <v>40969</v>
      </c>
      <c r="C281" s="1475">
        <v>476.166</v>
      </c>
      <c r="D281" s="1475">
        <v>3445.41</v>
      </c>
      <c r="E281" s="1475">
        <v>1.0082113884808406</v>
      </c>
      <c r="F281" s="1475">
        <v>28.947216986178862</v>
      </c>
      <c r="K281" s="1592">
        <v>42338</v>
      </c>
      <c r="L281" s="1593" t="s">
        <v>2301</v>
      </c>
      <c r="M281" s="1594">
        <v>5.2531000000000001E-2</v>
      </c>
      <c r="N281" s="1595">
        <v>1.1002490202509232</v>
      </c>
      <c r="O281" s="1595">
        <v>1.1002490202509232</v>
      </c>
    </row>
    <row r="282" spans="2:15">
      <c r="B282" s="1474">
        <v>41000</v>
      </c>
      <c r="C282" s="1475">
        <v>480.22899999999998</v>
      </c>
      <c r="D282" s="1475">
        <v>3467.46</v>
      </c>
      <c r="E282" s="1475">
        <v>1.0071187588624242</v>
      </c>
      <c r="F282" s="1475">
        <v>29.15328524364174</v>
      </c>
      <c r="K282" s="1592">
        <v>42339</v>
      </c>
      <c r="L282" s="1593" t="s">
        <v>2301</v>
      </c>
      <c r="M282" s="1594">
        <v>5.2531000000000001E-2</v>
      </c>
      <c r="N282" s="1595">
        <v>1.1008269920637512</v>
      </c>
      <c r="O282" s="1595">
        <v>1.1008269920637512</v>
      </c>
    </row>
    <row r="283" spans="2:15">
      <c r="B283" s="1474">
        <v>41030</v>
      </c>
      <c r="C283" s="1475">
        <v>485.14</v>
      </c>
      <c r="D283" s="1475">
        <v>3479.94</v>
      </c>
      <c r="E283" s="1475">
        <v>1.007447242329657</v>
      </c>
      <c r="F283" s="1475">
        <v>29.370396823556753</v>
      </c>
      <c r="G283" s="11"/>
      <c r="K283" s="1592">
        <v>42340</v>
      </c>
      <c r="L283" s="1593" t="s">
        <v>2301</v>
      </c>
      <c r="M283" s="1594">
        <v>5.2531000000000001E-2</v>
      </c>
      <c r="N283" s="1595">
        <v>1.1014052674909522</v>
      </c>
      <c r="O283" s="1595">
        <v>1.1014052674909522</v>
      </c>
    </row>
    <row r="284" spans="2:15">
      <c r="B284" s="1474">
        <v>41061</v>
      </c>
      <c r="C284" s="1475">
        <v>488.34199999999998</v>
      </c>
      <c r="D284" s="1475">
        <v>3482.72</v>
      </c>
      <c r="E284" s="1475">
        <v>1.0064150263426446</v>
      </c>
      <c r="F284" s="1475">
        <v>29.558808692873793</v>
      </c>
      <c r="K284" s="1592">
        <v>42341</v>
      </c>
      <c r="L284" s="1593" t="s">
        <v>2301</v>
      </c>
      <c r="M284" s="1594">
        <v>5.2531000000000001E-2</v>
      </c>
      <c r="N284" s="1595">
        <v>1.101983846692018</v>
      </c>
      <c r="O284" s="1595">
        <v>1.101983846692018</v>
      </c>
    </row>
    <row r="285" spans="2:15">
      <c r="B285" s="1474">
        <v>41091</v>
      </c>
      <c r="C285" s="1475">
        <v>494.89100000000002</v>
      </c>
      <c r="D285" s="1475">
        <v>3497.7</v>
      </c>
      <c r="E285" s="1475">
        <v>1.0067996486835762</v>
      </c>
      <c r="F285" s="1475">
        <v>29.759798207490373</v>
      </c>
      <c r="K285" s="1592">
        <v>42342</v>
      </c>
      <c r="L285" s="1593" t="s">
        <v>2301</v>
      </c>
      <c r="M285" s="1594">
        <v>5.2531000000000001E-2</v>
      </c>
      <c r="N285" s="1595">
        <v>1.1025627298265237</v>
      </c>
      <c r="O285" s="1595">
        <v>1.1025627298265237</v>
      </c>
    </row>
    <row r="286" spans="2:15">
      <c r="B286" s="1474">
        <v>41122</v>
      </c>
      <c r="C286" s="1475">
        <v>501.95699999999999</v>
      </c>
      <c r="D286" s="1475">
        <v>3512.04</v>
      </c>
      <c r="E286" s="1475">
        <v>1.0069181066014252</v>
      </c>
      <c r="F286" s="1475">
        <v>29.965679663926696</v>
      </c>
      <c r="K286" s="1592">
        <v>42343</v>
      </c>
      <c r="L286" s="1593"/>
      <c r="M286" s="1594">
        <v>0</v>
      </c>
      <c r="N286" s="1595">
        <v>1.1025627298265237</v>
      </c>
      <c r="O286" s="1595">
        <v>1.1025627298265237</v>
      </c>
    </row>
    <row r="287" spans="2:15">
      <c r="B287" s="1474">
        <v>41153</v>
      </c>
      <c r="C287" s="1475">
        <v>506.80399999999997</v>
      </c>
      <c r="D287" s="1475">
        <v>3532.06</v>
      </c>
      <c r="E287" s="1475">
        <v>1.0053899533259578</v>
      </c>
      <c r="F287" s="1475">
        <v>30.127193278695866</v>
      </c>
      <c r="K287" s="1592">
        <v>42344</v>
      </c>
      <c r="L287" s="1593"/>
      <c r="M287" s="1594">
        <v>0</v>
      </c>
      <c r="N287" s="1595">
        <v>1.1025627298265237</v>
      </c>
      <c r="O287" s="1595">
        <v>1.1025627298265237</v>
      </c>
    </row>
    <row r="288" spans="2:15">
      <c r="B288" s="1474">
        <v>41183</v>
      </c>
      <c r="C288" s="1475">
        <v>506.92599999999999</v>
      </c>
      <c r="D288" s="1475">
        <v>3552.9</v>
      </c>
      <c r="E288" s="1475">
        <v>1.0061133864051108</v>
      </c>
      <c r="F288" s="1475">
        <v>30.311372452509993</v>
      </c>
      <c r="K288" s="1592">
        <v>42345</v>
      </c>
      <c r="L288" s="1593" t="s">
        <v>2301</v>
      </c>
      <c r="M288" s="1594">
        <v>5.2531000000000001E-2</v>
      </c>
      <c r="N288" s="1595">
        <v>1.1031419170541288</v>
      </c>
      <c r="O288" s="1595">
        <v>1.1031419170541288</v>
      </c>
    </row>
    <row r="289" spans="2:15">
      <c r="B289" s="1474">
        <v>41214</v>
      </c>
      <c r="C289" s="1475">
        <v>506.79500000000002</v>
      </c>
      <c r="D289" s="1475">
        <v>3574.22</v>
      </c>
      <c r="E289" s="1475">
        <v>1.0054884576647556</v>
      </c>
      <c r="F289" s="1475">
        <v>30.477735136976232</v>
      </c>
      <c r="K289" s="1592">
        <v>42346</v>
      </c>
      <c r="L289" s="1593" t="s">
        <v>2301</v>
      </c>
      <c r="M289" s="1594">
        <v>5.2531000000000001E-2</v>
      </c>
      <c r="N289" s="1595">
        <v>1.1037214085345766</v>
      </c>
      <c r="O289" s="1595">
        <v>1.1037214085345766</v>
      </c>
    </row>
    <row r="290" spans="2:15">
      <c r="B290" s="1474">
        <v>41244</v>
      </c>
      <c r="C290" s="1475">
        <v>510.25200000000001</v>
      </c>
      <c r="D290" s="1475">
        <v>3602.46</v>
      </c>
      <c r="E290" s="1475">
        <v>1.0055015154231364</v>
      </c>
      <c r="F290" s="1475">
        <v>30.645408866894574</v>
      </c>
      <c r="K290" s="1592">
        <v>42347</v>
      </c>
      <c r="L290" s="1593" t="s">
        <v>2301</v>
      </c>
      <c r="M290" s="1594">
        <v>5.2531000000000001E-2</v>
      </c>
      <c r="N290" s="1595">
        <v>1.1043012044276939</v>
      </c>
      <c r="O290" s="1595">
        <v>1.1043012044276939</v>
      </c>
    </row>
    <row r="291" spans="2:15">
      <c r="B291" s="1474">
        <v>41275</v>
      </c>
      <c r="C291" s="1475">
        <v>511.97699999999998</v>
      </c>
      <c r="D291" s="1475">
        <v>3633.44</v>
      </c>
      <c r="E291" s="1475">
        <v>1.0060143970219473</v>
      </c>
      <c r="F291" s="1475">
        <v>30.82972252271998</v>
      </c>
      <c r="K291" s="1592">
        <v>42348</v>
      </c>
      <c r="L291" s="1593" t="s">
        <v>2301</v>
      </c>
      <c r="M291" s="1594">
        <v>5.2531000000000001E-2</v>
      </c>
      <c r="N291" s="1595">
        <v>1.1048813048933919</v>
      </c>
      <c r="O291" s="1595">
        <v>1.1048813048933919</v>
      </c>
    </row>
    <row r="292" spans="2:15">
      <c r="B292" s="1474">
        <v>41306</v>
      </c>
      <c r="C292" s="1475">
        <v>513.46699999999998</v>
      </c>
      <c r="D292" s="1475">
        <v>3655.24</v>
      </c>
      <c r="E292" s="1475">
        <v>1.0049274991744226</v>
      </c>
      <c r="F292" s="1475">
        <v>30.98163595499836</v>
      </c>
      <c r="K292" s="1592">
        <v>42349</v>
      </c>
      <c r="L292" s="1593" t="s">
        <v>2301</v>
      </c>
      <c r="M292" s="1594">
        <v>5.2531000000000001E-2</v>
      </c>
      <c r="N292" s="1595">
        <v>1.1054617100916655</v>
      </c>
      <c r="O292" s="1595">
        <v>1.1054617100916655</v>
      </c>
    </row>
    <row r="293" spans="2:15">
      <c r="B293" s="1474">
        <v>41334</v>
      </c>
      <c r="C293" s="1475">
        <v>514.52599999999995</v>
      </c>
      <c r="D293" s="1475">
        <v>3672.42</v>
      </c>
      <c r="E293" s="1475">
        <v>1.0054940366101026</v>
      </c>
      <c r="F293" s="1475">
        <v>31.151850197175992</v>
      </c>
      <c r="K293" s="1592">
        <v>42350</v>
      </c>
      <c r="L293" s="1593"/>
      <c r="M293" s="1594">
        <v>0</v>
      </c>
      <c r="N293" s="1595">
        <v>1.1054617100916655</v>
      </c>
      <c r="O293" s="1595">
        <v>1.1054617100916655</v>
      </c>
    </row>
    <row r="294" spans="2:15">
      <c r="B294" s="1474">
        <v>41365</v>
      </c>
      <c r="C294" s="1475">
        <v>515.27599999999995</v>
      </c>
      <c r="D294" s="1475">
        <v>3692.62</v>
      </c>
      <c r="E294" s="1475">
        <v>1.0061364605097283</v>
      </c>
      <c r="F294" s="1475">
        <v>31.343012295715933</v>
      </c>
      <c r="K294" s="1592">
        <v>42351</v>
      </c>
      <c r="L294" s="1593"/>
      <c r="M294" s="1594">
        <v>0</v>
      </c>
      <c r="N294" s="1595">
        <v>1.1054617100916655</v>
      </c>
      <c r="O294" s="1595">
        <v>1.1054617100916655</v>
      </c>
    </row>
    <row r="295" spans="2:15">
      <c r="B295" s="1474">
        <v>41395</v>
      </c>
      <c r="C295" s="1475">
        <v>515.29899999999998</v>
      </c>
      <c r="D295" s="1475">
        <v>3706.28</v>
      </c>
      <c r="E295" s="1475">
        <v>1.0059853629993882</v>
      </c>
      <c r="F295" s="1475">
        <v>31.530611601800082</v>
      </c>
      <c r="K295" s="1592">
        <v>42352</v>
      </c>
      <c r="L295" s="1593" t="s">
        <v>2301</v>
      </c>
      <c r="M295" s="1594">
        <v>5.2531000000000001E-2</v>
      </c>
      <c r="N295" s="1595">
        <v>1.1060424201825938</v>
      </c>
      <c r="O295" s="1595">
        <v>1.1060424201825938</v>
      </c>
    </row>
    <row r="296" spans="2:15">
      <c r="B296" s="1474">
        <v>41426</v>
      </c>
      <c r="C296" s="1475">
        <v>519.15300000000002</v>
      </c>
      <c r="D296" s="1475">
        <v>3715.92</v>
      </c>
      <c r="E296" s="1475">
        <v>1.0060527337434972</v>
      </c>
      <c r="F296" s="1475">
        <v>31.721457998595405</v>
      </c>
      <c r="G296" s="66"/>
      <c r="K296" s="1592">
        <v>42353</v>
      </c>
      <c r="L296" s="1593" t="s">
        <v>2301</v>
      </c>
      <c r="M296" s="1594">
        <v>5.2531000000000001E-2</v>
      </c>
      <c r="N296" s="1595">
        <v>1.10662343532634</v>
      </c>
      <c r="O296" s="1595">
        <v>1.10662343532634</v>
      </c>
    </row>
    <row r="297" spans="2:15">
      <c r="B297" s="1474">
        <v>41456</v>
      </c>
      <c r="C297" s="1475">
        <v>520.50800000000004</v>
      </c>
      <c r="D297" s="1475">
        <v>3717.03</v>
      </c>
      <c r="E297" s="1475">
        <v>1.0072409169740031</v>
      </c>
      <c r="F297" s="1475">
        <v>31.951150442257561</v>
      </c>
      <c r="K297" s="1592">
        <v>42354</v>
      </c>
      <c r="L297" s="1593" t="s">
        <v>2301</v>
      </c>
      <c r="M297" s="1594">
        <v>5.2531000000000001E-2</v>
      </c>
      <c r="N297" s="1595">
        <v>1.1072047556831512</v>
      </c>
      <c r="O297" s="1595">
        <v>1.1072047556831512</v>
      </c>
    </row>
    <row r="298" spans="2:15">
      <c r="B298" s="1474">
        <v>41487</v>
      </c>
      <c r="C298" s="1475">
        <v>521.27</v>
      </c>
      <c r="D298" s="1475">
        <v>3725.95</v>
      </c>
      <c r="E298" s="1475">
        <v>1.0071031495053051</v>
      </c>
      <c r="F298" s="1475">
        <v>32.178104240715413</v>
      </c>
      <c r="K298" s="1592">
        <v>42355</v>
      </c>
      <c r="L298" s="1593" t="s">
        <v>2301</v>
      </c>
      <c r="M298" s="1594">
        <v>5.2531000000000001E-2</v>
      </c>
      <c r="N298" s="1595">
        <v>1.1077863814133591</v>
      </c>
      <c r="O298" s="1595">
        <v>1.1077863814133591</v>
      </c>
    </row>
    <row r="299" spans="2:15">
      <c r="B299" s="1474">
        <v>41518</v>
      </c>
      <c r="C299" s="1475">
        <v>529.08500000000004</v>
      </c>
      <c r="D299" s="1475">
        <v>3738.99</v>
      </c>
      <c r="E299" s="1475">
        <v>1.0071302882501354</v>
      </c>
      <c r="F299" s="1475">
        <v>32.407543399294617</v>
      </c>
      <c r="K299" s="1592">
        <v>42356</v>
      </c>
      <c r="L299" s="1593" t="s">
        <v>2301</v>
      </c>
      <c r="M299" s="1594">
        <v>5.2531000000000001E-2</v>
      </c>
      <c r="N299" s="1595">
        <v>1.1083683126773793</v>
      </c>
      <c r="O299" s="1595">
        <v>1.1083683126773793</v>
      </c>
    </row>
    <row r="300" spans="2:15">
      <c r="B300" s="1474">
        <v>41548</v>
      </c>
      <c r="C300" s="1475">
        <v>533.62099999999998</v>
      </c>
      <c r="D300" s="1475">
        <v>3760.3</v>
      </c>
      <c r="E300" s="1475">
        <v>1.0081051023495244</v>
      </c>
      <c r="F300" s="1475">
        <v>32.670209855442558</v>
      </c>
      <c r="G300" s="67"/>
      <c r="K300" s="1592">
        <v>42357</v>
      </c>
      <c r="L300" s="1593"/>
      <c r="M300" s="1594">
        <v>0</v>
      </c>
      <c r="N300" s="1595">
        <v>1.1083683126773793</v>
      </c>
      <c r="O300" s="1595">
        <v>1.1083683126773793</v>
      </c>
    </row>
    <row r="301" spans="2:15">
      <c r="B301" s="1474">
        <v>41579</v>
      </c>
      <c r="C301" s="1475">
        <v>535.16800000000001</v>
      </c>
      <c r="D301" s="1475">
        <v>3780.61</v>
      </c>
      <c r="E301" s="1475">
        <v>1.0071920752752215</v>
      </c>
      <c r="F301" s="1475">
        <v>32.905176463980183</v>
      </c>
      <c r="G301" s="67"/>
      <c r="K301" s="1592">
        <v>42358</v>
      </c>
      <c r="L301" s="1593"/>
      <c r="M301" s="1594">
        <v>0</v>
      </c>
      <c r="N301" s="1595">
        <v>1.1083683126773793</v>
      </c>
      <c r="O301" s="1595">
        <v>1.1083683126773793</v>
      </c>
    </row>
    <row r="302" spans="2:15">
      <c r="B302" s="1474">
        <v>41609</v>
      </c>
      <c r="C302" s="1475">
        <v>538.37</v>
      </c>
      <c r="D302" s="1475">
        <v>3815.39</v>
      </c>
      <c r="E302" s="1475">
        <v>1.0078974581644051</v>
      </c>
      <c r="F302" s="1475">
        <v>33.165043718496833</v>
      </c>
      <c r="G302" s="66"/>
      <c r="K302" s="1592">
        <v>42359</v>
      </c>
      <c r="L302" s="1593" t="s">
        <v>2301</v>
      </c>
      <c r="M302" s="1594">
        <v>5.2531000000000001E-2</v>
      </c>
      <c r="N302" s="1595">
        <v>1.1089505496357119</v>
      </c>
      <c r="O302" s="1595">
        <v>1.1089505496357119</v>
      </c>
    </row>
    <row r="303" spans="2:15">
      <c r="B303" s="1474">
        <v>41640</v>
      </c>
      <c r="C303" s="1475">
        <v>540.95899999999995</v>
      </c>
      <c r="D303" s="1475">
        <v>3836.38</v>
      </c>
      <c r="E303" s="1475">
        <v>1.0084934395272054</v>
      </c>
      <c r="F303" s="1475">
        <v>33.446729011737006</v>
      </c>
      <c r="K303" s="1592">
        <v>42360</v>
      </c>
      <c r="L303" s="1593" t="s">
        <v>2301</v>
      </c>
      <c r="M303" s="1594">
        <v>5.2531000000000001E-2</v>
      </c>
      <c r="N303" s="1595">
        <v>1.109533092448941</v>
      </c>
      <c r="O303" s="1595">
        <v>1.109533092448941</v>
      </c>
    </row>
    <row r="304" spans="2:15">
      <c r="B304" s="1474">
        <v>41671</v>
      </c>
      <c r="C304" s="1475">
        <v>543.03800000000001</v>
      </c>
      <c r="D304" s="1475">
        <v>3862.84</v>
      </c>
      <c r="E304" s="1475">
        <v>1.007901464239193</v>
      </c>
      <c r="F304" s="1475">
        <v>33.711007144941227</v>
      </c>
      <c r="K304" s="1592">
        <v>42361</v>
      </c>
      <c r="L304" s="1593" t="s">
        <v>2301</v>
      </c>
      <c r="M304" s="1594">
        <v>5.2531000000000001E-2</v>
      </c>
      <c r="N304" s="1595">
        <v>1.1101159412777355</v>
      </c>
      <c r="O304" s="1595">
        <v>1.1101159412777355</v>
      </c>
    </row>
    <row r="305" spans="2:15">
      <c r="B305" s="1474">
        <v>41699</v>
      </c>
      <c r="C305" s="1475">
        <v>552.08699999999999</v>
      </c>
      <c r="D305" s="1475">
        <v>3898.38</v>
      </c>
      <c r="E305" s="1475">
        <v>1.0076595732083427</v>
      </c>
      <c r="F305" s="1475">
        <v>33.969219072094866</v>
      </c>
      <c r="K305" s="1592">
        <v>42362</v>
      </c>
      <c r="L305" s="1593" t="s">
        <v>2301</v>
      </c>
      <c r="M305" s="1594">
        <v>5.2531000000000001E-2</v>
      </c>
      <c r="N305" s="1595">
        <v>1.110699096282848</v>
      </c>
      <c r="O305" s="1595">
        <v>1.110699096282848</v>
      </c>
    </row>
    <row r="306" spans="2:15">
      <c r="B306" s="1474">
        <v>41730</v>
      </c>
      <c r="C306" s="1475">
        <v>556.41999999999996</v>
      </c>
      <c r="D306" s="1475">
        <v>3924.5</v>
      </c>
      <c r="E306" s="1475">
        <v>1.0082266762081393</v>
      </c>
      <c r="F306" s="1475">
        <v>34.248672838444342</v>
      </c>
      <c r="K306" s="1592">
        <v>42363</v>
      </c>
      <c r="L306" s="1593"/>
      <c r="M306" s="1594">
        <v>0</v>
      </c>
      <c r="N306" s="1595">
        <v>1.110699096282848</v>
      </c>
      <c r="O306" s="1595">
        <v>1.110699096282848</v>
      </c>
    </row>
    <row r="307" spans="2:15">
      <c r="B307" s="1474">
        <v>41760</v>
      </c>
      <c r="C307" s="1475">
        <v>555.67899999999997</v>
      </c>
      <c r="D307" s="1475">
        <v>3942.55</v>
      </c>
      <c r="E307" s="1475">
        <v>1.0086587318278823</v>
      </c>
      <c r="F307" s="1475">
        <v>34.545222912013308</v>
      </c>
      <c r="K307" s="1592">
        <v>42364</v>
      </c>
      <c r="L307" s="1593"/>
      <c r="M307" s="1594">
        <v>0</v>
      </c>
      <c r="N307" s="1595">
        <v>1.110699096282848</v>
      </c>
      <c r="O307" s="1595">
        <v>1.110699096282848</v>
      </c>
    </row>
    <row r="308" spans="2:15">
      <c r="B308" s="1474">
        <v>41791</v>
      </c>
      <c r="C308" s="1475">
        <v>551.55399999999997</v>
      </c>
      <c r="D308" s="1475">
        <v>3958.32</v>
      </c>
      <c r="E308" s="1475">
        <v>1.0082447163000285</v>
      </c>
      <c r="F308" s="1475">
        <v>34.830038474444102</v>
      </c>
      <c r="K308" s="1592">
        <v>42365</v>
      </c>
      <c r="L308" s="1593"/>
      <c r="M308" s="1594">
        <v>0</v>
      </c>
      <c r="N308" s="1595">
        <v>1.110699096282848</v>
      </c>
      <c r="O308" s="1595">
        <v>1.110699096282848</v>
      </c>
    </row>
    <row r="309" spans="2:15">
      <c r="B309" s="1474">
        <v>41821</v>
      </c>
      <c r="C309" s="1475">
        <v>548.202</v>
      </c>
      <c r="D309" s="1475">
        <v>3958.72</v>
      </c>
      <c r="E309" s="1475">
        <v>1.0094872729749897</v>
      </c>
      <c r="F309" s="1475">
        <v>35.160480557180549</v>
      </c>
      <c r="K309" s="1592">
        <v>42366</v>
      </c>
      <c r="L309" s="1593" t="s">
        <v>2301</v>
      </c>
      <c r="M309" s="1594">
        <v>5.2531000000000001E-2</v>
      </c>
      <c r="N309" s="1595">
        <v>1.1112825576251164</v>
      </c>
      <c r="O309" s="1595">
        <v>1.1112825576251164</v>
      </c>
    </row>
    <row r="310" spans="2:15">
      <c r="B310" s="1474">
        <v>41852</v>
      </c>
      <c r="C310" s="1475">
        <v>546.745</v>
      </c>
      <c r="D310" s="1475">
        <v>3968.62</v>
      </c>
      <c r="E310" s="1475">
        <v>1.0086598207325679</v>
      </c>
      <c r="F310" s="1475">
        <v>35.464964015676671</v>
      </c>
      <c r="K310" s="1592">
        <v>42367</v>
      </c>
      <c r="L310" s="1593" t="s">
        <v>2301</v>
      </c>
      <c r="M310" s="1594">
        <v>5.2531000000000001E-2</v>
      </c>
      <c r="N310" s="1595">
        <v>1.1118663254654624</v>
      </c>
      <c r="O310" s="1595">
        <v>1.1118663254654624</v>
      </c>
    </row>
    <row r="311" spans="2:15">
      <c r="B311" s="1474">
        <v>41883</v>
      </c>
      <c r="C311" s="1475">
        <v>547.83900000000006</v>
      </c>
      <c r="D311" s="1475">
        <v>3991.24</v>
      </c>
      <c r="E311" s="1475">
        <v>1.0090729173629331</v>
      </c>
      <c r="F311" s="1475">
        <v>35.786734703470302</v>
      </c>
      <c r="K311" s="1592">
        <v>42368</v>
      </c>
      <c r="L311" s="1593" t="s">
        <v>2301</v>
      </c>
      <c r="M311" s="1594">
        <v>5.2531000000000001E-2</v>
      </c>
      <c r="N311" s="1595">
        <v>1.1124503999648927</v>
      </c>
      <c r="O311" s="1595">
        <v>1.1124503999648927</v>
      </c>
    </row>
    <row r="312" spans="2:15">
      <c r="B312" s="1474">
        <v>41913</v>
      </c>
      <c r="C312" s="1475">
        <v>549.39599999999996</v>
      </c>
      <c r="D312" s="1475">
        <v>4008</v>
      </c>
      <c r="E312" s="1475">
        <v>1.009505315279368</v>
      </c>
      <c r="F312" s="1475">
        <v>36.126898899645887</v>
      </c>
      <c r="K312" s="1592">
        <v>42369</v>
      </c>
      <c r="L312" s="1593" t="s">
        <v>2301</v>
      </c>
      <c r="M312" s="1594">
        <v>5.2531000000000001E-2</v>
      </c>
      <c r="N312" s="1595">
        <v>1.1130347812844983</v>
      </c>
      <c r="O312" s="1595">
        <v>1.1130347812844983</v>
      </c>
    </row>
    <row r="313" spans="2:15">
      <c r="B313" s="1474">
        <v>41944</v>
      </c>
      <c r="C313" s="1475">
        <v>554.76900000000001</v>
      </c>
      <c r="D313" s="1475">
        <v>4028.44</v>
      </c>
      <c r="E313" s="1475">
        <v>1.0084249317586502</v>
      </c>
      <c r="F313" s="1475">
        <v>36.431265557527063</v>
      </c>
      <c r="K313" s="1592">
        <v>42370</v>
      </c>
      <c r="L313" s="1593"/>
      <c r="M313" s="1594">
        <v>0</v>
      </c>
      <c r="N313" s="1595">
        <v>1.1130347812844983</v>
      </c>
      <c r="O313" s="1595">
        <v>1.1130347812844983</v>
      </c>
    </row>
    <row r="314" spans="2:15">
      <c r="B314" s="1474">
        <v>41974</v>
      </c>
      <c r="C314" s="1475">
        <v>558.21299999999997</v>
      </c>
      <c r="D314" s="1475">
        <v>4059.86</v>
      </c>
      <c r="E314" s="1475">
        <v>1.0096129495106978</v>
      </c>
      <c r="F314" s="1475">
        <v>36.781477473942395</v>
      </c>
      <c r="K314" s="1592">
        <v>42371</v>
      </c>
      <c r="L314" s="1593"/>
      <c r="M314" s="1594">
        <v>0</v>
      </c>
      <c r="N314" s="1595">
        <v>1.1130347812844983</v>
      </c>
      <c r="O314" s="1595">
        <v>1.1130347812844983</v>
      </c>
    </row>
    <row r="315" spans="2:15">
      <c r="B315" s="1474">
        <v>42005</v>
      </c>
      <c r="C315" s="1475">
        <v>562.48199999999997</v>
      </c>
      <c r="D315" s="1475">
        <v>4110.2</v>
      </c>
      <c r="E315" s="1475">
        <v>1.0093507541041149</v>
      </c>
      <c r="F315" s="1475">
        <v>37.12541202538727</v>
      </c>
      <c r="K315" s="1592">
        <v>42372</v>
      </c>
      <c r="L315" s="1593"/>
      <c r="M315" s="1594">
        <v>0</v>
      </c>
      <c r="N315" s="1595">
        <v>1.1130347812844983</v>
      </c>
      <c r="O315" s="1595">
        <v>1.1130347812844983</v>
      </c>
    </row>
    <row r="316" spans="2:15">
      <c r="B316" s="1474">
        <v>42036</v>
      </c>
      <c r="C316" s="1475">
        <v>564.00400000000002</v>
      </c>
      <c r="D316" s="1475">
        <v>4160.34</v>
      </c>
      <c r="E316" s="1475">
        <v>1.0082241099890967</v>
      </c>
      <c r="F316" s="1475">
        <v>37.43073549727459</v>
      </c>
      <c r="K316" s="1592">
        <v>42373</v>
      </c>
      <c r="L316" s="1593" t="s">
        <v>2301</v>
      </c>
      <c r="M316" s="1594">
        <v>5.2531000000000001E-2</v>
      </c>
      <c r="N316" s="1595">
        <v>1.1136194695854549</v>
      </c>
      <c r="O316" s="1595">
        <v>1.1136194695854549</v>
      </c>
    </row>
    <row r="317" spans="2:15">
      <c r="B317" s="1474">
        <v>42064</v>
      </c>
      <c r="C317" s="1475">
        <v>569.53599999999994</v>
      </c>
      <c r="D317" s="1475">
        <v>4215.26</v>
      </c>
      <c r="E317" s="1475">
        <v>1.0103996710699541</v>
      </c>
      <c r="F317" s="1475">
        <v>37.820002834352699</v>
      </c>
      <c r="K317" s="1592">
        <v>42374</v>
      </c>
      <c r="L317" s="1593" t="s">
        <v>2301</v>
      </c>
      <c r="M317" s="1594">
        <v>5.2531000000000001E-2</v>
      </c>
      <c r="N317" s="1595">
        <v>1.1142044650290228</v>
      </c>
      <c r="O317" s="1595">
        <v>1.1142044650290228</v>
      </c>
    </row>
    <row r="318" spans="2:15">
      <c r="B318" s="1474">
        <v>42095</v>
      </c>
      <c r="C318" s="1475">
        <v>576.17499999999995</v>
      </c>
      <c r="D318" s="1475">
        <v>4245.1899999999996</v>
      </c>
      <c r="E318" s="1475">
        <v>1.0095179160892187</v>
      </c>
      <c r="F318" s="1475">
        <v>38.179970447824083</v>
      </c>
      <c r="K318" s="1592">
        <v>42375</v>
      </c>
      <c r="L318" s="1593" t="s">
        <v>2301</v>
      </c>
      <c r="M318" s="1594">
        <v>5.2531000000000001E-2</v>
      </c>
      <c r="N318" s="1595">
        <v>1.1147897677765473</v>
      </c>
      <c r="O318" s="1595">
        <v>1.1147897677765473</v>
      </c>
    </row>
    <row r="319" spans="2:15">
      <c r="B319" s="1474">
        <v>42125</v>
      </c>
      <c r="C319" s="1475">
        <v>578.51599999999996</v>
      </c>
      <c r="D319" s="1475">
        <v>4276.6000000000004</v>
      </c>
      <c r="E319" s="1475">
        <v>1.0098532226245138</v>
      </c>
      <c r="F319" s="1475">
        <v>38.556166196443854</v>
      </c>
      <c r="K319" s="1592">
        <v>42376</v>
      </c>
      <c r="L319" s="1593" t="s">
        <v>2301</v>
      </c>
      <c r="M319" s="1594">
        <v>5.2531000000000001E-2</v>
      </c>
      <c r="N319" s="1595">
        <v>1.115375377989458</v>
      </c>
      <c r="O319" s="1595">
        <v>1.115375377989458</v>
      </c>
    </row>
    <row r="320" spans="2:15">
      <c r="B320" s="1474">
        <v>42156</v>
      </c>
      <c r="C320" s="1475">
        <v>582.40099999999995</v>
      </c>
      <c r="D320" s="1475">
        <v>4310.3900000000003</v>
      </c>
      <c r="E320" s="1475">
        <v>1.0106667572412273</v>
      </c>
      <c r="F320" s="1475">
        <v>38.967435461413736</v>
      </c>
      <c r="K320" s="1592">
        <v>42377</v>
      </c>
      <c r="L320" s="1593" t="s">
        <v>2301</v>
      </c>
      <c r="M320" s="1594">
        <v>5.2531000000000001E-2</v>
      </c>
      <c r="N320" s="1595">
        <v>1.1159612958292695</v>
      </c>
      <c r="O320" s="1595">
        <v>1.1159612958292695</v>
      </c>
    </row>
    <row r="321" spans="2:15">
      <c r="B321" s="1474">
        <v>42186</v>
      </c>
      <c r="C321" s="1475">
        <v>586.42600000000004</v>
      </c>
      <c r="D321" s="1475">
        <v>4337.1099999999997</v>
      </c>
      <c r="E321" s="1475">
        <v>1.0117819838421735</v>
      </c>
      <c r="F321" s="1475">
        <v>39.426549156391054</v>
      </c>
      <c r="K321" s="1592">
        <v>42378</v>
      </c>
      <c r="L321" s="1593"/>
      <c r="M321" s="1594">
        <v>0</v>
      </c>
      <c r="N321" s="1595">
        <v>1.1159612958292695</v>
      </c>
      <c r="O321" s="1595">
        <v>1.1159612958292695</v>
      </c>
    </row>
    <row r="322" spans="2:15">
      <c r="B322" s="1474">
        <v>42217</v>
      </c>
      <c r="C322" s="1475">
        <v>588.04200000000003</v>
      </c>
      <c r="D322" s="1475">
        <v>4346.6499999999996</v>
      </c>
      <c r="E322" s="1475">
        <v>1.0110896528780247</v>
      </c>
      <c r="F322" s="1475">
        <v>39.863775900713804</v>
      </c>
      <c r="K322" s="1592">
        <v>42379</v>
      </c>
      <c r="L322" s="1593"/>
      <c r="M322" s="1594">
        <v>0</v>
      </c>
      <c r="N322" s="1595">
        <v>1.1159612958292695</v>
      </c>
      <c r="O322" s="1595">
        <v>1.1159612958292695</v>
      </c>
    </row>
    <row r="323" spans="2:15">
      <c r="B323" s="1474">
        <v>42248</v>
      </c>
      <c r="C323" s="1475">
        <v>593.60599999999999</v>
      </c>
      <c r="D323" s="1475">
        <v>4370.12</v>
      </c>
      <c r="E323" s="1475">
        <v>1.0110896528780244</v>
      </c>
      <c r="F323" s="1475">
        <v>40.305851337860076</v>
      </c>
      <c r="K323" s="1592">
        <v>42380</v>
      </c>
      <c r="L323" s="1593" t="s">
        <v>2301</v>
      </c>
      <c r="M323" s="1594">
        <v>5.2531000000000001E-2</v>
      </c>
      <c r="N323" s="1595">
        <v>1.1165475214575815</v>
      </c>
      <c r="O323" s="1595">
        <v>1.1165475214575815</v>
      </c>
    </row>
    <row r="324" spans="2:15">
      <c r="B324" s="1474">
        <v>42278</v>
      </c>
      <c r="C324" s="1475">
        <v>604.83199999999999</v>
      </c>
      <c r="D324" s="1475">
        <v>4405.95</v>
      </c>
      <c r="E324" s="1475">
        <v>1.0110896528780242</v>
      </c>
      <c r="F324" s="1475">
        <v>40.752829238150191</v>
      </c>
      <c r="K324" s="1592">
        <v>42381</v>
      </c>
      <c r="L324" s="1593" t="s">
        <v>2301</v>
      </c>
      <c r="M324" s="1594">
        <v>5.2531000000000001E-2</v>
      </c>
      <c r="N324" s="1595">
        <v>1.1171340550360784</v>
      </c>
      <c r="O324" s="1595">
        <v>1.1171340550360784</v>
      </c>
    </row>
    <row r="325" spans="2:15">
      <c r="B325" s="1474">
        <v>42309</v>
      </c>
      <c r="C325" s="1475">
        <v>614.05100000000004</v>
      </c>
      <c r="D325" s="1475">
        <v>4450.45</v>
      </c>
      <c r="E325" s="1475">
        <v>1.0105587962367735</v>
      </c>
      <c r="F325" s="1475">
        <v>41.183130058147846</v>
      </c>
      <c r="K325" s="1592">
        <v>42382</v>
      </c>
      <c r="L325" s="1593" t="s">
        <v>2301</v>
      </c>
      <c r="M325" s="1594">
        <v>5.2531000000000001E-2</v>
      </c>
      <c r="N325" s="1595">
        <v>1.1177208967265295</v>
      </c>
      <c r="O325" s="1595">
        <v>1.1177208967265295</v>
      </c>
    </row>
    <row r="326" spans="2:15">
      <c r="B326" s="1474">
        <v>42339</v>
      </c>
      <c r="C326" s="1475">
        <v>617.04399999999998</v>
      </c>
      <c r="D326" s="1475">
        <v>4493.17</v>
      </c>
      <c r="E326" s="1475">
        <v>1.0116207883835777</v>
      </c>
      <c r="F326" s="1475">
        <v>41.66171049752694</v>
      </c>
      <c r="K326" s="1592">
        <v>42383</v>
      </c>
      <c r="L326" s="1593" t="s">
        <v>2301</v>
      </c>
      <c r="M326" s="1594">
        <v>5.2531000000000001E-2</v>
      </c>
      <c r="N326" s="1595">
        <v>1.1183080466907889</v>
      </c>
      <c r="O326" s="1595">
        <v>1.1183080466907889</v>
      </c>
    </row>
    <row r="327" spans="2:15">
      <c r="B327" s="1474">
        <v>42370</v>
      </c>
      <c r="C327" s="1475">
        <v>624.05999999999995</v>
      </c>
      <c r="D327" s="1475">
        <v>4550.2299999999996</v>
      </c>
      <c r="E327" s="1475">
        <v>1.0105587962367735</v>
      </c>
      <c r="F327" s="1475">
        <v>42.101608009545771</v>
      </c>
      <c r="K327" s="1592">
        <v>42384</v>
      </c>
      <c r="L327" s="1593" t="s">
        <v>2301</v>
      </c>
      <c r="M327" s="1594">
        <v>5.2531000000000001E-2</v>
      </c>
      <c r="N327" s="1595">
        <v>1.118895505090796</v>
      </c>
      <c r="O327" s="1595">
        <v>1.118895505090796</v>
      </c>
    </row>
    <row r="328" spans="2:15">
      <c r="B328" s="1474">
        <v>42401</v>
      </c>
      <c r="C328" s="1475">
        <v>632.11400000000003</v>
      </c>
      <c r="D328" s="1475">
        <v>4591.18</v>
      </c>
      <c r="E328" s="1475">
        <v>1.0100282183134115</v>
      </c>
      <c r="F328" s="1475">
        <v>42.523812126011173</v>
      </c>
      <c r="K328" s="1592">
        <v>42385</v>
      </c>
      <c r="L328" s="1593"/>
      <c r="M328" s="1594">
        <v>0</v>
      </c>
      <c r="N328" s="1595">
        <v>1.118895505090796</v>
      </c>
      <c r="O328" s="1595">
        <v>1.118895505090796</v>
      </c>
    </row>
    <row r="329" spans="2:15">
      <c r="B329" s="1474">
        <v>42430</v>
      </c>
      <c r="C329" s="1475">
        <v>635.34900000000005</v>
      </c>
      <c r="D329" s="1475">
        <v>4610.92</v>
      </c>
      <c r="E329" s="1475">
        <v>1.0116207883835779</v>
      </c>
      <c r="F329" s="1475">
        <v>43.017972347990572</v>
      </c>
      <c r="K329" s="1592">
        <v>42386</v>
      </c>
      <c r="L329" s="1593"/>
      <c r="M329" s="1594">
        <v>0</v>
      </c>
      <c r="N329" s="1595">
        <v>1.118895505090796</v>
      </c>
      <c r="O329" s="1595">
        <v>1.118895505090796</v>
      </c>
    </row>
    <row r="330" spans="2:15">
      <c r="B330" s="1474">
        <v>42461</v>
      </c>
      <c r="C330" s="1475">
        <v>637.43399999999997</v>
      </c>
      <c r="D330" s="1475">
        <v>4639.05</v>
      </c>
      <c r="E330" s="1475">
        <v>1.0105587962367735</v>
      </c>
      <c r="F330" s="1475">
        <v>43.472190352532159</v>
      </c>
      <c r="K330" s="1592">
        <v>42387</v>
      </c>
      <c r="L330" s="1593" t="s">
        <v>2301</v>
      </c>
      <c r="M330" s="1594">
        <v>5.2531000000000001E-2</v>
      </c>
      <c r="N330" s="1595">
        <v>1.1194832720885752</v>
      </c>
      <c r="O330" s="1595">
        <v>1.1194832720885752</v>
      </c>
    </row>
    <row r="331" spans="2:15">
      <c r="B331" s="1474">
        <v>42491</v>
      </c>
      <c r="C331" s="1475">
        <v>642.65099999999995</v>
      </c>
      <c r="D331" s="1475">
        <v>4675.2299999999996</v>
      </c>
      <c r="E331" s="1475">
        <v>1.0110896528780244</v>
      </c>
      <c r="F331" s="1475">
        <v>43.954281853389141</v>
      </c>
      <c r="K331" s="1592">
        <v>42388</v>
      </c>
      <c r="L331" s="1593" t="s">
        <v>2301</v>
      </c>
      <c r="M331" s="1594">
        <v>5.2531000000000001E-2</v>
      </c>
      <c r="N331" s="1595">
        <v>1.1200713478462361</v>
      </c>
      <c r="O331" s="1595">
        <v>1.1200713478462361</v>
      </c>
    </row>
    <row r="332" spans="2:15">
      <c r="B332" s="1474">
        <v>42522</v>
      </c>
      <c r="C332" s="1475">
        <v>653.49599999999998</v>
      </c>
      <c r="D332" s="1475">
        <v>4691.59</v>
      </c>
      <c r="E332" s="1475">
        <v>1.0116207883835777</v>
      </c>
      <c r="F332" s="1475">
        <v>44.465065261359506</v>
      </c>
      <c r="K332" s="1592">
        <v>42389</v>
      </c>
      <c r="L332" s="1593" t="s">
        <v>2301</v>
      </c>
      <c r="M332" s="1594">
        <v>5.2531000000000001E-2</v>
      </c>
      <c r="N332" s="1595">
        <v>1.1206597325259733</v>
      </c>
      <c r="O332" s="1595">
        <v>1.1206597325259733</v>
      </c>
    </row>
    <row r="333" spans="2:15">
      <c r="B333" s="1474">
        <v>42552</v>
      </c>
      <c r="C333" s="1475">
        <v>654.64099999999996</v>
      </c>
      <c r="D333" s="1475">
        <v>4715.99</v>
      </c>
      <c r="E333" s="1475">
        <v>1.0110896528780242</v>
      </c>
      <c r="F333" s="1475">
        <v>44.958167400306678</v>
      </c>
      <c r="K333" s="1592">
        <v>42390</v>
      </c>
      <c r="L333" s="1593" t="s">
        <v>2301</v>
      </c>
      <c r="M333" s="1594">
        <v>5.2531000000000001E-2</v>
      </c>
      <c r="N333" s="1595">
        <v>1.1212484262900666</v>
      </c>
      <c r="O333" s="1595">
        <v>1.1212484262900666</v>
      </c>
    </row>
    <row r="334" spans="2:15">
      <c r="B334" s="1474">
        <v>42583</v>
      </c>
      <c r="C334" s="1475">
        <v>655.60199999999998</v>
      </c>
      <c r="D334" s="1475">
        <v>4736.74</v>
      </c>
      <c r="E334" s="1475">
        <v>1.0121522028999232</v>
      </c>
      <c r="F334" s="1475">
        <v>45.504508172563916</v>
      </c>
      <c r="K334" s="1592">
        <v>42391</v>
      </c>
      <c r="L334" s="1593" t="s">
        <v>2301</v>
      </c>
      <c r="M334" s="1594">
        <v>5.2531000000000001E-2</v>
      </c>
      <c r="N334" s="1595">
        <v>1.121837429300881</v>
      </c>
      <c r="O334" s="1595">
        <v>1.121837429300881</v>
      </c>
    </row>
    <row r="335" spans="2:15">
      <c r="B335" s="1474">
        <v>42614</v>
      </c>
      <c r="C335" s="1475">
        <v>656.89400000000001</v>
      </c>
      <c r="D335" s="1475">
        <v>4740.53</v>
      </c>
      <c r="E335" s="1475">
        <v>1.0110896528780247</v>
      </c>
      <c r="F335" s="1475">
        <v>46.009137372582884</v>
      </c>
      <c r="K335" s="1592">
        <v>42392</v>
      </c>
      <c r="L335" s="1593"/>
      <c r="M335" s="1594">
        <v>0</v>
      </c>
      <c r="N335" s="1595">
        <v>1.121837429300881</v>
      </c>
      <c r="O335" s="1595">
        <v>1.121837429300881</v>
      </c>
    </row>
    <row r="336" spans="2:15">
      <c r="B336" s="1474">
        <v>42644</v>
      </c>
      <c r="C336" s="1475">
        <v>657.92700000000002</v>
      </c>
      <c r="D336" s="1475">
        <v>4752.8599999999997</v>
      </c>
      <c r="E336" s="1475">
        <v>1.0104884196148551</v>
      </c>
      <c r="F336" s="1475">
        <v>46.491700511464046</v>
      </c>
      <c r="K336" s="1592">
        <v>42393</v>
      </c>
      <c r="L336" s="1593"/>
      <c r="M336" s="1594">
        <v>0</v>
      </c>
      <c r="N336" s="1595">
        <v>1.121837429300881</v>
      </c>
      <c r="O336" s="1595">
        <v>1.121837429300881</v>
      </c>
    </row>
    <row r="337" spans="2:15">
      <c r="B337" s="1474">
        <v>42675</v>
      </c>
      <c r="C337" s="1475">
        <v>657.75199999999995</v>
      </c>
      <c r="D337" s="1475">
        <v>4761.42</v>
      </c>
      <c r="E337" s="1475">
        <v>1.0103828638714687</v>
      </c>
      <c r="F337" s="1475">
        <v>46.974417509027667</v>
      </c>
      <c r="K337" s="1592">
        <v>42394</v>
      </c>
      <c r="L337" s="1593" t="s">
        <v>2301</v>
      </c>
      <c r="M337" s="1594">
        <v>5.2531000000000001E-2</v>
      </c>
      <c r="N337" s="1595">
        <v>1.1224267417208671</v>
      </c>
      <c r="O337" s="1595">
        <v>1.1224267417208671</v>
      </c>
    </row>
    <row r="338" spans="2:15">
      <c r="B338" s="1474">
        <v>42705</v>
      </c>
      <c r="C338" s="1475">
        <v>661.30399999999997</v>
      </c>
      <c r="D338" s="1475">
        <v>4775.7</v>
      </c>
      <c r="E338" s="1475">
        <v>1.0112331468569866</v>
      </c>
      <c r="F338" s="1475">
        <v>47.502088039427981</v>
      </c>
      <c r="K338" s="1592">
        <v>42395</v>
      </c>
      <c r="L338" s="1593" t="s">
        <v>2301</v>
      </c>
      <c r="M338" s="1594">
        <v>5.2531000000000001E-2</v>
      </c>
      <c r="N338" s="1595">
        <v>1.1230163637125605</v>
      </c>
      <c r="O338" s="1595">
        <v>1.1230163637125605</v>
      </c>
    </row>
    <row r="339" spans="2:15">
      <c r="B339" s="1474">
        <v>42736</v>
      </c>
      <c r="C339" s="1475">
        <v>665.54200000000003</v>
      </c>
      <c r="D339" s="1475">
        <v>4793.8500000000004</v>
      </c>
      <c r="E339" s="1475">
        <v>1.0108612048503447</v>
      </c>
      <c r="F339" s="1475">
        <v>48.018017948443315</v>
      </c>
      <c r="K339" s="1592">
        <v>42396</v>
      </c>
      <c r="L339" s="1593" t="s">
        <v>2301</v>
      </c>
      <c r="M339" s="1594">
        <v>5.2531000000000001E-2</v>
      </c>
      <c r="N339" s="1595">
        <v>1.1236062954385824</v>
      </c>
      <c r="O339" s="1595">
        <v>1.1236062954385824</v>
      </c>
    </row>
    <row r="340" spans="2:15">
      <c r="B340" s="1474">
        <v>42767</v>
      </c>
      <c r="C340" s="1475">
        <v>666.09900000000005</v>
      </c>
      <c r="D340" s="1475">
        <v>4809.67</v>
      </c>
      <c r="E340" s="1475">
        <v>1.0086508422083289</v>
      </c>
      <c r="F340" s="1475">
        <v>48.433414244872004</v>
      </c>
      <c r="K340" s="1592">
        <v>42397</v>
      </c>
      <c r="L340" s="1593" t="s">
        <v>2301</v>
      </c>
      <c r="M340" s="1594">
        <v>5.2531000000000001E-2</v>
      </c>
      <c r="N340" s="1595">
        <v>1.1241965370616391</v>
      </c>
      <c r="O340" s="1595">
        <v>1.1241965370616391</v>
      </c>
    </row>
    <row r="341" spans="2:15">
      <c r="B341" s="1474">
        <v>42795</v>
      </c>
      <c r="C341" s="1475">
        <v>666.197</v>
      </c>
      <c r="D341" s="1475">
        <v>4821.6899999999996</v>
      </c>
      <c r="E341" s="1475">
        <v>1.0105205646045978</v>
      </c>
      <c r="F341" s="1475">
        <v>48.94296110845643</v>
      </c>
      <c r="K341" s="1592">
        <v>42398</v>
      </c>
      <c r="L341" s="1593" t="s">
        <v>2301</v>
      </c>
      <c r="M341" s="1594">
        <v>5.2531000000000001E-2</v>
      </c>
      <c r="N341" s="1595">
        <v>1.124787088744523</v>
      </c>
      <c r="O341" s="1595">
        <v>1.124787088744523</v>
      </c>
    </row>
    <row r="342" spans="2:15">
      <c r="B342" s="1474">
        <v>42826</v>
      </c>
      <c r="C342" s="1475">
        <v>658.89800000000002</v>
      </c>
      <c r="D342" s="1475">
        <v>4828.4399999999996</v>
      </c>
      <c r="E342" s="1475">
        <v>1.0078658059100756</v>
      </c>
      <c r="F342" s="1475">
        <v>49.327936941199923</v>
      </c>
      <c r="K342" s="1592">
        <v>42399</v>
      </c>
      <c r="L342" s="1593"/>
      <c r="M342" s="1594">
        <v>0</v>
      </c>
      <c r="N342" s="1595">
        <v>1.124787088744523</v>
      </c>
      <c r="O342" s="1595">
        <v>1.124787088744523</v>
      </c>
    </row>
    <row r="343" spans="2:15">
      <c r="B343" s="1474">
        <v>42856</v>
      </c>
      <c r="C343" s="1475">
        <v>652.75800000000004</v>
      </c>
      <c r="D343" s="1475">
        <v>4843.41</v>
      </c>
      <c r="E343" s="1475">
        <v>1.0092713189779878</v>
      </c>
      <c r="F343" s="1475">
        <v>49.785271979107854</v>
      </c>
      <c r="K343" s="1592">
        <v>42400</v>
      </c>
      <c r="L343" s="1593"/>
      <c r="M343" s="1594">
        <v>0</v>
      </c>
      <c r="N343" s="1595">
        <v>1.124787088744523</v>
      </c>
      <c r="O343" s="1595">
        <v>1.124787088744523</v>
      </c>
    </row>
    <row r="344" spans="2:15">
      <c r="B344" s="1474">
        <v>42887</v>
      </c>
      <c r="C344" s="1475">
        <v>648.40899999999999</v>
      </c>
      <c r="D344" s="1475">
        <v>4832.2700000000004</v>
      </c>
      <c r="E344" s="1475">
        <v>1.0080886926571575</v>
      </c>
      <c r="F344" s="1475">
        <v>50.187969742999854</v>
      </c>
      <c r="K344" s="1592">
        <v>42401</v>
      </c>
      <c r="L344" s="1593" t="s">
        <v>2301</v>
      </c>
      <c r="M344" s="1594">
        <v>5.2531000000000001E-2</v>
      </c>
      <c r="N344" s="1595">
        <v>1.1253779506501114</v>
      </c>
      <c r="O344" s="1595">
        <v>1.1253779506501114</v>
      </c>
    </row>
    <row r="345" spans="2:15">
      <c r="B345" s="1474">
        <v>42917</v>
      </c>
      <c r="C345" s="1475">
        <v>643.76599999999996</v>
      </c>
      <c r="D345" s="1475">
        <v>4843.87</v>
      </c>
      <c r="E345" s="1475">
        <v>1.0079792299470567</v>
      </c>
      <c r="F345" s="1475">
        <v>50.588431094155176</v>
      </c>
      <c r="K345" s="1592">
        <v>42402</v>
      </c>
      <c r="L345" s="1593" t="s">
        <v>2301</v>
      </c>
      <c r="M345" s="1594">
        <v>5.2531000000000001E-2</v>
      </c>
      <c r="N345" s="1595">
        <v>1.1259691229413673</v>
      </c>
      <c r="O345" s="1595">
        <v>1.1259691229413673</v>
      </c>
    </row>
    <row r="346" spans="2:15">
      <c r="B346" s="1474">
        <v>42948</v>
      </c>
      <c r="C346" s="1475">
        <v>644.38300000000004</v>
      </c>
      <c r="D346" s="1475">
        <v>4853.07</v>
      </c>
      <c r="E346" s="1475">
        <v>1.0080228940119034</v>
      </c>
      <c r="F346" s="1475">
        <v>50.994296715052059</v>
      </c>
      <c r="K346" s="1592">
        <v>42403</v>
      </c>
      <c r="L346" s="1593" t="s">
        <v>2301</v>
      </c>
      <c r="M346" s="1594">
        <v>5.2531000000000001E-2</v>
      </c>
      <c r="N346" s="1595">
        <v>1.1265606057813395</v>
      </c>
      <c r="O346" s="1595">
        <v>1.1265606057813395</v>
      </c>
    </row>
    <row r="347" spans="2:15">
      <c r="B347" s="1474">
        <v>42979</v>
      </c>
      <c r="C347" s="1475">
        <v>647.4</v>
      </c>
      <c r="D347" s="1475">
        <v>4860.83</v>
      </c>
      <c r="E347" s="1475">
        <v>1.0063846003708505</v>
      </c>
      <c r="F347" s="1475">
        <v>51.319874920770239</v>
      </c>
      <c r="K347" s="1592">
        <v>42404</v>
      </c>
      <c r="L347" s="1593" t="s">
        <v>2301</v>
      </c>
      <c r="M347" s="1594">
        <v>5.2531000000000001E-2</v>
      </c>
      <c r="N347" s="1595">
        <v>1.1271523993331625</v>
      </c>
      <c r="O347" s="1595">
        <v>1.1271523993331625</v>
      </c>
    </row>
    <row r="348" spans="2:15">
      <c r="B348" s="1474">
        <v>43009</v>
      </c>
      <c r="C348" s="1475">
        <v>648.67200000000003</v>
      </c>
      <c r="D348" s="1475">
        <v>4881.25</v>
      </c>
      <c r="E348" s="1475">
        <v>1.0064393014601032</v>
      </c>
      <c r="F348" s="1475">
        <v>51.650339066279869</v>
      </c>
      <c r="K348" s="1592">
        <v>42405</v>
      </c>
      <c r="L348" s="1593" t="s">
        <v>2301</v>
      </c>
      <c r="M348" s="1594">
        <v>5.2531000000000001E-2</v>
      </c>
      <c r="N348" s="1595">
        <v>1.1277445037600562</v>
      </c>
      <c r="O348" s="1595">
        <v>1.1277445037600562</v>
      </c>
    </row>
    <row r="349" spans="2:15">
      <c r="B349" s="1474">
        <v>43040</v>
      </c>
      <c r="C349" s="1475">
        <v>652.07299999999998</v>
      </c>
      <c r="D349" s="1475">
        <v>4894.92</v>
      </c>
      <c r="E349" s="1475">
        <v>1.0056818783789492</v>
      </c>
      <c r="F349" s="1475">
        <v>51.943810011085958</v>
      </c>
      <c r="K349" s="1592">
        <v>42406</v>
      </c>
      <c r="L349" s="1593"/>
      <c r="M349" s="1594">
        <v>0</v>
      </c>
      <c r="N349" s="1595">
        <v>1.1277445037600562</v>
      </c>
      <c r="O349" s="1595">
        <v>1.1277445037600562</v>
      </c>
    </row>
    <row r="350" spans="2:15">
      <c r="B350" s="1474">
        <v>43070</v>
      </c>
      <c r="C350" s="1475">
        <v>657.85900000000004</v>
      </c>
      <c r="D350" s="1475">
        <v>4916.46</v>
      </c>
      <c r="E350" s="1475">
        <v>1.0053840004998948</v>
      </c>
      <c r="F350" s="1475">
        <v>52.223475510152085</v>
      </c>
      <c r="K350" s="1592">
        <v>42407</v>
      </c>
      <c r="L350" s="1593"/>
      <c r="M350" s="1594">
        <v>0</v>
      </c>
      <c r="N350" s="1595">
        <v>1.1277445037600562</v>
      </c>
      <c r="O350" s="1595">
        <v>1.1277445037600562</v>
      </c>
    </row>
    <row r="351" spans="2:15">
      <c r="B351" s="1474">
        <v>43101</v>
      </c>
      <c r="C351" s="1475">
        <v>662.82600000000002</v>
      </c>
      <c r="D351" s="1475">
        <v>4930.72</v>
      </c>
      <c r="E351" s="1475">
        <v>1.0058420473548675</v>
      </c>
      <c r="F351" s="1475">
        <v>52.528567527118156</v>
      </c>
      <c r="K351" s="1592">
        <v>42408</v>
      </c>
      <c r="L351" s="1593"/>
      <c r="M351" s="1594">
        <v>0</v>
      </c>
      <c r="N351" s="1595">
        <v>1.1277445037600562</v>
      </c>
      <c r="O351" s="1595">
        <v>1.1277445037600562</v>
      </c>
    </row>
    <row r="352" spans="2:15">
      <c r="B352" s="1474">
        <v>43132</v>
      </c>
      <c r="C352" s="1475">
        <v>663.31100000000004</v>
      </c>
      <c r="D352" s="1475">
        <v>4946.5</v>
      </c>
      <c r="E352" s="1475">
        <v>1.0046560161193037</v>
      </c>
      <c r="F352" s="1475">
        <v>52.773141384248348</v>
      </c>
      <c r="K352" s="1592">
        <v>42409</v>
      </c>
      <c r="L352" s="1593"/>
      <c r="M352" s="1594">
        <v>0</v>
      </c>
      <c r="N352" s="1595">
        <v>1.1277445037600562</v>
      </c>
      <c r="O352" s="1595">
        <v>1.1277445037600562</v>
      </c>
    </row>
    <row r="353" spans="2:15">
      <c r="B353" s="1474">
        <v>43160</v>
      </c>
      <c r="C353" s="1475">
        <v>667.524</v>
      </c>
      <c r="D353" s="1475">
        <v>4950.95</v>
      </c>
      <c r="E353" s="1475">
        <v>1.0053234480536677</v>
      </c>
      <c r="F353" s="1475">
        <v>53.054076461036253</v>
      </c>
      <c r="K353" s="1592">
        <v>42410</v>
      </c>
      <c r="L353" s="1593" t="s">
        <v>2301</v>
      </c>
      <c r="M353" s="1594">
        <v>5.2531000000000001E-2</v>
      </c>
      <c r="N353" s="1595">
        <v>1.1283369192253263</v>
      </c>
      <c r="O353" s="1595">
        <v>1.1283369192253263</v>
      </c>
    </row>
    <row r="354" spans="2:15">
      <c r="B354" s="1474">
        <v>43191</v>
      </c>
      <c r="C354" s="1475">
        <v>671.327</v>
      </c>
      <c r="D354" s="1475">
        <v>4961.84</v>
      </c>
      <c r="E354" s="1475">
        <v>1.0051829489023658</v>
      </c>
      <c r="F354" s="1475">
        <v>53.329053028396011</v>
      </c>
      <c r="K354" s="1592">
        <v>42411</v>
      </c>
      <c r="L354" s="1593" t="s">
        <v>2301</v>
      </c>
      <c r="M354" s="1594">
        <v>5.2531000000000001E-2</v>
      </c>
      <c r="N354" s="1595">
        <v>1.1289296458923646</v>
      </c>
      <c r="O354" s="1595">
        <v>1.1289296458923646</v>
      </c>
    </row>
    <row r="355" spans="2:15">
      <c r="B355" s="1474">
        <v>43221</v>
      </c>
      <c r="C355" s="1475">
        <v>680.57899999999995</v>
      </c>
      <c r="D355" s="1475">
        <v>4981.6899999999996</v>
      </c>
      <c r="E355" s="1475">
        <v>1.0051829489023656</v>
      </c>
      <c r="F355" s="1475">
        <v>53.605454785253734</v>
      </c>
      <c r="G355" s="504"/>
      <c r="K355" s="1592">
        <v>42412</v>
      </c>
      <c r="L355" s="1593" t="s">
        <v>2301</v>
      </c>
      <c r="M355" s="1594">
        <v>5.2531000000000001E-2</v>
      </c>
      <c r="N355" s="1595">
        <v>1.1295226839246482</v>
      </c>
      <c r="O355" s="1595">
        <v>1.1295226839246482</v>
      </c>
    </row>
    <row r="356" spans="2:15">
      <c r="B356" s="1474">
        <v>43252</v>
      </c>
      <c r="C356" s="1475">
        <v>693.28700000000003</v>
      </c>
      <c r="D356" s="1475">
        <v>5044.46</v>
      </c>
      <c r="E356" s="1475">
        <v>1.0051829489023654</v>
      </c>
      <c r="F356" s="1475">
        <v>53.88328911829376</v>
      </c>
      <c r="G356" s="10"/>
      <c r="I356" s="10"/>
      <c r="K356" s="1592">
        <v>42413</v>
      </c>
      <c r="L356" s="1593"/>
      <c r="M356" s="1594">
        <v>0</v>
      </c>
      <c r="N356" s="1595">
        <v>1.1295226839246482</v>
      </c>
      <c r="O356" s="1595">
        <v>1.1295226839246482</v>
      </c>
    </row>
    <row r="357" spans="2:15">
      <c r="B357" s="1474">
        <v>43282</v>
      </c>
      <c r="C357" s="1475">
        <v>696.8</v>
      </c>
      <c r="D357" s="1475">
        <v>5061.1099999999997</v>
      </c>
      <c r="E357" s="1475">
        <v>1.0054304249443857</v>
      </c>
      <c r="F357" s="1475">
        <v>54.175898275607288</v>
      </c>
      <c r="G357" s="10"/>
      <c r="K357" s="1592">
        <v>42414</v>
      </c>
      <c r="L357" s="1593"/>
      <c r="M357" s="1594">
        <v>0</v>
      </c>
      <c r="N357" s="1595">
        <v>1.1295226839246482</v>
      </c>
      <c r="O357" s="1595">
        <v>1.1295226839246482</v>
      </c>
    </row>
    <row r="358" spans="2:15">
      <c r="B358" s="1474">
        <v>43313</v>
      </c>
      <c r="C358" s="1475">
        <v>701.67700000000002</v>
      </c>
      <c r="D358" s="1475">
        <v>5056.5600000000004</v>
      </c>
      <c r="E358" s="1475">
        <v>1.0056779619150069</v>
      </c>
      <c r="F358" s="1475">
        <v>54.483506962727475</v>
      </c>
      <c r="K358" s="1592">
        <v>42415</v>
      </c>
      <c r="L358" s="1593" t="s">
        <v>2301</v>
      </c>
      <c r="M358" s="1594">
        <v>5.2531000000000001E-2</v>
      </c>
      <c r="N358" s="1595">
        <v>1.1301160334857405</v>
      </c>
      <c r="O358" s="1595">
        <v>1.1301160334857405</v>
      </c>
    </row>
    <row r="359" spans="2:15">
      <c r="B359" s="1474">
        <v>43344</v>
      </c>
      <c r="C359" s="1475">
        <v>712.37300000000005</v>
      </c>
      <c r="D359" s="1475">
        <v>5080.83</v>
      </c>
      <c r="E359" s="1475">
        <v>1.0046881795441467</v>
      </c>
      <c r="F359" s="1475">
        <v>54.738935425563504</v>
      </c>
      <c r="K359" s="1592">
        <v>42416</v>
      </c>
      <c r="L359" s="1593" t="s">
        <v>2301</v>
      </c>
      <c r="M359" s="1594">
        <v>5.2531000000000001E-2</v>
      </c>
      <c r="N359" s="1595">
        <v>1.1307096947392909</v>
      </c>
      <c r="O359" s="1595">
        <v>1.1307096947392909</v>
      </c>
    </row>
    <row r="360" spans="2:15">
      <c r="B360" s="1474">
        <v>43374</v>
      </c>
      <c r="C360" s="1475">
        <v>718.68399999999997</v>
      </c>
      <c r="D360" s="1475">
        <v>5103.6899999999996</v>
      </c>
      <c r="E360" s="1475">
        <v>1.0054304249443855</v>
      </c>
      <c r="F360" s="1475">
        <v>55.036191105927593</v>
      </c>
      <c r="K360" s="1592">
        <v>42417</v>
      </c>
      <c r="L360" s="1593" t="s">
        <v>2301</v>
      </c>
      <c r="M360" s="1594">
        <v>5.2531000000000001E-2</v>
      </c>
      <c r="N360" s="1595">
        <v>1.1313036678490345</v>
      </c>
      <c r="O360" s="1595">
        <v>1.1313036678490345</v>
      </c>
    </row>
    <row r="361" spans="2:15">
      <c r="B361" s="1474">
        <v>43405</v>
      </c>
      <c r="C361" s="1475">
        <v>715.16600000000005</v>
      </c>
      <c r="D361" s="1475">
        <v>5092.97</v>
      </c>
      <c r="E361" s="1475">
        <v>1.0049355337739507</v>
      </c>
      <c r="F361" s="1475">
        <v>55.307824085920508</v>
      </c>
      <c r="K361" s="1592">
        <v>42418</v>
      </c>
      <c r="L361" s="1593" t="s">
        <v>2301</v>
      </c>
      <c r="M361" s="1594">
        <v>5.2531000000000001E-2</v>
      </c>
      <c r="N361" s="1595">
        <v>1.1318979529787923</v>
      </c>
      <c r="O361" s="1595">
        <v>1.1318979529787923</v>
      </c>
    </row>
    <row r="362" spans="2:15">
      <c r="B362" s="1474">
        <v>43435</v>
      </c>
      <c r="C362" s="1475">
        <v>707.44100000000003</v>
      </c>
      <c r="D362" s="1475">
        <v>5100.6099999999997</v>
      </c>
      <c r="E362" s="1475">
        <v>1.0049355337739507</v>
      </c>
      <c r="F362" s="1475">
        <v>55.580797719660296</v>
      </c>
      <c r="K362" s="1592">
        <v>42419</v>
      </c>
      <c r="L362" s="1593" t="s">
        <v>2301</v>
      </c>
      <c r="M362" s="1594">
        <v>5.2531000000000001E-2</v>
      </c>
      <c r="N362" s="1595">
        <v>1.1324925502924716</v>
      </c>
      <c r="O362" s="1595">
        <v>1.1324925502924716</v>
      </c>
    </row>
    <row r="363" spans="2:15">
      <c r="B363" s="1474">
        <v>43466</v>
      </c>
      <c r="C363" s="1475">
        <v>707.48800000000006</v>
      </c>
      <c r="D363" s="1475">
        <v>5116.93</v>
      </c>
      <c r="E363" s="1475">
        <v>1.0054304249443855</v>
      </c>
      <c r="F363" s="1475">
        <v>55.882625070025988</v>
      </c>
      <c r="K363" s="1592">
        <v>42420</v>
      </c>
      <c r="L363" s="1593"/>
      <c r="M363" s="1594">
        <v>0</v>
      </c>
      <c r="N363" s="1595">
        <v>1.1324925502924716</v>
      </c>
      <c r="O363" s="1595">
        <v>1.1324925502924716</v>
      </c>
    </row>
    <row r="364" spans="2:15">
      <c r="B364" s="1474">
        <v>43497</v>
      </c>
      <c r="C364" s="1475">
        <v>713.74699999999996</v>
      </c>
      <c r="D364" s="1475">
        <v>5138.93</v>
      </c>
      <c r="E364" s="1475">
        <v>1.0049355337739507</v>
      </c>
      <c r="F364" s="1475">
        <v>56.158435653436129</v>
      </c>
      <c r="K364" s="1592">
        <v>42421</v>
      </c>
      <c r="L364" s="1593"/>
      <c r="M364" s="1594">
        <v>0</v>
      </c>
      <c r="N364" s="1595">
        <v>1.1324925502924716</v>
      </c>
      <c r="O364" s="1595">
        <v>1.1324925502924716</v>
      </c>
    </row>
    <row r="365" spans="2:15">
      <c r="B365" s="1474">
        <v>43525</v>
      </c>
      <c r="C365" s="1475">
        <v>722.70699999999999</v>
      </c>
      <c r="D365" s="1475">
        <v>5177.47</v>
      </c>
      <c r="E365" s="1475">
        <v>1.0046881795441467</v>
      </c>
      <c r="F365" s="1475">
        <v>56.421716482697846</v>
      </c>
      <c r="K365" s="1592">
        <v>42422</v>
      </c>
      <c r="L365" s="1593" t="s">
        <v>2301</v>
      </c>
      <c r="M365" s="1594">
        <v>5.2531000000000001E-2</v>
      </c>
      <c r="N365" s="1595">
        <v>1.1330874599540657</v>
      </c>
      <c r="O365" s="1595">
        <v>1.1330874599540657</v>
      </c>
    </row>
    <row r="366" spans="2:15">
      <c r="B366" s="1474">
        <v>43556</v>
      </c>
      <c r="C366" s="1475">
        <v>729.346</v>
      </c>
      <c r="D366" s="1475">
        <v>5206.9799999999996</v>
      </c>
      <c r="E366" s="1475">
        <v>1.0051829489023654</v>
      </c>
      <c r="F366" s="1475">
        <v>56.714147356211413</v>
      </c>
      <c r="K366" s="1592">
        <v>42423</v>
      </c>
      <c r="L366" s="1593" t="s">
        <v>2301</v>
      </c>
      <c r="M366" s="1594">
        <v>5.2531000000000001E-2</v>
      </c>
      <c r="N366" s="1595">
        <v>1.1336826821276542</v>
      </c>
      <c r="O366" s="1595">
        <v>1.1336826821276542</v>
      </c>
    </row>
    <row r="367" spans="2:15">
      <c r="B367" s="1474">
        <v>43586</v>
      </c>
      <c r="C367" s="1475">
        <v>732.59500000000003</v>
      </c>
      <c r="D367" s="1475">
        <v>5213.75</v>
      </c>
      <c r="E367" s="1475">
        <v>1.0054304249443855</v>
      </c>
      <c r="F367" s="1475">
        <v>57.022129276714139</v>
      </c>
      <c r="K367" s="1592">
        <v>42424</v>
      </c>
      <c r="L367" s="1593" t="s">
        <v>2301</v>
      </c>
      <c r="M367" s="1594">
        <v>5.2531000000000001E-2</v>
      </c>
      <c r="N367" s="1595">
        <v>1.1342782169774026</v>
      </c>
      <c r="O367" s="1595">
        <v>1.1342782169774026</v>
      </c>
    </row>
    <row r="368" spans="2:15">
      <c r="B368" s="1474">
        <v>43617</v>
      </c>
      <c r="C368" s="1475">
        <v>738.42100000000005</v>
      </c>
      <c r="D368" s="1475">
        <v>5214.2700000000004</v>
      </c>
      <c r="E368" s="1475">
        <v>1.0046881795441465</v>
      </c>
      <c r="F368" s="1475">
        <v>57.289459256752906</v>
      </c>
      <c r="K368" s="1592">
        <v>42425</v>
      </c>
      <c r="L368" s="1593" t="s">
        <v>2301</v>
      </c>
      <c r="M368" s="1594">
        <v>5.2531000000000001E-2</v>
      </c>
      <c r="N368" s="1595">
        <v>1.134874064667563</v>
      </c>
      <c r="O368" s="1595">
        <v>1.134874064667563</v>
      </c>
    </row>
    <row r="369" spans="2:15">
      <c r="B369" s="1474">
        <v>43647</v>
      </c>
      <c r="C369" s="1475">
        <v>741.346</v>
      </c>
      <c r="D369" s="1475">
        <v>5224.18</v>
      </c>
      <c r="E369" s="1475">
        <v>1.0056779619150069</v>
      </c>
      <c r="F369" s="1475">
        <v>57.61474662454409</v>
      </c>
      <c r="K369" s="1592">
        <v>42426</v>
      </c>
      <c r="L369" s="1593" t="s">
        <v>2301</v>
      </c>
      <c r="M369" s="1594">
        <v>5.2531000000000001E-2</v>
      </c>
      <c r="N369" s="1595">
        <v>1.1354702253624736</v>
      </c>
      <c r="O369" s="1595">
        <v>1.1354702253624736</v>
      </c>
    </row>
    <row r="370" spans="2:15">
      <c r="B370" s="1474">
        <v>43678</v>
      </c>
      <c r="C370" s="1475">
        <v>736.40200000000004</v>
      </c>
      <c r="D370" s="1475">
        <v>5229.93</v>
      </c>
      <c r="E370" s="1475">
        <v>1.0050171948996307</v>
      </c>
      <c r="F370" s="1475">
        <v>57.903811037452265</v>
      </c>
      <c r="K370" s="1592">
        <v>42427</v>
      </c>
      <c r="L370" s="1593"/>
      <c r="M370" s="1594">
        <v>0</v>
      </c>
      <c r="N370" s="1595">
        <v>1.1354702253624736</v>
      </c>
      <c r="O370" s="1595">
        <v>1.1354702253624736</v>
      </c>
    </row>
    <row r="371" spans="2:15">
      <c r="B371" s="1474">
        <v>43709</v>
      </c>
      <c r="C371" s="1475">
        <v>736.36199999999997</v>
      </c>
      <c r="D371" s="1475">
        <v>5227.84</v>
      </c>
      <c r="E371" s="1475">
        <v>1.0046375999081099</v>
      </c>
      <c r="F371" s="1475">
        <v>58.172345746198765</v>
      </c>
      <c r="K371" s="1592">
        <v>42428</v>
      </c>
      <c r="L371" s="1593"/>
      <c r="M371" s="1594">
        <v>0</v>
      </c>
      <c r="N371" s="1595">
        <v>1.1354702253624736</v>
      </c>
      <c r="O371" s="1595">
        <v>1.1354702253624736</v>
      </c>
    </row>
    <row r="372" spans="2:15">
      <c r="B372" s="1474">
        <v>43739</v>
      </c>
      <c r="C372" s="1475">
        <v>741.33299999999997</v>
      </c>
      <c r="D372" s="1475">
        <v>5233.07</v>
      </c>
      <c r="E372" s="1475">
        <v>1.0047926409835022</v>
      </c>
      <c r="F372" s="1475">
        <v>58.451144914528456</v>
      </c>
      <c r="K372" s="1592">
        <v>42429</v>
      </c>
      <c r="L372" s="1593" t="s">
        <v>2301</v>
      </c>
      <c r="M372" s="1594">
        <v>5.2531000000000001E-2</v>
      </c>
      <c r="N372" s="1595">
        <v>1.1360666992265587</v>
      </c>
      <c r="O372" s="1595">
        <v>1.1360666992265587</v>
      </c>
    </row>
    <row r="373" spans="2:15">
      <c r="B373" s="1474">
        <v>43770</v>
      </c>
      <c r="C373" s="1475">
        <v>743.55799999999999</v>
      </c>
      <c r="D373" s="1475">
        <v>5259.76</v>
      </c>
      <c r="E373" s="1475">
        <v>1.0038038559813272</v>
      </c>
      <c r="F373" s="1475">
        <v>58.673484651727009</v>
      </c>
      <c r="K373" s="1592">
        <v>42430</v>
      </c>
      <c r="L373" s="1593" t="s">
        <v>2301</v>
      </c>
      <c r="M373" s="1594">
        <v>5.2531000000000001E-2</v>
      </c>
      <c r="N373" s="1595">
        <v>1.1366634864243295</v>
      </c>
      <c r="O373" s="1595">
        <v>1.1366634864243295</v>
      </c>
    </row>
    <row r="374" spans="2:15">
      <c r="B374" s="1474">
        <v>43800</v>
      </c>
      <c r="C374" s="1475">
        <v>759.11199999999997</v>
      </c>
      <c r="D374" s="1475">
        <v>5320.25</v>
      </c>
      <c r="E374" s="1475">
        <v>1.0037470387078873</v>
      </c>
      <c r="F374" s="1475">
        <v>58.893336469843661</v>
      </c>
      <c r="K374" s="1592">
        <v>42431</v>
      </c>
      <c r="L374" s="1593" t="s">
        <v>2301</v>
      </c>
      <c r="M374" s="1594">
        <v>5.2531000000000001E-2</v>
      </c>
      <c r="N374" s="1595">
        <v>1.1372605871203831</v>
      </c>
      <c r="O374" s="1595">
        <v>1.1372605871203831</v>
      </c>
    </row>
    <row r="375" spans="2:15">
      <c r="B375" s="1474">
        <v>43831</v>
      </c>
      <c r="C375" s="1475">
        <v>762.73299999999995</v>
      </c>
      <c r="D375" s="1475">
        <v>5331.42</v>
      </c>
      <c r="E375" s="1475">
        <v>1.00376633367529</v>
      </c>
      <c r="F375" s="1475">
        <v>59.115148426240218</v>
      </c>
      <c r="K375" s="1592">
        <v>42432</v>
      </c>
      <c r="L375" s="1593" t="s">
        <v>2301</v>
      </c>
      <c r="M375" s="1594">
        <v>5.2531000000000001E-2</v>
      </c>
      <c r="N375" s="1595">
        <v>1.1378580014794033</v>
      </c>
      <c r="O375" s="1595">
        <v>1.1378580014794033</v>
      </c>
    </row>
    <row r="376" spans="2:15">
      <c r="B376" s="1474">
        <v>43862</v>
      </c>
      <c r="C376" s="1475">
        <v>762.423</v>
      </c>
      <c r="D376" s="1475">
        <v>5344.75</v>
      </c>
      <c r="E376" s="1475">
        <v>1.0029372863155552</v>
      </c>
      <c r="F376" s="1475">
        <v>59.288786542754629</v>
      </c>
      <c r="K376" s="1592">
        <v>42433</v>
      </c>
      <c r="L376" s="1593" t="s">
        <v>2301</v>
      </c>
      <c r="M376" s="1594">
        <v>5.2531000000000001E-2</v>
      </c>
      <c r="N376" s="1595">
        <v>1.1384557296661604</v>
      </c>
      <c r="O376" s="1595">
        <v>1.1384557296661604</v>
      </c>
    </row>
    <row r="377" spans="2:15">
      <c r="B377" s="1474">
        <v>43891</v>
      </c>
      <c r="C377" s="1475">
        <v>771.90800000000002</v>
      </c>
      <c r="D377" s="1475">
        <v>5348.49</v>
      </c>
      <c r="E377" s="1475">
        <v>1.0033836914846632</v>
      </c>
      <c r="F377" s="1475">
        <v>59.489401504915364</v>
      </c>
      <c r="K377" s="1592">
        <v>42434</v>
      </c>
      <c r="L377" s="1593"/>
      <c r="M377" s="1594">
        <v>0</v>
      </c>
      <c r="N377" s="1595">
        <v>1.1384557296661604</v>
      </c>
      <c r="O377" s="1595">
        <v>1.1384557296661604</v>
      </c>
    </row>
    <row r="378" spans="2:15">
      <c r="B378" s="1474">
        <v>43922</v>
      </c>
      <c r="C378" s="1475">
        <v>778.101</v>
      </c>
      <c r="D378" s="1475">
        <v>5331.91</v>
      </c>
      <c r="E378" s="1475">
        <v>1.0028492490278405</v>
      </c>
      <c r="F378" s="1475">
        <v>59.658901624320052</v>
      </c>
      <c r="K378" s="1592">
        <v>42435</v>
      </c>
      <c r="L378" s="1593"/>
      <c r="M378" s="1594">
        <v>0</v>
      </c>
      <c r="N378" s="1595">
        <v>1.1384557296661604</v>
      </c>
      <c r="O378" s="1595">
        <v>1.1384557296661604</v>
      </c>
    </row>
    <row r="379" spans="2:15">
      <c r="B379" s="1474">
        <v>43952</v>
      </c>
      <c r="C379" s="1475">
        <v>780.28</v>
      </c>
      <c r="D379" s="1475">
        <v>5311.65</v>
      </c>
      <c r="E379" s="1475">
        <v>1.0023580961930716</v>
      </c>
      <c r="F379" s="1475">
        <v>59.799583053123193</v>
      </c>
      <c r="K379" s="1592">
        <v>42436</v>
      </c>
      <c r="L379" s="1593" t="s">
        <v>2301</v>
      </c>
      <c r="M379" s="1594">
        <v>5.2531000000000001E-2</v>
      </c>
      <c r="N379" s="1595">
        <v>1.1390537718455114</v>
      </c>
      <c r="O379" s="1595">
        <v>1.1390537718455114</v>
      </c>
    </row>
    <row r="380" spans="2:15">
      <c r="B380" s="1474">
        <v>43983</v>
      </c>
      <c r="C380" s="1475">
        <v>792.42899999999997</v>
      </c>
      <c r="D380" s="1475">
        <v>5325.46</v>
      </c>
      <c r="E380" s="1475">
        <v>1.0021233217736718</v>
      </c>
      <c r="F380" s="1475">
        <v>59.926556809876388</v>
      </c>
      <c r="K380" s="1592">
        <v>42437</v>
      </c>
      <c r="L380" s="1593" t="s">
        <v>2301</v>
      </c>
      <c r="M380" s="1594">
        <v>5.2531000000000001E-2</v>
      </c>
      <c r="N380" s="1595">
        <v>1.1396521281823995</v>
      </c>
      <c r="O380" s="1595">
        <v>1.1396521281823995</v>
      </c>
    </row>
    <row r="381" spans="2:15">
      <c r="B381" s="1474">
        <v>44013</v>
      </c>
      <c r="C381" s="1475">
        <v>810.08299999999997</v>
      </c>
      <c r="D381" s="1475">
        <v>5344.63</v>
      </c>
      <c r="E381" s="1475">
        <v>1.0019434641302636</v>
      </c>
      <c r="F381" s="1475">
        <v>60.043021923486585</v>
      </c>
      <c r="K381" s="1592">
        <v>42438</v>
      </c>
      <c r="L381" s="1593" t="s">
        <v>2301</v>
      </c>
      <c r="M381" s="1594">
        <v>5.2531000000000001E-2</v>
      </c>
      <c r="N381" s="1595">
        <v>1.1402507988418549</v>
      </c>
      <c r="O381" s="1595">
        <v>1.1402507988418549</v>
      </c>
    </row>
    <row r="382" spans="2:15">
      <c r="B382" s="1474">
        <v>44044</v>
      </c>
      <c r="C382" s="1475">
        <v>832.31299999999999</v>
      </c>
      <c r="D382" s="1475">
        <v>5357.46</v>
      </c>
      <c r="E382" s="1475">
        <v>1.0015988959789295</v>
      </c>
      <c r="F382" s="1475">
        <v>60.13902446980282</v>
      </c>
      <c r="K382" s="1592">
        <v>42439</v>
      </c>
      <c r="L382" s="1593" t="s">
        <v>2301</v>
      </c>
      <c r="M382" s="1594">
        <v>5.2531000000000001E-2</v>
      </c>
      <c r="N382" s="1595">
        <v>1.1408497839889944</v>
      </c>
      <c r="O382" s="1595">
        <v>1.1408497839889944</v>
      </c>
    </row>
    <row r="383" spans="2:15">
      <c r="B383" s="1474">
        <v>44075</v>
      </c>
      <c r="C383" s="1475">
        <v>868.44200000000001</v>
      </c>
      <c r="D383" s="1475">
        <v>5391.75</v>
      </c>
      <c r="E383" s="1475">
        <v>1.0015696620595307</v>
      </c>
      <c r="F383" s="1475">
        <v>60.233422414810256</v>
      </c>
      <c r="K383" s="1592">
        <v>42440</v>
      </c>
      <c r="L383" s="1593" t="s">
        <v>2301</v>
      </c>
      <c r="M383" s="1594">
        <v>5.2531000000000001E-2</v>
      </c>
      <c r="N383" s="1595">
        <v>1.1414490837890217</v>
      </c>
      <c r="O383" s="1595">
        <v>1.1414490837890217</v>
      </c>
    </row>
    <row r="384" spans="2:15">
      <c r="B384" s="1474">
        <v>44105</v>
      </c>
      <c r="C384" s="1475">
        <v>896.505</v>
      </c>
      <c r="D384" s="1475">
        <v>5438.12</v>
      </c>
      <c r="E384" s="1475">
        <v>1.00156966205953</v>
      </c>
      <c r="F384" s="1475">
        <v>60.327968532690427</v>
      </c>
      <c r="K384" s="1592">
        <v>42441</v>
      </c>
      <c r="L384" s="1593"/>
      <c r="M384" s="1594">
        <v>0</v>
      </c>
      <c r="N384" s="1595">
        <v>1.1414490837890217</v>
      </c>
      <c r="O384" s="1595">
        <v>1.1414490837890217</v>
      </c>
    </row>
    <row r="385" spans="2:15">
      <c r="B385" s="1474">
        <v>44136</v>
      </c>
      <c r="C385" s="1475">
        <v>925.88699999999994</v>
      </c>
      <c r="D385" s="1475">
        <v>5486.52</v>
      </c>
      <c r="E385" s="1475">
        <v>1.0014948604084073</v>
      </c>
      <c r="F385" s="1475">
        <v>60.418150424369585</v>
      </c>
      <c r="K385" s="1592">
        <v>42442</v>
      </c>
      <c r="L385" s="1593"/>
      <c r="M385" s="1594">
        <v>0</v>
      </c>
      <c r="N385" s="1595">
        <v>1.1414490837890217</v>
      </c>
      <c r="O385" s="1595">
        <v>1.1414490837890217</v>
      </c>
    </row>
    <row r="386" spans="2:15">
      <c r="B386" s="1474">
        <v>44166</v>
      </c>
      <c r="C386" s="1475">
        <v>934.75800000000004</v>
      </c>
      <c r="D386" s="1475">
        <v>5560.59</v>
      </c>
      <c r="E386" s="1475">
        <v>1.0016444692975899</v>
      </c>
      <c r="F386" s="1475">
        <v>60.517506217759632</v>
      </c>
      <c r="K386" s="1592">
        <v>42443</v>
      </c>
      <c r="L386" s="1593" t="s">
        <v>2301</v>
      </c>
      <c r="M386" s="1594">
        <v>5.2531000000000001E-2</v>
      </c>
      <c r="N386" s="1595">
        <v>1.1420486984072269</v>
      </c>
      <c r="O386" s="1595">
        <v>1.1420486984072269</v>
      </c>
    </row>
    <row r="387" spans="2:15">
      <c r="B387" s="1474">
        <v>44197</v>
      </c>
      <c r="C387" s="1475">
        <v>958.84400000000005</v>
      </c>
      <c r="D387" s="1475">
        <v>5574.49</v>
      </c>
      <c r="E387" s="1475">
        <v>1.0014948604084077</v>
      </c>
      <c r="F387" s="1475">
        <v>60.607971441820126</v>
      </c>
      <c r="K387" s="1592">
        <v>42444</v>
      </c>
      <c r="L387" s="1593" t="s">
        <v>2301</v>
      </c>
      <c r="M387" s="1594">
        <v>5.2531000000000001E-2</v>
      </c>
      <c r="N387" s="1595">
        <v>1.1426486280089871</v>
      </c>
      <c r="O387" s="1595">
        <v>1.1426486280089871</v>
      </c>
    </row>
    <row r="388" spans="2:15">
      <c r="B388" s="1474">
        <v>44228</v>
      </c>
      <c r="C388" s="1475">
        <v>983.06299999999999</v>
      </c>
      <c r="D388" s="1475">
        <v>5622.43</v>
      </c>
      <c r="E388" s="1475">
        <v>1.0013452738652961</v>
      </c>
      <c r="F388" s="1475">
        <v>60.689505761829423</v>
      </c>
      <c r="K388" s="1592">
        <v>42445</v>
      </c>
      <c r="L388" s="1593" t="s">
        <v>2301</v>
      </c>
      <c r="M388" s="1594">
        <v>5.2531000000000001E-2</v>
      </c>
      <c r="N388" s="1595">
        <v>1.1432488727597665</v>
      </c>
      <c r="O388" s="1595">
        <v>1.1432488727597665</v>
      </c>
    </row>
    <row r="389" spans="2:15">
      <c r="B389" s="1474">
        <v>44256</v>
      </c>
      <c r="C389" s="1475">
        <v>1011.948</v>
      </c>
      <c r="D389" s="1475">
        <v>5674.72</v>
      </c>
      <c r="E389" s="1475">
        <v>1.0020107988327946</v>
      </c>
      <c r="F389" s="1475">
        <v>60.811540149178192</v>
      </c>
      <c r="K389" s="1592">
        <v>42446</v>
      </c>
      <c r="L389" s="1593" t="s">
        <v>2301</v>
      </c>
      <c r="M389" s="1594">
        <v>5.2531000000000001E-2</v>
      </c>
      <c r="N389" s="1595">
        <v>1.1438494328251159</v>
      </c>
      <c r="O389" s="1595">
        <v>1.1438494328251159</v>
      </c>
    </row>
    <row r="390" spans="2:15">
      <c r="B390" s="1474">
        <v>44287</v>
      </c>
      <c r="C390" s="1475">
        <v>1027.211</v>
      </c>
      <c r="D390" s="1475">
        <v>5692.31</v>
      </c>
      <c r="E390" s="1475">
        <v>1.0020778480243349</v>
      </c>
      <c r="F390" s="1475">
        <v>60.937897287733925</v>
      </c>
      <c r="K390" s="1592">
        <v>42447</v>
      </c>
      <c r="L390" s="1593" t="s">
        <v>2301</v>
      </c>
      <c r="M390" s="1594">
        <v>5.2531000000000001E-2</v>
      </c>
      <c r="N390" s="1595">
        <v>1.1444503083706732</v>
      </c>
      <c r="O390" s="1595">
        <v>1.1444503083706732</v>
      </c>
    </row>
    <row r="391" spans="2:15">
      <c r="B391" s="1474">
        <v>44317</v>
      </c>
      <c r="C391" s="1475">
        <v>1069.289</v>
      </c>
      <c r="D391" s="1475">
        <v>5739.56</v>
      </c>
      <c r="E391" s="1475">
        <v>1.0027032626398216</v>
      </c>
      <c r="F391" s="1475">
        <v>61.102628428821141</v>
      </c>
      <c r="K391" s="1592">
        <v>42448</v>
      </c>
      <c r="L391" s="1593"/>
      <c r="M391" s="1594">
        <v>0</v>
      </c>
      <c r="N391" s="1595">
        <v>1.1444503083706732</v>
      </c>
      <c r="O391" s="1595">
        <v>1.1444503083706732</v>
      </c>
    </row>
    <row r="392" spans="2:15">
      <c r="B392" s="1474">
        <v>44348</v>
      </c>
      <c r="C392" s="1475">
        <v>1075.7329999999999</v>
      </c>
      <c r="D392" s="1475">
        <v>5769.98</v>
      </c>
      <c r="E392" s="1475">
        <v>1.0030777896833167</v>
      </c>
      <c r="F392" s="1475">
        <v>61.290689468222901</v>
      </c>
      <c r="K392" s="1592">
        <v>42449</v>
      </c>
      <c r="L392" s="1593"/>
      <c r="M392" s="1594">
        <v>0</v>
      </c>
      <c r="N392" s="1595">
        <v>1.1444503083706732</v>
      </c>
      <c r="O392" s="1595">
        <v>1.1444503083706732</v>
      </c>
    </row>
    <row r="393" spans="2:15">
      <c r="B393" s="1474">
        <v>44378</v>
      </c>
      <c r="C393" s="1475">
        <v>1084.095</v>
      </c>
      <c r="D393" s="1475">
        <v>5825.37</v>
      </c>
      <c r="E393" s="1475">
        <v>1.003556161780192</v>
      </c>
      <c r="F393" s="1475">
        <v>61.508649075591414</v>
      </c>
      <c r="K393" s="1592">
        <v>42450</v>
      </c>
      <c r="L393" s="1593" t="s">
        <v>2301</v>
      </c>
      <c r="M393" s="1594">
        <v>5.2531000000000001E-2</v>
      </c>
      <c r="N393" s="1595">
        <v>1.1450514995621635</v>
      </c>
      <c r="O393" s="1595">
        <v>1.1450514995621635</v>
      </c>
    </row>
    <row r="394" spans="2:15">
      <c r="B394" s="1474">
        <v>44409</v>
      </c>
      <c r="C394" s="1475">
        <v>1091.29</v>
      </c>
      <c r="D394" s="1475">
        <v>5876.05</v>
      </c>
      <c r="E394" s="1475">
        <v>1.0042795247734253</v>
      </c>
      <c r="F394" s="1475">
        <v>61.771876863090334</v>
      </c>
      <c r="K394" s="1592">
        <v>42451</v>
      </c>
      <c r="L394" s="1593" t="s">
        <v>2301</v>
      </c>
      <c r="M394" s="1594">
        <v>5.2531000000000001E-2</v>
      </c>
      <c r="N394" s="1595">
        <v>1.1456530065653985</v>
      </c>
      <c r="O394" s="1595">
        <v>1.1456530065653985</v>
      </c>
    </row>
    <row r="395" spans="2:15">
      <c r="B395" s="1474">
        <v>44440</v>
      </c>
      <c r="C395" s="1475">
        <v>1084.3119999999999</v>
      </c>
      <c r="D395" s="1475">
        <v>5944.21</v>
      </c>
      <c r="E395" s="1475">
        <v>1.0044199933223523</v>
      </c>
      <c r="F395" s="1475">
        <v>62.044908146334365</v>
      </c>
      <c r="K395" s="1592">
        <v>42452</v>
      </c>
      <c r="L395" s="1593" t="s">
        <v>2301</v>
      </c>
      <c r="M395" s="1594">
        <v>5.2531000000000001E-2</v>
      </c>
      <c r="N395" s="1595">
        <v>1.1462548295462773</v>
      </c>
      <c r="O395" s="1595">
        <v>1.1462548295462773</v>
      </c>
    </row>
    <row r="396" spans="2:15">
      <c r="B396" s="1474">
        <v>44470</v>
      </c>
      <c r="C396" s="1475">
        <v>1091.2829999999999</v>
      </c>
      <c r="D396" s="1475">
        <v>6018.51</v>
      </c>
      <c r="E396" s="1475">
        <v>1.0048599610251685</v>
      </c>
      <c r="F396" s="1475">
        <v>62.34644398173571</v>
      </c>
      <c r="K396" s="1592">
        <v>42453</v>
      </c>
      <c r="L396" s="1593" t="s">
        <v>2301</v>
      </c>
      <c r="M396" s="1594">
        <v>5.2531000000000001E-2</v>
      </c>
      <c r="N396" s="1595">
        <v>1.1468569686707863</v>
      </c>
      <c r="O396" s="1595">
        <v>1.1468569686707863</v>
      </c>
    </row>
    <row r="397" spans="2:15">
      <c r="B397" s="1474">
        <v>44501</v>
      </c>
      <c r="C397" s="1475">
        <v>1091.4829999999999</v>
      </c>
      <c r="D397" s="1475">
        <v>6075.69</v>
      </c>
      <c r="E397" s="1475">
        <v>1.0058674909390046</v>
      </c>
      <c r="F397" s="1475">
        <v>62.712261176877703</v>
      </c>
      <c r="K397" s="1592">
        <v>42454</v>
      </c>
      <c r="L397" s="1593"/>
      <c r="M397" s="1594">
        <v>0</v>
      </c>
      <c r="N397" s="1595">
        <v>1.1468569686707863</v>
      </c>
      <c r="O397" s="1595">
        <v>1.1468569686707863</v>
      </c>
    </row>
    <row r="398" spans="2:15">
      <c r="B398" s="1474">
        <v>44531</v>
      </c>
      <c r="C398" s="1475">
        <v>1100.9880000000001</v>
      </c>
      <c r="D398" s="1475">
        <v>6120.04</v>
      </c>
      <c r="E398" s="1475">
        <v>1.0076908308186336</v>
      </c>
      <c r="F398" s="1475">
        <v>63.194570567843037</v>
      </c>
      <c r="K398" s="1592">
        <v>42455</v>
      </c>
      <c r="L398" s="1593"/>
      <c r="M398" s="1594">
        <v>0</v>
      </c>
      <c r="N398" s="1595">
        <v>1.1468569686707863</v>
      </c>
      <c r="O398" s="1595">
        <v>1.1468569686707863</v>
      </c>
    </row>
    <row r="399" spans="2:15">
      <c r="B399" s="1474">
        <v>44562</v>
      </c>
      <c r="C399" s="1475">
        <v>1120.999</v>
      </c>
      <c r="D399" s="1475">
        <v>6153.09</v>
      </c>
      <c r="E399" s="1475">
        <v>1.0073227032460901</v>
      </c>
      <c r="F399" s="1475">
        <v>63.65732565487545</v>
      </c>
      <c r="K399" s="1592">
        <v>42456</v>
      </c>
      <c r="L399" s="1593"/>
      <c r="M399" s="1594">
        <v>0</v>
      </c>
      <c r="N399" s="1595">
        <v>1.1468569686707863</v>
      </c>
      <c r="O399" s="1595">
        <v>1.1468569686707863</v>
      </c>
    </row>
    <row r="400" spans="2:15">
      <c r="B400" s="1474">
        <v>44593</v>
      </c>
      <c r="C400" s="1475">
        <v>1141.546</v>
      </c>
      <c r="D400" s="1475">
        <v>6215.24</v>
      </c>
      <c r="E400" s="1475">
        <v>1.0075504098703885</v>
      </c>
      <c r="F400" s="1475">
        <v>64.13796455482256</v>
      </c>
      <c r="K400" s="1592">
        <v>42457</v>
      </c>
      <c r="L400" s="1593" t="s">
        <v>2301</v>
      </c>
      <c r="M400" s="1594">
        <v>5.2531000000000001E-2</v>
      </c>
      <c r="N400" s="1595">
        <v>1.1474594241049989</v>
      </c>
      <c r="O400" s="1595">
        <v>1.1474594241049989</v>
      </c>
    </row>
    <row r="401" spans="2:15">
      <c r="B401" s="1474">
        <v>44621</v>
      </c>
      <c r="C401" s="1475">
        <v>1161.4179999999999</v>
      </c>
      <c r="D401" s="1475">
        <v>6315.93</v>
      </c>
      <c r="E401" s="1475">
        <v>1.0092705386289318</v>
      </c>
      <c r="F401" s="1475">
        <v>64.732558032809095</v>
      </c>
      <c r="K401" s="1592">
        <v>42458</v>
      </c>
      <c r="L401" s="1593" t="s">
        <v>2301</v>
      </c>
      <c r="M401" s="1594">
        <v>5.2531000000000001E-2</v>
      </c>
      <c r="N401" s="1595">
        <v>1.1480621960150754</v>
      </c>
      <c r="O401" s="1595">
        <v>1.1480621960150754</v>
      </c>
    </row>
    <row r="402" spans="2:15">
      <c r="B402" s="1474">
        <v>44652</v>
      </c>
      <c r="C402" s="1475">
        <v>1177.809</v>
      </c>
      <c r="D402" s="1475">
        <v>6382.88</v>
      </c>
      <c r="E402" s="1475">
        <v>1.0083432052372134</v>
      </c>
      <c r="F402" s="1475">
        <v>65.272635050006656</v>
      </c>
      <c r="K402" s="1592">
        <v>42459</v>
      </c>
      <c r="L402" s="1593" t="s">
        <v>2301</v>
      </c>
      <c r="M402" s="1594">
        <v>5.2531000000000001E-2</v>
      </c>
      <c r="N402" s="1595">
        <v>1.148665284567264</v>
      </c>
      <c r="O402" s="1595">
        <v>1.148665284567264</v>
      </c>
    </row>
    <row r="403" spans="2:15">
      <c r="B403" s="1474">
        <v>44682</v>
      </c>
      <c r="C403" s="1475">
        <v>1183.953</v>
      </c>
      <c r="D403" s="1475">
        <v>6412.88</v>
      </c>
      <c r="E403" s="1475">
        <v>1.0103459230153136</v>
      </c>
      <c r="F403" s="1475">
        <v>65.947940707240676</v>
      </c>
      <c r="K403" s="1592">
        <v>42460</v>
      </c>
      <c r="L403" s="1593" t="s">
        <v>2301</v>
      </c>
      <c r="M403" s="1594">
        <v>5.2531000000000001E-2</v>
      </c>
      <c r="N403" s="1595">
        <v>1.1492686899279001</v>
      </c>
      <c r="O403" s="1595">
        <v>1.1492686899279001</v>
      </c>
    </row>
    <row r="404" spans="2:15">
      <c r="B404" s="1474">
        <v>44713</v>
      </c>
      <c r="C404" s="1475">
        <v>1190.8820000000001</v>
      </c>
      <c r="D404" s="1475">
        <v>6455.85</v>
      </c>
      <c r="E404" s="1475">
        <v>1.0101531560893695</v>
      </c>
      <c r="F404" s="1475">
        <v>66.617520443013774</v>
      </c>
      <c r="K404" s="1592">
        <v>42461</v>
      </c>
      <c r="L404" s="1593" t="s">
        <v>2301</v>
      </c>
      <c r="M404" s="1594">
        <v>5.2531000000000001E-2</v>
      </c>
      <c r="N404" s="1595">
        <v>1.1498724122634061</v>
      </c>
      <c r="O404" s="1595">
        <v>1.1498724122634061</v>
      </c>
    </row>
    <row r="405" spans="2:15">
      <c r="B405" s="1474">
        <v>44743</v>
      </c>
      <c r="C405" s="1475">
        <v>1197.0638684620001</v>
      </c>
      <c r="D405" s="1475">
        <v>6491.3184399000011</v>
      </c>
      <c r="E405" s="1475">
        <v>1.0103484243492924</v>
      </c>
      <c r="F405" s="1475">
        <v>67.306906813655743</v>
      </c>
      <c r="K405" s="1592">
        <v>42462</v>
      </c>
      <c r="L405" s="1593"/>
      <c r="M405" s="1594">
        <v>0</v>
      </c>
      <c r="N405" s="1595">
        <v>1.1498724122634061</v>
      </c>
      <c r="O405" s="1595">
        <v>1.1498724122634061</v>
      </c>
    </row>
    <row r="406" spans="2:15">
      <c r="B406" s="1474">
        <v>44774</v>
      </c>
      <c r="C406" s="1475">
        <v>1203.249097470343</v>
      </c>
      <c r="D406" s="1475">
        <v>6514.7391168311606</v>
      </c>
      <c r="E406" s="1475">
        <v>1.0113395564141356</v>
      </c>
      <c r="F406" s="1475">
        <v>68.070137280530162</v>
      </c>
      <c r="K406" s="1592">
        <v>42463</v>
      </c>
      <c r="L406" s="1593"/>
      <c r="M406" s="1594">
        <v>0</v>
      </c>
      <c r="N406" s="1595">
        <v>1.1498724122634061</v>
      </c>
      <c r="O406" s="1595">
        <v>1.1498724122634061</v>
      </c>
    </row>
    <row r="407" spans="2:15">
      <c r="B407" s="1474">
        <v>44805</v>
      </c>
      <c r="C407" s="1475">
        <v>1210.3554866400029</v>
      </c>
      <c r="D407" s="1475">
        <v>6541.5407535578033</v>
      </c>
      <c r="E407" s="1475">
        <v>1.0103484243492922</v>
      </c>
      <c r="F407" s="1475">
        <v>68.774555946623664</v>
      </c>
      <c r="K407" s="1592">
        <v>42464</v>
      </c>
      <c r="L407" s="1593" t="s">
        <v>2301</v>
      </c>
      <c r="M407" s="1594">
        <v>5.2531000000000001E-2</v>
      </c>
      <c r="N407" s="1595">
        <v>1.1504764517402921</v>
      </c>
      <c r="O407" s="1595">
        <v>1.1504764517402921</v>
      </c>
    </row>
    <row r="408" spans="2:15">
      <c r="B408" s="1474">
        <v>44835</v>
      </c>
      <c r="C408" s="1475">
        <v>1217.5885710281636</v>
      </c>
      <c r="D408" s="1475">
        <v>6571.7430472169799</v>
      </c>
      <c r="E408" s="1475">
        <v>1.0098532226245143</v>
      </c>
      <c r="F408" s="1475">
        <v>69.452206957267862</v>
      </c>
      <c r="K408" s="1592">
        <v>42465</v>
      </c>
      <c r="L408" s="1593" t="s">
        <v>2301</v>
      </c>
      <c r="M408" s="1594">
        <v>5.2531000000000001E-2</v>
      </c>
      <c r="N408" s="1595">
        <v>1.1510808085251558</v>
      </c>
      <c r="O408" s="1595">
        <v>1.1510808085251558</v>
      </c>
    </row>
    <row r="409" spans="2:15">
      <c r="B409" s="1474">
        <v>44866</v>
      </c>
      <c r="C409" s="1475">
        <v>1224.992727128586</v>
      </c>
      <c r="D409" s="1475">
        <v>6602.2359349560666</v>
      </c>
      <c r="E409" s="1475">
        <v>1.0098532226245134</v>
      </c>
      <c r="F409" s="1475">
        <v>70.136535014181604</v>
      </c>
      <c r="K409" s="1592">
        <v>42466</v>
      </c>
      <c r="L409" s="1593" t="s">
        <v>2301</v>
      </c>
      <c r="M409" s="1594">
        <v>5.2531000000000001E-2</v>
      </c>
      <c r="N409" s="1595">
        <v>1.1516854827846821</v>
      </c>
      <c r="O409" s="1595">
        <v>1.1516854827846821</v>
      </c>
    </row>
    <row r="410" spans="2:15">
      <c r="B410" s="1474">
        <v>44896</v>
      </c>
      <c r="C410" s="1475">
        <v>1232.3194086295421</v>
      </c>
      <c r="D410" s="1475">
        <v>6643.9422593571835</v>
      </c>
      <c r="E410" s="1475">
        <v>1.0108438689061403</v>
      </c>
      <c r="F410" s="1475">
        <v>70.897086405406313</v>
      </c>
      <c r="K410" s="1592">
        <v>42467</v>
      </c>
      <c r="L410" s="1593" t="s">
        <v>2301</v>
      </c>
      <c r="M410" s="1594">
        <v>5.2531000000000001E-2</v>
      </c>
      <c r="N410" s="1595">
        <v>1.1522904746856437</v>
      </c>
      <c r="O410" s="1595">
        <v>1.1522904746856437</v>
      </c>
    </row>
    <row r="411" spans="2:15">
      <c r="B411" s="1474">
        <v>44927</v>
      </c>
      <c r="C411" s="1475">
        <v>1238.1470471129512</v>
      </c>
      <c r="D411" s="1475">
        <v>6675.3880380707214</v>
      </c>
      <c r="E411" s="1475">
        <v>1.0108438689061405</v>
      </c>
      <c r="F411" s="1475">
        <v>71.665885116213857</v>
      </c>
      <c r="K411" s="1592">
        <v>42468</v>
      </c>
      <c r="L411" s="1593" t="s">
        <v>2301</v>
      </c>
      <c r="M411" s="1594">
        <v>5.2531000000000001E-2</v>
      </c>
      <c r="N411" s="1595">
        <v>1.1528957843949008</v>
      </c>
      <c r="O411" s="1595">
        <v>1.1528957843949008</v>
      </c>
    </row>
    <row r="412" spans="2:15">
      <c r="B412" s="1474">
        <v>44958</v>
      </c>
      <c r="C412" s="1475">
        <v>1242.8891503033938</v>
      </c>
      <c r="D412" s="1475">
        <v>6708.8651090816456</v>
      </c>
      <c r="E412" s="1475">
        <v>1.0088635471951473</v>
      </c>
      <c r="F412" s="1475">
        <v>72.301099071223419</v>
      </c>
      <c r="K412" s="1592">
        <v>42469</v>
      </c>
      <c r="L412" s="1593"/>
      <c r="M412" s="1594">
        <v>0</v>
      </c>
      <c r="N412" s="1595">
        <v>1.1528957843949008</v>
      </c>
      <c r="O412" s="1595">
        <v>1.1528957843949008</v>
      </c>
    </row>
    <row r="413" spans="2:15">
      <c r="B413" s="1474">
        <v>44986</v>
      </c>
      <c r="C413" s="1475">
        <v>1247.4530392633078</v>
      </c>
      <c r="D413" s="1475">
        <v>6733.7617075014477</v>
      </c>
      <c r="E413" s="1475">
        <v>1.0113395564141363</v>
      </c>
      <c r="F413" s="1475">
        <v>73.120961462945615</v>
      </c>
      <c r="K413" s="1592">
        <v>42470</v>
      </c>
      <c r="L413" s="1593"/>
      <c r="M413" s="1594">
        <v>0</v>
      </c>
      <c r="N413" s="1595">
        <v>1.1528957843949008</v>
      </c>
      <c r="O413" s="1595">
        <v>1.1528957843949008</v>
      </c>
    </row>
    <row r="414" spans="2:15">
      <c r="B414" s="1474">
        <v>45017</v>
      </c>
      <c r="C414" s="1475">
        <v>1251.4698380497357</v>
      </c>
      <c r="D414" s="1475">
        <v>6758.8113010533525</v>
      </c>
      <c r="E414" s="1475">
        <v>1.0088635471951479</v>
      </c>
      <c r="F414" s="1475">
        <v>73.769072555827023</v>
      </c>
      <c r="K414" s="1592">
        <v>42471</v>
      </c>
      <c r="L414" s="1593" t="s">
        <v>2301</v>
      </c>
      <c r="M414" s="1594">
        <v>5.2531000000000001E-2</v>
      </c>
      <c r="N414" s="1595">
        <v>1.1535014120794014</v>
      </c>
      <c r="O414" s="1595">
        <v>1.1535014120794014</v>
      </c>
    </row>
    <row r="415" spans="2:15">
      <c r="B415" s="1474">
        <v>45047</v>
      </c>
      <c r="C415" s="1475">
        <v>1255.0803285325092</v>
      </c>
      <c r="D415" s="1475">
        <v>6776.8505684158645</v>
      </c>
      <c r="E415" s="1475">
        <v>1.0108438689061405</v>
      </c>
      <c r="F415" s="1475">
        <v>74.569014707949975</v>
      </c>
      <c r="K415" s="1592">
        <v>42472</v>
      </c>
      <c r="L415" s="1593" t="s">
        <v>2301</v>
      </c>
      <c r="M415" s="1594">
        <v>5.2531000000000001E-2</v>
      </c>
      <c r="N415" s="1595">
        <v>1.1541073579061809</v>
      </c>
      <c r="O415" s="1595">
        <v>1.1541073579061809</v>
      </c>
    </row>
    <row r="416" spans="2:15">
      <c r="B416" s="1474">
        <v>45078</v>
      </c>
      <c r="C416" s="1475">
        <v>1259.3250102036061</v>
      </c>
      <c r="D416" s="1475">
        <v>6793.2031088374515</v>
      </c>
      <c r="E416" s="1475">
        <v>1.010348424349292</v>
      </c>
      <c r="F416" s="1475">
        <v>75.34068651545644</v>
      </c>
      <c r="K416" s="1592">
        <v>42473</v>
      </c>
      <c r="L416" s="1593" t="s">
        <v>2301</v>
      </c>
      <c r="M416" s="1594">
        <v>5.2531000000000001E-2</v>
      </c>
      <c r="N416" s="1595">
        <v>1.1547136220423626</v>
      </c>
      <c r="O416" s="1595">
        <v>1.1547136220423626</v>
      </c>
    </row>
    <row r="417" spans="2:15">
      <c r="B417" s="1474">
        <v>45108</v>
      </c>
      <c r="C417" s="1475" t="e">
        <v>#N/A</v>
      </c>
      <c r="D417" s="1475" t="e">
        <v>#N/A</v>
      </c>
      <c r="E417" s="1475" t="e">
        <v>#N/A</v>
      </c>
      <c r="F417" s="1475" t="e">
        <f t="shared" ref="F417:F419" si="0">F416*E417</f>
        <v>#N/A</v>
      </c>
      <c r="K417" s="1592">
        <v>42474</v>
      </c>
      <c r="L417" s="1593" t="s">
        <v>2301</v>
      </c>
      <c r="M417" s="1594">
        <v>5.2531000000000001E-2</v>
      </c>
      <c r="N417" s="1595">
        <v>1.1553202046551576</v>
      </c>
      <c r="O417" s="1595">
        <v>1.1553202046551576</v>
      </c>
    </row>
    <row r="418" spans="2:15">
      <c r="B418" s="1474">
        <v>45139</v>
      </c>
      <c r="C418" s="1475" t="e">
        <v>#N/A</v>
      </c>
      <c r="D418" s="1475" t="e">
        <v>#N/A</v>
      </c>
      <c r="E418" s="1475" t="e">
        <v>#N/A</v>
      </c>
      <c r="F418" s="1475" t="e">
        <f t="shared" si="0"/>
        <v>#N/A</v>
      </c>
      <c r="K418" s="1592">
        <v>42475</v>
      </c>
      <c r="L418" s="1593" t="s">
        <v>2301</v>
      </c>
      <c r="M418" s="1594">
        <v>5.2531000000000001E-2</v>
      </c>
      <c r="N418" s="1595">
        <v>1.155927105911865</v>
      </c>
      <c r="O418" s="1595">
        <v>1.155927105911865</v>
      </c>
    </row>
    <row r="419" spans="2:15">
      <c r="B419" s="1474">
        <v>45170</v>
      </c>
      <c r="C419" s="1475" t="e">
        <v>#N/A</v>
      </c>
      <c r="D419" s="1475" t="e">
        <v>#N/A</v>
      </c>
      <c r="E419" s="1475" t="e">
        <v>#N/A</v>
      </c>
      <c r="F419" s="1475" t="e">
        <f t="shared" si="0"/>
        <v>#N/A</v>
      </c>
      <c r="K419" s="1592">
        <v>42476</v>
      </c>
      <c r="L419" s="1593"/>
      <c r="M419" s="1594">
        <v>0</v>
      </c>
      <c r="N419" s="1595">
        <v>1.155927105911865</v>
      </c>
      <c r="O419" s="1595">
        <v>1.155927105911865</v>
      </c>
    </row>
    <row r="420" spans="2:15">
      <c r="B420" s="1474">
        <v>45200</v>
      </c>
      <c r="C420" s="1475" t="e">
        <v>#N/A</v>
      </c>
      <c r="D420" s="1475" t="e">
        <v>#N/A</v>
      </c>
      <c r="E420" s="1475" t="e">
        <v>#N/A</v>
      </c>
      <c r="F420" s="1475" t="e">
        <f t="shared" ref="F420:F483" si="1">F419*E420</f>
        <v>#N/A</v>
      </c>
      <c r="K420" s="1592">
        <v>42477</v>
      </c>
      <c r="L420" s="1593"/>
      <c r="M420" s="1594">
        <v>0</v>
      </c>
      <c r="N420" s="1595">
        <v>1.155927105911865</v>
      </c>
      <c r="O420" s="1595">
        <v>1.155927105911865</v>
      </c>
    </row>
    <row r="421" spans="2:15">
      <c r="B421" s="1474">
        <v>45231</v>
      </c>
      <c r="C421" s="1475" t="e">
        <v>#N/A</v>
      </c>
      <c r="D421" s="1475" t="e">
        <v>#N/A</v>
      </c>
      <c r="E421" s="1475" t="e">
        <v>#N/A</v>
      </c>
      <c r="F421" s="1475" t="e">
        <f t="shared" si="1"/>
        <v>#N/A</v>
      </c>
      <c r="K421" s="1592">
        <v>42478</v>
      </c>
      <c r="L421" s="1593" t="s">
        <v>2301</v>
      </c>
      <c r="M421" s="1594">
        <v>5.2531000000000001E-2</v>
      </c>
      <c r="N421" s="1595">
        <v>1.1565343259798715</v>
      </c>
      <c r="O421" s="1595">
        <v>1.1565343259798715</v>
      </c>
    </row>
    <row r="422" spans="2:15">
      <c r="B422" s="1474">
        <v>45261</v>
      </c>
      <c r="C422" s="1475" t="e">
        <v>#N/A</v>
      </c>
      <c r="D422" s="1475" t="e">
        <v>#N/A</v>
      </c>
      <c r="E422" s="1475" t="e">
        <v>#N/A</v>
      </c>
      <c r="F422" s="1475" t="e">
        <f t="shared" si="1"/>
        <v>#N/A</v>
      </c>
      <c r="K422" s="1592">
        <v>42479</v>
      </c>
      <c r="L422" s="1593" t="s">
        <v>2301</v>
      </c>
      <c r="M422" s="1594">
        <v>5.2531000000000001E-2</v>
      </c>
      <c r="N422" s="1595">
        <v>1.1571418650266521</v>
      </c>
      <c r="O422" s="1595">
        <v>1.1571418650266521</v>
      </c>
    </row>
    <row r="423" spans="2:15">
      <c r="B423" s="1474">
        <v>45292</v>
      </c>
      <c r="C423" s="1475" t="e">
        <v>#N/A</v>
      </c>
      <c r="D423" s="1475" t="e">
        <v>#N/A</v>
      </c>
      <c r="E423" s="1475" t="e">
        <v>#N/A</v>
      </c>
      <c r="F423" s="1475" t="e">
        <f t="shared" si="1"/>
        <v>#N/A</v>
      </c>
      <c r="K423" s="1592">
        <v>42480</v>
      </c>
      <c r="L423" s="1593" t="s">
        <v>2301</v>
      </c>
      <c r="M423" s="1594">
        <v>5.2531000000000001E-2</v>
      </c>
      <c r="N423" s="1595">
        <v>1.1577497232197693</v>
      </c>
      <c r="O423" s="1595">
        <v>1.1577497232197693</v>
      </c>
    </row>
    <row r="424" spans="2:15">
      <c r="B424" s="1474">
        <v>45323</v>
      </c>
      <c r="C424" s="1475" t="e">
        <v>#N/A</v>
      </c>
      <c r="D424" s="1475" t="e">
        <v>#N/A</v>
      </c>
      <c r="E424" s="1475" t="e">
        <v>#N/A</v>
      </c>
      <c r="F424" s="1475" t="e">
        <f t="shared" si="1"/>
        <v>#N/A</v>
      </c>
      <c r="K424" s="1592">
        <v>42481</v>
      </c>
      <c r="L424" s="1593"/>
      <c r="M424" s="1594">
        <v>0</v>
      </c>
      <c r="N424" s="1595">
        <v>1.1577497232197693</v>
      </c>
      <c r="O424" s="1595">
        <v>1.1577497232197693</v>
      </c>
    </row>
    <row r="425" spans="2:15">
      <c r="B425" s="1474">
        <v>45352</v>
      </c>
      <c r="C425" s="1475" t="e">
        <v>#N/A</v>
      </c>
      <c r="D425" s="1475" t="e">
        <v>#N/A</v>
      </c>
      <c r="E425" s="1475" t="e">
        <v>#N/A</v>
      </c>
      <c r="F425" s="1475" t="e">
        <f t="shared" si="1"/>
        <v>#N/A</v>
      </c>
      <c r="K425" s="1592">
        <v>42482</v>
      </c>
      <c r="L425" s="1593" t="s">
        <v>2301</v>
      </c>
      <c r="M425" s="1594">
        <v>5.2531000000000001E-2</v>
      </c>
      <c r="N425" s="1595">
        <v>1.1583579007268738</v>
      </c>
      <c r="O425" s="1595">
        <v>1.1583579007268738</v>
      </c>
    </row>
    <row r="426" spans="2:15">
      <c r="B426" s="1474">
        <v>45383</v>
      </c>
      <c r="C426" s="1475" t="e">
        <v>#N/A</v>
      </c>
      <c r="D426" s="1475" t="e">
        <v>#N/A</v>
      </c>
      <c r="E426" s="1475" t="e">
        <v>#N/A</v>
      </c>
      <c r="F426" s="1475" t="e">
        <f t="shared" si="1"/>
        <v>#N/A</v>
      </c>
      <c r="K426" s="1592">
        <v>42483</v>
      </c>
      <c r="L426" s="1593"/>
      <c r="M426" s="1594">
        <v>0</v>
      </c>
      <c r="N426" s="1595">
        <v>1.1583579007268738</v>
      </c>
      <c r="O426" s="1595">
        <v>1.1583579007268738</v>
      </c>
    </row>
    <row r="427" spans="2:15">
      <c r="B427" s="1474">
        <v>45413</v>
      </c>
      <c r="C427" s="1475" t="e">
        <v>#N/A</v>
      </c>
      <c r="D427" s="1475" t="e">
        <v>#N/A</v>
      </c>
      <c r="E427" s="1475" t="e">
        <v>#N/A</v>
      </c>
      <c r="F427" s="1475" t="e">
        <f t="shared" si="1"/>
        <v>#N/A</v>
      </c>
      <c r="K427" s="1592">
        <v>42484</v>
      </c>
      <c r="L427" s="1593"/>
      <c r="M427" s="1594">
        <v>0</v>
      </c>
      <c r="N427" s="1595">
        <v>1.1583579007268738</v>
      </c>
      <c r="O427" s="1595">
        <v>1.1583579007268738</v>
      </c>
    </row>
    <row r="428" spans="2:15">
      <c r="B428" s="1474">
        <v>45444</v>
      </c>
      <c r="C428" s="1475" t="e">
        <v>#N/A</v>
      </c>
      <c r="D428" s="1475" t="e">
        <v>#N/A</v>
      </c>
      <c r="E428" s="1475" t="e">
        <v>#N/A</v>
      </c>
      <c r="F428" s="1475" t="e">
        <f t="shared" si="1"/>
        <v>#N/A</v>
      </c>
      <c r="K428" s="1592">
        <v>42485</v>
      </c>
      <c r="L428" s="1593" t="s">
        <v>2301</v>
      </c>
      <c r="M428" s="1594">
        <v>5.2531000000000001E-2</v>
      </c>
      <c r="N428" s="1595">
        <v>1.1589663977157048</v>
      </c>
      <c r="O428" s="1595">
        <v>1.1589663977157048</v>
      </c>
    </row>
    <row r="429" spans="2:15">
      <c r="B429" s="1474">
        <v>45474</v>
      </c>
      <c r="C429" s="1475" t="e">
        <v>#N/A</v>
      </c>
      <c r="D429" s="1475" t="e">
        <v>#N/A</v>
      </c>
      <c r="E429" s="1475" t="e">
        <v>#N/A</v>
      </c>
      <c r="F429" s="1475" t="e">
        <f t="shared" si="1"/>
        <v>#N/A</v>
      </c>
      <c r="K429" s="1592">
        <v>42486</v>
      </c>
      <c r="L429" s="1593" t="s">
        <v>2301</v>
      </c>
      <c r="M429" s="1594">
        <v>5.2531000000000001E-2</v>
      </c>
      <c r="N429" s="1595">
        <v>1.1595752143540887</v>
      </c>
      <c r="O429" s="1595">
        <v>1.1595752143540887</v>
      </c>
    </row>
    <row r="430" spans="2:15">
      <c r="B430" s="1474">
        <v>45505</v>
      </c>
      <c r="C430" s="1475" t="e">
        <v>#N/A</v>
      </c>
      <c r="D430" s="1475" t="e">
        <v>#N/A</v>
      </c>
      <c r="E430" s="1475" t="e">
        <v>#N/A</v>
      </c>
      <c r="F430" s="1475" t="e">
        <f t="shared" si="1"/>
        <v>#N/A</v>
      </c>
      <c r="K430" s="1592">
        <v>42487</v>
      </c>
      <c r="L430" s="1593" t="s">
        <v>2301</v>
      </c>
      <c r="M430" s="1594">
        <v>5.2531000000000001E-2</v>
      </c>
      <c r="N430" s="1595">
        <v>1.160184350809941</v>
      </c>
      <c r="O430" s="1595">
        <v>1.160184350809941</v>
      </c>
    </row>
    <row r="431" spans="2:15">
      <c r="B431" s="1474">
        <v>45536</v>
      </c>
      <c r="C431" s="1475" t="e">
        <v>#N/A</v>
      </c>
      <c r="D431" s="1475" t="e">
        <v>#N/A</v>
      </c>
      <c r="E431" s="1475" t="e">
        <v>#N/A</v>
      </c>
      <c r="F431" s="1475" t="e">
        <f t="shared" si="1"/>
        <v>#N/A</v>
      </c>
      <c r="K431" s="1592">
        <v>42488</v>
      </c>
      <c r="L431" s="1593" t="s">
        <v>2301</v>
      </c>
      <c r="M431" s="1594">
        <v>5.2531000000000001E-2</v>
      </c>
      <c r="N431" s="1595">
        <v>1.1607938072512649</v>
      </c>
      <c r="O431" s="1595">
        <v>1.1607938072512649</v>
      </c>
    </row>
    <row r="432" spans="2:15">
      <c r="B432" s="1474">
        <v>45566</v>
      </c>
      <c r="C432" s="1475" t="e">
        <v>#N/A</v>
      </c>
      <c r="D432" s="1475" t="e">
        <v>#N/A</v>
      </c>
      <c r="E432" s="1475" t="e">
        <v>#N/A</v>
      </c>
      <c r="F432" s="1475" t="e">
        <f t="shared" si="1"/>
        <v>#N/A</v>
      </c>
      <c r="K432" s="1592">
        <v>42489</v>
      </c>
      <c r="L432" s="1593" t="s">
        <v>2301</v>
      </c>
      <c r="M432" s="1594">
        <v>5.2531000000000001E-2</v>
      </c>
      <c r="N432" s="1595">
        <v>1.1614035838461521</v>
      </c>
      <c r="O432" s="1595">
        <v>1.1614035838461521</v>
      </c>
    </row>
    <row r="433" spans="2:15">
      <c r="B433" s="1474">
        <v>45597</v>
      </c>
      <c r="C433" s="1475" t="e">
        <v>#N/A</v>
      </c>
      <c r="D433" s="1475" t="e">
        <v>#N/A</v>
      </c>
      <c r="E433" s="1475" t="e">
        <v>#N/A</v>
      </c>
      <c r="F433" s="1475" t="e">
        <f t="shared" si="1"/>
        <v>#N/A</v>
      </c>
      <c r="K433" s="1592">
        <v>42490</v>
      </c>
      <c r="L433" s="1593"/>
      <c r="M433" s="1594">
        <v>0</v>
      </c>
      <c r="N433" s="1595">
        <v>1.1614035838461521</v>
      </c>
      <c r="O433" s="1595">
        <v>1.1614035838461521</v>
      </c>
    </row>
    <row r="434" spans="2:15">
      <c r="B434" s="1474">
        <v>45627</v>
      </c>
      <c r="C434" s="1475" t="e">
        <v>#N/A</v>
      </c>
      <c r="D434" s="1475" t="e">
        <v>#N/A</v>
      </c>
      <c r="E434" s="1475" t="e">
        <v>#N/A</v>
      </c>
      <c r="F434" s="1475" t="e">
        <f t="shared" si="1"/>
        <v>#N/A</v>
      </c>
      <c r="K434" s="1592">
        <v>42491</v>
      </c>
      <c r="L434" s="1593"/>
      <c r="M434" s="1594">
        <v>0</v>
      </c>
      <c r="N434" s="1595">
        <v>1.1614035838461521</v>
      </c>
      <c r="O434" s="1595">
        <v>1.1614035838461521</v>
      </c>
    </row>
    <row r="435" spans="2:15">
      <c r="B435" s="1474">
        <v>45658</v>
      </c>
      <c r="C435" s="1475" t="e">
        <v>#N/A</v>
      </c>
      <c r="D435" s="1475" t="e">
        <v>#N/A</v>
      </c>
      <c r="E435" s="1475" t="e">
        <v>#N/A</v>
      </c>
      <c r="F435" s="1475" t="e">
        <f t="shared" si="1"/>
        <v>#N/A</v>
      </c>
      <c r="K435" s="1592">
        <v>42492</v>
      </c>
      <c r="L435" s="1593" t="s">
        <v>2301</v>
      </c>
      <c r="M435" s="1594">
        <v>5.2531000000000001E-2</v>
      </c>
      <c r="N435" s="1595">
        <v>1.1620136807627823</v>
      </c>
      <c r="O435" s="1595">
        <v>1.1620136807627823</v>
      </c>
    </row>
    <row r="436" spans="2:15">
      <c r="B436" s="1474">
        <v>45689</v>
      </c>
      <c r="C436" s="1475" t="e">
        <v>#N/A</v>
      </c>
      <c r="D436" s="1475" t="e">
        <v>#N/A</v>
      </c>
      <c r="E436" s="1475" t="e">
        <v>#N/A</v>
      </c>
      <c r="F436" s="1475" t="e">
        <f t="shared" si="1"/>
        <v>#N/A</v>
      </c>
      <c r="K436" s="1592">
        <v>42493</v>
      </c>
      <c r="L436" s="1593" t="s">
        <v>2301</v>
      </c>
      <c r="M436" s="1594">
        <v>5.2531000000000001E-2</v>
      </c>
      <c r="N436" s="1595">
        <v>1.1626240981694238</v>
      </c>
      <c r="O436" s="1595">
        <v>1.1626240981694238</v>
      </c>
    </row>
    <row r="437" spans="2:15">
      <c r="B437" s="1474">
        <v>45717</v>
      </c>
      <c r="C437" s="1475" t="e">
        <v>#N/A</v>
      </c>
      <c r="D437" s="1475" t="e">
        <v>#N/A</v>
      </c>
      <c r="E437" s="1475" t="e">
        <v>#N/A</v>
      </c>
      <c r="F437" s="1475" t="e">
        <f t="shared" si="1"/>
        <v>#N/A</v>
      </c>
      <c r="K437" s="1592">
        <v>42494</v>
      </c>
      <c r="L437" s="1593" t="s">
        <v>2301</v>
      </c>
      <c r="M437" s="1594">
        <v>5.2531000000000001E-2</v>
      </c>
      <c r="N437" s="1595">
        <v>1.1632348362344331</v>
      </c>
      <c r="O437" s="1595">
        <v>1.1632348362344331</v>
      </c>
    </row>
    <row r="438" spans="2:15">
      <c r="B438" s="1474">
        <v>45748</v>
      </c>
      <c r="C438" s="1475" t="e">
        <v>#N/A</v>
      </c>
      <c r="D438" s="1475" t="e">
        <v>#N/A</v>
      </c>
      <c r="E438" s="1475" t="e">
        <v>#N/A</v>
      </c>
      <c r="F438" s="1475" t="e">
        <f t="shared" si="1"/>
        <v>#N/A</v>
      </c>
      <c r="K438" s="1592">
        <v>42495</v>
      </c>
      <c r="L438" s="1593" t="s">
        <v>2301</v>
      </c>
      <c r="M438" s="1594">
        <v>5.2531000000000001E-2</v>
      </c>
      <c r="N438" s="1595">
        <v>1.1638458951262554</v>
      </c>
      <c r="O438" s="1595">
        <v>1.1638458951262554</v>
      </c>
    </row>
    <row r="439" spans="2:15">
      <c r="B439" s="1474">
        <v>45778</v>
      </c>
      <c r="C439" s="1475" t="e">
        <v>#N/A</v>
      </c>
      <c r="D439" s="1475" t="e">
        <v>#N/A</v>
      </c>
      <c r="E439" s="1475" t="e">
        <v>#N/A</v>
      </c>
      <c r="F439" s="1475" t="e">
        <f t="shared" si="1"/>
        <v>#N/A</v>
      </c>
      <c r="K439" s="1592">
        <v>42496</v>
      </c>
      <c r="L439" s="1593" t="s">
        <v>2301</v>
      </c>
      <c r="M439" s="1594">
        <v>5.2531000000000001E-2</v>
      </c>
      <c r="N439" s="1595">
        <v>1.1644572750134241</v>
      </c>
      <c r="O439" s="1595">
        <v>1.1644572750134241</v>
      </c>
    </row>
    <row r="440" spans="2:15">
      <c r="B440" s="1474">
        <v>45809</v>
      </c>
      <c r="C440" s="1475" t="e">
        <v>#N/A</v>
      </c>
      <c r="D440" s="1475" t="e">
        <v>#N/A</v>
      </c>
      <c r="E440" s="1475" t="e">
        <v>#N/A</v>
      </c>
      <c r="F440" s="1475" t="e">
        <f t="shared" si="1"/>
        <v>#N/A</v>
      </c>
      <c r="K440" s="1592">
        <v>42497</v>
      </c>
      <c r="L440" s="1593"/>
      <c r="M440" s="1594">
        <v>0</v>
      </c>
      <c r="N440" s="1595">
        <v>1.1644572750134241</v>
      </c>
      <c r="O440" s="1595">
        <v>1.1644572750134241</v>
      </c>
    </row>
    <row r="441" spans="2:15">
      <c r="B441" s="1474">
        <v>45839</v>
      </c>
      <c r="C441" s="1475" t="e">
        <v>#N/A</v>
      </c>
      <c r="D441" s="1475" t="e">
        <v>#N/A</v>
      </c>
      <c r="E441" s="1475" t="e">
        <v>#N/A</v>
      </c>
      <c r="F441" s="1475" t="e">
        <f t="shared" si="1"/>
        <v>#N/A</v>
      </c>
      <c r="K441" s="1592">
        <v>42498</v>
      </c>
      <c r="L441" s="1593"/>
      <c r="M441" s="1594">
        <v>0</v>
      </c>
      <c r="N441" s="1595">
        <v>1.1644572750134241</v>
      </c>
      <c r="O441" s="1595">
        <v>1.1644572750134241</v>
      </c>
    </row>
    <row r="442" spans="2:15">
      <c r="B442" s="1474">
        <v>45870</v>
      </c>
      <c r="C442" s="1475" t="e">
        <v>#N/A</v>
      </c>
      <c r="D442" s="1475" t="e">
        <v>#N/A</v>
      </c>
      <c r="E442" s="1475" t="e">
        <v>#N/A</v>
      </c>
      <c r="F442" s="1475" t="e">
        <f t="shared" si="1"/>
        <v>#N/A</v>
      </c>
      <c r="K442" s="1592">
        <v>42499</v>
      </c>
      <c r="L442" s="1593" t="s">
        <v>2301</v>
      </c>
      <c r="M442" s="1594">
        <v>5.2531000000000001E-2</v>
      </c>
      <c r="N442" s="1595">
        <v>1.1650689760645614</v>
      </c>
      <c r="O442" s="1595">
        <v>1.1650689760645614</v>
      </c>
    </row>
    <row r="443" spans="2:15">
      <c r="B443" s="1474">
        <v>45901</v>
      </c>
      <c r="C443" s="1475" t="e">
        <v>#N/A</v>
      </c>
      <c r="D443" s="1475" t="e">
        <v>#N/A</v>
      </c>
      <c r="E443" s="1475" t="e">
        <v>#N/A</v>
      </c>
      <c r="F443" s="1475" t="e">
        <f t="shared" si="1"/>
        <v>#N/A</v>
      </c>
      <c r="K443" s="1592">
        <v>42500</v>
      </c>
      <c r="L443" s="1593" t="s">
        <v>2301</v>
      </c>
      <c r="M443" s="1594">
        <v>5.2531000000000001E-2</v>
      </c>
      <c r="N443" s="1595">
        <v>1.1656809984483778</v>
      </c>
      <c r="O443" s="1595">
        <v>1.1656809984483778</v>
      </c>
    </row>
    <row r="444" spans="2:15">
      <c r="B444" s="1474">
        <v>45931</v>
      </c>
      <c r="C444" s="1475" t="e">
        <v>#N/A</v>
      </c>
      <c r="D444" s="1475" t="e">
        <v>#N/A</v>
      </c>
      <c r="E444" s="1475" t="e">
        <v>#N/A</v>
      </c>
      <c r="F444" s="1475" t="e">
        <f t="shared" si="1"/>
        <v>#N/A</v>
      </c>
      <c r="K444" s="1592">
        <v>42501</v>
      </c>
      <c r="L444" s="1593" t="s">
        <v>2301</v>
      </c>
      <c r="M444" s="1594">
        <v>5.2531000000000001E-2</v>
      </c>
      <c r="N444" s="1595">
        <v>1.1662933423336728</v>
      </c>
      <c r="O444" s="1595">
        <v>1.1662933423336728</v>
      </c>
    </row>
    <row r="445" spans="2:15">
      <c r="B445" s="1474">
        <v>45962</v>
      </c>
      <c r="C445" s="1475" t="e">
        <v>#N/A</v>
      </c>
      <c r="D445" s="1475" t="e">
        <v>#N/A</v>
      </c>
      <c r="E445" s="1475" t="e">
        <v>#N/A</v>
      </c>
      <c r="F445" s="1475" t="e">
        <f t="shared" si="1"/>
        <v>#N/A</v>
      </c>
      <c r="K445" s="1592">
        <v>42502</v>
      </c>
      <c r="L445" s="1593" t="s">
        <v>2301</v>
      </c>
      <c r="M445" s="1594">
        <v>5.2531000000000001E-2</v>
      </c>
      <c r="N445" s="1595">
        <v>1.1669060078893341</v>
      </c>
      <c r="O445" s="1595">
        <v>1.1669060078893341</v>
      </c>
    </row>
    <row r="446" spans="2:15">
      <c r="B446" s="1474">
        <v>45992</v>
      </c>
      <c r="C446" s="1475" t="e">
        <v>#N/A</v>
      </c>
      <c r="D446" s="1475" t="e">
        <v>#N/A</v>
      </c>
      <c r="E446" s="1475" t="e">
        <v>#N/A</v>
      </c>
      <c r="F446" s="1475" t="e">
        <f t="shared" si="1"/>
        <v>#N/A</v>
      </c>
      <c r="K446" s="1592">
        <v>42503</v>
      </c>
      <c r="L446" s="1593" t="s">
        <v>2301</v>
      </c>
      <c r="M446" s="1594">
        <v>5.2531000000000001E-2</v>
      </c>
      <c r="N446" s="1595">
        <v>1.1675189952843383</v>
      </c>
      <c r="O446" s="1595">
        <v>1.1675189952843383</v>
      </c>
    </row>
    <row r="447" spans="2:15">
      <c r="B447" s="1474">
        <v>46023</v>
      </c>
      <c r="C447" s="1475" t="e">
        <v>#N/A</v>
      </c>
      <c r="D447" s="1475" t="e">
        <v>#N/A</v>
      </c>
      <c r="E447" s="1475" t="e">
        <v>#N/A</v>
      </c>
      <c r="F447" s="1475" t="e">
        <f t="shared" si="1"/>
        <v>#N/A</v>
      </c>
      <c r="K447" s="1592">
        <v>42504</v>
      </c>
      <c r="L447" s="1593"/>
      <c r="M447" s="1594">
        <v>0</v>
      </c>
      <c r="N447" s="1595">
        <v>1.1675189952843383</v>
      </c>
      <c r="O447" s="1595">
        <v>1.1675189952843383</v>
      </c>
    </row>
    <row r="448" spans="2:15">
      <c r="B448" s="1474">
        <v>46054</v>
      </c>
      <c r="C448" s="1475" t="e">
        <v>#N/A</v>
      </c>
      <c r="D448" s="1475" t="e">
        <v>#N/A</v>
      </c>
      <c r="E448" s="1475" t="e">
        <v>#N/A</v>
      </c>
      <c r="F448" s="1475" t="e">
        <f t="shared" si="1"/>
        <v>#N/A</v>
      </c>
      <c r="K448" s="1592">
        <v>42505</v>
      </c>
      <c r="L448" s="1593"/>
      <c r="M448" s="1594">
        <v>0</v>
      </c>
      <c r="N448" s="1595">
        <v>1.1675189952843383</v>
      </c>
      <c r="O448" s="1595">
        <v>1.1675189952843383</v>
      </c>
    </row>
    <row r="449" spans="2:15">
      <c r="B449" s="1474">
        <v>46082</v>
      </c>
      <c r="C449" s="1475" t="e">
        <v>#N/A</v>
      </c>
      <c r="D449" s="1475" t="e">
        <v>#N/A</v>
      </c>
      <c r="E449" s="1475" t="e">
        <v>#N/A</v>
      </c>
      <c r="F449" s="1475" t="e">
        <f t="shared" si="1"/>
        <v>#N/A</v>
      </c>
      <c r="K449" s="1592">
        <v>42506</v>
      </c>
      <c r="L449" s="1593" t="s">
        <v>2301</v>
      </c>
      <c r="M449" s="1594">
        <v>5.2531000000000001E-2</v>
      </c>
      <c r="N449" s="1595">
        <v>1.1681323046877512</v>
      </c>
      <c r="O449" s="1595">
        <v>1.1681323046877512</v>
      </c>
    </row>
    <row r="450" spans="2:15">
      <c r="B450" s="1474">
        <v>46113</v>
      </c>
      <c r="C450" s="1475" t="e">
        <v>#N/A</v>
      </c>
      <c r="D450" s="1475" t="e">
        <v>#N/A</v>
      </c>
      <c r="E450" s="1475" t="e">
        <v>#N/A</v>
      </c>
      <c r="F450" s="1475" t="e">
        <f t="shared" si="1"/>
        <v>#N/A</v>
      </c>
      <c r="K450" s="1592">
        <v>42507</v>
      </c>
      <c r="L450" s="1593" t="s">
        <v>2301</v>
      </c>
      <c r="M450" s="1594">
        <v>5.2531000000000001E-2</v>
      </c>
      <c r="N450" s="1595">
        <v>1.1687459362687267</v>
      </c>
      <c r="O450" s="1595">
        <v>1.1687459362687267</v>
      </c>
    </row>
    <row r="451" spans="2:15">
      <c r="B451" s="1474">
        <v>46143</v>
      </c>
      <c r="C451" s="1475" t="e">
        <v>#N/A</v>
      </c>
      <c r="D451" s="1475" t="e">
        <v>#N/A</v>
      </c>
      <c r="E451" s="1475" t="e">
        <v>#N/A</v>
      </c>
      <c r="F451" s="1475" t="e">
        <f t="shared" si="1"/>
        <v>#N/A</v>
      </c>
      <c r="K451" s="1592">
        <v>42508</v>
      </c>
      <c r="L451" s="1593" t="s">
        <v>2301</v>
      </c>
      <c r="M451" s="1594">
        <v>5.2531000000000001E-2</v>
      </c>
      <c r="N451" s="1595">
        <v>1.1693598901965081</v>
      </c>
      <c r="O451" s="1595">
        <v>1.1693598901965081</v>
      </c>
    </row>
    <row r="452" spans="2:15">
      <c r="B452" s="1474">
        <v>46174</v>
      </c>
      <c r="C452" s="1475" t="e">
        <v>#N/A</v>
      </c>
      <c r="D452" s="1475" t="e">
        <v>#N/A</v>
      </c>
      <c r="E452" s="1475" t="e">
        <v>#N/A</v>
      </c>
      <c r="F452" s="1475" t="e">
        <f t="shared" si="1"/>
        <v>#N/A</v>
      </c>
      <c r="K452" s="1592">
        <v>42509</v>
      </c>
      <c r="L452" s="1593" t="s">
        <v>2301</v>
      </c>
      <c r="M452" s="1594">
        <v>5.2531000000000001E-2</v>
      </c>
      <c r="N452" s="1595">
        <v>1.1699741666404273</v>
      </c>
      <c r="O452" s="1595">
        <v>1.1699741666404273</v>
      </c>
    </row>
    <row r="453" spans="2:15">
      <c r="B453" s="1474">
        <v>46204</v>
      </c>
      <c r="C453" s="1475" t="e">
        <v>#N/A</v>
      </c>
      <c r="D453" s="1475" t="e">
        <v>#N/A</v>
      </c>
      <c r="E453" s="1475" t="e">
        <v>#N/A</v>
      </c>
      <c r="F453" s="1475" t="e">
        <f t="shared" si="1"/>
        <v>#N/A</v>
      </c>
      <c r="K453" s="1592">
        <v>42510</v>
      </c>
      <c r="L453" s="1593" t="s">
        <v>2301</v>
      </c>
      <c r="M453" s="1594">
        <v>5.2531000000000001E-2</v>
      </c>
      <c r="N453" s="1595">
        <v>1.1705887657699052</v>
      </c>
      <c r="O453" s="1595">
        <v>1.1705887657699052</v>
      </c>
    </row>
    <row r="454" spans="2:15">
      <c r="B454" s="1474">
        <v>46235</v>
      </c>
      <c r="C454" s="1475" t="e">
        <v>#N/A</v>
      </c>
      <c r="D454" s="1475" t="e">
        <v>#N/A</v>
      </c>
      <c r="E454" s="1475" t="e">
        <v>#N/A</v>
      </c>
      <c r="F454" s="1475" t="e">
        <f t="shared" si="1"/>
        <v>#N/A</v>
      </c>
      <c r="K454" s="1592">
        <v>42511</v>
      </c>
      <c r="L454" s="1593"/>
      <c r="M454" s="1594">
        <v>0</v>
      </c>
      <c r="N454" s="1595">
        <v>1.1705887657699052</v>
      </c>
      <c r="O454" s="1595">
        <v>1.1705887657699052</v>
      </c>
    </row>
    <row r="455" spans="2:15">
      <c r="B455" s="1474">
        <v>46266</v>
      </c>
      <c r="C455" s="1475" t="e">
        <v>#N/A</v>
      </c>
      <c r="D455" s="1475" t="e">
        <v>#N/A</v>
      </c>
      <c r="E455" s="1475" t="e">
        <v>#N/A</v>
      </c>
      <c r="F455" s="1475" t="e">
        <f t="shared" si="1"/>
        <v>#N/A</v>
      </c>
      <c r="K455" s="1592">
        <v>42512</v>
      </c>
      <c r="L455" s="1593"/>
      <c r="M455" s="1594">
        <v>0</v>
      </c>
      <c r="N455" s="1595">
        <v>1.1705887657699052</v>
      </c>
      <c r="O455" s="1595">
        <v>1.1705887657699052</v>
      </c>
    </row>
    <row r="456" spans="2:15">
      <c r="B456" s="1474">
        <v>46296</v>
      </c>
      <c r="C456" s="1475" t="e">
        <v>#N/A</v>
      </c>
      <c r="D456" s="1475" t="e">
        <v>#N/A</v>
      </c>
      <c r="E456" s="1475" t="e">
        <v>#N/A</v>
      </c>
      <c r="F456" s="1475" t="e">
        <f t="shared" si="1"/>
        <v>#N/A</v>
      </c>
      <c r="K456" s="1592">
        <v>42513</v>
      </c>
      <c r="L456" s="1593" t="s">
        <v>2301</v>
      </c>
      <c r="M456" s="1594">
        <v>5.2531000000000001E-2</v>
      </c>
      <c r="N456" s="1595">
        <v>1.1712036877544518</v>
      </c>
      <c r="O456" s="1595">
        <v>1.1712036877544518</v>
      </c>
    </row>
    <row r="457" spans="2:15">
      <c r="B457" s="1474">
        <v>46327</v>
      </c>
      <c r="C457" s="1475" t="e">
        <v>#N/A</v>
      </c>
      <c r="D457" s="1475" t="e">
        <v>#N/A</v>
      </c>
      <c r="E457" s="1475" t="e">
        <v>#N/A</v>
      </c>
      <c r="F457" s="1475" t="e">
        <f t="shared" si="1"/>
        <v>#N/A</v>
      </c>
      <c r="K457" s="1592">
        <v>42514</v>
      </c>
      <c r="L457" s="1593" t="s">
        <v>2301</v>
      </c>
      <c r="M457" s="1594">
        <v>5.2531000000000001E-2</v>
      </c>
      <c r="N457" s="1595">
        <v>1.1718189327636661</v>
      </c>
      <c r="O457" s="1595">
        <v>1.1718189327636661</v>
      </c>
    </row>
    <row r="458" spans="2:15">
      <c r="B458" s="1474">
        <v>46357</v>
      </c>
      <c r="C458" s="1475" t="e">
        <v>#N/A</v>
      </c>
      <c r="D458" s="1475" t="e">
        <v>#N/A</v>
      </c>
      <c r="E458" s="1475" t="e">
        <v>#N/A</v>
      </c>
      <c r="F458" s="1475" t="e">
        <f t="shared" si="1"/>
        <v>#N/A</v>
      </c>
      <c r="K458" s="1592">
        <v>42515</v>
      </c>
      <c r="L458" s="1593" t="s">
        <v>2301</v>
      </c>
      <c r="M458" s="1594">
        <v>5.2531000000000001E-2</v>
      </c>
      <c r="N458" s="1595">
        <v>1.1724345009672361</v>
      </c>
      <c r="O458" s="1595">
        <v>1.1724345009672361</v>
      </c>
    </row>
    <row r="459" spans="2:15">
      <c r="B459" s="1474">
        <v>46388</v>
      </c>
      <c r="C459" s="1475" t="e">
        <v>#N/A</v>
      </c>
      <c r="D459" s="1475" t="e">
        <v>#N/A</v>
      </c>
      <c r="E459" s="1475" t="e">
        <v>#N/A</v>
      </c>
      <c r="F459" s="1475" t="e">
        <f t="shared" si="1"/>
        <v>#N/A</v>
      </c>
      <c r="K459" s="1592">
        <v>42516</v>
      </c>
      <c r="L459" s="1593"/>
      <c r="M459" s="1594">
        <v>0</v>
      </c>
      <c r="N459" s="1595">
        <v>1.1724345009672361</v>
      </c>
      <c r="O459" s="1595">
        <v>1.1724345009672361</v>
      </c>
    </row>
    <row r="460" spans="2:15">
      <c r="B460" s="1474">
        <v>46419</v>
      </c>
      <c r="C460" s="1475" t="e">
        <v>#N/A</v>
      </c>
      <c r="D460" s="1475" t="e">
        <v>#N/A</v>
      </c>
      <c r="E460" s="1475" t="e">
        <v>#N/A</v>
      </c>
      <c r="F460" s="1475" t="e">
        <f t="shared" si="1"/>
        <v>#N/A</v>
      </c>
      <c r="K460" s="1592">
        <v>42517</v>
      </c>
      <c r="L460" s="1593" t="s">
        <v>2301</v>
      </c>
      <c r="M460" s="1594">
        <v>5.2531000000000001E-2</v>
      </c>
      <c r="N460" s="1595">
        <v>1.1730503925349391</v>
      </c>
      <c r="O460" s="1595">
        <v>1.1730503925349391</v>
      </c>
    </row>
    <row r="461" spans="2:15">
      <c r="B461" s="1474">
        <v>46447</v>
      </c>
      <c r="C461" s="1475" t="e">
        <v>#N/A</v>
      </c>
      <c r="D461" s="1475" t="e">
        <v>#N/A</v>
      </c>
      <c r="E461" s="1475" t="e">
        <v>#N/A</v>
      </c>
      <c r="F461" s="1475" t="e">
        <f t="shared" si="1"/>
        <v>#N/A</v>
      </c>
      <c r="K461" s="1592">
        <v>42518</v>
      </c>
      <c r="L461" s="1593"/>
      <c r="M461" s="1594">
        <v>0</v>
      </c>
      <c r="N461" s="1595">
        <v>1.1730503925349391</v>
      </c>
      <c r="O461" s="1595">
        <v>1.1730503925349391</v>
      </c>
    </row>
    <row r="462" spans="2:15">
      <c r="B462" s="1474">
        <v>46478</v>
      </c>
      <c r="C462" s="1475" t="e">
        <v>#N/A</v>
      </c>
      <c r="D462" s="1475" t="e">
        <v>#N/A</v>
      </c>
      <c r="E462" s="1475" t="e">
        <v>#N/A</v>
      </c>
      <c r="F462" s="1475" t="e">
        <f t="shared" si="1"/>
        <v>#N/A</v>
      </c>
      <c r="K462" s="1592">
        <v>42519</v>
      </c>
      <c r="L462" s="1593"/>
      <c r="M462" s="1594">
        <v>0</v>
      </c>
      <c r="N462" s="1595">
        <v>1.1730503925349391</v>
      </c>
      <c r="O462" s="1595">
        <v>1.1730503925349391</v>
      </c>
    </row>
    <row r="463" spans="2:15">
      <c r="B463" s="1474">
        <v>46508</v>
      </c>
      <c r="C463" s="1475" t="e">
        <v>#N/A</v>
      </c>
      <c r="D463" s="1475" t="e">
        <v>#N/A</v>
      </c>
      <c r="E463" s="1475" t="e">
        <v>#N/A</v>
      </c>
      <c r="F463" s="1475" t="e">
        <f t="shared" si="1"/>
        <v>#N/A</v>
      </c>
      <c r="K463" s="1592">
        <v>42520</v>
      </c>
      <c r="L463" s="1593" t="s">
        <v>2301</v>
      </c>
      <c r="M463" s="1594">
        <v>5.2531000000000001E-2</v>
      </c>
      <c r="N463" s="1595">
        <v>1.1736666076366418</v>
      </c>
      <c r="O463" s="1595">
        <v>1.1736666076366418</v>
      </c>
    </row>
    <row r="464" spans="2:15">
      <c r="B464" s="1474">
        <v>46539</v>
      </c>
      <c r="C464" s="1475" t="e">
        <v>#N/A</v>
      </c>
      <c r="D464" s="1475" t="e">
        <v>#N/A</v>
      </c>
      <c r="E464" s="1475" t="e">
        <v>#N/A</v>
      </c>
      <c r="F464" s="1475" t="e">
        <f t="shared" si="1"/>
        <v>#N/A</v>
      </c>
      <c r="K464" s="1592">
        <v>42521</v>
      </c>
      <c r="L464" s="1593" t="s">
        <v>2301</v>
      </c>
      <c r="M464" s="1594">
        <v>5.2531000000000001E-2</v>
      </c>
      <c r="N464" s="1595">
        <v>1.1742831464422994</v>
      </c>
      <c r="O464" s="1595">
        <v>1.1742831464422994</v>
      </c>
    </row>
    <row r="465" spans="2:15">
      <c r="B465" s="1474">
        <v>46569</v>
      </c>
      <c r="C465" s="1475" t="e">
        <v>#N/A</v>
      </c>
      <c r="D465" s="1475" t="e">
        <v>#N/A</v>
      </c>
      <c r="E465" s="1475" t="e">
        <v>#N/A</v>
      </c>
      <c r="F465" s="1475" t="e">
        <f t="shared" si="1"/>
        <v>#N/A</v>
      </c>
      <c r="K465" s="1592">
        <v>42522</v>
      </c>
      <c r="L465" s="1593" t="s">
        <v>2301</v>
      </c>
      <c r="M465" s="1594">
        <v>5.2531000000000001E-2</v>
      </c>
      <c r="N465" s="1595">
        <v>1.174900009121957</v>
      </c>
      <c r="O465" s="1595">
        <v>1.174900009121957</v>
      </c>
    </row>
    <row r="466" spans="2:15">
      <c r="B466" s="1474">
        <v>46600</v>
      </c>
      <c r="C466" s="1475" t="e">
        <v>#N/A</v>
      </c>
      <c r="D466" s="1475" t="e">
        <v>#N/A</v>
      </c>
      <c r="E466" s="1475" t="e">
        <v>#N/A</v>
      </c>
      <c r="F466" s="1475" t="e">
        <f t="shared" si="1"/>
        <v>#N/A</v>
      </c>
      <c r="K466" s="1592">
        <v>42523</v>
      </c>
      <c r="L466" s="1593" t="s">
        <v>2301</v>
      </c>
      <c r="M466" s="1594">
        <v>5.2531000000000001E-2</v>
      </c>
      <c r="N466" s="1595">
        <v>1.1755171958457489</v>
      </c>
      <c r="O466" s="1595">
        <v>1.1755171958457489</v>
      </c>
    </row>
    <row r="467" spans="2:15">
      <c r="B467" s="1474">
        <v>46631</v>
      </c>
      <c r="C467" s="1475" t="e">
        <v>#N/A</v>
      </c>
      <c r="D467" s="1475" t="e">
        <v>#N/A</v>
      </c>
      <c r="E467" s="1475" t="e">
        <v>#N/A</v>
      </c>
      <c r="F467" s="1475" t="e">
        <f t="shared" si="1"/>
        <v>#N/A</v>
      </c>
      <c r="K467" s="1592">
        <v>42524</v>
      </c>
      <c r="L467" s="1593" t="s">
        <v>2301</v>
      </c>
      <c r="M467" s="1594">
        <v>5.2531000000000001E-2</v>
      </c>
      <c r="N467" s="1595">
        <v>1.1761347067838985</v>
      </c>
      <c r="O467" s="1595">
        <v>1.1761347067838985</v>
      </c>
    </row>
    <row r="468" spans="2:15">
      <c r="B468" s="1474">
        <v>46661</v>
      </c>
      <c r="C468" s="1475" t="e">
        <v>#N/A</v>
      </c>
      <c r="D468" s="1475" t="e">
        <v>#N/A</v>
      </c>
      <c r="E468" s="1475" t="e">
        <v>#N/A</v>
      </c>
      <c r="F468" s="1475" t="e">
        <f t="shared" si="1"/>
        <v>#N/A</v>
      </c>
      <c r="K468" s="1592">
        <v>42525</v>
      </c>
      <c r="L468" s="1593"/>
      <c r="M468" s="1594">
        <v>0</v>
      </c>
      <c r="N468" s="1595">
        <v>1.1761347067838985</v>
      </c>
      <c r="O468" s="1595">
        <v>1.1761347067838985</v>
      </c>
    </row>
    <row r="469" spans="2:15">
      <c r="B469" s="1474">
        <v>46692</v>
      </c>
      <c r="C469" s="1475" t="e">
        <v>#N/A</v>
      </c>
      <c r="D469" s="1475" t="e">
        <v>#N/A</v>
      </c>
      <c r="E469" s="1475" t="e">
        <v>#N/A</v>
      </c>
      <c r="F469" s="1475" t="e">
        <f t="shared" si="1"/>
        <v>#N/A</v>
      </c>
      <c r="K469" s="1592">
        <v>42526</v>
      </c>
      <c r="L469" s="1593"/>
      <c r="M469" s="1594">
        <v>0</v>
      </c>
      <c r="N469" s="1595">
        <v>1.1761347067838985</v>
      </c>
      <c r="O469" s="1595">
        <v>1.1761347067838985</v>
      </c>
    </row>
    <row r="470" spans="2:15">
      <c r="B470" s="1474">
        <v>46722</v>
      </c>
      <c r="C470" s="1475" t="e">
        <v>#N/A</v>
      </c>
      <c r="D470" s="1475" t="e">
        <v>#N/A</v>
      </c>
      <c r="E470" s="1475" t="e">
        <v>#N/A</v>
      </c>
      <c r="F470" s="1475" t="e">
        <f t="shared" si="1"/>
        <v>#N/A</v>
      </c>
      <c r="K470" s="1592">
        <v>42527</v>
      </c>
      <c r="L470" s="1593" t="s">
        <v>2301</v>
      </c>
      <c r="M470" s="1594">
        <v>5.2531000000000001E-2</v>
      </c>
      <c r="N470" s="1595">
        <v>1.1767525421067191</v>
      </c>
      <c r="O470" s="1595">
        <v>1.1767525421067191</v>
      </c>
    </row>
    <row r="471" spans="2:15">
      <c r="B471" s="1474">
        <v>46753</v>
      </c>
      <c r="C471" s="1475" t="e">
        <v>#N/A</v>
      </c>
      <c r="D471" s="1475" t="e">
        <v>#N/A</v>
      </c>
      <c r="E471" s="1475" t="e">
        <v>#N/A</v>
      </c>
      <c r="F471" s="1475" t="e">
        <f t="shared" si="1"/>
        <v>#N/A</v>
      </c>
      <c r="K471" s="1592">
        <v>42528</v>
      </c>
      <c r="L471" s="1593" t="s">
        <v>2301</v>
      </c>
      <c r="M471" s="1594">
        <v>5.2531000000000001E-2</v>
      </c>
      <c r="N471" s="1595">
        <v>1.1773707019846131</v>
      </c>
      <c r="O471" s="1595">
        <v>1.1773707019846131</v>
      </c>
    </row>
    <row r="472" spans="2:15">
      <c r="B472" s="1474">
        <v>46784</v>
      </c>
      <c r="C472" s="1475" t="e">
        <v>#N/A</v>
      </c>
      <c r="D472" s="1475" t="e">
        <v>#N/A</v>
      </c>
      <c r="E472" s="1475" t="e">
        <v>#N/A</v>
      </c>
      <c r="F472" s="1475" t="e">
        <f t="shared" si="1"/>
        <v>#N/A</v>
      </c>
      <c r="K472" s="1592">
        <v>42529</v>
      </c>
      <c r="L472" s="1593" t="s">
        <v>2301</v>
      </c>
      <c r="M472" s="1594">
        <v>5.2531000000000001E-2</v>
      </c>
      <c r="N472" s="1595">
        <v>1.1779891865880727</v>
      </c>
      <c r="O472" s="1595">
        <v>1.1779891865880727</v>
      </c>
    </row>
    <row r="473" spans="2:15">
      <c r="B473" s="1474">
        <v>46813</v>
      </c>
      <c r="C473" s="1475" t="e">
        <v>#N/A</v>
      </c>
      <c r="D473" s="1475" t="e">
        <v>#N/A</v>
      </c>
      <c r="E473" s="1475" t="e">
        <v>#N/A</v>
      </c>
      <c r="F473" s="1475" t="e">
        <f t="shared" si="1"/>
        <v>#N/A</v>
      </c>
      <c r="K473" s="1592">
        <v>42530</v>
      </c>
      <c r="L473" s="1593" t="s">
        <v>2301</v>
      </c>
      <c r="M473" s="1594">
        <v>5.2531000000000001E-2</v>
      </c>
      <c r="N473" s="1595">
        <v>1.1786079960876794</v>
      </c>
      <c r="O473" s="1595">
        <v>1.1786079960876794</v>
      </c>
    </row>
    <row r="474" spans="2:15">
      <c r="B474" s="1474">
        <v>46844</v>
      </c>
      <c r="C474" s="1475" t="e">
        <v>#N/A</v>
      </c>
      <c r="D474" s="1475" t="e">
        <v>#N/A</v>
      </c>
      <c r="E474" s="1475" t="e">
        <v>#N/A</v>
      </c>
      <c r="F474" s="1475" t="e">
        <f t="shared" si="1"/>
        <v>#N/A</v>
      </c>
      <c r="K474" s="1592">
        <v>42531</v>
      </c>
      <c r="L474" s="1593" t="s">
        <v>2301</v>
      </c>
      <c r="M474" s="1594">
        <v>5.2531000000000001E-2</v>
      </c>
      <c r="N474" s="1595">
        <v>1.1792271306541042</v>
      </c>
      <c r="O474" s="1595">
        <v>1.1792271306541042</v>
      </c>
    </row>
    <row r="475" spans="2:15">
      <c r="B475" s="1474">
        <v>46874</v>
      </c>
      <c r="C475" s="1475" t="e">
        <v>#N/A</v>
      </c>
      <c r="D475" s="1475" t="e">
        <v>#N/A</v>
      </c>
      <c r="E475" s="1475" t="e">
        <v>#N/A</v>
      </c>
      <c r="F475" s="1475" t="e">
        <f t="shared" si="1"/>
        <v>#N/A</v>
      </c>
      <c r="K475" s="1592">
        <v>42532</v>
      </c>
      <c r="L475" s="1593"/>
      <c r="M475" s="1594">
        <v>0</v>
      </c>
      <c r="N475" s="1595">
        <v>1.1792271306541042</v>
      </c>
      <c r="O475" s="1595">
        <v>1.1792271306541042</v>
      </c>
    </row>
    <row r="476" spans="2:15">
      <c r="B476" s="1474">
        <v>46905</v>
      </c>
      <c r="C476" s="1475" t="e">
        <v>#N/A</v>
      </c>
      <c r="D476" s="1475" t="e">
        <v>#N/A</v>
      </c>
      <c r="E476" s="1475" t="e">
        <v>#N/A</v>
      </c>
      <c r="F476" s="1475" t="e">
        <f t="shared" si="1"/>
        <v>#N/A</v>
      </c>
      <c r="K476" s="1592">
        <v>42533</v>
      </c>
      <c r="L476" s="1593"/>
      <c r="M476" s="1594">
        <v>0</v>
      </c>
      <c r="N476" s="1595">
        <v>1.1792271306541042</v>
      </c>
      <c r="O476" s="1595">
        <v>1.1792271306541042</v>
      </c>
    </row>
    <row r="477" spans="2:15">
      <c r="B477" s="1474">
        <v>46935</v>
      </c>
      <c r="C477" s="1475" t="e">
        <v>#N/A</v>
      </c>
      <c r="D477" s="1475" t="e">
        <v>#N/A</v>
      </c>
      <c r="E477" s="1475" t="e">
        <v>#N/A</v>
      </c>
      <c r="F477" s="1475" t="e">
        <f t="shared" si="1"/>
        <v>#N/A</v>
      </c>
      <c r="K477" s="1592">
        <v>42534</v>
      </c>
      <c r="L477" s="1593" t="s">
        <v>2301</v>
      </c>
      <c r="M477" s="1594">
        <v>5.2531000000000001E-2</v>
      </c>
      <c r="N477" s="1595">
        <v>1.1798465904581081</v>
      </c>
      <c r="O477" s="1595">
        <v>1.1798465904581081</v>
      </c>
    </row>
    <row r="478" spans="2:15">
      <c r="B478" s="1474">
        <v>46966</v>
      </c>
      <c r="C478" s="1475" t="e">
        <v>#N/A</v>
      </c>
      <c r="D478" s="1475" t="e">
        <v>#N/A</v>
      </c>
      <c r="E478" s="1475" t="e">
        <v>#N/A</v>
      </c>
      <c r="F478" s="1475" t="e">
        <f t="shared" si="1"/>
        <v>#N/A</v>
      </c>
      <c r="K478" s="1592">
        <v>42535</v>
      </c>
      <c r="L478" s="1593" t="s">
        <v>2301</v>
      </c>
      <c r="M478" s="1594">
        <v>5.2531000000000001E-2</v>
      </c>
      <c r="N478" s="1595">
        <v>1.1804663756705416</v>
      </c>
      <c r="O478" s="1595">
        <v>1.1804663756705416</v>
      </c>
    </row>
    <row r="479" spans="2:15">
      <c r="B479" s="1474">
        <v>46997</v>
      </c>
      <c r="C479" s="1475" t="e">
        <v>#N/A</v>
      </c>
      <c r="D479" s="1475" t="e">
        <v>#N/A</v>
      </c>
      <c r="E479" s="1475" t="e">
        <v>#N/A</v>
      </c>
      <c r="F479" s="1475" t="e">
        <f t="shared" si="1"/>
        <v>#N/A</v>
      </c>
      <c r="K479" s="1592">
        <v>42536</v>
      </c>
      <c r="L479" s="1593" t="s">
        <v>2301</v>
      </c>
      <c r="M479" s="1594">
        <v>5.2531000000000001E-2</v>
      </c>
      <c r="N479" s="1595">
        <v>1.1810864864623452</v>
      </c>
      <c r="O479" s="1595">
        <v>1.1810864864623452</v>
      </c>
    </row>
    <row r="480" spans="2:15">
      <c r="B480" s="1474">
        <v>47027</v>
      </c>
      <c r="C480" s="1475" t="e">
        <v>#N/A</v>
      </c>
      <c r="D480" s="1475" t="e">
        <v>#N/A</v>
      </c>
      <c r="E480" s="1475" t="e">
        <v>#N/A</v>
      </c>
      <c r="F480" s="1475" t="e">
        <f t="shared" si="1"/>
        <v>#N/A</v>
      </c>
      <c r="K480" s="1592">
        <v>42537</v>
      </c>
      <c r="L480" s="1593" t="s">
        <v>2301</v>
      </c>
      <c r="M480" s="1594">
        <v>5.2531000000000001E-2</v>
      </c>
      <c r="N480" s="1595">
        <v>1.1817069230045487</v>
      </c>
      <c r="O480" s="1595">
        <v>1.1817069230045487</v>
      </c>
    </row>
    <row r="481" spans="2:15">
      <c r="B481" s="1474">
        <v>47058</v>
      </c>
      <c r="C481" s="1475" t="e">
        <v>#N/A</v>
      </c>
      <c r="D481" s="1475" t="e">
        <v>#N/A</v>
      </c>
      <c r="E481" s="1475" t="e">
        <v>#N/A</v>
      </c>
      <c r="F481" s="1475" t="e">
        <f t="shared" si="1"/>
        <v>#N/A</v>
      </c>
      <c r="K481" s="1592">
        <v>42538</v>
      </c>
      <c r="L481" s="1593" t="s">
        <v>2301</v>
      </c>
      <c r="M481" s="1594">
        <v>5.2531000000000001E-2</v>
      </c>
      <c r="N481" s="1595">
        <v>1.1823276854682723</v>
      </c>
      <c r="O481" s="1595">
        <v>1.1823276854682723</v>
      </c>
    </row>
    <row r="482" spans="2:15">
      <c r="B482" s="1474">
        <v>47088</v>
      </c>
      <c r="C482" s="1475" t="e">
        <v>#N/A</v>
      </c>
      <c r="D482" s="1475" t="e">
        <v>#N/A</v>
      </c>
      <c r="E482" s="1475" t="e">
        <v>#N/A</v>
      </c>
      <c r="F482" s="1475" t="e">
        <f t="shared" si="1"/>
        <v>#N/A</v>
      </c>
      <c r="K482" s="1592">
        <v>42539</v>
      </c>
      <c r="L482" s="1593"/>
      <c r="M482" s="1594">
        <v>0</v>
      </c>
      <c r="N482" s="1595">
        <v>1.1823276854682723</v>
      </c>
      <c r="O482" s="1595">
        <v>1.1823276854682723</v>
      </c>
    </row>
    <row r="483" spans="2:15">
      <c r="B483" s="1474">
        <v>47119</v>
      </c>
      <c r="C483" s="1475" t="e">
        <v>#N/A</v>
      </c>
      <c r="D483" s="1475" t="e">
        <v>#N/A</v>
      </c>
      <c r="E483" s="1475" t="e">
        <v>#N/A</v>
      </c>
      <c r="F483" s="1475" t="e">
        <f t="shared" si="1"/>
        <v>#N/A</v>
      </c>
      <c r="K483" s="1592">
        <v>42540</v>
      </c>
      <c r="L483" s="1593"/>
      <c r="M483" s="1594">
        <v>0</v>
      </c>
      <c r="N483" s="1595">
        <v>1.1823276854682723</v>
      </c>
      <c r="O483" s="1595">
        <v>1.1823276854682723</v>
      </c>
    </row>
    <row r="484" spans="2:15">
      <c r="B484" s="1474">
        <v>47150</v>
      </c>
      <c r="C484" s="1475" t="e">
        <v>#N/A</v>
      </c>
      <c r="D484" s="1475" t="e">
        <v>#N/A</v>
      </c>
      <c r="E484" s="1475" t="e">
        <v>#N/A</v>
      </c>
      <c r="F484" s="1475" t="e">
        <f t="shared" ref="F484:F500" si="2">F483*E484</f>
        <v>#N/A</v>
      </c>
      <c r="K484" s="1592">
        <v>42541</v>
      </c>
      <c r="L484" s="1593" t="s">
        <v>2301</v>
      </c>
      <c r="M484" s="1594">
        <v>5.2531000000000001E-2</v>
      </c>
      <c r="N484" s="1595">
        <v>1.1829487740247255</v>
      </c>
      <c r="O484" s="1595">
        <v>1.1829487740247255</v>
      </c>
    </row>
    <row r="485" spans="2:15">
      <c r="B485" s="1474">
        <v>47178</v>
      </c>
      <c r="C485" s="1475" t="e">
        <v>#N/A</v>
      </c>
      <c r="D485" s="1475" t="e">
        <v>#N/A</v>
      </c>
      <c r="E485" s="1475" t="e">
        <v>#N/A</v>
      </c>
      <c r="F485" s="1475" t="e">
        <f t="shared" si="2"/>
        <v>#N/A</v>
      </c>
      <c r="K485" s="1592">
        <v>42542</v>
      </c>
      <c r="L485" s="1593" t="s">
        <v>2301</v>
      </c>
      <c r="M485" s="1594">
        <v>5.2531000000000001E-2</v>
      </c>
      <c r="N485" s="1595">
        <v>1.1835701888452084</v>
      </c>
      <c r="O485" s="1595">
        <v>1.1835701888452084</v>
      </c>
    </row>
    <row r="486" spans="2:15">
      <c r="B486" s="1474">
        <v>47209</v>
      </c>
      <c r="C486" s="1475" t="e">
        <v>#N/A</v>
      </c>
      <c r="D486" s="1475" t="e">
        <v>#N/A</v>
      </c>
      <c r="E486" s="1475" t="e">
        <v>#N/A</v>
      </c>
      <c r="F486" s="1475" t="e">
        <f t="shared" si="2"/>
        <v>#N/A</v>
      </c>
      <c r="K486" s="1592">
        <v>42543</v>
      </c>
      <c r="L486" s="1593" t="s">
        <v>2301</v>
      </c>
      <c r="M486" s="1594">
        <v>5.2531000000000001E-2</v>
      </c>
      <c r="N486" s="1595">
        <v>1.1841919301011106</v>
      </c>
      <c r="O486" s="1595">
        <v>1.1841919301011106</v>
      </c>
    </row>
    <row r="487" spans="2:15">
      <c r="B487" s="1474">
        <v>47239</v>
      </c>
      <c r="C487" s="1475" t="e">
        <v>#N/A</v>
      </c>
      <c r="D487" s="1475" t="e">
        <v>#N/A</v>
      </c>
      <c r="E487" s="1475" t="e">
        <v>#N/A</v>
      </c>
      <c r="F487" s="1475" t="e">
        <f t="shared" si="2"/>
        <v>#N/A</v>
      </c>
      <c r="K487" s="1592">
        <v>42544</v>
      </c>
      <c r="L487" s="1593" t="s">
        <v>2301</v>
      </c>
      <c r="M487" s="1594">
        <v>5.2531000000000001E-2</v>
      </c>
      <c r="N487" s="1595">
        <v>1.1848139979639121</v>
      </c>
      <c r="O487" s="1595">
        <v>1.1848139979639121</v>
      </c>
    </row>
    <row r="488" spans="2:15">
      <c r="B488" s="1474">
        <v>47270</v>
      </c>
      <c r="C488" s="1475" t="e">
        <v>#N/A</v>
      </c>
      <c r="D488" s="1475" t="e">
        <v>#N/A</v>
      </c>
      <c r="E488" s="1475" t="e">
        <v>#N/A</v>
      </c>
      <c r="F488" s="1475" t="e">
        <f t="shared" si="2"/>
        <v>#N/A</v>
      </c>
      <c r="K488" s="1592">
        <v>42545</v>
      </c>
      <c r="L488" s="1593" t="s">
        <v>2301</v>
      </c>
      <c r="M488" s="1594">
        <v>5.2531000000000001E-2</v>
      </c>
      <c r="N488" s="1595">
        <v>1.1854363926051825</v>
      </c>
      <c r="O488" s="1595">
        <v>1.1854363926051825</v>
      </c>
    </row>
    <row r="489" spans="2:15">
      <c r="B489" s="1474">
        <v>47300</v>
      </c>
      <c r="C489" s="1475" t="e">
        <v>#N/A</v>
      </c>
      <c r="D489" s="1475" t="e">
        <v>#N/A</v>
      </c>
      <c r="E489" s="1475" t="e">
        <v>#N/A</v>
      </c>
      <c r="F489" s="1475" t="e">
        <f t="shared" si="2"/>
        <v>#N/A</v>
      </c>
      <c r="K489" s="1592">
        <v>42546</v>
      </c>
      <c r="L489" s="1593"/>
      <c r="M489" s="1594">
        <v>0</v>
      </c>
      <c r="N489" s="1595">
        <v>1.1854363926051825</v>
      </c>
      <c r="O489" s="1595">
        <v>1.1854363926051825</v>
      </c>
    </row>
    <row r="490" spans="2:15">
      <c r="B490" s="1474">
        <v>47331</v>
      </c>
      <c r="C490" s="1475" t="e">
        <v>#N/A</v>
      </c>
      <c r="D490" s="1475" t="e">
        <v>#N/A</v>
      </c>
      <c r="E490" s="1475" t="e">
        <v>#N/A</v>
      </c>
      <c r="F490" s="1475" t="e">
        <f t="shared" si="2"/>
        <v>#N/A</v>
      </c>
      <c r="K490" s="1592">
        <v>42547</v>
      </c>
      <c r="L490" s="1593"/>
      <c r="M490" s="1594">
        <v>0</v>
      </c>
      <c r="N490" s="1595">
        <v>1.1854363926051825</v>
      </c>
      <c r="O490" s="1595">
        <v>1.1854363926051825</v>
      </c>
    </row>
    <row r="491" spans="2:15">
      <c r="B491" s="1474">
        <v>47362</v>
      </c>
      <c r="C491" s="1475" t="e">
        <v>#N/A</v>
      </c>
      <c r="D491" s="1475" t="e">
        <v>#N/A</v>
      </c>
      <c r="E491" s="1475" t="e">
        <v>#N/A</v>
      </c>
      <c r="F491" s="1475" t="e">
        <f t="shared" si="2"/>
        <v>#N/A</v>
      </c>
      <c r="K491" s="1592">
        <v>42548</v>
      </c>
      <c r="L491" s="1593" t="s">
        <v>2301</v>
      </c>
      <c r="M491" s="1594">
        <v>5.2531000000000001E-2</v>
      </c>
      <c r="N491" s="1595">
        <v>1.1860591141965819</v>
      </c>
      <c r="O491" s="1595">
        <v>1.1860591141965819</v>
      </c>
    </row>
    <row r="492" spans="2:15">
      <c r="B492" s="1474">
        <v>47392</v>
      </c>
      <c r="C492" s="1475" t="e">
        <v>#N/A</v>
      </c>
      <c r="D492" s="1475" t="e">
        <v>#N/A</v>
      </c>
      <c r="E492" s="1475" t="e">
        <v>#N/A</v>
      </c>
      <c r="F492" s="1475" t="e">
        <f t="shared" si="2"/>
        <v>#N/A</v>
      </c>
      <c r="K492" s="1592">
        <v>42549</v>
      </c>
      <c r="L492" s="1593" t="s">
        <v>2301</v>
      </c>
      <c r="M492" s="1594">
        <v>5.2531000000000001E-2</v>
      </c>
      <c r="N492" s="1595">
        <v>1.1866821629098605</v>
      </c>
      <c r="O492" s="1595">
        <v>1.1866821629098605</v>
      </c>
    </row>
    <row r="493" spans="2:15">
      <c r="B493" s="1474">
        <v>47423</v>
      </c>
      <c r="C493" s="1475" t="e">
        <v>#N/A</v>
      </c>
      <c r="D493" s="1475" t="e">
        <v>#N/A</v>
      </c>
      <c r="E493" s="1475" t="e">
        <v>#N/A</v>
      </c>
      <c r="F493" s="1475" t="e">
        <f t="shared" si="2"/>
        <v>#N/A</v>
      </c>
      <c r="K493" s="1592">
        <v>42550</v>
      </c>
      <c r="L493" s="1593" t="s">
        <v>2301</v>
      </c>
      <c r="M493" s="1594">
        <v>5.2531000000000001E-2</v>
      </c>
      <c r="N493" s="1595">
        <v>1.1873055389168587</v>
      </c>
      <c r="O493" s="1595">
        <v>1.1873055389168587</v>
      </c>
    </row>
    <row r="494" spans="2:15">
      <c r="B494" s="1474">
        <v>47453</v>
      </c>
      <c r="C494" s="1475" t="e">
        <v>#N/A</v>
      </c>
      <c r="D494" s="1475" t="e">
        <v>#N/A</v>
      </c>
      <c r="E494" s="1475" t="e">
        <v>#N/A</v>
      </c>
      <c r="F494" s="1475" t="e">
        <f t="shared" si="2"/>
        <v>#N/A</v>
      </c>
      <c r="K494" s="1592">
        <v>42551</v>
      </c>
      <c r="L494" s="1593" t="s">
        <v>2301</v>
      </c>
      <c r="M494" s="1594">
        <v>5.2531000000000001E-2</v>
      </c>
      <c r="N494" s="1595">
        <v>1.1879292423895071</v>
      </c>
      <c r="O494" s="1595">
        <v>1.1879292423895071</v>
      </c>
    </row>
    <row r="495" spans="2:15">
      <c r="B495" s="1474">
        <v>47484</v>
      </c>
      <c r="C495" s="1475" t="e">
        <v>#N/A</v>
      </c>
      <c r="D495" s="1475" t="e">
        <v>#N/A</v>
      </c>
      <c r="E495" s="1475" t="e">
        <v>#N/A</v>
      </c>
      <c r="F495" s="1475" t="e">
        <f t="shared" si="2"/>
        <v>#N/A</v>
      </c>
      <c r="K495" s="1592">
        <v>42552</v>
      </c>
      <c r="L495" s="1593" t="s">
        <v>2301</v>
      </c>
      <c r="M495" s="1594">
        <v>5.2531000000000001E-2</v>
      </c>
      <c r="N495" s="1595">
        <v>1.1885532734998268</v>
      </c>
      <c r="O495" s="1595">
        <v>1.1885532734998268</v>
      </c>
    </row>
    <row r="496" spans="2:15">
      <c r="B496" s="1474">
        <v>47515</v>
      </c>
      <c r="C496" s="1475" t="e">
        <v>#N/A</v>
      </c>
      <c r="D496" s="1475" t="e">
        <v>#N/A</v>
      </c>
      <c r="E496" s="1475" t="e">
        <v>#N/A</v>
      </c>
      <c r="F496" s="1475" t="e">
        <f t="shared" si="2"/>
        <v>#N/A</v>
      </c>
      <c r="K496" s="1592">
        <v>42553</v>
      </c>
      <c r="L496" s="1593"/>
      <c r="M496" s="1594">
        <v>0</v>
      </c>
      <c r="N496" s="1595">
        <v>1.1885532734998268</v>
      </c>
      <c r="O496" s="1595">
        <v>1.1885532734998268</v>
      </c>
    </row>
    <row r="497" spans="2:15">
      <c r="B497" s="1474">
        <v>47543</v>
      </c>
      <c r="C497" s="1475" t="e">
        <v>#N/A</v>
      </c>
      <c r="D497" s="1475" t="e">
        <v>#N/A</v>
      </c>
      <c r="E497" s="1475" t="e">
        <v>#N/A</v>
      </c>
      <c r="F497" s="1475" t="e">
        <f t="shared" si="2"/>
        <v>#N/A</v>
      </c>
      <c r="K497" s="1592">
        <v>42554</v>
      </c>
      <c r="L497" s="1593"/>
      <c r="M497" s="1594">
        <v>0</v>
      </c>
      <c r="N497" s="1595">
        <v>1.1885532734998268</v>
      </c>
      <c r="O497" s="1595">
        <v>1.1885532734998268</v>
      </c>
    </row>
    <row r="498" spans="2:15">
      <c r="B498" s="1474">
        <v>47574</v>
      </c>
      <c r="C498" s="1475" t="e">
        <v>#N/A</v>
      </c>
      <c r="D498" s="1475" t="e">
        <v>#N/A</v>
      </c>
      <c r="E498" s="1475" t="e">
        <v>#N/A</v>
      </c>
      <c r="F498" s="1475" t="e">
        <f t="shared" si="2"/>
        <v>#N/A</v>
      </c>
      <c r="K498" s="1592">
        <v>42555</v>
      </c>
      <c r="L498" s="1593" t="s">
        <v>2301</v>
      </c>
      <c r="M498" s="1594">
        <v>5.2531000000000001E-2</v>
      </c>
      <c r="N498" s="1595">
        <v>1.189177632419929</v>
      </c>
      <c r="O498" s="1595">
        <v>1.189177632419929</v>
      </c>
    </row>
    <row r="499" spans="2:15">
      <c r="B499" s="1474">
        <v>47604</v>
      </c>
      <c r="C499" s="1475" t="e">
        <v>#N/A</v>
      </c>
      <c r="D499" s="1475" t="e">
        <v>#N/A</v>
      </c>
      <c r="E499" s="1475" t="e">
        <v>#N/A</v>
      </c>
      <c r="F499" s="1475" t="e">
        <f t="shared" si="2"/>
        <v>#N/A</v>
      </c>
      <c r="K499" s="1592">
        <v>42556</v>
      </c>
      <c r="L499" s="1593" t="s">
        <v>2301</v>
      </c>
      <c r="M499" s="1594">
        <v>5.2531000000000001E-2</v>
      </c>
      <c r="N499" s="1595">
        <v>1.1898023193220155</v>
      </c>
      <c r="O499" s="1595">
        <v>1.1898023193220155</v>
      </c>
    </row>
    <row r="500" spans="2:15">
      <c r="B500" s="1474">
        <v>47635</v>
      </c>
      <c r="C500" s="1475" t="e">
        <v>#N/A</v>
      </c>
      <c r="D500" s="1475" t="e">
        <v>#N/A</v>
      </c>
      <c r="E500" s="1475" t="e">
        <v>#N/A</v>
      </c>
      <c r="F500" s="1475" t="e">
        <f t="shared" si="2"/>
        <v>#N/A</v>
      </c>
      <c r="K500" s="1592">
        <v>42557</v>
      </c>
      <c r="L500" s="1593" t="s">
        <v>2301</v>
      </c>
      <c r="M500" s="1594">
        <v>5.2531000000000001E-2</v>
      </c>
      <c r="N500" s="1595">
        <v>1.1904273343783787</v>
      </c>
      <c r="O500" s="1595">
        <v>1.1904273343783787</v>
      </c>
    </row>
    <row r="501" spans="2:15">
      <c r="K501" s="1592">
        <v>42558</v>
      </c>
      <c r="L501" s="1593" t="s">
        <v>2301</v>
      </c>
      <c r="M501" s="1594">
        <v>5.2531000000000001E-2</v>
      </c>
      <c r="N501" s="1595">
        <v>1.191052677761401</v>
      </c>
      <c r="O501" s="1595">
        <v>1.191052677761401</v>
      </c>
    </row>
    <row r="502" spans="2:15">
      <c r="K502" s="1592">
        <v>42559</v>
      </c>
      <c r="L502" s="1593" t="s">
        <v>2301</v>
      </c>
      <c r="M502" s="1594">
        <v>5.2531000000000001E-2</v>
      </c>
      <c r="N502" s="1595">
        <v>1.1916783496435559</v>
      </c>
      <c r="O502" s="1595">
        <v>1.1916783496435559</v>
      </c>
    </row>
    <row r="503" spans="2:15">
      <c r="K503" s="1592">
        <v>42560</v>
      </c>
      <c r="L503" s="1593"/>
      <c r="M503" s="1594">
        <v>0</v>
      </c>
      <c r="N503" s="1595">
        <v>1.1916783496435559</v>
      </c>
      <c r="O503" s="1595">
        <v>1.1916783496435559</v>
      </c>
    </row>
    <row r="504" spans="2:15">
      <c r="K504" s="1592">
        <v>42561</v>
      </c>
      <c r="L504" s="1593"/>
      <c r="M504" s="1594">
        <v>0</v>
      </c>
      <c r="N504" s="1595">
        <v>1.1916783496435559</v>
      </c>
      <c r="O504" s="1595">
        <v>1.1916783496435559</v>
      </c>
    </row>
    <row r="505" spans="2:15">
      <c r="K505" s="1592">
        <v>42562</v>
      </c>
      <c r="L505" s="1593" t="s">
        <v>2301</v>
      </c>
      <c r="M505" s="1594">
        <v>5.2531000000000001E-2</v>
      </c>
      <c r="N505" s="1595">
        <v>1.1923043501974071</v>
      </c>
      <c r="O505" s="1595">
        <v>1.1923043501974071</v>
      </c>
    </row>
    <row r="506" spans="2:15">
      <c r="K506" s="1592">
        <v>42563</v>
      </c>
      <c r="L506" s="1593" t="s">
        <v>2301</v>
      </c>
      <c r="M506" s="1594">
        <v>5.2531000000000001E-2</v>
      </c>
      <c r="N506" s="1595">
        <v>1.1929306795956094</v>
      </c>
      <c r="O506" s="1595">
        <v>1.1929306795956094</v>
      </c>
    </row>
    <row r="507" spans="2:15">
      <c r="K507" s="1592">
        <v>42564</v>
      </c>
      <c r="L507" s="1593" t="s">
        <v>2301</v>
      </c>
      <c r="M507" s="1594">
        <v>5.2531000000000001E-2</v>
      </c>
      <c r="N507" s="1595">
        <v>1.1935573380109077</v>
      </c>
      <c r="O507" s="1595">
        <v>1.1935573380109077</v>
      </c>
    </row>
    <row r="508" spans="2:15">
      <c r="K508" s="1592">
        <v>42565</v>
      </c>
      <c r="L508" s="1593" t="s">
        <v>2301</v>
      </c>
      <c r="M508" s="1594">
        <v>5.2531000000000001E-2</v>
      </c>
      <c r="N508" s="1595">
        <v>1.1941843256161382</v>
      </c>
      <c r="O508" s="1595">
        <v>1.1941843256161382</v>
      </c>
    </row>
    <row r="509" spans="2:15">
      <c r="K509" s="1592">
        <v>42566</v>
      </c>
      <c r="L509" s="1593" t="s">
        <v>2301</v>
      </c>
      <c r="M509" s="1594">
        <v>5.2531000000000001E-2</v>
      </c>
      <c r="N509" s="1595">
        <v>1.1948116425842277</v>
      </c>
      <c r="O509" s="1595">
        <v>1.1948116425842277</v>
      </c>
    </row>
    <row r="510" spans="2:15">
      <c r="K510" s="1592">
        <v>42567</v>
      </c>
      <c r="L510" s="1593"/>
      <c r="M510" s="1594">
        <v>0</v>
      </c>
      <c r="N510" s="1595">
        <v>1.1948116425842277</v>
      </c>
      <c r="O510" s="1595">
        <v>1.1948116425842277</v>
      </c>
    </row>
    <row r="511" spans="2:15">
      <c r="K511" s="1592">
        <v>42568</v>
      </c>
      <c r="L511" s="1593"/>
      <c r="M511" s="1594">
        <v>0</v>
      </c>
      <c r="N511" s="1595">
        <v>1.1948116425842277</v>
      </c>
      <c r="O511" s="1595">
        <v>1.1948116425842277</v>
      </c>
    </row>
    <row r="512" spans="2:15">
      <c r="K512" s="1592">
        <v>42569</v>
      </c>
      <c r="L512" s="1593" t="s">
        <v>2301</v>
      </c>
      <c r="M512" s="1594">
        <v>5.2531000000000001E-2</v>
      </c>
      <c r="N512" s="1595">
        <v>1.1954392890881935</v>
      </c>
      <c r="O512" s="1595">
        <v>1.1954392890881935</v>
      </c>
    </row>
    <row r="513" spans="11:15">
      <c r="K513" s="1592">
        <v>42570</v>
      </c>
      <c r="L513" s="1593" t="s">
        <v>2301</v>
      </c>
      <c r="M513" s="1594">
        <v>5.2531000000000001E-2</v>
      </c>
      <c r="N513" s="1595">
        <v>1.1960672653011444</v>
      </c>
      <c r="O513" s="1595">
        <v>1.1960672653011444</v>
      </c>
    </row>
    <row r="514" spans="11:15">
      <c r="K514" s="1592">
        <v>42571</v>
      </c>
      <c r="L514" s="1593" t="s">
        <v>2301</v>
      </c>
      <c r="M514" s="1594">
        <v>5.2531000000000001E-2</v>
      </c>
      <c r="N514" s="1595">
        <v>1.1966955713962797</v>
      </c>
      <c r="O514" s="1595">
        <v>1.1966955713962797</v>
      </c>
    </row>
    <row r="515" spans="11:15">
      <c r="K515" s="1592">
        <v>42572</v>
      </c>
      <c r="L515" s="1593" t="s">
        <v>2301</v>
      </c>
      <c r="M515" s="1594">
        <v>5.2531000000000001E-2</v>
      </c>
      <c r="N515" s="1595">
        <v>1.19732420754689</v>
      </c>
      <c r="O515" s="1595">
        <v>1.19732420754689</v>
      </c>
    </row>
    <row r="516" spans="11:15">
      <c r="K516" s="1592">
        <v>42573</v>
      </c>
      <c r="L516" s="1593" t="s">
        <v>2301</v>
      </c>
      <c r="M516" s="1594">
        <v>5.2531000000000001E-2</v>
      </c>
      <c r="N516" s="1595">
        <v>1.1979531739263565</v>
      </c>
      <c r="O516" s="1595">
        <v>1.1979531739263565</v>
      </c>
    </row>
    <row r="517" spans="11:15">
      <c r="K517" s="1592">
        <v>42574</v>
      </c>
      <c r="L517" s="1593"/>
      <c r="M517" s="1594">
        <v>0</v>
      </c>
      <c r="N517" s="1595">
        <v>1.1979531739263565</v>
      </c>
      <c r="O517" s="1595">
        <v>1.1979531739263565</v>
      </c>
    </row>
    <row r="518" spans="11:15">
      <c r="K518" s="1592">
        <v>42575</v>
      </c>
      <c r="L518" s="1593"/>
      <c r="M518" s="1594">
        <v>0</v>
      </c>
      <c r="N518" s="1595">
        <v>1.1979531739263565</v>
      </c>
      <c r="O518" s="1595">
        <v>1.1979531739263565</v>
      </c>
    </row>
    <row r="519" spans="11:15">
      <c r="K519" s="1592">
        <v>42576</v>
      </c>
      <c r="L519" s="1593" t="s">
        <v>2301</v>
      </c>
      <c r="M519" s="1594">
        <v>5.2531000000000001E-2</v>
      </c>
      <c r="N519" s="1595">
        <v>1.1985824707081518</v>
      </c>
      <c r="O519" s="1595">
        <v>1.1985824707081518</v>
      </c>
    </row>
    <row r="520" spans="11:15">
      <c r="K520" s="1592">
        <v>42577</v>
      </c>
      <c r="L520" s="1593" t="s">
        <v>2301</v>
      </c>
      <c r="M520" s="1594">
        <v>5.2531000000000001E-2</v>
      </c>
      <c r="N520" s="1595">
        <v>1.1992120980658396</v>
      </c>
      <c r="O520" s="1595">
        <v>1.1992120980658396</v>
      </c>
    </row>
    <row r="521" spans="11:15">
      <c r="K521" s="1592">
        <v>42578</v>
      </c>
      <c r="L521" s="1593" t="s">
        <v>2301</v>
      </c>
      <c r="M521" s="1594">
        <v>5.2531000000000001E-2</v>
      </c>
      <c r="N521" s="1595">
        <v>1.1998420561730745</v>
      </c>
      <c r="O521" s="1595">
        <v>1.1998420561730745</v>
      </c>
    </row>
    <row r="522" spans="11:15">
      <c r="K522" s="1592">
        <v>42579</v>
      </c>
      <c r="L522" s="1593" t="s">
        <v>2301</v>
      </c>
      <c r="M522" s="1594">
        <v>5.2531000000000001E-2</v>
      </c>
      <c r="N522" s="1595">
        <v>1.2004723452036028</v>
      </c>
      <c r="O522" s="1595">
        <v>1.2004723452036028</v>
      </c>
    </row>
    <row r="523" spans="11:15">
      <c r="K523" s="1592">
        <v>42580</v>
      </c>
      <c r="L523" s="1593" t="s">
        <v>2301</v>
      </c>
      <c r="M523" s="1594">
        <v>5.2531000000000001E-2</v>
      </c>
      <c r="N523" s="1595">
        <v>1.2011029653312617</v>
      </c>
      <c r="O523" s="1595">
        <v>1.2011029653312617</v>
      </c>
    </row>
    <row r="524" spans="11:15">
      <c r="K524" s="1592">
        <v>42581</v>
      </c>
      <c r="L524" s="1593"/>
      <c r="M524" s="1594">
        <v>0</v>
      </c>
      <c r="N524" s="1595">
        <v>1.2011029653312617</v>
      </c>
      <c r="O524" s="1595">
        <v>1.2011029653312617</v>
      </c>
    </row>
    <row r="525" spans="11:15">
      <c r="K525" s="1592">
        <v>42582</v>
      </c>
      <c r="L525" s="1593"/>
      <c r="M525" s="1594">
        <v>0</v>
      </c>
      <c r="N525" s="1595">
        <v>1.2011029653312617</v>
      </c>
      <c r="O525" s="1595">
        <v>1.2011029653312617</v>
      </c>
    </row>
    <row r="526" spans="11:15">
      <c r="K526" s="1592">
        <v>42583</v>
      </c>
      <c r="L526" s="1593" t="s">
        <v>2301</v>
      </c>
      <c r="M526" s="1594">
        <v>5.2531000000000001E-2</v>
      </c>
      <c r="N526" s="1595">
        <v>1.2017339167299799</v>
      </c>
      <c r="O526" s="1595">
        <v>1.2017339167299799</v>
      </c>
    </row>
    <row r="527" spans="11:15">
      <c r="K527" s="1592">
        <v>42584</v>
      </c>
      <c r="L527" s="1593" t="s">
        <v>2301</v>
      </c>
      <c r="M527" s="1594">
        <v>5.2531000000000001E-2</v>
      </c>
      <c r="N527" s="1595">
        <v>1.2023651995737772</v>
      </c>
      <c r="O527" s="1595">
        <v>1.2023651995737772</v>
      </c>
    </row>
    <row r="528" spans="11:15">
      <c r="K528" s="1592">
        <v>42585</v>
      </c>
      <c r="L528" s="1593" t="s">
        <v>2301</v>
      </c>
      <c r="M528" s="1594">
        <v>5.2531000000000001E-2</v>
      </c>
      <c r="N528" s="1595">
        <v>1.2029968140367653</v>
      </c>
      <c r="O528" s="1595">
        <v>1.2029968140367653</v>
      </c>
    </row>
    <row r="529" spans="11:15">
      <c r="K529" s="1592">
        <v>42586</v>
      </c>
      <c r="L529" s="1593" t="s">
        <v>2301</v>
      </c>
      <c r="M529" s="1594">
        <v>5.2531000000000001E-2</v>
      </c>
      <c r="N529" s="1595">
        <v>1.203628760293147</v>
      </c>
      <c r="O529" s="1595">
        <v>1.203628760293147</v>
      </c>
    </row>
    <row r="530" spans="11:15">
      <c r="K530" s="1592">
        <v>42587</v>
      </c>
      <c r="L530" s="1593" t="s">
        <v>2301</v>
      </c>
      <c r="M530" s="1594">
        <v>5.2531000000000001E-2</v>
      </c>
      <c r="N530" s="1595">
        <v>1.2042610385172166</v>
      </c>
      <c r="O530" s="1595">
        <v>1.2042610385172166</v>
      </c>
    </row>
    <row r="531" spans="11:15">
      <c r="K531" s="1592">
        <v>42588</v>
      </c>
      <c r="L531" s="1593"/>
      <c r="M531" s="1594">
        <v>0</v>
      </c>
      <c r="N531" s="1595">
        <v>1.2042610385172166</v>
      </c>
      <c r="O531" s="1595">
        <v>1.2042610385172166</v>
      </c>
    </row>
    <row r="532" spans="11:15">
      <c r="K532" s="1592">
        <v>42589</v>
      </c>
      <c r="L532" s="1593"/>
      <c r="M532" s="1594">
        <v>0</v>
      </c>
      <c r="N532" s="1595">
        <v>1.2042610385172166</v>
      </c>
      <c r="O532" s="1595">
        <v>1.2042610385172166</v>
      </c>
    </row>
    <row r="533" spans="11:15">
      <c r="K533" s="1592">
        <v>42590</v>
      </c>
      <c r="L533" s="1593" t="s">
        <v>2301</v>
      </c>
      <c r="M533" s="1594">
        <v>5.2531000000000001E-2</v>
      </c>
      <c r="N533" s="1595">
        <v>1.2048936488833599</v>
      </c>
      <c r="O533" s="1595">
        <v>1.2048936488833599</v>
      </c>
    </row>
    <row r="534" spans="11:15">
      <c r="K534" s="1592">
        <v>42591</v>
      </c>
      <c r="L534" s="1593" t="s">
        <v>2301</v>
      </c>
      <c r="M534" s="1594">
        <v>5.2531000000000001E-2</v>
      </c>
      <c r="N534" s="1595">
        <v>1.2055265915660549</v>
      </c>
      <c r="O534" s="1595">
        <v>1.2055265915660549</v>
      </c>
    </row>
    <row r="535" spans="11:15">
      <c r="K535" s="1592">
        <v>42592</v>
      </c>
      <c r="L535" s="1593" t="s">
        <v>2301</v>
      </c>
      <c r="M535" s="1594">
        <v>5.2531000000000001E-2</v>
      </c>
      <c r="N535" s="1595">
        <v>1.2061598667398705</v>
      </c>
      <c r="O535" s="1595">
        <v>1.2061598667398705</v>
      </c>
    </row>
    <row r="536" spans="11:15">
      <c r="K536" s="1592">
        <v>42593</v>
      </c>
      <c r="L536" s="1593" t="s">
        <v>2301</v>
      </c>
      <c r="M536" s="1594">
        <v>5.2531000000000001E-2</v>
      </c>
      <c r="N536" s="1595">
        <v>1.2067934745794677</v>
      </c>
      <c r="O536" s="1595">
        <v>1.2067934745794677</v>
      </c>
    </row>
    <row r="537" spans="11:15">
      <c r="K537" s="1592">
        <v>42594</v>
      </c>
      <c r="L537" s="1593" t="s">
        <v>2301</v>
      </c>
      <c r="M537" s="1594">
        <v>5.2531000000000001E-2</v>
      </c>
      <c r="N537" s="1595">
        <v>1.2074274152595992</v>
      </c>
      <c r="O537" s="1595">
        <v>1.2074274152595992</v>
      </c>
    </row>
    <row r="538" spans="11:15">
      <c r="K538" s="1592">
        <v>42595</v>
      </c>
      <c r="L538" s="1593"/>
      <c r="M538" s="1594">
        <v>0</v>
      </c>
      <c r="N538" s="1595">
        <v>1.2074274152595992</v>
      </c>
      <c r="O538" s="1595">
        <v>1.2074274152595992</v>
      </c>
    </row>
    <row r="539" spans="11:15">
      <c r="K539" s="1592">
        <v>42596</v>
      </c>
      <c r="L539" s="1593"/>
      <c r="M539" s="1594">
        <v>0</v>
      </c>
      <c r="N539" s="1595">
        <v>1.2074274152595992</v>
      </c>
      <c r="O539" s="1595">
        <v>1.2074274152595992</v>
      </c>
    </row>
    <row r="540" spans="11:15">
      <c r="K540" s="1592">
        <v>42597</v>
      </c>
      <c r="L540" s="1593" t="s">
        <v>2301</v>
      </c>
      <c r="M540" s="1594">
        <v>5.2531000000000001E-2</v>
      </c>
      <c r="N540" s="1595">
        <v>1.2080616889551092</v>
      </c>
      <c r="O540" s="1595">
        <v>1.2080616889551092</v>
      </c>
    </row>
    <row r="541" spans="11:15">
      <c r="K541" s="1592">
        <v>42598</v>
      </c>
      <c r="L541" s="1593" t="s">
        <v>2301</v>
      </c>
      <c r="M541" s="1594">
        <v>5.2531000000000001E-2</v>
      </c>
      <c r="N541" s="1595">
        <v>1.2086962958409342</v>
      </c>
      <c r="O541" s="1595">
        <v>1.2086962958409342</v>
      </c>
    </row>
    <row r="542" spans="11:15">
      <c r="K542" s="1592">
        <v>42599</v>
      </c>
      <c r="L542" s="1593" t="s">
        <v>2301</v>
      </c>
      <c r="M542" s="1594">
        <v>5.2531000000000001E-2</v>
      </c>
      <c r="N542" s="1595">
        <v>1.2093312360921025</v>
      </c>
      <c r="O542" s="1595">
        <v>1.2093312360921025</v>
      </c>
    </row>
    <row r="543" spans="11:15">
      <c r="K543" s="1592">
        <v>42600</v>
      </c>
      <c r="L543" s="1593" t="s">
        <v>2301</v>
      </c>
      <c r="M543" s="1594">
        <v>5.2531000000000001E-2</v>
      </c>
      <c r="N543" s="1595">
        <v>1.209966509883734</v>
      </c>
      <c r="O543" s="1595">
        <v>1.209966509883734</v>
      </c>
    </row>
    <row r="544" spans="11:15">
      <c r="K544" s="1592">
        <v>42601</v>
      </c>
      <c r="L544" s="1593" t="s">
        <v>2301</v>
      </c>
      <c r="M544" s="1594">
        <v>5.2531000000000001E-2</v>
      </c>
      <c r="N544" s="1595">
        <v>1.2106021173910411</v>
      </c>
      <c r="O544" s="1595">
        <v>1.2106021173910411</v>
      </c>
    </row>
    <row r="545" spans="11:15">
      <c r="K545" s="1592">
        <v>42602</v>
      </c>
      <c r="L545" s="1593"/>
      <c r="M545" s="1594">
        <v>0</v>
      </c>
      <c r="N545" s="1595">
        <v>1.2106021173910411</v>
      </c>
      <c r="O545" s="1595">
        <v>1.2106021173910411</v>
      </c>
    </row>
    <row r="546" spans="11:15">
      <c r="K546" s="1592">
        <v>42603</v>
      </c>
      <c r="L546" s="1593"/>
      <c r="M546" s="1594">
        <v>0</v>
      </c>
      <c r="N546" s="1595">
        <v>1.2106021173910411</v>
      </c>
      <c r="O546" s="1595">
        <v>1.2106021173910411</v>
      </c>
    </row>
    <row r="547" spans="11:15">
      <c r="K547" s="1592">
        <v>42604</v>
      </c>
      <c r="L547" s="1593" t="s">
        <v>2301</v>
      </c>
      <c r="M547" s="1594">
        <v>5.2531000000000001E-2</v>
      </c>
      <c r="N547" s="1595">
        <v>1.2112380587893277</v>
      </c>
      <c r="O547" s="1595">
        <v>1.2112380587893277</v>
      </c>
    </row>
    <row r="548" spans="11:15">
      <c r="K548" s="1592">
        <v>42605</v>
      </c>
      <c r="L548" s="1593" t="s">
        <v>2301</v>
      </c>
      <c r="M548" s="1594">
        <v>5.2531000000000001E-2</v>
      </c>
      <c r="N548" s="1595">
        <v>1.2118743342539904</v>
      </c>
      <c r="O548" s="1595">
        <v>1.2118743342539904</v>
      </c>
    </row>
    <row r="549" spans="11:15">
      <c r="K549" s="1592">
        <v>42606</v>
      </c>
      <c r="L549" s="1593" t="s">
        <v>2301</v>
      </c>
      <c r="M549" s="1594">
        <v>5.2531000000000001E-2</v>
      </c>
      <c r="N549" s="1595">
        <v>1.2125109439605173</v>
      </c>
      <c r="O549" s="1595">
        <v>1.2125109439605173</v>
      </c>
    </row>
    <row r="550" spans="11:15">
      <c r="K550" s="1592">
        <v>42607</v>
      </c>
      <c r="L550" s="1593" t="s">
        <v>2301</v>
      </c>
      <c r="M550" s="1594">
        <v>5.2531000000000001E-2</v>
      </c>
      <c r="N550" s="1595">
        <v>1.2131478880844893</v>
      </c>
      <c r="O550" s="1595">
        <v>1.2131478880844893</v>
      </c>
    </row>
    <row r="551" spans="11:15">
      <c r="K551" s="1592">
        <v>42608</v>
      </c>
      <c r="L551" s="1593" t="s">
        <v>2301</v>
      </c>
      <c r="M551" s="1594">
        <v>5.2531000000000001E-2</v>
      </c>
      <c r="N551" s="1595">
        <v>1.2137851668015789</v>
      </c>
      <c r="O551" s="1595">
        <v>1.2137851668015789</v>
      </c>
    </row>
    <row r="552" spans="11:15">
      <c r="K552" s="1592">
        <v>42609</v>
      </c>
      <c r="L552" s="1593"/>
      <c r="M552" s="1594">
        <v>0</v>
      </c>
      <c r="N552" s="1595">
        <v>1.2137851668015789</v>
      </c>
      <c r="O552" s="1595">
        <v>1.2137851668015789</v>
      </c>
    </row>
    <row r="553" spans="11:15">
      <c r="K553" s="1592">
        <v>42610</v>
      </c>
      <c r="L553" s="1593"/>
      <c r="M553" s="1594">
        <v>0</v>
      </c>
      <c r="N553" s="1595">
        <v>1.2137851668015789</v>
      </c>
      <c r="O553" s="1595">
        <v>1.2137851668015789</v>
      </c>
    </row>
    <row r="554" spans="11:15">
      <c r="K554" s="1592">
        <v>42611</v>
      </c>
      <c r="L554" s="1593" t="s">
        <v>2301</v>
      </c>
      <c r="M554" s="1594">
        <v>5.2531000000000001E-2</v>
      </c>
      <c r="N554" s="1595">
        <v>1.2144227802875514</v>
      </c>
      <c r="O554" s="1595">
        <v>1.2144227802875514</v>
      </c>
    </row>
    <row r="555" spans="11:15">
      <c r="K555" s="1592">
        <v>42612</v>
      </c>
      <c r="L555" s="1593" t="s">
        <v>2301</v>
      </c>
      <c r="M555" s="1594">
        <v>5.2531000000000001E-2</v>
      </c>
      <c r="N555" s="1595">
        <v>1.2150607287182642</v>
      </c>
      <c r="O555" s="1595">
        <v>1.2150607287182642</v>
      </c>
    </row>
    <row r="556" spans="11:15">
      <c r="K556" s="1592">
        <v>42613</v>
      </c>
      <c r="L556" s="1593" t="s">
        <v>2301</v>
      </c>
      <c r="M556" s="1594">
        <v>5.2531000000000001E-2</v>
      </c>
      <c r="N556" s="1595">
        <v>1.2156990122696671</v>
      </c>
      <c r="O556" s="1595">
        <v>1.2156990122696671</v>
      </c>
    </row>
    <row r="557" spans="11:15">
      <c r="K557" s="1592">
        <v>42614</v>
      </c>
      <c r="L557" s="1593" t="s">
        <v>2301</v>
      </c>
      <c r="M557" s="1594">
        <v>5.2531000000000001E-2</v>
      </c>
      <c r="N557" s="1595">
        <v>1.2163376311178025</v>
      </c>
      <c r="O557" s="1595">
        <v>1.2163376311178025</v>
      </c>
    </row>
    <row r="558" spans="11:15">
      <c r="K558" s="1592">
        <v>42615</v>
      </c>
      <c r="L558" s="1593" t="s">
        <v>2301</v>
      </c>
      <c r="M558" s="1594">
        <v>5.2531000000000001E-2</v>
      </c>
      <c r="N558" s="1595">
        <v>1.216976585438805</v>
      </c>
      <c r="O558" s="1595">
        <v>1.216976585438805</v>
      </c>
    </row>
    <row r="559" spans="11:15">
      <c r="K559" s="1592">
        <v>42616</v>
      </c>
      <c r="L559" s="1593"/>
      <c r="M559" s="1594">
        <v>0</v>
      </c>
      <c r="N559" s="1595">
        <v>1.216976585438805</v>
      </c>
      <c r="O559" s="1595">
        <v>1.216976585438805</v>
      </c>
    </row>
    <row r="560" spans="11:15">
      <c r="K560" s="1592">
        <v>42617</v>
      </c>
      <c r="L560" s="1593"/>
      <c r="M560" s="1594">
        <v>0</v>
      </c>
      <c r="N560" s="1595">
        <v>1.216976585438805</v>
      </c>
      <c r="O560" s="1595">
        <v>1.216976585438805</v>
      </c>
    </row>
    <row r="561" spans="11:15">
      <c r="K561" s="1592">
        <v>42618</v>
      </c>
      <c r="L561" s="1593" t="s">
        <v>2301</v>
      </c>
      <c r="M561" s="1594">
        <v>5.2531000000000001E-2</v>
      </c>
      <c r="N561" s="1595">
        <v>1.2176158754089019</v>
      </c>
      <c r="O561" s="1595">
        <v>1.2176158754089019</v>
      </c>
    </row>
    <row r="562" spans="11:15">
      <c r="K562" s="1592">
        <v>42619</v>
      </c>
      <c r="L562" s="1593" t="s">
        <v>2301</v>
      </c>
      <c r="M562" s="1594">
        <v>5.2531000000000001E-2</v>
      </c>
      <c r="N562" s="1595">
        <v>1.2182555012044129</v>
      </c>
      <c r="O562" s="1595">
        <v>1.2182555012044129</v>
      </c>
    </row>
    <row r="563" spans="11:15">
      <c r="K563" s="1592">
        <v>42620</v>
      </c>
      <c r="L563" s="1593"/>
      <c r="M563" s="1594">
        <v>0</v>
      </c>
      <c r="N563" s="1595">
        <v>1.2182555012044129</v>
      </c>
      <c r="O563" s="1595">
        <v>1.2182555012044129</v>
      </c>
    </row>
    <row r="564" spans="11:15">
      <c r="K564" s="1592">
        <v>42621</v>
      </c>
      <c r="L564" s="1593" t="s">
        <v>2301</v>
      </c>
      <c r="M564" s="1594">
        <v>5.2531000000000001E-2</v>
      </c>
      <c r="N564" s="1595">
        <v>1.2188954630017506</v>
      </c>
      <c r="O564" s="1595">
        <v>1.2188954630017506</v>
      </c>
    </row>
    <row r="565" spans="11:15">
      <c r="K565" s="1592">
        <v>42622</v>
      </c>
      <c r="L565" s="1593" t="s">
        <v>2301</v>
      </c>
      <c r="M565" s="1594">
        <v>5.2531000000000001E-2</v>
      </c>
      <c r="N565" s="1595">
        <v>1.21953576097742</v>
      </c>
      <c r="O565" s="1595">
        <v>1.21953576097742</v>
      </c>
    </row>
    <row r="566" spans="11:15">
      <c r="K566" s="1592">
        <v>42623</v>
      </c>
      <c r="L566" s="1593"/>
      <c r="M566" s="1594">
        <v>0</v>
      </c>
      <c r="N566" s="1595">
        <v>1.21953576097742</v>
      </c>
      <c r="O566" s="1595">
        <v>1.21953576097742</v>
      </c>
    </row>
    <row r="567" spans="11:15">
      <c r="K567" s="1592">
        <v>42624</v>
      </c>
      <c r="L567" s="1593"/>
      <c r="M567" s="1594">
        <v>0</v>
      </c>
      <c r="N567" s="1595">
        <v>1.21953576097742</v>
      </c>
      <c r="O567" s="1595">
        <v>1.21953576097742</v>
      </c>
    </row>
    <row r="568" spans="11:15">
      <c r="K568" s="1592">
        <v>42625</v>
      </c>
      <c r="L568" s="1593" t="s">
        <v>2301</v>
      </c>
      <c r="M568" s="1594">
        <v>5.2531000000000001E-2</v>
      </c>
      <c r="N568" s="1595">
        <v>1.2201763953080191</v>
      </c>
      <c r="O568" s="1595">
        <v>1.2201763953080191</v>
      </c>
    </row>
    <row r="569" spans="11:15">
      <c r="K569" s="1592">
        <v>42626</v>
      </c>
      <c r="L569" s="1593" t="s">
        <v>2301</v>
      </c>
      <c r="M569" s="1594">
        <v>5.2531000000000001E-2</v>
      </c>
      <c r="N569" s="1595">
        <v>1.2208173661702384</v>
      </c>
      <c r="O569" s="1595">
        <v>1.2208173661702384</v>
      </c>
    </row>
    <row r="570" spans="11:15">
      <c r="K570" s="1592">
        <v>42627</v>
      </c>
      <c r="L570" s="1593" t="s">
        <v>2301</v>
      </c>
      <c r="M570" s="1594">
        <v>5.2531000000000001E-2</v>
      </c>
      <c r="N570" s="1595">
        <v>1.2214586737408613</v>
      </c>
      <c r="O570" s="1595">
        <v>1.2214586737408613</v>
      </c>
    </row>
    <row r="571" spans="11:15">
      <c r="K571" s="1592">
        <v>42628</v>
      </c>
      <c r="L571" s="1593" t="s">
        <v>2301</v>
      </c>
      <c r="M571" s="1594">
        <v>5.2531000000000001E-2</v>
      </c>
      <c r="N571" s="1595">
        <v>1.222100318196764</v>
      </c>
      <c r="O571" s="1595">
        <v>1.222100318196764</v>
      </c>
    </row>
    <row r="572" spans="11:15">
      <c r="K572" s="1592">
        <v>42629</v>
      </c>
      <c r="L572" s="1593" t="s">
        <v>2301</v>
      </c>
      <c r="M572" s="1594">
        <v>5.2531000000000001E-2</v>
      </c>
      <c r="N572" s="1595">
        <v>1.222742299714916</v>
      </c>
      <c r="O572" s="1595">
        <v>1.222742299714916</v>
      </c>
    </row>
    <row r="573" spans="11:15">
      <c r="K573" s="1592">
        <v>42630</v>
      </c>
      <c r="L573" s="1593"/>
      <c r="M573" s="1594">
        <v>0</v>
      </c>
      <c r="N573" s="1595">
        <v>1.222742299714916</v>
      </c>
      <c r="O573" s="1595">
        <v>1.222742299714916</v>
      </c>
    </row>
    <row r="574" spans="11:15">
      <c r="K574" s="1592">
        <v>42631</v>
      </c>
      <c r="L574" s="1593"/>
      <c r="M574" s="1594">
        <v>0</v>
      </c>
      <c r="N574" s="1595">
        <v>1.222742299714916</v>
      </c>
      <c r="O574" s="1595">
        <v>1.222742299714916</v>
      </c>
    </row>
    <row r="575" spans="11:15">
      <c r="K575" s="1592">
        <v>42632</v>
      </c>
      <c r="L575" s="1593" t="s">
        <v>2301</v>
      </c>
      <c r="M575" s="1594">
        <v>5.2531000000000001E-2</v>
      </c>
      <c r="N575" s="1595">
        <v>1.2233846184723793</v>
      </c>
      <c r="O575" s="1595">
        <v>1.2233846184723793</v>
      </c>
    </row>
    <row r="576" spans="11:15">
      <c r="K576" s="1592">
        <v>42633</v>
      </c>
      <c r="L576" s="1593" t="s">
        <v>2301</v>
      </c>
      <c r="M576" s="1594">
        <v>5.2531000000000001E-2</v>
      </c>
      <c r="N576" s="1595">
        <v>1.224027274646309</v>
      </c>
      <c r="O576" s="1595">
        <v>1.224027274646309</v>
      </c>
    </row>
    <row r="577" spans="11:15">
      <c r="K577" s="1592">
        <v>42634</v>
      </c>
      <c r="L577" s="1593" t="s">
        <v>2301</v>
      </c>
      <c r="M577" s="1594">
        <v>5.2531000000000001E-2</v>
      </c>
      <c r="N577" s="1595">
        <v>1.2246702684139534</v>
      </c>
      <c r="O577" s="1595">
        <v>1.2246702684139534</v>
      </c>
    </row>
    <row r="578" spans="11:15">
      <c r="K578" s="1592">
        <v>42635</v>
      </c>
      <c r="L578" s="1593" t="s">
        <v>2301</v>
      </c>
      <c r="M578" s="1594">
        <v>5.2531000000000001E-2</v>
      </c>
      <c r="N578" s="1595">
        <v>1.2253135999526539</v>
      </c>
      <c r="O578" s="1595">
        <v>1.2253135999526539</v>
      </c>
    </row>
    <row r="579" spans="11:15">
      <c r="K579" s="1592">
        <v>42636</v>
      </c>
      <c r="L579" s="1593" t="s">
        <v>2301</v>
      </c>
      <c r="M579" s="1594">
        <v>5.2531000000000001E-2</v>
      </c>
      <c r="N579" s="1595">
        <v>1.2259572694398451</v>
      </c>
      <c r="O579" s="1595">
        <v>1.2259572694398451</v>
      </c>
    </row>
    <row r="580" spans="11:15">
      <c r="K580" s="1592">
        <v>42637</v>
      </c>
      <c r="L580" s="1593"/>
      <c r="M580" s="1594">
        <v>0</v>
      </c>
      <c r="N580" s="1595">
        <v>1.2259572694398451</v>
      </c>
      <c r="O580" s="1595">
        <v>1.2259572694398451</v>
      </c>
    </row>
    <row r="581" spans="11:15">
      <c r="K581" s="1592">
        <v>42638</v>
      </c>
      <c r="L581" s="1593"/>
      <c r="M581" s="1594">
        <v>0</v>
      </c>
      <c r="N581" s="1595">
        <v>1.2259572694398451</v>
      </c>
      <c r="O581" s="1595">
        <v>1.2259572694398451</v>
      </c>
    </row>
    <row r="582" spans="11:15">
      <c r="K582" s="1592">
        <v>42639</v>
      </c>
      <c r="L582" s="1593" t="s">
        <v>2301</v>
      </c>
      <c r="M582" s="1594">
        <v>5.2531000000000001E-2</v>
      </c>
      <c r="N582" s="1595">
        <v>1.2266012770530546</v>
      </c>
      <c r="O582" s="1595">
        <v>1.2266012770530546</v>
      </c>
    </row>
    <row r="583" spans="11:15">
      <c r="K583" s="1592">
        <v>42640</v>
      </c>
      <c r="L583" s="1593" t="s">
        <v>2301</v>
      </c>
      <c r="M583" s="1594">
        <v>5.2531000000000001E-2</v>
      </c>
      <c r="N583" s="1595">
        <v>1.2272456229699034</v>
      </c>
      <c r="O583" s="1595">
        <v>1.2272456229699034</v>
      </c>
    </row>
    <row r="584" spans="11:15">
      <c r="K584" s="1592">
        <v>42641</v>
      </c>
      <c r="L584" s="1593" t="s">
        <v>2301</v>
      </c>
      <c r="M584" s="1594">
        <v>5.2531000000000001E-2</v>
      </c>
      <c r="N584" s="1595">
        <v>1.2278903073681058</v>
      </c>
      <c r="O584" s="1595">
        <v>1.2278903073681058</v>
      </c>
    </row>
    <row r="585" spans="11:15">
      <c r="K585" s="1592">
        <v>42642</v>
      </c>
      <c r="L585" s="1593" t="s">
        <v>2301</v>
      </c>
      <c r="M585" s="1594">
        <v>5.2531000000000001E-2</v>
      </c>
      <c r="N585" s="1595">
        <v>1.2285353304254694</v>
      </c>
      <c r="O585" s="1595">
        <v>1.2285353304254694</v>
      </c>
    </row>
    <row r="586" spans="11:15">
      <c r="K586" s="1592">
        <v>42643</v>
      </c>
      <c r="L586" s="1593" t="s">
        <v>2301</v>
      </c>
      <c r="M586" s="1594">
        <v>5.2531000000000001E-2</v>
      </c>
      <c r="N586" s="1595">
        <v>1.2291806923198951</v>
      </c>
      <c r="O586" s="1595">
        <v>1.2291806923198951</v>
      </c>
    </row>
    <row r="587" spans="11:15">
      <c r="K587" s="1592">
        <v>42644</v>
      </c>
      <c r="L587" s="1593"/>
      <c r="M587" s="1594">
        <v>0</v>
      </c>
      <c r="N587" s="1595">
        <v>1.2291806923198951</v>
      </c>
      <c r="O587" s="1595">
        <v>1.2291806923198951</v>
      </c>
    </row>
    <row r="588" spans="11:15">
      <c r="K588" s="1592">
        <v>42645</v>
      </c>
      <c r="L588" s="1593"/>
      <c r="M588" s="1594">
        <v>0</v>
      </c>
      <c r="N588" s="1595">
        <v>1.2291806923198951</v>
      </c>
      <c r="O588" s="1595">
        <v>1.2291806923198951</v>
      </c>
    </row>
    <row r="589" spans="11:15">
      <c r="K589" s="1592">
        <v>42646</v>
      </c>
      <c r="L589" s="1593" t="s">
        <v>2301</v>
      </c>
      <c r="M589" s="1594">
        <v>5.2531000000000001E-2</v>
      </c>
      <c r="N589" s="1595">
        <v>1.2298263932293776</v>
      </c>
      <c r="O589" s="1595">
        <v>1.2298263932293776</v>
      </c>
    </row>
    <row r="590" spans="11:15">
      <c r="K590" s="1592">
        <v>42647</v>
      </c>
      <c r="L590" s="1593" t="s">
        <v>2301</v>
      </c>
      <c r="M590" s="1594">
        <v>5.2531000000000001E-2</v>
      </c>
      <c r="N590" s="1595">
        <v>1.230472433332005</v>
      </c>
      <c r="O590" s="1595">
        <v>1.230472433332005</v>
      </c>
    </row>
    <row r="591" spans="11:15">
      <c r="K591" s="1592">
        <v>42648</v>
      </c>
      <c r="L591" s="1593" t="s">
        <v>2301</v>
      </c>
      <c r="M591" s="1594">
        <v>5.2531000000000001E-2</v>
      </c>
      <c r="N591" s="1595">
        <v>1.2311188128059587</v>
      </c>
      <c r="O591" s="1595">
        <v>1.2311188128059587</v>
      </c>
    </row>
    <row r="592" spans="11:15">
      <c r="K592" s="1592">
        <v>42649</v>
      </c>
      <c r="L592" s="1593" t="s">
        <v>2301</v>
      </c>
      <c r="M592" s="1594">
        <v>5.2531000000000001E-2</v>
      </c>
      <c r="N592" s="1595">
        <v>1.2317655318295138</v>
      </c>
      <c r="O592" s="1595">
        <v>1.2317655318295138</v>
      </c>
    </row>
    <row r="593" spans="11:15">
      <c r="K593" s="1592">
        <v>42650</v>
      </c>
      <c r="L593" s="1593" t="s">
        <v>2301</v>
      </c>
      <c r="M593" s="1594">
        <v>5.2531000000000001E-2</v>
      </c>
      <c r="N593" s="1595">
        <v>1.232412590581039</v>
      </c>
      <c r="O593" s="1595">
        <v>1.232412590581039</v>
      </c>
    </row>
    <row r="594" spans="11:15">
      <c r="K594" s="1592">
        <v>42651</v>
      </c>
      <c r="L594" s="1593"/>
      <c r="M594" s="1594">
        <v>0</v>
      </c>
      <c r="N594" s="1595">
        <v>1.232412590581039</v>
      </c>
      <c r="O594" s="1595">
        <v>1.232412590581039</v>
      </c>
    </row>
    <row r="595" spans="11:15">
      <c r="K595" s="1592">
        <v>42652</v>
      </c>
      <c r="L595" s="1593"/>
      <c r="M595" s="1594">
        <v>0</v>
      </c>
      <c r="N595" s="1595">
        <v>1.232412590581039</v>
      </c>
      <c r="O595" s="1595">
        <v>1.232412590581039</v>
      </c>
    </row>
    <row r="596" spans="11:15">
      <c r="K596" s="1592">
        <v>42653</v>
      </c>
      <c r="L596" s="1593" t="s">
        <v>2301</v>
      </c>
      <c r="M596" s="1594">
        <v>5.2531000000000001E-2</v>
      </c>
      <c r="N596" s="1595">
        <v>1.2330599892389971</v>
      </c>
      <c r="O596" s="1595">
        <v>1.2330599892389971</v>
      </c>
    </row>
    <row r="597" spans="11:15">
      <c r="K597" s="1592">
        <v>42654</v>
      </c>
      <c r="L597" s="1593" t="s">
        <v>2301</v>
      </c>
      <c r="M597" s="1594">
        <v>5.2531000000000001E-2</v>
      </c>
      <c r="N597" s="1595">
        <v>1.2337077279819442</v>
      </c>
      <c r="O597" s="1595">
        <v>1.2337077279819442</v>
      </c>
    </row>
    <row r="598" spans="11:15">
      <c r="K598" s="1592">
        <v>42655</v>
      </c>
      <c r="L598" s="1593"/>
      <c r="M598" s="1594">
        <v>0</v>
      </c>
      <c r="N598" s="1595">
        <v>1.2337077279819442</v>
      </c>
      <c r="O598" s="1595">
        <v>1.2337077279819442</v>
      </c>
    </row>
    <row r="599" spans="11:15">
      <c r="K599" s="1592">
        <v>42656</v>
      </c>
      <c r="L599" s="1593" t="s">
        <v>2301</v>
      </c>
      <c r="M599" s="1594">
        <v>5.2531000000000001E-2</v>
      </c>
      <c r="N599" s="1595">
        <v>1.2343558069885303</v>
      </c>
      <c r="O599" s="1595">
        <v>1.2343558069885303</v>
      </c>
    </row>
    <row r="600" spans="11:15">
      <c r="K600" s="1592">
        <v>42657</v>
      </c>
      <c r="L600" s="1593" t="s">
        <v>2301</v>
      </c>
      <c r="M600" s="1594">
        <v>5.2531000000000001E-2</v>
      </c>
      <c r="N600" s="1595">
        <v>1.2350042264374994</v>
      </c>
      <c r="O600" s="1595">
        <v>1.2350042264374994</v>
      </c>
    </row>
    <row r="601" spans="11:15">
      <c r="K601" s="1592">
        <v>42658</v>
      </c>
      <c r="L601" s="1593"/>
      <c r="M601" s="1594">
        <v>0</v>
      </c>
      <c r="N601" s="1595">
        <v>1.2350042264374994</v>
      </c>
      <c r="O601" s="1595">
        <v>1.2350042264374994</v>
      </c>
    </row>
    <row r="602" spans="11:15">
      <c r="K602" s="1592">
        <v>42659</v>
      </c>
      <c r="L602" s="1593"/>
      <c r="M602" s="1594">
        <v>0</v>
      </c>
      <c r="N602" s="1595">
        <v>1.2350042264374994</v>
      </c>
      <c r="O602" s="1595">
        <v>1.2350042264374994</v>
      </c>
    </row>
    <row r="603" spans="11:15">
      <c r="K603" s="1592">
        <v>42660</v>
      </c>
      <c r="L603" s="1593" t="s">
        <v>2301</v>
      </c>
      <c r="M603" s="1594">
        <v>5.2531000000000001E-2</v>
      </c>
      <c r="N603" s="1595">
        <v>1.2356529865076893</v>
      </c>
      <c r="O603" s="1595">
        <v>1.2356529865076893</v>
      </c>
    </row>
    <row r="604" spans="11:15">
      <c r="K604" s="1592">
        <v>42661</v>
      </c>
      <c r="L604" s="1593" t="s">
        <v>2301</v>
      </c>
      <c r="M604" s="1594">
        <v>5.2531000000000001E-2</v>
      </c>
      <c r="N604" s="1595">
        <v>1.2363020873780317</v>
      </c>
      <c r="O604" s="1595">
        <v>1.2363020873780317</v>
      </c>
    </row>
    <row r="605" spans="11:15">
      <c r="K605" s="1592">
        <v>42662</v>
      </c>
      <c r="L605" s="1593" t="s">
        <v>2301</v>
      </c>
      <c r="M605" s="1594">
        <v>5.2531000000000001E-2</v>
      </c>
      <c r="N605" s="1595">
        <v>1.2369515292275524</v>
      </c>
      <c r="O605" s="1595">
        <v>1.2369515292275524</v>
      </c>
    </row>
    <row r="606" spans="11:15">
      <c r="K606" s="1592">
        <v>42663</v>
      </c>
      <c r="L606" s="1593" t="s">
        <v>2301</v>
      </c>
      <c r="M606" s="1594">
        <v>5.1659999999999998E-2</v>
      </c>
      <c r="N606" s="1595">
        <v>1.2375905383875514</v>
      </c>
      <c r="O606" s="1595">
        <v>1.2376013122353708</v>
      </c>
    </row>
    <row r="607" spans="11:15">
      <c r="K607" s="1592">
        <v>42664</v>
      </c>
      <c r="L607" s="1593" t="s">
        <v>2301</v>
      </c>
      <c r="M607" s="1594">
        <v>5.1659999999999998E-2</v>
      </c>
      <c r="N607" s="1595">
        <v>1.2382298776596825</v>
      </c>
      <c r="O607" s="1595">
        <v>1.2382514365807011</v>
      </c>
    </row>
    <row r="608" spans="11:15">
      <c r="K608" s="1592">
        <v>42665</v>
      </c>
      <c r="L608" s="1593"/>
      <c r="M608" s="1594">
        <v>0</v>
      </c>
      <c r="N608" s="1595">
        <v>1.2382298776596825</v>
      </c>
      <c r="O608" s="1595">
        <v>1.2382514365807011</v>
      </c>
    </row>
    <row r="609" spans="11:15">
      <c r="K609" s="1592">
        <v>42666</v>
      </c>
      <c r="L609" s="1593"/>
      <c r="M609" s="1594">
        <v>0</v>
      </c>
      <c r="N609" s="1595">
        <v>1.2382298776596825</v>
      </c>
      <c r="O609" s="1595">
        <v>1.2382514365807011</v>
      </c>
    </row>
    <row r="610" spans="11:15">
      <c r="K610" s="1592">
        <v>42667</v>
      </c>
      <c r="L610" s="1593" t="s">
        <v>2301</v>
      </c>
      <c r="M610" s="1594">
        <v>5.1659999999999998E-2</v>
      </c>
      <c r="N610" s="1595">
        <v>1.2388695472144815</v>
      </c>
      <c r="O610" s="1595">
        <v>1.2389019024428514</v>
      </c>
    </row>
    <row r="611" spans="11:15">
      <c r="K611" s="1592">
        <v>42668</v>
      </c>
      <c r="L611" s="1593" t="s">
        <v>2301</v>
      </c>
      <c r="M611" s="1594">
        <v>5.1659999999999998E-2</v>
      </c>
      <c r="N611" s="1595">
        <v>1.2395095472225726</v>
      </c>
      <c r="O611" s="1595">
        <v>1.2395527100012236</v>
      </c>
    </row>
    <row r="612" spans="11:15">
      <c r="K612" s="1592">
        <v>42669</v>
      </c>
      <c r="L612" s="1593" t="s">
        <v>2301</v>
      </c>
      <c r="M612" s="1594">
        <v>5.1659999999999998E-2</v>
      </c>
      <c r="N612" s="1595">
        <v>1.2401498778546678</v>
      </c>
      <c r="O612" s="1595">
        <v>1.2402038594353144</v>
      </c>
    </row>
    <row r="613" spans="11:15">
      <c r="K613" s="1592">
        <v>42670</v>
      </c>
      <c r="L613" s="1593" t="s">
        <v>2301</v>
      </c>
      <c r="M613" s="1594">
        <v>5.1659999999999998E-2</v>
      </c>
      <c r="N613" s="1595">
        <v>1.2407905392815677</v>
      </c>
      <c r="O613" s="1595">
        <v>1.2408553509247144</v>
      </c>
    </row>
    <row r="614" spans="11:15">
      <c r="K614" s="1592">
        <v>42671</v>
      </c>
      <c r="L614" s="1593" t="s">
        <v>2301</v>
      </c>
      <c r="M614" s="1594">
        <v>5.1659999999999998E-2</v>
      </c>
      <c r="N614" s="1595">
        <v>1.2414315316741606</v>
      </c>
      <c r="O614" s="1595">
        <v>1.2415071846491088</v>
      </c>
    </row>
    <row r="615" spans="11:15">
      <c r="K615" s="1592">
        <v>42672</v>
      </c>
      <c r="L615" s="1593"/>
      <c r="M615" s="1594">
        <v>0</v>
      </c>
      <c r="N615" s="1595">
        <v>1.2414315316741606</v>
      </c>
      <c r="O615" s="1595">
        <v>1.2415071846491088</v>
      </c>
    </row>
    <row r="616" spans="11:15">
      <c r="K616" s="1592">
        <v>42673</v>
      </c>
      <c r="L616" s="1593"/>
      <c r="M616" s="1594">
        <v>0</v>
      </c>
      <c r="N616" s="1595">
        <v>1.2414315316741606</v>
      </c>
      <c r="O616" s="1595">
        <v>1.2415071846491088</v>
      </c>
    </row>
    <row r="617" spans="11:15">
      <c r="K617" s="1592">
        <v>42674</v>
      </c>
      <c r="L617" s="1593" t="s">
        <v>2301</v>
      </c>
      <c r="M617" s="1594">
        <v>5.1659999999999998E-2</v>
      </c>
      <c r="N617" s="1595">
        <v>1.2420728552034237</v>
      </c>
      <c r="O617" s="1595">
        <v>1.2421593607882768</v>
      </c>
    </row>
    <row r="618" spans="11:15">
      <c r="K618" s="1592">
        <v>42675</v>
      </c>
      <c r="L618" s="1593" t="s">
        <v>2301</v>
      </c>
      <c r="M618" s="1594">
        <v>5.1659999999999998E-2</v>
      </c>
      <c r="N618" s="1595">
        <v>1.242714510040422</v>
      </c>
      <c r="O618" s="1595">
        <v>1.2428118795220926</v>
      </c>
    </row>
    <row r="619" spans="11:15">
      <c r="K619" s="1592">
        <v>42676</v>
      </c>
      <c r="L619" s="1593"/>
      <c r="M619" s="1594">
        <v>0</v>
      </c>
      <c r="N619" s="1595">
        <v>1.242714510040422</v>
      </c>
      <c r="O619" s="1595">
        <v>1.2428118795220926</v>
      </c>
    </row>
    <row r="620" spans="11:15">
      <c r="K620" s="1592">
        <v>42677</v>
      </c>
      <c r="L620" s="1593" t="s">
        <v>2301</v>
      </c>
      <c r="M620" s="1594">
        <v>5.1659999999999998E-2</v>
      </c>
      <c r="N620" s="1595">
        <v>1.2433564963563091</v>
      </c>
      <c r="O620" s="1595">
        <v>1.2434647410305244</v>
      </c>
    </row>
    <row r="621" spans="11:15">
      <c r="K621" s="1592">
        <v>42678</v>
      </c>
      <c r="L621" s="1593" t="s">
        <v>2301</v>
      </c>
      <c r="M621" s="1594">
        <v>5.1659999999999998E-2</v>
      </c>
      <c r="N621" s="1595">
        <v>1.2439988143223268</v>
      </c>
      <c r="O621" s="1595">
        <v>1.2441179454936351</v>
      </c>
    </row>
    <row r="622" spans="11:15">
      <c r="K622" s="1592">
        <v>42679</v>
      </c>
      <c r="L622" s="1593"/>
      <c r="M622" s="1594">
        <v>0</v>
      </c>
      <c r="N622" s="1595">
        <v>1.2439988143223268</v>
      </c>
      <c r="O622" s="1595">
        <v>1.2441179454936351</v>
      </c>
    </row>
    <row r="623" spans="11:15">
      <c r="K623" s="1592">
        <v>42680</v>
      </c>
      <c r="L623" s="1593"/>
      <c r="M623" s="1594">
        <v>0</v>
      </c>
      <c r="N623" s="1595">
        <v>1.2439988143223268</v>
      </c>
      <c r="O623" s="1595">
        <v>1.2441179454936351</v>
      </c>
    </row>
    <row r="624" spans="11:15">
      <c r="K624" s="1592">
        <v>42681</v>
      </c>
      <c r="L624" s="1593" t="s">
        <v>2301</v>
      </c>
      <c r="M624" s="1594">
        <v>5.1659999999999998E-2</v>
      </c>
      <c r="N624" s="1595">
        <v>1.2446414641098058</v>
      </c>
      <c r="O624" s="1595">
        <v>1.2447714930915823</v>
      </c>
    </row>
    <row r="625" spans="11:15">
      <c r="K625" s="1592">
        <v>42682</v>
      </c>
      <c r="L625" s="1593" t="s">
        <v>2301</v>
      </c>
      <c r="M625" s="1594">
        <v>5.1659999999999998E-2</v>
      </c>
      <c r="N625" s="1595">
        <v>1.2452844458901651</v>
      </c>
      <c r="O625" s="1595">
        <v>1.2454253840046183</v>
      </c>
    </row>
    <row r="626" spans="11:15">
      <c r="K626" s="1592">
        <v>42683</v>
      </c>
      <c r="L626" s="1593" t="s">
        <v>2301</v>
      </c>
      <c r="M626" s="1594">
        <v>5.1659999999999998E-2</v>
      </c>
      <c r="N626" s="1595">
        <v>1.2459277598349121</v>
      </c>
      <c r="O626" s="1595">
        <v>1.2460796184130898</v>
      </c>
    </row>
    <row r="627" spans="11:15">
      <c r="K627" s="1592">
        <v>42684</v>
      </c>
      <c r="L627" s="1593" t="s">
        <v>2301</v>
      </c>
      <c r="M627" s="1594">
        <v>5.1659999999999998E-2</v>
      </c>
      <c r="N627" s="1595">
        <v>1.246571406115643</v>
      </c>
      <c r="O627" s="1595">
        <v>1.2467341964974383</v>
      </c>
    </row>
    <row r="628" spans="11:15">
      <c r="K628" s="1592">
        <v>42685</v>
      </c>
      <c r="L628" s="1593" t="s">
        <v>2301</v>
      </c>
      <c r="M628" s="1594">
        <v>5.1659999999999998E-2</v>
      </c>
      <c r="N628" s="1595">
        <v>1.2472153849040424</v>
      </c>
      <c r="O628" s="1595">
        <v>1.2473891184382004</v>
      </c>
    </row>
    <row r="629" spans="11:15">
      <c r="K629" s="1592">
        <v>42686</v>
      </c>
      <c r="L629" s="1593"/>
      <c r="M629" s="1594">
        <v>0</v>
      </c>
      <c r="N629" s="1595">
        <v>1.2472153849040424</v>
      </c>
      <c r="O629" s="1595">
        <v>1.2473891184382004</v>
      </c>
    </row>
    <row r="630" spans="11:15">
      <c r="K630" s="1592">
        <v>42687</v>
      </c>
      <c r="L630" s="1593"/>
      <c r="M630" s="1594">
        <v>0</v>
      </c>
      <c r="N630" s="1595">
        <v>1.2472153849040424</v>
      </c>
      <c r="O630" s="1595">
        <v>1.2473891184382004</v>
      </c>
    </row>
    <row r="631" spans="11:15">
      <c r="K631" s="1592">
        <v>42688</v>
      </c>
      <c r="L631" s="1593" t="s">
        <v>2301</v>
      </c>
      <c r="M631" s="1594">
        <v>5.1659999999999998E-2</v>
      </c>
      <c r="N631" s="1595">
        <v>1.247859696371884</v>
      </c>
      <c r="O631" s="1595">
        <v>1.2480443844160072</v>
      </c>
    </row>
    <row r="632" spans="11:15">
      <c r="K632" s="1592">
        <v>42689</v>
      </c>
      <c r="L632" s="1593"/>
      <c r="M632" s="1594">
        <v>0</v>
      </c>
      <c r="N632" s="1595">
        <v>1.247859696371884</v>
      </c>
      <c r="O632" s="1595">
        <v>1.2480443844160072</v>
      </c>
    </row>
    <row r="633" spans="11:15">
      <c r="K633" s="1592">
        <v>42690</v>
      </c>
      <c r="L633" s="1593" t="s">
        <v>2301</v>
      </c>
      <c r="M633" s="1594">
        <v>5.1659999999999998E-2</v>
      </c>
      <c r="N633" s="1595">
        <v>1.2485043406910299</v>
      </c>
      <c r="O633" s="1595">
        <v>1.2486999946115847</v>
      </c>
    </row>
    <row r="634" spans="11:15">
      <c r="K634" s="1592">
        <v>42691</v>
      </c>
      <c r="L634" s="1593" t="s">
        <v>2301</v>
      </c>
      <c r="M634" s="1594">
        <v>5.1659999999999998E-2</v>
      </c>
      <c r="N634" s="1595">
        <v>1.249149318033431</v>
      </c>
      <c r="O634" s="1595">
        <v>1.249355949205754</v>
      </c>
    </row>
    <row r="635" spans="11:15">
      <c r="K635" s="1592">
        <v>42692</v>
      </c>
      <c r="L635" s="1593" t="s">
        <v>2301</v>
      </c>
      <c r="M635" s="1594">
        <v>5.1659999999999998E-2</v>
      </c>
      <c r="N635" s="1595">
        <v>1.2497946285711272</v>
      </c>
      <c r="O635" s="1595">
        <v>1.2500122483794314</v>
      </c>
    </row>
    <row r="636" spans="11:15">
      <c r="K636" s="1592">
        <v>42693</v>
      </c>
      <c r="L636" s="1593"/>
      <c r="M636" s="1594">
        <v>0</v>
      </c>
      <c r="N636" s="1595">
        <v>1.2497946285711272</v>
      </c>
      <c r="O636" s="1595">
        <v>1.2500122483794314</v>
      </c>
    </row>
    <row r="637" spans="11:15">
      <c r="K637" s="1592">
        <v>42694</v>
      </c>
      <c r="L637" s="1593"/>
      <c r="M637" s="1594">
        <v>0</v>
      </c>
      <c r="N637" s="1595">
        <v>1.2497946285711272</v>
      </c>
      <c r="O637" s="1595">
        <v>1.2500122483794314</v>
      </c>
    </row>
    <row r="638" spans="11:15">
      <c r="K638" s="1592">
        <v>42695</v>
      </c>
      <c r="L638" s="1593" t="s">
        <v>2301</v>
      </c>
      <c r="M638" s="1594">
        <v>5.1659999999999998E-2</v>
      </c>
      <c r="N638" s="1595">
        <v>1.2504402724762471</v>
      </c>
      <c r="O638" s="1595">
        <v>1.2506688923136275</v>
      </c>
    </row>
    <row r="639" spans="11:15">
      <c r="K639" s="1592">
        <v>42696</v>
      </c>
      <c r="L639" s="1593" t="s">
        <v>2301</v>
      </c>
      <c r="M639" s="1594">
        <v>5.1659999999999998E-2</v>
      </c>
      <c r="N639" s="1595">
        <v>1.2510862499210085</v>
      </c>
      <c r="O639" s="1595">
        <v>1.2513258811894488</v>
      </c>
    </row>
    <row r="640" spans="11:15">
      <c r="K640" s="1592">
        <v>42697</v>
      </c>
      <c r="L640" s="1593" t="s">
        <v>2301</v>
      </c>
      <c r="M640" s="1594">
        <v>5.1659999999999998E-2</v>
      </c>
      <c r="N640" s="1595">
        <v>1.2517325610777177</v>
      </c>
      <c r="O640" s="1595">
        <v>1.2519832151880963</v>
      </c>
    </row>
    <row r="641" spans="11:15">
      <c r="K641" s="1592">
        <v>42698</v>
      </c>
      <c r="L641" s="1593" t="s">
        <v>2301</v>
      </c>
      <c r="M641" s="1594">
        <v>5.1659999999999998E-2</v>
      </c>
      <c r="N641" s="1595">
        <v>1.2523792061187706</v>
      </c>
      <c r="O641" s="1595">
        <v>1.2526408944908667</v>
      </c>
    </row>
    <row r="642" spans="11:15">
      <c r="K642" s="1592">
        <v>42699</v>
      </c>
      <c r="L642" s="1593" t="s">
        <v>2301</v>
      </c>
      <c r="M642" s="1594">
        <v>5.1659999999999998E-2</v>
      </c>
      <c r="N642" s="1595">
        <v>1.2530261852166518</v>
      </c>
      <c r="O642" s="1595">
        <v>1.2532989192791517</v>
      </c>
    </row>
    <row r="643" spans="11:15">
      <c r="K643" s="1592">
        <v>42700</v>
      </c>
      <c r="L643" s="1593"/>
      <c r="M643" s="1594">
        <v>0</v>
      </c>
      <c r="N643" s="1595">
        <v>1.2530261852166518</v>
      </c>
      <c r="O643" s="1595">
        <v>1.2532989192791517</v>
      </c>
    </row>
    <row r="644" spans="11:15">
      <c r="K644" s="1592">
        <v>42701</v>
      </c>
      <c r="L644" s="1593"/>
      <c r="M644" s="1594">
        <v>0</v>
      </c>
      <c r="N644" s="1595">
        <v>1.2530261852166518</v>
      </c>
      <c r="O644" s="1595">
        <v>1.2532989192791517</v>
      </c>
    </row>
    <row r="645" spans="11:15">
      <c r="K645" s="1592">
        <v>42702</v>
      </c>
      <c r="L645" s="1593" t="s">
        <v>2301</v>
      </c>
      <c r="M645" s="1594">
        <v>5.1659999999999998E-2</v>
      </c>
      <c r="N645" s="1595">
        <v>1.2536734985439348</v>
      </c>
      <c r="O645" s="1595">
        <v>1.2539572897344382</v>
      </c>
    </row>
    <row r="646" spans="11:15">
      <c r="K646" s="1592">
        <v>42703</v>
      </c>
      <c r="L646" s="1593" t="s">
        <v>2301</v>
      </c>
      <c r="M646" s="1594">
        <v>5.1659999999999998E-2</v>
      </c>
      <c r="N646" s="1595">
        <v>1.2543211462732828</v>
      </c>
      <c r="O646" s="1595">
        <v>1.2546160060383087</v>
      </c>
    </row>
    <row r="647" spans="11:15">
      <c r="K647" s="1592">
        <v>42704</v>
      </c>
      <c r="L647" s="1593" t="s">
        <v>2301</v>
      </c>
      <c r="M647" s="1594">
        <v>5.1659999999999998E-2</v>
      </c>
      <c r="N647" s="1595">
        <v>1.2549691285774478</v>
      </c>
      <c r="O647" s="1595">
        <v>1.2552750683724407</v>
      </c>
    </row>
    <row r="648" spans="11:15">
      <c r="K648" s="1592">
        <v>42705</v>
      </c>
      <c r="L648" s="1593" t="s">
        <v>2301</v>
      </c>
      <c r="M648" s="1594">
        <v>5.0788E-2</v>
      </c>
      <c r="N648" s="1595">
        <v>1.2556065022984697</v>
      </c>
      <c r="O648" s="1595">
        <v>1.2559344769186074</v>
      </c>
    </row>
    <row r="649" spans="11:15">
      <c r="K649" s="1592">
        <v>42706</v>
      </c>
      <c r="L649" s="1593" t="s">
        <v>2301</v>
      </c>
      <c r="M649" s="1594">
        <v>5.0788E-2</v>
      </c>
      <c r="N649" s="1595">
        <v>1.2562441997288571</v>
      </c>
      <c r="O649" s="1595">
        <v>1.2565942318586776</v>
      </c>
    </row>
    <row r="650" spans="11:15">
      <c r="K650" s="1592">
        <v>42707</v>
      </c>
      <c r="L650" s="1593"/>
      <c r="M650" s="1594">
        <v>0</v>
      </c>
      <c r="N650" s="1595">
        <v>1.2562441997288571</v>
      </c>
      <c r="O650" s="1595">
        <v>1.2565942318586776</v>
      </c>
    </row>
    <row r="651" spans="11:15">
      <c r="K651" s="1592">
        <v>42708</v>
      </c>
      <c r="L651" s="1593"/>
      <c r="M651" s="1594">
        <v>0</v>
      </c>
      <c r="N651" s="1595">
        <v>1.2562441997288571</v>
      </c>
      <c r="O651" s="1595">
        <v>1.2565942318586776</v>
      </c>
    </row>
    <row r="652" spans="11:15">
      <c r="K652" s="1592">
        <v>42709</v>
      </c>
      <c r="L652" s="1593" t="s">
        <v>2301</v>
      </c>
      <c r="M652" s="1594">
        <v>5.0788E-2</v>
      </c>
      <c r="N652" s="1595">
        <v>1.2568822210330155</v>
      </c>
      <c r="O652" s="1595">
        <v>1.2572543333746153</v>
      </c>
    </row>
    <row r="653" spans="11:15">
      <c r="K653" s="1592">
        <v>42710</v>
      </c>
      <c r="L653" s="1593" t="s">
        <v>2301</v>
      </c>
      <c r="M653" s="1594">
        <v>5.0788E-2</v>
      </c>
      <c r="N653" s="1595">
        <v>1.2575205663754339</v>
      </c>
      <c r="O653" s="1595">
        <v>1.2579147816484804</v>
      </c>
    </row>
    <row r="654" spans="11:15">
      <c r="K654" s="1592">
        <v>42711</v>
      </c>
      <c r="L654" s="1593" t="s">
        <v>2301</v>
      </c>
      <c r="M654" s="1594">
        <v>5.0788E-2</v>
      </c>
      <c r="N654" s="1595">
        <v>1.2581592359206846</v>
      </c>
      <c r="O654" s="1595">
        <v>1.258575576862428</v>
      </c>
    </row>
    <row r="655" spans="11:15">
      <c r="K655" s="1592">
        <v>42712</v>
      </c>
      <c r="L655" s="1593" t="s">
        <v>2301</v>
      </c>
      <c r="M655" s="1594">
        <v>5.0788E-2</v>
      </c>
      <c r="N655" s="1595">
        <v>1.2587982298334239</v>
      </c>
      <c r="O655" s="1595">
        <v>1.2592367191987097</v>
      </c>
    </row>
    <row r="656" spans="11:15">
      <c r="K656" s="1592">
        <v>42713</v>
      </c>
      <c r="L656" s="1593" t="s">
        <v>2301</v>
      </c>
      <c r="M656" s="1594">
        <v>5.0788E-2</v>
      </c>
      <c r="N656" s="1595">
        <v>1.2594375482783917</v>
      </c>
      <c r="O656" s="1595">
        <v>1.259898208839672</v>
      </c>
    </row>
    <row r="657" spans="11:15">
      <c r="K657" s="1592">
        <v>42714</v>
      </c>
      <c r="L657" s="1593"/>
      <c r="M657" s="1594">
        <v>0</v>
      </c>
      <c r="N657" s="1595">
        <v>1.2594375482783917</v>
      </c>
      <c r="O657" s="1595">
        <v>1.259898208839672</v>
      </c>
    </row>
    <row r="658" spans="11:15">
      <c r="K658" s="1592">
        <v>42715</v>
      </c>
      <c r="L658" s="1593"/>
      <c r="M658" s="1594">
        <v>0</v>
      </c>
      <c r="N658" s="1595">
        <v>1.2594375482783917</v>
      </c>
      <c r="O658" s="1595">
        <v>1.259898208839672</v>
      </c>
    </row>
    <row r="659" spans="11:15">
      <c r="K659" s="1592">
        <v>42716</v>
      </c>
      <c r="L659" s="1593" t="s">
        <v>2301</v>
      </c>
      <c r="M659" s="1594">
        <v>5.0788E-2</v>
      </c>
      <c r="N659" s="1595">
        <v>1.2600771914204114</v>
      </c>
      <c r="O659" s="1595">
        <v>1.2605600459677575</v>
      </c>
    </row>
    <row r="660" spans="11:15">
      <c r="K660" s="1592">
        <v>42717</v>
      </c>
      <c r="L660" s="1593" t="s">
        <v>2301</v>
      </c>
      <c r="M660" s="1594">
        <v>5.0788E-2</v>
      </c>
      <c r="N660" s="1595">
        <v>1.26071715942439</v>
      </c>
      <c r="O660" s="1595">
        <v>1.2612222307655048</v>
      </c>
    </row>
    <row r="661" spans="11:15">
      <c r="K661" s="1592">
        <v>42718</v>
      </c>
      <c r="L661" s="1593" t="s">
        <v>2301</v>
      </c>
      <c r="M661" s="1594">
        <v>5.0788E-2</v>
      </c>
      <c r="N661" s="1595">
        <v>1.2613574524553184</v>
      </c>
      <c r="O661" s="1595">
        <v>1.2618847634155481</v>
      </c>
    </row>
    <row r="662" spans="11:15">
      <c r="K662" s="1592">
        <v>42719</v>
      </c>
      <c r="L662" s="1593" t="s">
        <v>2301</v>
      </c>
      <c r="M662" s="1594">
        <v>5.0788E-2</v>
      </c>
      <c r="N662" s="1595">
        <v>1.2619980706782714</v>
      </c>
      <c r="O662" s="1595">
        <v>1.262547644100618</v>
      </c>
    </row>
    <row r="663" spans="11:15">
      <c r="K663" s="1592">
        <v>42720</v>
      </c>
      <c r="L663" s="1593" t="s">
        <v>2301</v>
      </c>
      <c r="M663" s="1594">
        <v>5.0788E-2</v>
      </c>
      <c r="N663" s="1595">
        <v>1.2626390142584074</v>
      </c>
      <c r="O663" s="1595">
        <v>1.2632108730035405</v>
      </c>
    </row>
    <row r="664" spans="11:15">
      <c r="K664" s="1592">
        <v>42721</v>
      </c>
      <c r="L664" s="1593"/>
      <c r="M664" s="1594">
        <v>0</v>
      </c>
      <c r="N664" s="1595">
        <v>1.2626390142584074</v>
      </c>
      <c r="O664" s="1595">
        <v>1.2632108730035405</v>
      </c>
    </row>
    <row r="665" spans="11:15">
      <c r="K665" s="1592">
        <v>42722</v>
      </c>
      <c r="L665" s="1593"/>
      <c r="M665" s="1594">
        <v>0</v>
      </c>
      <c r="N665" s="1595">
        <v>1.2626390142584074</v>
      </c>
      <c r="O665" s="1595">
        <v>1.2632108730035405</v>
      </c>
    </row>
    <row r="666" spans="11:15">
      <c r="K666" s="1592">
        <v>42723</v>
      </c>
      <c r="L666" s="1593" t="s">
        <v>2301</v>
      </c>
      <c r="M666" s="1594">
        <v>5.0788E-2</v>
      </c>
      <c r="N666" s="1595">
        <v>1.2632802833609691</v>
      </c>
      <c r="O666" s="1595">
        <v>1.2638744503072381</v>
      </c>
    </row>
    <row r="667" spans="11:15">
      <c r="K667" s="1592">
        <v>42724</v>
      </c>
      <c r="L667" s="1593" t="s">
        <v>2301</v>
      </c>
      <c r="M667" s="1594">
        <v>5.0788E-2</v>
      </c>
      <c r="N667" s="1595">
        <v>1.2639218781512824</v>
      </c>
      <c r="O667" s="1595">
        <v>1.2645383761947291</v>
      </c>
    </row>
    <row r="668" spans="11:15">
      <c r="K668" s="1592">
        <v>42725</v>
      </c>
      <c r="L668" s="1593" t="s">
        <v>2301</v>
      </c>
      <c r="M668" s="1594">
        <v>5.0788E-2</v>
      </c>
      <c r="N668" s="1595">
        <v>1.264563798794758</v>
      </c>
      <c r="O668" s="1595">
        <v>1.2652026508491279</v>
      </c>
    </row>
    <row r="669" spans="11:15">
      <c r="K669" s="1592">
        <v>42726</v>
      </c>
      <c r="L669" s="1593" t="s">
        <v>2301</v>
      </c>
      <c r="M669" s="1594">
        <v>5.0788E-2</v>
      </c>
      <c r="N669" s="1595">
        <v>1.2652060454568899</v>
      </c>
      <c r="O669" s="1595">
        <v>1.2658672744536454</v>
      </c>
    </row>
    <row r="670" spans="11:15">
      <c r="K670" s="1592">
        <v>42727</v>
      </c>
      <c r="L670" s="1593" t="s">
        <v>2301</v>
      </c>
      <c r="M670" s="1594">
        <v>5.0788E-2</v>
      </c>
      <c r="N670" s="1595">
        <v>1.2658486183032565</v>
      </c>
      <c r="O670" s="1595">
        <v>1.2665322471915887</v>
      </c>
    </row>
    <row r="671" spans="11:15">
      <c r="K671" s="1592">
        <v>42728</v>
      </c>
      <c r="L671" s="1593"/>
      <c r="M671" s="1594">
        <v>0</v>
      </c>
      <c r="N671" s="1595">
        <v>1.2658486183032565</v>
      </c>
      <c r="O671" s="1595">
        <v>1.2665322471915887</v>
      </c>
    </row>
    <row r="672" spans="11:15">
      <c r="K672" s="1592">
        <v>42729</v>
      </c>
      <c r="L672" s="1593"/>
      <c r="M672" s="1594">
        <v>0</v>
      </c>
      <c r="N672" s="1595">
        <v>1.2658486183032565</v>
      </c>
      <c r="O672" s="1595">
        <v>1.2665322471915887</v>
      </c>
    </row>
    <row r="673" spans="11:15">
      <c r="K673" s="1592">
        <v>42730</v>
      </c>
      <c r="L673" s="1593" t="s">
        <v>2301</v>
      </c>
      <c r="M673" s="1594">
        <v>5.0788E-2</v>
      </c>
      <c r="N673" s="1595">
        <v>1.2664915174995204</v>
      </c>
      <c r="O673" s="1595">
        <v>1.2671975692463611</v>
      </c>
    </row>
    <row r="674" spans="11:15">
      <c r="K674" s="1592">
        <v>42731</v>
      </c>
      <c r="L674" s="1593" t="s">
        <v>2301</v>
      </c>
      <c r="M674" s="1594">
        <v>5.0788E-2</v>
      </c>
      <c r="N674" s="1595">
        <v>1.2671347432114282</v>
      </c>
      <c r="O674" s="1595">
        <v>1.2678632408014618</v>
      </c>
    </row>
    <row r="675" spans="11:15">
      <c r="K675" s="1592">
        <v>42732</v>
      </c>
      <c r="L675" s="1593" t="s">
        <v>2301</v>
      </c>
      <c r="M675" s="1594">
        <v>5.0788E-2</v>
      </c>
      <c r="N675" s="1595">
        <v>1.2677782956048105</v>
      </c>
      <c r="O675" s="1595">
        <v>1.2685292620404873</v>
      </c>
    </row>
    <row r="676" spans="11:15">
      <c r="K676" s="1592">
        <v>42733</v>
      </c>
      <c r="L676" s="1593" t="s">
        <v>2301</v>
      </c>
      <c r="M676" s="1594">
        <v>5.0788E-2</v>
      </c>
      <c r="N676" s="1595">
        <v>1.2684221748455822</v>
      </c>
      <c r="O676" s="1595">
        <v>1.2691956331471299</v>
      </c>
    </row>
    <row r="677" spans="11:15">
      <c r="K677" s="1592">
        <v>42734</v>
      </c>
      <c r="L677" s="1593" t="s">
        <v>2301</v>
      </c>
      <c r="M677" s="1594">
        <v>5.0788E-2</v>
      </c>
      <c r="N677" s="1595">
        <v>1.2690663810997427</v>
      </c>
      <c r="O677" s="1595">
        <v>1.2698623543051784</v>
      </c>
    </row>
    <row r="678" spans="11:15">
      <c r="K678" s="1592">
        <v>42735</v>
      </c>
      <c r="L678" s="1593"/>
      <c r="M678" s="1594">
        <v>0</v>
      </c>
      <c r="N678" s="1595">
        <v>1.2690663810997427</v>
      </c>
      <c r="O678" s="1595">
        <v>1.2698623543051784</v>
      </c>
    </row>
    <row r="679" spans="11:15">
      <c r="K679" s="1592">
        <v>42736</v>
      </c>
      <c r="L679" s="1593"/>
      <c r="M679" s="1594">
        <v>0</v>
      </c>
      <c r="N679" s="1595">
        <v>1.2690663810997427</v>
      </c>
      <c r="O679" s="1595">
        <v>1.2698623543051784</v>
      </c>
    </row>
    <row r="680" spans="11:15">
      <c r="K680" s="1592">
        <v>42737</v>
      </c>
      <c r="L680" s="1593" t="s">
        <v>2301</v>
      </c>
      <c r="M680" s="1594">
        <v>5.0788E-2</v>
      </c>
      <c r="N680" s="1595">
        <v>1.2697109145333756</v>
      </c>
      <c r="O680" s="1595">
        <v>1.2705294256985185</v>
      </c>
    </row>
    <row r="681" spans="11:15">
      <c r="K681" s="1592">
        <v>42738</v>
      </c>
      <c r="L681" s="1593" t="s">
        <v>2301</v>
      </c>
      <c r="M681" s="1594">
        <v>5.0788E-2</v>
      </c>
      <c r="N681" s="1595">
        <v>1.2703557753126489</v>
      </c>
      <c r="O681" s="1595">
        <v>1.2711968475111322</v>
      </c>
    </row>
    <row r="682" spans="11:15">
      <c r="K682" s="1592">
        <v>42739</v>
      </c>
      <c r="L682" s="1593" t="s">
        <v>2301</v>
      </c>
      <c r="M682" s="1594">
        <v>5.0788E-2</v>
      </c>
      <c r="N682" s="1595">
        <v>1.2710009636038146</v>
      </c>
      <c r="O682" s="1595">
        <v>1.2718646199270982</v>
      </c>
    </row>
    <row r="683" spans="11:15">
      <c r="K683" s="1592">
        <v>42740</v>
      </c>
      <c r="L683" s="1593" t="s">
        <v>2301</v>
      </c>
      <c r="M683" s="1594">
        <v>5.0788E-2</v>
      </c>
      <c r="N683" s="1595">
        <v>1.2716464795732099</v>
      </c>
      <c r="O683" s="1595">
        <v>1.2725327431305922</v>
      </c>
    </row>
    <row r="684" spans="11:15">
      <c r="K684" s="1592">
        <v>42741</v>
      </c>
      <c r="L684" s="1593" t="s">
        <v>2301</v>
      </c>
      <c r="M684" s="1594">
        <v>5.0788E-2</v>
      </c>
      <c r="N684" s="1595">
        <v>1.2722923233872556</v>
      </c>
      <c r="O684" s="1595">
        <v>1.2732012173058862</v>
      </c>
    </row>
    <row r="685" spans="11:15">
      <c r="K685" s="1592">
        <v>42742</v>
      </c>
      <c r="L685" s="1593"/>
      <c r="M685" s="1594">
        <v>0</v>
      </c>
      <c r="N685" s="1595">
        <v>1.2722923233872556</v>
      </c>
      <c r="O685" s="1595">
        <v>1.2732012173058862</v>
      </c>
    </row>
    <row r="686" spans="11:15">
      <c r="K686" s="1592">
        <v>42743</v>
      </c>
      <c r="L686" s="1593"/>
      <c r="M686" s="1594">
        <v>0</v>
      </c>
      <c r="N686" s="1595">
        <v>1.2722923233872556</v>
      </c>
      <c r="O686" s="1595">
        <v>1.2732012173058862</v>
      </c>
    </row>
    <row r="687" spans="11:15">
      <c r="K687" s="1592">
        <v>42744</v>
      </c>
      <c r="L687" s="1593" t="s">
        <v>2301</v>
      </c>
      <c r="M687" s="1594">
        <v>5.0788E-2</v>
      </c>
      <c r="N687" s="1595">
        <v>1.2729384952124576</v>
      </c>
      <c r="O687" s="1595">
        <v>1.2738700426373493</v>
      </c>
    </row>
    <row r="688" spans="11:15">
      <c r="K688" s="1592">
        <v>42745</v>
      </c>
      <c r="L688" s="1593" t="s">
        <v>2301</v>
      </c>
      <c r="M688" s="1594">
        <v>5.0788E-2</v>
      </c>
      <c r="N688" s="1595">
        <v>1.2735849952154061</v>
      </c>
      <c r="O688" s="1595">
        <v>1.2745392193094471</v>
      </c>
    </row>
    <row r="689" spans="11:15">
      <c r="K689" s="1592">
        <v>42746</v>
      </c>
      <c r="L689" s="1593" t="s">
        <v>2301</v>
      </c>
      <c r="M689" s="1594">
        <v>5.0788E-2</v>
      </c>
      <c r="N689" s="1595">
        <v>1.2742318235627761</v>
      </c>
      <c r="O689" s="1595">
        <v>1.2752087475067426</v>
      </c>
    </row>
    <row r="690" spans="11:15">
      <c r="K690" s="1592">
        <v>42747</v>
      </c>
      <c r="L690" s="1593" t="s">
        <v>2301</v>
      </c>
      <c r="M690" s="1594">
        <v>4.8159E-2</v>
      </c>
      <c r="N690" s="1595">
        <v>1.2748454808666856</v>
      </c>
      <c r="O690" s="1595">
        <v>1.2758786274138953</v>
      </c>
    </row>
    <row r="691" spans="11:15">
      <c r="K691" s="1592">
        <v>42748</v>
      </c>
      <c r="L691" s="1593" t="s">
        <v>2301</v>
      </c>
      <c r="M691" s="1594">
        <v>4.8159E-2</v>
      </c>
      <c r="N691" s="1595">
        <v>1.2754594337018161</v>
      </c>
      <c r="O691" s="1595">
        <v>1.2765488592156622</v>
      </c>
    </row>
    <row r="692" spans="11:15">
      <c r="K692" s="1592">
        <v>42749</v>
      </c>
      <c r="L692" s="1593"/>
      <c r="M692" s="1594">
        <v>0</v>
      </c>
      <c r="N692" s="1595">
        <v>1.2754594337018161</v>
      </c>
      <c r="O692" s="1595">
        <v>1.2765488592156622</v>
      </c>
    </row>
    <row r="693" spans="11:15">
      <c r="K693" s="1592">
        <v>42750</v>
      </c>
      <c r="L693" s="1593"/>
      <c r="M693" s="1594">
        <v>0</v>
      </c>
      <c r="N693" s="1595">
        <v>1.2754594337018161</v>
      </c>
      <c r="O693" s="1595">
        <v>1.2765488592156622</v>
      </c>
    </row>
    <row r="694" spans="11:15">
      <c r="K694" s="1592">
        <v>42751</v>
      </c>
      <c r="L694" s="1593" t="s">
        <v>2301</v>
      </c>
      <c r="M694" s="1594">
        <v>4.8159E-2</v>
      </c>
      <c r="N694" s="1595">
        <v>1.2760736822104926</v>
      </c>
      <c r="O694" s="1595">
        <v>1.2772194430968968</v>
      </c>
    </row>
    <row r="695" spans="11:15">
      <c r="K695" s="1592">
        <v>42752</v>
      </c>
      <c r="L695" s="1593" t="s">
        <v>2301</v>
      </c>
      <c r="M695" s="1594">
        <v>4.8159E-2</v>
      </c>
      <c r="N695" s="1595">
        <v>1.2766882265351083</v>
      </c>
      <c r="O695" s="1595">
        <v>1.27789037924255</v>
      </c>
    </row>
    <row r="696" spans="11:15">
      <c r="K696" s="1592">
        <v>42753</v>
      </c>
      <c r="L696" s="1593" t="s">
        <v>2301</v>
      </c>
      <c r="M696" s="1594">
        <v>4.8159E-2</v>
      </c>
      <c r="N696" s="1595">
        <v>1.2773030668181251</v>
      </c>
      <c r="O696" s="1595">
        <v>1.2785616678376699</v>
      </c>
    </row>
    <row r="697" spans="11:15">
      <c r="K697" s="1592">
        <v>42754</v>
      </c>
      <c r="L697" s="1593" t="s">
        <v>2301</v>
      </c>
      <c r="M697" s="1594">
        <v>4.8159E-2</v>
      </c>
      <c r="N697" s="1595">
        <v>1.2779182032020739</v>
      </c>
      <c r="O697" s="1595">
        <v>1.2792333090674017</v>
      </c>
    </row>
    <row r="698" spans="11:15">
      <c r="K698" s="1592">
        <v>42755</v>
      </c>
      <c r="L698" s="1593" t="s">
        <v>2301</v>
      </c>
      <c r="M698" s="1594">
        <v>4.8159E-2</v>
      </c>
      <c r="N698" s="1595">
        <v>1.278533635829554</v>
      </c>
      <c r="O698" s="1595">
        <v>1.279905303116988</v>
      </c>
    </row>
    <row r="699" spans="11:15">
      <c r="K699" s="1592">
        <v>42756</v>
      </c>
      <c r="L699" s="1593"/>
      <c r="M699" s="1594">
        <v>0</v>
      </c>
      <c r="N699" s="1595">
        <v>1.278533635829554</v>
      </c>
      <c r="O699" s="1595">
        <v>1.279905303116988</v>
      </c>
    </row>
    <row r="700" spans="11:15">
      <c r="K700" s="1592">
        <v>42757</v>
      </c>
      <c r="L700" s="1593"/>
      <c r="M700" s="1594">
        <v>0</v>
      </c>
      <c r="N700" s="1595">
        <v>1.278533635829554</v>
      </c>
      <c r="O700" s="1595">
        <v>1.279905303116988</v>
      </c>
    </row>
    <row r="701" spans="11:15">
      <c r="K701" s="1592">
        <v>42758</v>
      </c>
      <c r="L701" s="1593" t="s">
        <v>2301</v>
      </c>
      <c r="M701" s="1594">
        <v>4.8159E-2</v>
      </c>
      <c r="N701" s="1595">
        <v>1.279149364843233</v>
      </c>
      <c r="O701" s="1595">
        <v>1.2805776501717685</v>
      </c>
    </row>
    <row r="702" spans="11:15">
      <c r="K702" s="1592">
        <v>42759</v>
      </c>
      <c r="L702" s="1593" t="s">
        <v>2301</v>
      </c>
      <c r="M702" s="1594">
        <v>4.8159E-2</v>
      </c>
      <c r="N702" s="1595">
        <v>1.2797653903858479</v>
      </c>
      <c r="O702" s="1595">
        <v>1.2812503504171802</v>
      </c>
    </row>
    <row r="703" spans="11:15">
      <c r="K703" s="1592">
        <v>42760</v>
      </c>
      <c r="L703" s="1593" t="s">
        <v>2301</v>
      </c>
      <c r="M703" s="1594">
        <v>4.8159E-2</v>
      </c>
      <c r="N703" s="1595">
        <v>1.2803817126002037</v>
      </c>
      <c r="O703" s="1595">
        <v>1.2819234040387577</v>
      </c>
    </row>
    <row r="704" spans="11:15">
      <c r="K704" s="1592">
        <v>42761</v>
      </c>
      <c r="L704" s="1593" t="s">
        <v>2301</v>
      </c>
      <c r="M704" s="1594">
        <v>4.8159E-2</v>
      </c>
      <c r="N704" s="1595">
        <v>1.2809983316291746</v>
      </c>
      <c r="O704" s="1595">
        <v>1.2825968112221333</v>
      </c>
    </row>
    <row r="705" spans="11:15">
      <c r="K705" s="1592">
        <v>42762</v>
      </c>
      <c r="L705" s="1593" t="s">
        <v>2301</v>
      </c>
      <c r="M705" s="1594">
        <v>4.8159E-2</v>
      </c>
      <c r="N705" s="1595">
        <v>1.2816152476157039</v>
      </c>
      <c r="O705" s="1595">
        <v>1.2832705721530364</v>
      </c>
    </row>
    <row r="706" spans="11:15">
      <c r="K706" s="1592">
        <v>42763</v>
      </c>
      <c r="L706" s="1593"/>
      <c r="M706" s="1594">
        <v>0</v>
      </c>
      <c r="N706" s="1595">
        <v>1.2816152476157039</v>
      </c>
      <c r="O706" s="1595">
        <v>1.2832705721530364</v>
      </c>
    </row>
    <row r="707" spans="11:15">
      <c r="K707" s="1592">
        <v>42764</v>
      </c>
      <c r="L707" s="1593"/>
      <c r="M707" s="1594">
        <v>0</v>
      </c>
      <c r="N707" s="1595">
        <v>1.2816152476157039</v>
      </c>
      <c r="O707" s="1595">
        <v>1.2832705721530364</v>
      </c>
    </row>
    <row r="708" spans="11:15">
      <c r="K708" s="1592">
        <v>42765</v>
      </c>
      <c r="L708" s="1593" t="s">
        <v>2301</v>
      </c>
      <c r="M708" s="1594">
        <v>4.8159E-2</v>
      </c>
      <c r="N708" s="1595">
        <v>1.2822324607028031</v>
      </c>
      <c r="O708" s="1595">
        <v>1.2839446870172941</v>
      </c>
    </row>
    <row r="709" spans="11:15">
      <c r="K709" s="1592">
        <v>42766</v>
      </c>
      <c r="L709" s="1593" t="s">
        <v>2301</v>
      </c>
      <c r="M709" s="1594">
        <v>4.8159E-2</v>
      </c>
      <c r="N709" s="1595">
        <v>1.2828499710335528</v>
      </c>
      <c r="O709" s="1595">
        <v>1.2846191560008311</v>
      </c>
    </row>
    <row r="710" spans="11:15">
      <c r="K710" s="1592">
        <v>42767</v>
      </c>
      <c r="L710" s="1593" t="s">
        <v>2301</v>
      </c>
      <c r="M710" s="1594">
        <v>4.8159E-2</v>
      </c>
      <c r="N710" s="1595">
        <v>1.2834677787511029</v>
      </c>
      <c r="O710" s="1595">
        <v>1.2852939792896698</v>
      </c>
    </row>
    <row r="711" spans="11:15">
      <c r="K711" s="1592">
        <v>42768</v>
      </c>
      <c r="L711" s="1593" t="s">
        <v>2301</v>
      </c>
      <c r="M711" s="1594">
        <v>4.8159E-2</v>
      </c>
      <c r="N711" s="1595">
        <v>1.2840858839986715</v>
      </c>
      <c r="O711" s="1595">
        <v>1.2859691570699305</v>
      </c>
    </row>
    <row r="712" spans="11:15">
      <c r="K712" s="1592">
        <v>42769</v>
      </c>
      <c r="L712" s="1593" t="s">
        <v>2301</v>
      </c>
      <c r="M712" s="1594">
        <v>4.8159E-2</v>
      </c>
      <c r="N712" s="1595">
        <v>1.2847042869195464</v>
      </c>
      <c r="O712" s="1595">
        <v>1.286644689527831</v>
      </c>
    </row>
    <row r="713" spans="11:15">
      <c r="K713" s="1592">
        <v>42770</v>
      </c>
      <c r="L713" s="1593"/>
      <c r="M713" s="1594">
        <v>0</v>
      </c>
      <c r="N713" s="1595">
        <v>1.2847042869195464</v>
      </c>
      <c r="O713" s="1595">
        <v>1.286644689527831</v>
      </c>
    </row>
    <row r="714" spans="11:15">
      <c r="K714" s="1592">
        <v>42771</v>
      </c>
      <c r="L714" s="1593"/>
      <c r="M714" s="1594">
        <v>0</v>
      </c>
      <c r="N714" s="1595">
        <v>1.2847042869195464</v>
      </c>
      <c r="O714" s="1595">
        <v>1.286644689527831</v>
      </c>
    </row>
    <row r="715" spans="11:15">
      <c r="K715" s="1592">
        <v>42772</v>
      </c>
      <c r="L715" s="1593" t="s">
        <v>2301</v>
      </c>
      <c r="M715" s="1594">
        <v>4.8159E-2</v>
      </c>
      <c r="N715" s="1595">
        <v>1.285322987657084</v>
      </c>
      <c r="O715" s="1595">
        <v>1.2873205768496869</v>
      </c>
    </row>
    <row r="716" spans="11:15">
      <c r="K716" s="1592">
        <v>42773</v>
      </c>
      <c r="L716" s="1593" t="s">
        <v>2301</v>
      </c>
      <c r="M716" s="1594">
        <v>4.8159E-2</v>
      </c>
      <c r="N716" s="1595">
        <v>1.2859419863547097</v>
      </c>
      <c r="O716" s="1595">
        <v>1.2879968192219118</v>
      </c>
    </row>
    <row r="717" spans="11:15">
      <c r="K717" s="1592">
        <v>42774</v>
      </c>
      <c r="L717" s="1593" t="s">
        <v>2301</v>
      </c>
      <c r="M717" s="1594">
        <v>4.8159E-2</v>
      </c>
      <c r="N717" s="1595">
        <v>1.2865612831559181</v>
      </c>
      <c r="O717" s="1595">
        <v>1.2886734168310172</v>
      </c>
    </row>
    <row r="718" spans="11:15">
      <c r="K718" s="1592">
        <v>42775</v>
      </c>
      <c r="L718" s="1593" t="s">
        <v>2301</v>
      </c>
      <c r="M718" s="1594">
        <v>4.8159E-2</v>
      </c>
      <c r="N718" s="1595">
        <v>1.2871808782042731</v>
      </c>
      <c r="O718" s="1595">
        <v>1.2893503698636126</v>
      </c>
    </row>
    <row r="719" spans="11:15">
      <c r="K719" s="1592">
        <v>42776</v>
      </c>
      <c r="L719" s="1593" t="s">
        <v>2301</v>
      </c>
      <c r="M719" s="1594">
        <v>4.8159E-2</v>
      </c>
      <c r="N719" s="1595">
        <v>1.2878007716434074</v>
      </c>
      <c r="O719" s="1595">
        <v>1.2900276785064058</v>
      </c>
    </row>
    <row r="720" spans="11:15">
      <c r="K720" s="1592">
        <v>42777</v>
      </c>
      <c r="L720" s="1593"/>
      <c r="M720" s="1594">
        <v>0</v>
      </c>
      <c r="N720" s="1595">
        <v>1.2878007716434074</v>
      </c>
      <c r="O720" s="1595">
        <v>1.2900276785064058</v>
      </c>
    </row>
    <row r="721" spans="11:15">
      <c r="K721" s="1592">
        <v>42778</v>
      </c>
      <c r="L721" s="1593"/>
      <c r="M721" s="1594">
        <v>0</v>
      </c>
      <c r="N721" s="1595">
        <v>1.2878007716434074</v>
      </c>
      <c r="O721" s="1595">
        <v>1.2900276785064058</v>
      </c>
    </row>
    <row r="722" spans="11:15">
      <c r="K722" s="1592">
        <v>42779</v>
      </c>
      <c r="L722" s="1593" t="s">
        <v>2301</v>
      </c>
      <c r="M722" s="1594">
        <v>4.8159E-2</v>
      </c>
      <c r="N722" s="1595">
        <v>1.2884209636170232</v>
      </c>
      <c r="O722" s="1595">
        <v>1.2907053429462019</v>
      </c>
    </row>
    <row r="723" spans="11:15">
      <c r="K723" s="1592">
        <v>42780</v>
      </c>
      <c r="L723" s="1593" t="s">
        <v>2301</v>
      </c>
      <c r="M723" s="1594">
        <v>4.8159E-2</v>
      </c>
      <c r="N723" s="1595">
        <v>1.2890414542688915</v>
      </c>
      <c r="O723" s="1595">
        <v>1.291383363369905</v>
      </c>
    </row>
    <row r="724" spans="11:15">
      <c r="K724" s="1592">
        <v>42781</v>
      </c>
      <c r="L724" s="1593" t="s">
        <v>2301</v>
      </c>
      <c r="M724" s="1594">
        <v>4.8159E-2</v>
      </c>
      <c r="N724" s="1595">
        <v>1.2896622437428527</v>
      </c>
      <c r="O724" s="1595">
        <v>1.2920617399645169</v>
      </c>
    </row>
    <row r="725" spans="11:15">
      <c r="K725" s="1592">
        <v>42782</v>
      </c>
      <c r="L725" s="1593" t="s">
        <v>2301</v>
      </c>
      <c r="M725" s="1594">
        <v>4.8159E-2</v>
      </c>
      <c r="N725" s="1595">
        <v>1.2902833321828167</v>
      </c>
      <c r="O725" s="1595">
        <v>1.2927404729171377</v>
      </c>
    </row>
    <row r="726" spans="11:15">
      <c r="K726" s="1592">
        <v>42783</v>
      </c>
      <c r="L726" s="1593" t="s">
        <v>2301</v>
      </c>
      <c r="M726" s="1594">
        <v>4.8159E-2</v>
      </c>
      <c r="N726" s="1595">
        <v>1.2909047197327626</v>
      </c>
      <c r="O726" s="1595">
        <v>1.2934195624149658</v>
      </c>
    </row>
    <row r="727" spans="11:15">
      <c r="K727" s="1592">
        <v>42784</v>
      </c>
      <c r="L727" s="1593"/>
      <c r="M727" s="1594">
        <v>0</v>
      </c>
      <c r="N727" s="1595">
        <v>1.2909047197327626</v>
      </c>
      <c r="O727" s="1595">
        <v>1.2934195624149658</v>
      </c>
    </row>
    <row r="728" spans="11:15">
      <c r="K728" s="1592">
        <v>42785</v>
      </c>
      <c r="L728" s="1593"/>
      <c r="M728" s="1594">
        <v>0</v>
      </c>
      <c r="N728" s="1595">
        <v>1.2909047197327626</v>
      </c>
      <c r="O728" s="1595">
        <v>1.2934195624149658</v>
      </c>
    </row>
    <row r="729" spans="11:15">
      <c r="K729" s="1592">
        <v>42786</v>
      </c>
      <c r="L729" s="1593" t="s">
        <v>2301</v>
      </c>
      <c r="M729" s="1594">
        <v>4.8159E-2</v>
      </c>
      <c r="N729" s="1595">
        <v>1.2915264065367384</v>
      </c>
      <c r="O729" s="1595">
        <v>1.2940990086452979</v>
      </c>
    </row>
    <row r="730" spans="11:15">
      <c r="K730" s="1592">
        <v>42787</v>
      </c>
      <c r="L730" s="1593" t="s">
        <v>2301</v>
      </c>
      <c r="M730" s="1594">
        <v>4.8159E-2</v>
      </c>
      <c r="N730" s="1595">
        <v>1.2921483927388624</v>
      </c>
      <c r="O730" s="1595">
        <v>1.2947788117955294</v>
      </c>
    </row>
    <row r="731" spans="11:15">
      <c r="K731" s="1592">
        <v>42788</v>
      </c>
      <c r="L731" s="1593" t="s">
        <v>2301</v>
      </c>
      <c r="M731" s="1594">
        <v>4.8159E-2</v>
      </c>
      <c r="N731" s="1595">
        <v>1.2927706784833215</v>
      </c>
      <c r="O731" s="1595">
        <v>1.2954589720531537</v>
      </c>
    </row>
    <row r="732" spans="11:15">
      <c r="K732" s="1592">
        <v>42789</v>
      </c>
      <c r="L732" s="1593" t="s">
        <v>2301</v>
      </c>
      <c r="M732" s="1594">
        <v>4.5512999999999998E-2</v>
      </c>
      <c r="N732" s="1595">
        <v>1.2933590572022196</v>
      </c>
      <c r="O732" s="1595">
        <v>1.296139489605763</v>
      </c>
    </row>
    <row r="733" spans="11:15">
      <c r="K733" s="1592">
        <v>42790</v>
      </c>
      <c r="L733" s="1593" t="s">
        <v>2301</v>
      </c>
      <c r="M733" s="1594">
        <v>4.5512999999999998E-2</v>
      </c>
      <c r="N733" s="1595">
        <v>1.2939477037099241</v>
      </c>
      <c r="O733" s="1595">
        <v>1.2968203646410479</v>
      </c>
    </row>
    <row r="734" spans="11:15">
      <c r="K734" s="1592">
        <v>42791</v>
      </c>
      <c r="L734" s="1593"/>
      <c r="M734" s="1594">
        <v>0</v>
      </c>
      <c r="N734" s="1595">
        <v>1.2939477037099241</v>
      </c>
      <c r="O734" s="1595">
        <v>1.2968203646410479</v>
      </c>
    </row>
    <row r="735" spans="11:15">
      <c r="K735" s="1592">
        <v>42792</v>
      </c>
      <c r="L735" s="1593"/>
      <c r="M735" s="1594">
        <v>0</v>
      </c>
      <c r="N735" s="1595">
        <v>1.2939477037099241</v>
      </c>
      <c r="O735" s="1595">
        <v>1.2968203646410479</v>
      </c>
    </row>
    <row r="736" spans="11:15">
      <c r="K736" s="1592">
        <v>42793</v>
      </c>
      <c r="L736" s="1593"/>
      <c r="M736" s="1594">
        <v>0</v>
      </c>
      <c r="N736" s="1595">
        <v>1.2939477037099241</v>
      </c>
      <c r="O736" s="1595">
        <v>1.2968203646410479</v>
      </c>
    </row>
    <row r="737" spans="11:15">
      <c r="K737" s="1592">
        <v>42794</v>
      </c>
      <c r="L737" s="1593"/>
      <c r="M737" s="1594">
        <v>0</v>
      </c>
      <c r="N737" s="1595">
        <v>1.2939477037099241</v>
      </c>
      <c r="O737" s="1595">
        <v>1.2968203646410479</v>
      </c>
    </row>
    <row r="738" spans="11:15">
      <c r="K738" s="1592">
        <v>42795</v>
      </c>
      <c r="L738" s="1593" t="s">
        <v>2301</v>
      </c>
      <c r="M738" s="1594">
        <v>4.5512999999999998E-2</v>
      </c>
      <c r="N738" s="1595">
        <v>1.2945366181283136</v>
      </c>
      <c r="O738" s="1595">
        <v>1.2975015973467974</v>
      </c>
    </row>
    <row r="739" spans="11:15">
      <c r="K739" s="1592">
        <v>42796</v>
      </c>
      <c r="L739" s="1593" t="s">
        <v>2301</v>
      </c>
      <c r="M739" s="1594">
        <v>4.5512999999999998E-2</v>
      </c>
      <c r="N739" s="1595">
        <v>1.2951258005793223</v>
      </c>
      <c r="O739" s="1595">
        <v>1.2981831879108996</v>
      </c>
    </row>
    <row r="740" spans="11:15">
      <c r="K740" s="1592">
        <v>42797</v>
      </c>
      <c r="L740" s="1593" t="s">
        <v>2301</v>
      </c>
      <c r="M740" s="1594">
        <v>4.5512999999999998E-2</v>
      </c>
      <c r="N740" s="1595">
        <v>1.2957152511849399</v>
      </c>
      <c r="O740" s="1595">
        <v>1.2988651365213411</v>
      </c>
    </row>
    <row r="741" spans="11:15">
      <c r="K741" s="1592">
        <v>42798</v>
      </c>
      <c r="L741" s="1593"/>
      <c r="M741" s="1594">
        <v>0</v>
      </c>
      <c r="N741" s="1595">
        <v>1.2957152511849399</v>
      </c>
      <c r="O741" s="1595">
        <v>1.2988651365213411</v>
      </c>
    </row>
    <row r="742" spans="11:15">
      <c r="K742" s="1592">
        <v>42799</v>
      </c>
      <c r="L742" s="1593"/>
      <c r="M742" s="1594">
        <v>0</v>
      </c>
      <c r="N742" s="1595">
        <v>1.2957152511849399</v>
      </c>
      <c r="O742" s="1595">
        <v>1.2988651365213411</v>
      </c>
    </row>
    <row r="743" spans="11:15">
      <c r="K743" s="1592">
        <v>42800</v>
      </c>
      <c r="L743" s="1593" t="s">
        <v>2301</v>
      </c>
      <c r="M743" s="1594">
        <v>4.5512999999999998E-2</v>
      </c>
      <c r="N743" s="1595">
        <v>1.2963049700672116</v>
      </c>
      <c r="O743" s="1595">
        <v>1.2995474433662071</v>
      </c>
    </row>
    <row r="744" spans="11:15">
      <c r="K744" s="1592">
        <v>42801</v>
      </c>
      <c r="L744" s="1593" t="s">
        <v>2301</v>
      </c>
      <c r="M744" s="1594">
        <v>4.5512999999999998E-2</v>
      </c>
      <c r="N744" s="1595">
        <v>1.2968949573482382</v>
      </c>
      <c r="O744" s="1595">
        <v>1.3002301086336818</v>
      </c>
    </row>
    <row r="745" spans="11:15">
      <c r="K745" s="1592">
        <v>42802</v>
      </c>
      <c r="L745" s="1593" t="s">
        <v>2301</v>
      </c>
      <c r="M745" s="1594">
        <v>4.5512999999999998E-2</v>
      </c>
      <c r="N745" s="1595">
        <v>1.2974852131501762</v>
      </c>
      <c r="O745" s="1595">
        <v>1.3009131325120482</v>
      </c>
    </row>
    <row r="746" spans="11:15">
      <c r="K746" s="1592">
        <v>42803</v>
      </c>
      <c r="L746" s="1593" t="s">
        <v>2301</v>
      </c>
      <c r="M746" s="1594">
        <v>4.5512999999999998E-2</v>
      </c>
      <c r="N746" s="1595">
        <v>1.2980757375952372</v>
      </c>
      <c r="O746" s="1595">
        <v>1.3015965151896882</v>
      </c>
    </row>
    <row r="747" spans="11:15">
      <c r="K747" s="1592">
        <v>42804</v>
      </c>
      <c r="L747" s="1593" t="s">
        <v>2301</v>
      </c>
      <c r="M747" s="1594">
        <v>4.5512999999999998E-2</v>
      </c>
      <c r="N747" s="1595">
        <v>1.2986665308056888</v>
      </c>
      <c r="O747" s="1595">
        <v>1.3022802568550824</v>
      </c>
    </row>
    <row r="748" spans="11:15">
      <c r="K748" s="1592">
        <v>42805</v>
      </c>
      <c r="L748" s="1593"/>
      <c r="M748" s="1594">
        <v>0</v>
      </c>
      <c r="N748" s="1595">
        <v>1.2986665308056888</v>
      </c>
      <c r="O748" s="1595">
        <v>1.3022802568550824</v>
      </c>
    </row>
    <row r="749" spans="11:15">
      <c r="K749" s="1592">
        <v>42806</v>
      </c>
      <c r="L749" s="1593"/>
      <c r="M749" s="1594">
        <v>0</v>
      </c>
      <c r="N749" s="1595">
        <v>1.2986665308056888</v>
      </c>
      <c r="O749" s="1595">
        <v>1.3022802568550824</v>
      </c>
    </row>
    <row r="750" spans="11:15">
      <c r="K750" s="1592">
        <v>42807</v>
      </c>
      <c r="L750" s="1593" t="s">
        <v>2301</v>
      </c>
      <c r="M750" s="1594">
        <v>4.5512999999999998E-2</v>
      </c>
      <c r="N750" s="1595">
        <v>1.2992575929038543</v>
      </c>
      <c r="O750" s="1595">
        <v>1.3029643576968111</v>
      </c>
    </row>
    <row r="751" spans="11:15">
      <c r="K751" s="1592">
        <v>42808</v>
      </c>
      <c r="L751" s="1593" t="s">
        <v>2301</v>
      </c>
      <c r="M751" s="1594">
        <v>4.5512999999999998E-2</v>
      </c>
      <c r="N751" s="1595">
        <v>1.2998489240121127</v>
      </c>
      <c r="O751" s="1595">
        <v>1.3036488179035528</v>
      </c>
    </row>
    <row r="752" spans="11:15">
      <c r="K752" s="1592">
        <v>42809</v>
      </c>
      <c r="L752" s="1593" t="s">
        <v>2301</v>
      </c>
      <c r="M752" s="1594">
        <v>4.5512999999999998E-2</v>
      </c>
      <c r="N752" s="1595">
        <v>1.3004405242528982</v>
      </c>
      <c r="O752" s="1595">
        <v>1.3043336376640857</v>
      </c>
    </row>
    <row r="753" spans="11:15">
      <c r="K753" s="1592">
        <v>42810</v>
      </c>
      <c r="L753" s="1593" t="s">
        <v>2301</v>
      </c>
      <c r="M753" s="1594">
        <v>4.5512999999999998E-2</v>
      </c>
      <c r="N753" s="1595">
        <v>1.3010323937487014</v>
      </c>
      <c r="O753" s="1595">
        <v>1.305018817167287</v>
      </c>
    </row>
    <row r="754" spans="11:15">
      <c r="K754" s="1592">
        <v>42811</v>
      </c>
      <c r="L754" s="1593" t="s">
        <v>2301</v>
      </c>
      <c r="M754" s="1594">
        <v>4.5512999999999998E-2</v>
      </c>
      <c r="N754" s="1595">
        <v>1.3016245326220681</v>
      </c>
      <c r="O754" s="1595">
        <v>1.3057043566021331</v>
      </c>
    </row>
    <row r="755" spans="11:15">
      <c r="K755" s="1592">
        <v>42812</v>
      </c>
      <c r="L755" s="1593"/>
      <c r="M755" s="1594">
        <v>0</v>
      </c>
      <c r="N755" s="1595">
        <v>1.3016245326220681</v>
      </c>
      <c r="O755" s="1595">
        <v>1.3057043566021331</v>
      </c>
    </row>
    <row r="756" spans="11:15">
      <c r="K756" s="1592">
        <v>42813</v>
      </c>
      <c r="L756" s="1593"/>
      <c r="M756" s="1594">
        <v>0</v>
      </c>
      <c r="N756" s="1595">
        <v>1.3016245326220681</v>
      </c>
      <c r="O756" s="1595">
        <v>1.3057043566021331</v>
      </c>
    </row>
    <row r="757" spans="11:15">
      <c r="K757" s="1592">
        <v>42814</v>
      </c>
      <c r="L757" s="1593" t="s">
        <v>2301</v>
      </c>
      <c r="M757" s="1594">
        <v>4.5512999999999998E-2</v>
      </c>
      <c r="N757" s="1595">
        <v>1.3022169409956004</v>
      </c>
      <c r="O757" s="1595">
        <v>1.3063902561576999</v>
      </c>
    </row>
    <row r="758" spans="11:15">
      <c r="K758" s="1592">
        <v>42815</v>
      </c>
      <c r="L758" s="1593" t="s">
        <v>2301</v>
      </c>
      <c r="M758" s="1594">
        <v>4.5512999999999998E-2</v>
      </c>
      <c r="N758" s="1595">
        <v>1.3028096189919556</v>
      </c>
      <c r="O758" s="1595">
        <v>1.3070765160231621</v>
      </c>
    </row>
    <row r="759" spans="11:15">
      <c r="K759" s="1592">
        <v>42816</v>
      </c>
      <c r="L759" s="1593" t="s">
        <v>2301</v>
      </c>
      <c r="M759" s="1594">
        <v>4.5512999999999998E-2</v>
      </c>
      <c r="N759" s="1595">
        <v>1.3034025667338474</v>
      </c>
      <c r="O759" s="1595">
        <v>1.3077631363877942</v>
      </c>
    </row>
    <row r="760" spans="11:15">
      <c r="K760" s="1592">
        <v>42817</v>
      </c>
      <c r="L760" s="1593" t="s">
        <v>2301</v>
      </c>
      <c r="M760" s="1594">
        <v>4.5512999999999998E-2</v>
      </c>
      <c r="N760" s="1595">
        <v>1.3039957843440448</v>
      </c>
      <c r="O760" s="1595">
        <v>1.30845011744097</v>
      </c>
    </row>
    <row r="761" spans="11:15">
      <c r="K761" s="1592">
        <v>42818</v>
      </c>
      <c r="L761" s="1593" t="s">
        <v>2301</v>
      </c>
      <c r="M761" s="1594">
        <v>4.5512999999999998E-2</v>
      </c>
      <c r="N761" s="1595">
        <v>1.3045892719453733</v>
      </c>
      <c r="O761" s="1595">
        <v>1.309137459372163</v>
      </c>
    </row>
    <row r="762" spans="11:15">
      <c r="K762" s="1592">
        <v>42819</v>
      </c>
      <c r="L762" s="1593"/>
      <c r="M762" s="1594">
        <v>0</v>
      </c>
      <c r="N762" s="1595">
        <v>1.3045892719453733</v>
      </c>
      <c r="O762" s="1595">
        <v>1.309137459372163</v>
      </c>
    </row>
    <row r="763" spans="11:15">
      <c r="K763" s="1592">
        <v>42820</v>
      </c>
      <c r="L763" s="1593"/>
      <c r="M763" s="1594">
        <v>0</v>
      </c>
      <c r="N763" s="1595">
        <v>1.3045892719453733</v>
      </c>
      <c r="O763" s="1595">
        <v>1.309137459372163</v>
      </c>
    </row>
    <row r="764" spans="11:15">
      <c r="K764" s="1592">
        <v>42821</v>
      </c>
      <c r="L764" s="1593" t="s">
        <v>2301</v>
      </c>
      <c r="M764" s="1594">
        <v>4.5512999999999998E-2</v>
      </c>
      <c r="N764" s="1595">
        <v>1.3051830296607139</v>
      </c>
      <c r="O764" s="1595">
        <v>1.3098251623709458</v>
      </c>
    </row>
    <row r="765" spans="11:15">
      <c r="K765" s="1592">
        <v>42822</v>
      </c>
      <c r="L765" s="1593" t="s">
        <v>2301</v>
      </c>
      <c r="M765" s="1594">
        <v>4.5512999999999998E-2</v>
      </c>
      <c r="N765" s="1595">
        <v>1.3057770576130032</v>
      </c>
      <c r="O765" s="1595">
        <v>1.310513226626991</v>
      </c>
    </row>
    <row r="766" spans="11:15">
      <c r="K766" s="1592">
        <v>42823</v>
      </c>
      <c r="L766" s="1593" t="s">
        <v>2301</v>
      </c>
      <c r="M766" s="1594">
        <v>4.5512999999999998E-2</v>
      </c>
      <c r="N766" s="1595">
        <v>1.3063713559252346</v>
      </c>
      <c r="O766" s="1595">
        <v>1.3112016523300705</v>
      </c>
    </row>
    <row r="767" spans="11:15">
      <c r="K767" s="1592">
        <v>42824</v>
      </c>
      <c r="L767" s="1593" t="s">
        <v>2301</v>
      </c>
      <c r="M767" s="1594">
        <v>4.5512999999999998E-2</v>
      </c>
      <c r="N767" s="1595">
        <v>1.3069659247204568</v>
      </c>
      <c r="O767" s="1595">
        <v>1.3118904396700559</v>
      </c>
    </row>
    <row r="768" spans="11:15">
      <c r="K768" s="1592">
        <v>42825</v>
      </c>
      <c r="L768" s="1593" t="s">
        <v>2301</v>
      </c>
      <c r="M768" s="1594">
        <v>4.5512999999999998E-2</v>
      </c>
      <c r="N768" s="1595">
        <v>1.3075607641217748</v>
      </c>
      <c r="O768" s="1595">
        <v>1.3125795888369189</v>
      </c>
    </row>
    <row r="769" spans="11:15">
      <c r="K769" s="1592">
        <v>42826</v>
      </c>
      <c r="L769" s="1593"/>
      <c r="M769" s="1594">
        <v>0</v>
      </c>
      <c r="N769" s="1595">
        <v>1.3075607641217748</v>
      </c>
      <c r="O769" s="1595">
        <v>1.3125795888369189</v>
      </c>
    </row>
    <row r="770" spans="11:15">
      <c r="K770" s="1592">
        <v>42827</v>
      </c>
      <c r="L770" s="1593"/>
      <c r="M770" s="1594">
        <v>0</v>
      </c>
      <c r="N770" s="1595">
        <v>1.3075607641217748</v>
      </c>
      <c r="O770" s="1595">
        <v>1.3125795888369189</v>
      </c>
    </row>
    <row r="771" spans="11:15">
      <c r="K771" s="1592">
        <v>42828</v>
      </c>
      <c r="L771" s="1593" t="s">
        <v>2301</v>
      </c>
      <c r="M771" s="1594">
        <v>4.5512999999999998E-2</v>
      </c>
      <c r="N771" s="1595">
        <v>1.3081558742523496</v>
      </c>
      <c r="O771" s="1595">
        <v>1.3132691000207308</v>
      </c>
    </row>
    <row r="772" spans="11:15">
      <c r="K772" s="1592">
        <v>42829</v>
      </c>
      <c r="L772" s="1593" t="s">
        <v>2301</v>
      </c>
      <c r="M772" s="1594">
        <v>4.5512999999999998E-2</v>
      </c>
      <c r="N772" s="1595">
        <v>1.3087512552353979</v>
      </c>
      <c r="O772" s="1595">
        <v>1.3139589734116628</v>
      </c>
    </row>
    <row r="773" spans="11:15">
      <c r="K773" s="1592">
        <v>42830</v>
      </c>
      <c r="L773" s="1593" t="s">
        <v>2301</v>
      </c>
      <c r="M773" s="1594">
        <v>4.5512999999999998E-2</v>
      </c>
      <c r="N773" s="1595">
        <v>1.3093469071941932</v>
      </c>
      <c r="O773" s="1595">
        <v>1.3146492091999857</v>
      </c>
    </row>
    <row r="774" spans="11:15">
      <c r="K774" s="1592">
        <v>42831</v>
      </c>
      <c r="L774" s="1593" t="s">
        <v>2301</v>
      </c>
      <c r="M774" s="1594">
        <v>4.5512999999999998E-2</v>
      </c>
      <c r="N774" s="1595">
        <v>1.3099428302520644</v>
      </c>
      <c r="O774" s="1595">
        <v>1.3153398075760705</v>
      </c>
    </row>
    <row r="775" spans="11:15">
      <c r="K775" s="1592">
        <v>42832</v>
      </c>
      <c r="L775" s="1593" t="s">
        <v>2301</v>
      </c>
      <c r="M775" s="1594">
        <v>4.5512999999999998E-2</v>
      </c>
      <c r="N775" s="1595">
        <v>1.3105390245323969</v>
      </c>
      <c r="O775" s="1595">
        <v>1.3160307687303883</v>
      </c>
    </row>
    <row r="776" spans="11:15">
      <c r="K776" s="1592">
        <v>42833</v>
      </c>
      <c r="L776" s="1593"/>
      <c r="M776" s="1594">
        <v>0</v>
      </c>
      <c r="N776" s="1595">
        <v>1.3105390245323969</v>
      </c>
      <c r="O776" s="1595">
        <v>1.3160307687303883</v>
      </c>
    </row>
    <row r="777" spans="11:15">
      <c r="K777" s="1592">
        <v>42834</v>
      </c>
      <c r="L777" s="1593"/>
      <c r="M777" s="1594">
        <v>0</v>
      </c>
      <c r="N777" s="1595">
        <v>1.3105390245323969</v>
      </c>
      <c r="O777" s="1595">
        <v>1.3160307687303883</v>
      </c>
    </row>
    <row r="778" spans="11:15">
      <c r="K778" s="1592">
        <v>42835</v>
      </c>
      <c r="L778" s="1593" t="s">
        <v>2301</v>
      </c>
      <c r="M778" s="1594">
        <v>4.5512999999999998E-2</v>
      </c>
      <c r="N778" s="1595">
        <v>1.3111354901586323</v>
      </c>
      <c r="O778" s="1595">
        <v>1.3167220928535099</v>
      </c>
    </row>
    <row r="779" spans="11:15">
      <c r="K779" s="1592">
        <v>42836</v>
      </c>
      <c r="L779" s="1593" t="s">
        <v>2301</v>
      </c>
      <c r="M779" s="1594">
        <v>4.5512999999999998E-2</v>
      </c>
      <c r="N779" s="1595">
        <v>1.3117322272542682</v>
      </c>
      <c r="O779" s="1595">
        <v>1.3174137801361068</v>
      </c>
    </row>
    <row r="780" spans="11:15">
      <c r="K780" s="1592">
        <v>42837</v>
      </c>
      <c r="L780" s="1593" t="s">
        <v>2301</v>
      </c>
      <c r="M780" s="1594">
        <v>4.5512999999999998E-2</v>
      </c>
      <c r="N780" s="1595">
        <v>1.3123292359428584</v>
      </c>
      <c r="O780" s="1595">
        <v>1.3181058307689502</v>
      </c>
    </row>
    <row r="781" spans="11:15">
      <c r="K781" s="1592">
        <v>42838</v>
      </c>
      <c r="L781" s="1593" t="s">
        <v>2301</v>
      </c>
      <c r="M781" s="1594">
        <v>4.1957000000000001E-2</v>
      </c>
      <c r="N781" s="1595">
        <v>1.3128798499203831</v>
      </c>
      <c r="O781" s="1595">
        <v>1.3187982449429114</v>
      </c>
    </row>
    <row r="782" spans="11:15">
      <c r="K782" s="1592">
        <v>42839</v>
      </c>
      <c r="L782" s="1593"/>
      <c r="M782" s="1594">
        <v>0</v>
      </c>
      <c r="N782" s="1595">
        <v>1.3128798499203831</v>
      </c>
      <c r="O782" s="1595">
        <v>1.3187982449429114</v>
      </c>
    </row>
    <row r="783" spans="11:15">
      <c r="K783" s="1592">
        <v>42840</v>
      </c>
      <c r="L783" s="1593"/>
      <c r="M783" s="1594">
        <v>0</v>
      </c>
      <c r="N783" s="1595">
        <v>1.3128798499203831</v>
      </c>
      <c r="O783" s="1595">
        <v>1.3187982449429114</v>
      </c>
    </row>
    <row r="784" spans="11:15">
      <c r="K784" s="1592">
        <v>42841</v>
      </c>
      <c r="L784" s="1593"/>
      <c r="M784" s="1594">
        <v>0</v>
      </c>
      <c r="N784" s="1595">
        <v>1.3128798499203831</v>
      </c>
      <c r="O784" s="1595">
        <v>1.3187982449429114</v>
      </c>
    </row>
    <row r="785" spans="11:15">
      <c r="K785" s="1592">
        <v>42842</v>
      </c>
      <c r="L785" s="1593" t="s">
        <v>2301</v>
      </c>
      <c r="M785" s="1594">
        <v>4.1957000000000001E-2</v>
      </c>
      <c r="N785" s="1595">
        <v>1.3134306949190142</v>
      </c>
      <c r="O785" s="1595">
        <v>1.3194910228489625</v>
      </c>
    </row>
    <row r="786" spans="11:15">
      <c r="K786" s="1592">
        <v>42843</v>
      </c>
      <c r="L786" s="1593" t="s">
        <v>2301</v>
      </c>
      <c r="M786" s="1594">
        <v>4.1957000000000001E-2</v>
      </c>
      <c r="N786" s="1595">
        <v>1.3139817710356814</v>
      </c>
      <c r="O786" s="1595">
        <v>1.3201841646781753</v>
      </c>
    </row>
    <row r="787" spans="11:15">
      <c r="K787" s="1592">
        <v>42844</v>
      </c>
      <c r="L787" s="1593" t="s">
        <v>2301</v>
      </c>
      <c r="M787" s="1594">
        <v>4.1957000000000001E-2</v>
      </c>
      <c r="N787" s="1595">
        <v>1.3145330783673548</v>
      </c>
      <c r="O787" s="1595">
        <v>1.3208776706217225</v>
      </c>
    </row>
    <row r="788" spans="11:15">
      <c r="K788" s="1592">
        <v>42845</v>
      </c>
      <c r="L788" s="1593" t="s">
        <v>2301</v>
      </c>
      <c r="M788" s="1594">
        <v>4.1957000000000001E-2</v>
      </c>
      <c r="N788" s="1595">
        <v>1.3150846170110455</v>
      </c>
      <c r="O788" s="1595">
        <v>1.3215715408708768</v>
      </c>
    </row>
    <row r="789" spans="11:15">
      <c r="K789" s="1592">
        <v>42846</v>
      </c>
      <c r="L789" s="1593"/>
      <c r="M789" s="1594">
        <v>0</v>
      </c>
      <c r="N789" s="1595">
        <v>1.3150846170110455</v>
      </c>
      <c r="O789" s="1595">
        <v>1.3215715408708768</v>
      </c>
    </row>
    <row r="790" spans="11:15">
      <c r="K790" s="1592">
        <v>42847</v>
      </c>
      <c r="L790" s="1593"/>
      <c r="M790" s="1594">
        <v>0</v>
      </c>
      <c r="N790" s="1595">
        <v>1.3150846170110455</v>
      </c>
      <c r="O790" s="1595">
        <v>1.3215715408708768</v>
      </c>
    </row>
    <row r="791" spans="11:15">
      <c r="K791" s="1592">
        <v>42848</v>
      </c>
      <c r="L791" s="1593"/>
      <c r="M791" s="1594">
        <v>0</v>
      </c>
      <c r="N791" s="1595">
        <v>1.3150846170110455</v>
      </c>
      <c r="O791" s="1595">
        <v>1.3215715408708768</v>
      </c>
    </row>
    <row r="792" spans="11:15">
      <c r="K792" s="1592">
        <v>42849</v>
      </c>
      <c r="L792" s="1593" t="s">
        <v>2301</v>
      </c>
      <c r="M792" s="1594">
        <v>4.1957000000000001E-2</v>
      </c>
      <c r="N792" s="1595">
        <v>1.3156363870638048</v>
      </c>
      <c r="O792" s="1595">
        <v>1.3222657756170118</v>
      </c>
    </row>
    <row r="793" spans="11:15">
      <c r="K793" s="1592">
        <v>42850</v>
      </c>
      <c r="L793" s="1593" t="s">
        <v>2301</v>
      </c>
      <c r="M793" s="1594">
        <v>4.1957000000000001E-2</v>
      </c>
      <c r="N793" s="1595">
        <v>1.3161883886227252</v>
      </c>
      <c r="O793" s="1595">
        <v>1.322960375051601</v>
      </c>
    </row>
    <row r="794" spans="11:15">
      <c r="K794" s="1592">
        <v>42851</v>
      </c>
      <c r="L794" s="1593" t="s">
        <v>2301</v>
      </c>
      <c r="M794" s="1594">
        <v>4.1957000000000001E-2</v>
      </c>
      <c r="N794" s="1595">
        <v>1.3167406217849398</v>
      </c>
      <c r="O794" s="1595">
        <v>1.3236553393662194</v>
      </c>
    </row>
    <row r="795" spans="11:15">
      <c r="K795" s="1592">
        <v>42852</v>
      </c>
      <c r="L795" s="1593" t="s">
        <v>2301</v>
      </c>
      <c r="M795" s="1594">
        <v>4.1957000000000001E-2</v>
      </c>
      <c r="N795" s="1595">
        <v>1.3172930866476222</v>
      </c>
      <c r="O795" s="1595">
        <v>1.3243506687525419</v>
      </c>
    </row>
    <row r="796" spans="11:15">
      <c r="K796" s="1592">
        <v>42853</v>
      </c>
      <c r="L796" s="1593" t="s">
        <v>2301</v>
      </c>
      <c r="M796" s="1594">
        <v>4.1957000000000001E-2</v>
      </c>
      <c r="N796" s="1595">
        <v>1.3178457833079871</v>
      </c>
      <c r="O796" s="1595">
        <v>1.3250463634023444</v>
      </c>
    </row>
    <row r="797" spans="11:15">
      <c r="K797" s="1592">
        <v>42854</v>
      </c>
      <c r="L797" s="1593"/>
      <c r="M797" s="1594">
        <v>0</v>
      </c>
      <c r="N797" s="1595">
        <v>1.3178457833079871</v>
      </c>
      <c r="O797" s="1595">
        <v>1.3250463634023444</v>
      </c>
    </row>
    <row r="798" spans="11:15">
      <c r="K798" s="1592">
        <v>42855</v>
      </c>
      <c r="L798" s="1593"/>
      <c r="M798" s="1594">
        <v>0</v>
      </c>
      <c r="N798" s="1595">
        <v>1.3178457833079871</v>
      </c>
      <c r="O798" s="1595">
        <v>1.3250463634023444</v>
      </c>
    </row>
    <row r="799" spans="11:15">
      <c r="K799" s="1592">
        <v>42856</v>
      </c>
      <c r="L799" s="1593"/>
      <c r="M799" s="1594">
        <v>0</v>
      </c>
      <c r="N799" s="1595">
        <v>1.3178457833079871</v>
      </c>
      <c r="O799" s="1595">
        <v>1.3250463634023444</v>
      </c>
    </row>
    <row r="800" spans="11:15">
      <c r="K800" s="1592">
        <v>42857</v>
      </c>
      <c r="L800" s="1593" t="s">
        <v>2301</v>
      </c>
      <c r="M800" s="1594">
        <v>4.1957000000000001E-2</v>
      </c>
      <c r="N800" s="1595">
        <v>1.3183987118632896</v>
      </c>
      <c r="O800" s="1595">
        <v>1.3257424235075033</v>
      </c>
    </row>
    <row r="801" spans="11:15">
      <c r="K801" s="1592">
        <v>42858</v>
      </c>
      <c r="L801" s="1593" t="s">
        <v>2301</v>
      </c>
      <c r="M801" s="1594">
        <v>4.1957000000000001E-2</v>
      </c>
      <c r="N801" s="1595">
        <v>1.3189518724108262</v>
      </c>
      <c r="O801" s="1595">
        <v>1.3264388492599959</v>
      </c>
    </row>
    <row r="802" spans="11:15">
      <c r="K802" s="1592">
        <v>42859</v>
      </c>
      <c r="L802" s="1593" t="s">
        <v>2301</v>
      </c>
      <c r="M802" s="1594">
        <v>4.1957000000000001E-2</v>
      </c>
      <c r="N802" s="1595">
        <v>1.3195052650479338</v>
      </c>
      <c r="O802" s="1595">
        <v>1.3271356408519006</v>
      </c>
    </row>
    <row r="803" spans="11:15">
      <c r="K803" s="1592">
        <v>42860</v>
      </c>
      <c r="L803" s="1593" t="s">
        <v>2301</v>
      </c>
      <c r="M803" s="1594">
        <v>4.1957000000000001E-2</v>
      </c>
      <c r="N803" s="1595">
        <v>1.32005888987199</v>
      </c>
      <c r="O803" s="1595">
        <v>1.3278327984753966</v>
      </c>
    </row>
    <row r="804" spans="11:15">
      <c r="K804" s="1592">
        <v>42861</v>
      </c>
      <c r="L804" s="1593"/>
      <c r="M804" s="1594">
        <v>0</v>
      </c>
      <c r="N804" s="1595">
        <v>1.32005888987199</v>
      </c>
      <c r="O804" s="1595">
        <v>1.3278327984753966</v>
      </c>
    </row>
    <row r="805" spans="11:15">
      <c r="K805" s="1592">
        <v>42862</v>
      </c>
      <c r="L805" s="1593"/>
      <c r="M805" s="1594">
        <v>0</v>
      </c>
      <c r="N805" s="1595">
        <v>1.32005888987199</v>
      </c>
      <c r="O805" s="1595">
        <v>1.3278327984753966</v>
      </c>
    </row>
    <row r="806" spans="11:15">
      <c r="K806" s="1592">
        <v>42863</v>
      </c>
      <c r="L806" s="1593" t="s">
        <v>2301</v>
      </c>
      <c r="M806" s="1594">
        <v>4.1957000000000001E-2</v>
      </c>
      <c r="N806" s="1595">
        <v>1.3206127469804136</v>
      </c>
      <c r="O806" s="1595">
        <v>1.3285303223227638</v>
      </c>
    </row>
    <row r="807" spans="11:15">
      <c r="K807" s="1592">
        <v>42864</v>
      </c>
      <c r="L807" s="1593" t="s">
        <v>2301</v>
      </c>
      <c r="M807" s="1594">
        <v>4.1957000000000001E-2</v>
      </c>
      <c r="N807" s="1595">
        <v>1.3211668364706644</v>
      </c>
      <c r="O807" s="1595">
        <v>1.3292282125863832</v>
      </c>
    </row>
    <row r="808" spans="11:15">
      <c r="K808" s="1592">
        <v>42865</v>
      </c>
      <c r="L808" s="1593" t="s">
        <v>2301</v>
      </c>
      <c r="M808" s="1594">
        <v>4.1957000000000001E-2</v>
      </c>
      <c r="N808" s="1595">
        <v>1.3217211584402424</v>
      </c>
      <c r="O808" s="1595">
        <v>1.3299264694587369</v>
      </c>
    </row>
    <row r="809" spans="11:15">
      <c r="K809" s="1592">
        <v>42866</v>
      </c>
      <c r="L809" s="1593" t="s">
        <v>2301</v>
      </c>
      <c r="M809" s="1594">
        <v>4.1957000000000001E-2</v>
      </c>
      <c r="N809" s="1595">
        <v>1.3222757129866893</v>
      </c>
      <c r="O809" s="1595">
        <v>1.3306250931324084</v>
      </c>
    </row>
    <row r="810" spans="11:15">
      <c r="K810" s="1592">
        <v>42867</v>
      </c>
      <c r="L810" s="1593" t="s">
        <v>2301</v>
      </c>
      <c r="M810" s="1594">
        <v>4.1957000000000001E-2</v>
      </c>
      <c r="N810" s="1595">
        <v>1.3228305002075873</v>
      </c>
      <c r="O810" s="1595">
        <v>1.3313240838000817</v>
      </c>
    </row>
    <row r="811" spans="11:15">
      <c r="K811" s="1592">
        <v>42868</v>
      </c>
      <c r="L811" s="1593"/>
      <c r="M811" s="1594">
        <v>0</v>
      </c>
      <c r="N811" s="1595">
        <v>1.3228305002075873</v>
      </c>
      <c r="O811" s="1595">
        <v>1.3313240838000817</v>
      </c>
    </row>
    <row r="812" spans="11:15">
      <c r="K812" s="1592">
        <v>42869</v>
      </c>
      <c r="L812" s="1593"/>
      <c r="M812" s="1594">
        <v>0</v>
      </c>
      <c r="N812" s="1595">
        <v>1.3228305002075873</v>
      </c>
      <c r="O812" s="1595">
        <v>1.3313240838000817</v>
      </c>
    </row>
    <row r="813" spans="11:15">
      <c r="K813" s="1592">
        <v>42870</v>
      </c>
      <c r="L813" s="1593" t="s">
        <v>2301</v>
      </c>
      <c r="M813" s="1594">
        <v>4.1957000000000001E-2</v>
      </c>
      <c r="N813" s="1595">
        <v>1.3233855202005596</v>
      </c>
      <c r="O813" s="1595">
        <v>1.3320234416545427</v>
      </c>
    </row>
    <row r="814" spans="11:15">
      <c r="K814" s="1592">
        <v>42871</v>
      </c>
      <c r="L814" s="1593" t="s">
        <v>2301</v>
      </c>
      <c r="M814" s="1594">
        <v>4.1957000000000001E-2</v>
      </c>
      <c r="N814" s="1595">
        <v>1.3239407730632702</v>
      </c>
      <c r="O814" s="1595">
        <v>1.3327231668886783</v>
      </c>
    </row>
    <row r="815" spans="11:15">
      <c r="K815" s="1592">
        <v>42872</v>
      </c>
      <c r="L815" s="1593" t="s">
        <v>2301</v>
      </c>
      <c r="M815" s="1594">
        <v>4.1957000000000001E-2</v>
      </c>
      <c r="N815" s="1595">
        <v>1.3244962588934244</v>
      </c>
      <c r="O815" s="1595">
        <v>1.3334232596954767</v>
      </c>
    </row>
    <row r="816" spans="11:15">
      <c r="K816" s="1592">
        <v>42873</v>
      </c>
      <c r="L816" s="1593" t="s">
        <v>2301</v>
      </c>
      <c r="M816" s="1594">
        <v>4.1957000000000001E-2</v>
      </c>
      <c r="N816" s="1595">
        <v>1.3250519777887684</v>
      </c>
      <c r="O816" s="1595">
        <v>1.3341237202680274</v>
      </c>
    </row>
    <row r="817" spans="11:15">
      <c r="K817" s="1592">
        <v>42874</v>
      </c>
      <c r="L817" s="1593" t="s">
        <v>2301</v>
      </c>
      <c r="M817" s="1594">
        <v>4.1957000000000001E-2</v>
      </c>
      <c r="N817" s="1595">
        <v>1.3256079298470893</v>
      </c>
      <c r="O817" s="1595">
        <v>1.3348245487995214</v>
      </c>
    </row>
    <row r="818" spans="11:15">
      <c r="K818" s="1592">
        <v>42875</v>
      </c>
      <c r="L818" s="1593"/>
      <c r="M818" s="1594">
        <v>0</v>
      </c>
      <c r="N818" s="1595">
        <v>1.3256079298470893</v>
      </c>
      <c r="O818" s="1595">
        <v>1.3348245487995214</v>
      </c>
    </row>
    <row r="819" spans="11:15">
      <c r="K819" s="1592">
        <v>42876</v>
      </c>
      <c r="L819" s="1593"/>
      <c r="M819" s="1594">
        <v>0</v>
      </c>
      <c r="N819" s="1595">
        <v>1.3256079298470893</v>
      </c>
      <c r="O819" s="1595">
        <v>1.3348245487995214</v>
      </c>
    </row>
    <row r="820" spans="11:15">
      <c r="K820" s="1592">
        <v>42877</v>
      </c>
      <c r="L820" s="1593" t="s">
        <v>2301</v>
      </c>
      <c r="M820" s="1594">
        <v>4.1957000000000001E-2</v>
      </c>
      <c r="N820" s="1595">
        <v>1.3261641151662154</v>
      </c>
      <c r="O820" s="1595">
        <v>1.3355257454832512</v>
      </c>
    </row>
    <row r="821" spans="11:15">
      <c r="K821" s="1592">
        <v>42878</v>
      </c>
      <c r="L821" s="1593" t="s">
        <v>2301</v>
      </c>
      <c r="M821" s="1594">
        <v>4.1957000000000001E-2</v>
      </c>
      <c r="N821" s="1595">
        <v>1.3267205338440158</v>
      </c>
      <c r="O821" s="1595">
        <v>1.336227310512611</v>
      </c>
    </row>
    <row r="822" spans="11:15">
      <c r="K822" s="1592">
        <v>42879</v>
      </c>
      <c r="L822" s="1593" t="s">
        <v>2301</v>
      </c>
      <c r="M822" s="1594">
        <v>4.1957000000000001E-2</v>
      </c>
      <c r="N822" s="1595">
        <v>1.3272771859784007</v>
      </c>
      <c r="O822" s="1595">
        <v>1.3369292440810965</v>
      </c>
    </row>
    <row r="823" spans="11:15">
      <c r="K823" s="1592">
        <v>42880</v>
      </c>
      <c r="L823" s="1593" t="s">
        <v>2301</v>
      </c>
      <c r="M823" s="1594">
        <v>4.1957000000000001E-2</v>
      </c>
      <c r="N823" s="1595">
        <v>1.3278340716673218</v>
      </c>
      <c r="O823" s="1595">
        <v>1.3376315463823047</v>
      </c>
    </row>
    <row r="824" spans="11:15">
      <c r="K824" s="1592">
        <v>42881</v>
      </c>
      <c r="L824" s="1593" t="s">
        <v>2301</v>
      </c>
      <c r="M824" s="1594">
        <v>4.1957000000000001E-2</v>
      </c>
      <c r="N824" s="1595">
        <v>1.3283911910087713</v>
      </c>
      <c r="O824" s="1595">
        <v>1.3383342176099349</v>
      </c>
    </row>
    <row r="825" spans="11:15">
      <c r="K825" s="1592">
        <v>42882</v>
      </c>
      <c r="L825" s="1593"/>
      <c r="M825" s="1594">
        <v>0</v>
      </c>
      <c r="N825" s="1595">
        <v>1.3283911910087713</v>
      </c>
      <c r="O825" s="1595">
        <v>1.3383342176099349</v>
      </c>
    </row>
    <row r="826" spans="11:15">
      <c r="K826" s="1592">
        <v>42883</v>
      </c>
      <c r="L826" s="1593"/>
      <c r="M826" s="1594">
        <v>0</v>
      </c>
      <c r="N826" s="1595">
        <v>1.3283911910087713</v>
      </c>
      <c r="O826" s="1595">
        <v>1.3383342176099349</v>
      </c>
    </row>
    <row r="827" spans="11:15">
      <c r="K827" s="1592">
        <v>42884</v>
      </c>
      <c r="L827" s="1593" t="s">
        <v>2301</v>
      </c>
      <c r="M827" s="1594">
        <v>4.1957000000000001E-2</v>
      </c>
      <c r="N827" s="1595">
        <v>1.3289485441007829</v>
      </c>
      <c r="O827" s="1595">
        <v>1.3390372579577876</v>
      </c>
    </row>
    <row r="828" spans="11:15">
      <c r="K828" s="1592">
        <v>42885</v>
      </c>
      <c r="L828" s="1593" t="s">
        <v>2301</v>
      </c>
      <c r="M828" s="1594">
        <v>4.1957000000000001E-2</v>
      </c>
      <c r="N828" s="1595">
        <v>1.3295061310414313</v>
      </c>
      <c r="O828" s="1595">
        <v>1.3397406676197654</v>
      </c>
    </row>
    <row r="829" spans="11:15">
      <c r="K829" s="1592">
        <v>42886</v>
      </c>
      <c r="L829" s="1593" t="s">
        <v>2301</v>
      </c>
      <c r="M829" s="1594">
        <v>4.1957000000000001E-2</v>
      </c>
      <c r="N829" s="1595">
        <v>1.3300639519288324</v>
      </c>
      <c r="O829" s="1595">
        <v>1.3404444467898728</v>
      </c>
    </row>
    <row r="830" spans="11:15">
      <c r="K830" s="1592">
        <v>42887</v>
      </c>
      <c r="L830" s="1593" t="s">
        <v>2301</v>
      </c>
      <c r="M830" s="1594">
        <v>3.8370000000000001E-2</v>
      </c>
      <c r="N830" s="1595">
        <v>1.3305742974671875</v>
      </c>
      <c r="O830" s="1595">
        <v>1.341148595662216</v>
      </c>
    </row>
    <row r="831" spans="11:15">
      <c r="K831" s="1592">
        <v>42888</v>
      </c>
      <c r="L831" s="1593" t="s">
        <v>2301</v>
      </c>
      <c r="M831" s="1594">
        <v>3.8370000000000001E-2</v>
      </c>
      <c r="N831" s="1595">
        <v>1.3310848388251255</v>
      </c>
      <c r="O831" s="1595">
        <v>1.3418531144310033</v>
      </c>
    </row>
    <row r="832" spans="11:15">
      <c r="K832" s="1592">
        <v>42889</v>
      </c>
      <c r="L832" s="1593"/>
      <c r="M832" s="1594">
        <v>0</v>
      </c>
      <c r="N832" s="1595">
        <v>1.3310848388251255</v>
      </c>
      <c r="O832" s="1595">
        <v>1.3418531144310033</v>
      </c>
    </row>
    <row r="833" spans="11:15">
      <c r="K833" s="1592">
        <v>42890</v>
      </c>
      <c r="L833" s="1593"/>
      <c r="M833" s="1594">
        <v>0</v>
      </c>
      <c r="N833" s="1595">
        <v>1.3310848388251255</v>
      </c>
      <c r="O833" s="1595">
        <v>1.3418531144310033</v>
      </c>
    </row>
    <row r="834" spans="11:15">
      <c r="K834" s="1592">
        <v>42891</v>
      </c>
      <c r="L834" s="1593" t="s">
        <v>2301</v>
      </c>
      <c r="M834" s="1594">
        <v>3.8370000000000001E-2</v>
      </c>
      <c r="N834" s="1595">
        <v>1.3315955760777827</v>
      </c>
      <c r="O834" s="1595">
        <v>1.3425580032905451</v>
      </c>
    </row>
    <row r="835" spans="11:15">
      <c r="K835" s="1592">
        <v>42892</v>
      </c>
      <c r="L835" s="1593" t="s">
        <v>2301</v>
      </c>
      <c r="M835" s="1594">
        <v>3.8370000000000001E-2</v>
      </c>
      <c r="N835" s="1595">
        <v>1.3321065093003237</v>
      </c>
      <c r="O835" s="1595">
        <v>1.3432632624352536</v>
      </c>
    </row>
    <row r="836" spans="11:15">
      <c r="K836" s="1592">
        <v>42893</v>
      </c>
      <c r="L836" s="1593" t="s">
        <v>2301</v>
      </c>
      <c r="M836" s="1594">
        <v>3.8370000000000001E-2</v>
      </c>
      <c r="N836" s="1595">
        <v>1.3326176385679422</v>
      </c>
      <c r="O836" s="1595">
        <v>1.3439688920596435</v>
      </c>
    </row>
    <row r="837" spans="11:15">
      <c r="K837" s="1592">
        <v>42894</v>
      </c>
      <c r="L837" s="1593" t="s">
        <v>2301</v>
      </c>
      <c r="M837" s="1594">
        <v>3.8370000000000001E-2</v>
      </c>
      <c r="N837" s="1595">
        <v>1.3331289639558608</v>
      </c>
      <c r="O837" s="1595">
        <v>1.3446748923583314</v>
      </c>
    </row>
    <row r="838" spans="11:15">
      <c r="K838" s="1592">
        <v>42895</v>
      </c>
      <c r="L838" s="1593" t="s">
        <v>2301</v>
      </c>
      <c r="M838" s="1594">
        <v>3.8370000000000001E-2</v>
      </c>
      <c r="N838" s="1595">
        <v>1.3336404855393307</v>
      </c>
      <c r="O838" s="1595">
        <v>1.345381263526036</v>
      </c>
    </row>
    <row r="839" spans="11:15">
      <c r="K839" s="1592">
        <v>42896</v>
      </c>
      <c r="L839" s="1593"/>
      <c r="M839" s="1594">
        <v>0</v>
      </c>
      <c r="N839" s="1595">
        <v>1.3336404855393307</v>
      </c>
      <c r="O839" s="1595">
        <v>1.345381263526036</v>
      </c>
    </row>
    <row r="840" spans="11:15">
      <c r="K840" s="1592">
        <v>42897</v>
      </c>
      <c r="L840" s="1593"/>
      <c r="M840" s="1594">
        <v>0</v>
      </c>
      <c r="N840" s="1595">
        <v>1.3336404855393307</v>
      </c>
      <c r="O840" s="1595">
        <v>1.345381263526036</v>
      </c>
    </row>
    <row r="841" spans="11:15">
      <c r="K841" s="1592">
        <v>42898</v>
      </c>
      <c r="L841" s="1593" t="s">
        <v>2301</v>
      </c>
      <c r="M841" s="1594">
        <v>3.8370000000000001E-2</v>
      </c>
      <c r="N841" s="1595">
        <v>1.3341522033936322</v>
      </c>
      <c r="O841" s="1595">
        <v>1.3460880057575788</v>
      </c>
    </row>
    <row r="842" spans="11:15">
      <c r="K842" s="1592">
        <v>42899</v>
      </c>
      <c r="L842" s="1593" t="s">
        <v>2301</v>
      </c>
      <c r="M842" s="1594">
        <v>3.8370000000000001E-2</v>
      </c>
      <c r="N842" s="1595">
        <v>1.3346641175940743</v>
      </c>
      <c r="O842" s="1595">
        <v>1.3467951192478833</v>
      </c>
    </row>
    <row r="843" spans="11:15">
      <c r="K843" s="1592">
        <v>42900</v>
      </c>
      <c r="L843" s="1593" t="s">
        <v>2301</v>
      </c>
      <c r="M843" s="1594">
        <v>3.8370000000000001E-2</v>
      </c>
      <c r="N843" s="1595">
        <v>1.3351762282159951</v>
      </c>
      <c r="O843" s="1595">
        <v>1.3475026041919753</v>
      </c>
    </row>
    <row r="844" spans="11:15">
      <c r="K844" s="1592">
        <v>42901</v>
      </c>
      <c r="L844" s="1593"/>
      <c r="M844" s="1594">
        <v>0</v>
      </c>
      <c r="N844" s="1595">
        <v>1.3351762282159951</v>
      </c>
      <c r="O844" s="1595">
        <v>1.3475026041919753</v>
      </c>
    </row>
    <row r="845" spans="11:15">
      <c r="K845" s="1592">
        <v>42902</v>
      </c>
      <c r="L845" s="1593" t="s">
        <v>2301</v>
      </c>
      <c r="M845" s="1594">
        <v>3.8370000000000001E-2</v>
      </c>
      <c r="N845" s="1595">
        <v>1.3356885353347616</v>
      </c>
      <c r="O845" s="1595">
        <v>1.3482104607849834</v>
      </c>
    </row>
    <row r="846" spans="11:15">
      <c r="K846" s="1592">
        <v>42903</v>
      </c>
      <c r="L846" s="1593"/>
      <c r="M846" s="1594">
        <v>0</v>
      </c>
      <c r="N846" s="1595">
        <v>1.3356885353347616</v>
      </c>
      <c r="O846" s="1595">
        <v>1.3482104607849834</v>
      </c>
    </row>
    <row r="847" spans="11:15">
      <c r="K847" s="1592">
        <v>42904</v>
      </c>
      <c r="L847" s="1593"/>
      <c r="M847" s="1594">
        <v>0</v>
      </c>
      <c r="N847" s="1595">
        <v>1.3356885353347616</v>
      </c>
      <c r="O847" s="1595">
        <v>1.3482104607849834</v>
      </c>
    </row>
    <row r="848" spans="11:15">
      <c r="K848" s="1592">
        <v>42905</v>
      </c>
      <c r="L848" s="1593" t="s">
        <v>2301</v>
      </c>
      <c r="M848" s="1594">
        <v>3.8370000000000001E-2</v>
      </c>
      <c r="N848" s="1595">
        <v>1.3362010390257695</v>
      </c>
      <c r="O848" s="1595">
        <v>1.3489186892221383</v>
      </c>
    </row>
    <row r="849" spans="11:15">
      <c r="K849" s="1592">
        <v>42906</v>
      </c>
      <c r="L849" s="1593" t="s">
        <v>2301</v>
      </c>
      <c r="M849" s="1594">
        <v>3.8370000000000001E-2</v>
      </c>
      <c r="N849" s="1595">
        <v>1.3367137393644437</v>
      </c>
      <c r="O849" s="1595">
        <v>1.3496272896987735</v>
      </c>
    </row>
    <row r="850" spans="11:15">
      <c r="K850" s="1592">
        <v>42907</v>
      </c>
      <c r="L850" s="1593" t="s">
        <v>2301</v>
      </c>
      <c r="M850" s="1594">
        <v>3.8370000000000001E-2</v>
      </c>
      <c r="N850" s="1595">
        <v>1.3372266364262377</v>
      </c>
      <c r="O850" s="1595">
        <v>1.3503362624103252</v>
      </c>
    </row>
    <row r="851" spans="11:15">
      <c r="K851" s="1592">
        <v>42908</v>
      </c>
      <c r="L851" s="1593" t="s">
        <v>2301</v>
      </c>
      <c r="M851" s="1594">
        <v>3.8370000000000001E-2</v>
      </c>
      <c r="N851" s="1595">
        <v>1.3377397302866345</v>
      </c>
      <c r="O851" s="1595">
        <v>1.3510456075523321</v>
      </c>
    </row>
    <row r="852" spans="11:15">
      <c r="K852" s="1592">
        <v>42909</v>
      </c>
      <c r="L852" s="1593" t="s">
        <v>2301</v>
      </c>
      <c r="M852" s="1594">
        <v>3.8370000000000001E-2</v>
      </c>
      <c r="N852" s="1595">
        <v>1.3382530210211454</v>
      </c>
      <c r="O852" s="1595">
        <v>1.3517553253204353</v>
      </c>
    </row>
    <row r="853" spans="11:15">
      <c r="K853" s="1592">
        <v>42910</v>
      </c>
      <c r="L853" s="1593"/>
      <c r="M853" s="1594">
        <v>0</v>
      </c>
      <c r="N853" s="1595">
        <v>1.3382530210211454</v>
      </c>
      <c r="O853" s="1595">
        <v>1.3517553253204353</v>
      </c>
    </row>
    <row r="854" spans="11:15">
      <c r="K854" s="1592">
        <v>42911</v>
      </c>
      <c r="L854" s="1593"/>
      <c r="M854" s="1594">
        <v>0</v>
      </c>
      <c r="N854" s="1595">
        <v>1.3382530210211454</v>
      </c>
      <c r="O854" s="1595">
        <v>1.3517553253204353</v>
      </c>
    </row>
    <row r="855" spans="11:15">
      <c r="K855" s="1592">
        <v>42912</v>
      </c>
      <c r="L855" s="1593" t="s">
        <v>2301</v>
      </c>
      <c r="M855" s="1594">
        <v>3.8370000000000001E-2</v>
      </c>
      <c r="N855" s="1595">
        <v>1.3387665087053111</v>
      </c>
      <c r="O855" s="1595">
        <v>1.3524654159103793</v>
      </c>
    </row>
    <row r="856" spans="11:15">
      <c r="K856" s="1592">
        <v>42913</v>
      </c>
      <c r="L856" s="1593" t="s">
        <v>2301</v>
      </c>
      <c r="M856" s="1594">
        <v>3.8370000000000001E-2</v>
      </c>
      <c r="N856" s="1595">
        <v>1.3392801934147014</v>
      </c>
      <c r="O856" s="1595">
        <v>1.3531758795180111</v>
      </c>
    </row>
    <row r="857" spans="11:15">
      <c r="K857" s="1592">
        <v>42914</v>
      </c>
      <c r="L857" s="1593" t="s">
        <v>2301</v>
      </c>
      <c r="M857" s="1594">
        <v>3.8370000000000001E-2</v>
      </c>
      <c r="N857" s="1595">
        <v>1.3397940752249147</v>
      </c>
      <c r="O857" s="1595">
        <v>1.3538867163392807</v>
      </c>
    </row>
    <row r="858" spans="11:15">
      <c r="K858" s="1592">
        <v>42915</v>
      </c>
      <c r="L858" s="1593" t="s">
        <v>2301</v>
      </c>
      <c r="M858" s="1594">
        <v>3.8370000000000001E-2</v>
      </c>
      <c r="N858" s="1595">
        <v>1.3403081542115785</v>
      </c>
      <c r="O858" s="1595">
        <v>1.3545979265702408</v>
      </c>
    </row>
    <row r="859" spans="11:15">
      <c r="K859" s="1592">
        <v>42916</v>
      </c>
      <c r="L859" s="1593" t="s">
        <v>2301</v>
      </c>
      <c r="M859" s="1594">
        <v>3.8370000000000001E-2</v>
      </c>
      <c r="N859" s="1595">
        <v>1.3408224304503493</v>
      </c>
      <c r="O859" s="1595">
        <v>1.3553095104070474</v>
      </c>
    </row>
    <row r="860" spans="11:15">
      <c r="K860" s="1592">
        <v>42917</v>
      </c>
      <c r="L860" s="1593"/>
      <c r="M860" s="1594">
        <v>0</v>
      </c>
      <c r="N860" s="1595">
        <v>1.3408224304503493</v>
      </c>
      <c r="O860" s="1595">
        <v>1.3553095104070474</v>
      </c>
    </row>
    <row r="861" spans="11:15">
      <c r="K861" s="1592">
        <v>42918</v>
      </c>
      <c r="L861" s="1593"/>
      <c r="M861" s="1594">
        <v>0</v>
      </c>
      <c r="N861" s="1595">
        <v>1.3408224304503493</v>
      </c>
      <c r="O861" s="1595">
        <v>1.3553095104070474</v>
      </c>
    </row>
    <row r="862" spans="11:15">
      <c r="K862" s="1592">
        <v>42919</v>
      </c>
      <c r="L862" s="1593" t="s">
        <v>2301</v>
      </c>
      <c r="M862" s="1594">
        <v>3.8370000000000001E-2</v>
      </c>
      <c r="N862" s="1595">
        <v>1.3413369040169132</v>
      </c>
      <c r="O862" s="1595">
        <v>1.3560214680459592</v>
      </c>
    </row>
    <row r="863" spans="11:15">
      <c r="K863" s="1592">
        <v>42920</v>
      </c>
      <c r="L863" s="1593" t="s">
        <v>2301</v>
      </c>
      <c r="M863" s="1594">
        <v>3.8370000000000001E-2</v>
      </c>
      <c r="N863" s="1595">
        <v>1.3418515749869844</v>
      </c>
      <c r="O863" s="1595">
        <v>1.3567337996833384</v>
      </c>
    </row>
    <row r="864" spans="11:15">
      <c r="K864" s="1592">
        <v>42921</v>
      </c>
      <c r="L864" s="1593" t="s">
        <v>2301</v>
      </c>
      <c r="M864" s="1594">
        <v>3.8370000000000001E-2</v>
      </c>
      <c r="N864" s="1595">
        <v>1.342366443436307</v>
      </c>
      <c r="O864" s="1595">
        <v>1.3574465055156502</v>
      </c>
    </row>
    <row r="865" spans="11:15">
      <c r="K865" s="1592">
        <v>42922</v>
      </c>
      <c r="L865" s="1593" t="s">
        <v>2301</v>
      </c>
      <c r="M865" s="1594">
        <v>3.8370000000000001E-2</v>
      </c>
      <c r="N865" s="1595">
        <v>1.3428815094406534</v>
      </c>
      <c r="O865" s="1595">
        <v>1.3581595857394626</v>
      </c>
    </row>
    <row r="866" spans="11:15">
      <c r="K866" s="1592">
        <v>42923</v>
      </c>
      <c r="L866" s="1593" t="s">
        <v>2301</v>
      </c>
      <c r="M866" s="1594">
        <v>3.8370000000000001E-2</v>
      </c>
      <c r="N866" s="1595">
        <v>1.3433967730758258</v>
      </c>
      <c r="O866" s="1595">
        <v>1.3588730405514473</v>
      </c>
    </row>
    <row r="867" spans="11:15">
      <c r="K867" s="1592">
        <v>42924</v>
      </c>
      <c r="L867" s="1593"/>
      <c r="M867" s="1594">
        <v>0</v>
      </c>
      <c r="N867" s="1595">
        <v>1.3433967730758258</v>
      </c>
      <c r="O867" s="1595">
        <v>1.3588730405514473</v>
      </c>
    </row>
    <row r="868" spans="11:15">
      <c r="K868" s="1592">
        <v>42925</v>
      </c>
      <c r="L868" s="1593"/>
      <c r="M868" s="1594">
        <v>0</v>
      </c>
      <c r="N868" s="1595">
        <v>1.3433967730758258</v>
      </c>
      <c r="O868" s="1595">
        <v>1.3588730405514473</v>
      </c>
    </row>
    <row r="869" spans="11:15">
      <c r="K869" s="1592">
        <v>42926</v>
      </c>
      <c r="L869" s="1593" t="s">
        <v>2301</v>
      </c>
      <c r="M869" s="1594">
        <v>3.8370000000000001E-2</v>
      </c>
      <c r="N869" s="1595">
        <v>1.3439122344176551</v>
      </c>
      <c r="O869" s="1595">
        <v>1.3595868701483793</v>
      </c>
    </row>
    <row r="870" spans="11:15">
      <c r="K870" s="1592">
        <v>42927</v>
      </c>
      <c r="L870" s="1593" t="s">
        <v>2301</v>
      </c>
      <c r="M870" s="1594">
        <v>3.8370000000000001E-2</v>
      </c>
      <c r="N870" s="1595">
        <v>1.3444278935420011</v>
      </c>
      <c r="O870" s="1595">
        <v>1.3603010747271369</v>
      </c>
    </row>
    <row r="871" spans="11:15">
      <c r="K871" s="1592">
        <v>42928</v>
      </c>
      <c r="L871" s="1593" t="s">
        <v>2301</v>
      </c>
      <c r="M871" s="1594">
        <v>3.8370000000000001E-2</v>
      </c>
      <c r="N871" s="1595">
        <v>1.3449437505247532</v>
      </c>
      <c r="O871" s="1595">
        <v>1.3610156544847019</v>
      </c>
    </row>
    <row r="872" spans="11:15">
      <c r="K872" s="1592">
        <v>42929</v>
      </c>
      <c r="L872" s="1593" t="s">
        <v>2301</v>
      </c>
      <c r="M872" s="1594">
        <v>3.8370000000000001E-2</v>
      </c>
      <c r="N872" s="1595">
        <v>1.3454598054418296</v>
      </c>
      <c r="O872" s="1595">
        <v>1.3617306096181592</v>
      </c>
    </row>
    <row r="873" spans="11:15">
      <c r="K873" s="1592">
        <v>42930</v>
      </c>
      <c r="L873" s="1593" t="s">
        <v>2301</v>
      </c>
      <c r="M873" s="1594">
        <v>3.8370000000000001E-2</v>
      </c>
      <c r="N873" s="1595">
        <v>1.3459760583691776</v>
      </c>
      <c r="O873" s="1595">
        <v>1.3624459403246978</v>
      </c>
    </row>
    <row r="874" spans="11:15">
      <c r="K874" s="1592">
        <v>42931</v>
      </c>
      <c r="L874" s="1593"/>
      <c r="M874" s="1594">
        <v>0</v>
      </c>
      <c r="N874" s="1595">
        <v>1.3459760583691776</v>
      </c>
      <c r="O874" s="1595">
        <v>1.3624459403246978</v>
      </c>
    </row>
    <row r="875" spans="11:15">
      <c r="K875" s="1592">
        <v>42932</v>
      </c>
      <c r="L875" s="1593"/>
      <c r="M875" s="1594">
        <v>0</v>
      </c>
      <c r="N875" s="1595">
        <v>1.3459760583691776</v>
      </c>
      <c r="O875" s="1595">
        <v>1.3624459403246978</v>
      </c>
    </row>
    <row r="876" spans="11:15">
      <c r="K876" s="1592">
        <v>42933</v>
      </c>
      <c r="L876" s="1593" t="s">
        <v>2301</v>
      </c>
      <c r="M876" s="1594">
        <v>3.8370000000000001E-2</v>
      </c>
      <c r="N876" s="1595">
        <v>1.3464925093827738</v>
      </c>
      <c r="O876" s="1595">
        <v>1.3631616468016097</v>
      </c>
    </row>
    <row r="877" spans="11:15">
      <c r="K877" s="1592">
        <v>42934</v>
      </c>
      <c r="L877" s="1593" t="s">
        <v>2301</v>
      </c>
      <c r="M877" s="1594">
        <v>3.8370000000000001E-2</v>
      </c>
      <c r="N877" s="1595">
        <v>1.3470091585586239</v>
      </c>
      <c r="O877" s="1595">
        <v>1.3638777292462911</v>
      </c>
    </row>
    <row r="878" spans="11:15">
      <c r="K878" s="1592">
        <v>42935</v>
      </c>
      <c r="L878" s="1593" t="s">
        <v>2301</v>
      </c>
      <c r="M878" s="1594">
        <v>3.8370000000000001E-2</v>
      </c>
      <c r="N878" s="1595">
        <v>1.3475260059727627</v>
      </c>
      <c r="O878" s="1595">
        <v>1.3645941878562415</v>
      </c>
    </row>
    <row r="879" spans="11:15">
      <c r="K879" s="1592">
        <v>42936</v>
      </c>
      <c r="L879" s="1593" t="s">
        <v>2301</v>
      </c>
      <c r="M879" s="1594">
        <v>3.8370000000000001E-2</v>
      </c>
      <c r="N879" s="1595">
        <v>1.3480430517012545</v>
      </c>
      <c r="O879" s="1595">
        <v>1.3653110228290644</v>
      </c>
    </row>
    <row r="880" spans="11:15">
      <c r="K880" s="1592">
        <v>42937</v>
      </c>
      <c r="L880" s="1593" t="s">
        <v>2301</v>
      </c>
      <c r="M880" s="1594">
        <v>3.8370000000000001E-2</v>
      </c>
      <c r="N880" s="1595">
        <v>1.3485602958201923</v>
      </c>
      <c r="O880" s="1595">
        <v>1.3660282343624668</v>
      </c>
    </row>
    <row r="881" spans="11:15">
      <c r="K881" s="1592">
        <v>42938</v>
      </c>
      <c r="L881" s="1593"/>
      <c r="M881" s="1594">
        <v>0</v>
      </c>
      <c r="N881" s="1595">
        <v>1.3485602958201923</v>
      </c>
      <c r="O881" s="1595">
        <v>1.3660282343624668</v>
      </c>
    </row>
    <row r="882" spans="11:15">
      <c r="K882" s="1592">
        <v>42939</v>
      </c>
      <c r="L882" s="1593"/>
      <c r="M882" s="1594">
        <v>0</v>
      </c>
      <c r="N882" s="1595">
        <v>1.3485602958201923</v>
      </c>
      <c r="O882" s="1595">
        <v>1.3660282343624668</v>
      </c>
    </row>
    <row r="883" spans="11:15">
      <c r="K883" s="1592">
        <v>42940</v>
      </c>
      <c r="L883" s="1593" t="s">
        <v>2301</v>
      </c>
      <c r="M883" s="1594">
        <v>3.8370000000000001E-2</v>
      </c>
      <c r="N883" s="1595">
        <v>1.3490777384056984</v>
      </c>
      <c r="O883" s="1595">
        <v>1.3667458226542597</v>
      </c>
    </row>
    <row r="884" spans="11:15">
      <c r="K884" s="1592">
        <v>42941</v>
      </c>
      <c r="L884" s="1593" t="s">
        <v>2301</v>
      </c>
      <c r="M884" s="1594">
        <v>3.8370000000000001E-2</v>
      </c>
      <c r="N884" s="1595">
        <v>1.3495953795339246</v>
      </c>
      <c r="O884" s="1595">
        <v>1.3674637879023581</v>
      </c>
    </row>
    <row r="885" spans="11:15">
      <c r="K885" s="1592">
        <v>42942</v>
      </c>
      <c r="L885" s="1593" t="s">
        <v>2301</v>
      </c>
      <c r="M885" s="1594">
        <v>3.8370000000000001E-2</v>
      </c>
      <c r="N885" s="1595">
        <v>1.3501132192810517</v>
      </c>
      <c r="O885" s="1595">
        <v>1.3681821303047812</v>
      </c>
    </row>
    <row r="886" spans="11:15">
      <c r="K886" s="1592">
        <v>42943</v>
      </c>
      <c r="L886" s="1593" t="s">
        <v>2301</v>
      </c>
      <c r="M886" s="1594">
        <v>3.4749000000000002E-2</v>
      </c>
      <c r="N886" s="1595">
        <v>1.3505823701236197</v>
      </c>
      <c r="O886" s="1595">
        <v>1.3689008500596516</v>
      </c>
    </row>
    <row r="887" spans="11:15">
      <c r="K887" s="1592">
        <v>42944</v>
      </c>
      <c r="L887" s="1593" t="s">
        <v>2301</v>
      </c>
      <c r="M887" s="1594">
        <v>3.4749000000000002E-2</v>
      </c>
      <c r="N887" s="1595">
        <v>1.351051683991414</v>
      </c>
      <c r="O887" s="1595">
        <v>1.3696199473651964</v>
      </c>
    </row>
    <row r="888" spans="11:15">
      <c r="K888" s="1592">
        <v>42945</v>
      </c>
      <c r="L888" s="1593"/>
      <c r="M888" s="1594">
        <v>0</v>
      </c>
      <c r="N888" s="1595">
        <v>1.351051683991414</v>
      </c>
      <c r="O888" s="1595">
        <v>1.3696199473651964</v>
      </c>
    </row>
    <row r="889" spans="11:15">
      <c r="K889" s="1592">
        <v>42946</v>
      </c>
      <c r="L889" s="1593"/>
      <c r="M889" s="1594">
        <v>0</v>
      </c>
      <c r="N889" s="1595">
        <v>1.351051683991414</v>
      </c>
      <c r="O889" s="1595">
        <v>1.3696199473651964</v>
      </c>
    </row>
    <row r="890" spans="11:15">
      <c r="K890" s="1592">
        <v>42947</v>
      </c>
      <c r="L890" s="1593" t="s">
        <v>2301</v>
      </c>
      <c r="M890" s="1594">
        <v>3.4749000000000002E-2</v>
      </c>
      <c r="N890" s="1595">
        <v>1.3515211609410842</v>
      </c>
      <c r="O890" s="1595">
        <v>1.3703394224197469</v>
      </c>
    </row>
    <row r="891" spans="11:15">
      <c r="K891" s="1592">
        <v>42948</v>
      </c>
      <c r="L891" s="1593" t="s">
        <v>2301</v>
      </c>
      <c r="M891" s="1594">
        <v>3.4749000000000002E-2</v>
      </c>
      <c r="N891" s="1595">
        <v>1.3519908010292996</v>
      </c>
      <c r="O891" s="1595">
        <v>1.3710592754217383</v>
      </c>
    </row>
    <row r="892" spans="11:15">
      <c r="K892" s="1592">
        <v>42949</v>
      </c>
      <c r="L892" s="1593" t="s">
        <v>2301</v>
      </c>
      <c r="M892" s="1594">
        <v>3.4749000000000002E-2</v>
      </c>
      <c r="N892" s="1595">
        <v>1.3524606043127492</v>
      </c>
      <c r="O892" s="1595">
        <v>1.37177950656971</v>
      </c>
    </row>
    <row r="893" spans="11:15">
      <c r="K893" s="1592">
        <v>42950</v>
      </c>
      <c r="L893" s="1593" t="s">
        <v>2301</v>
      </c>
      <c r="M893" s="1594">
        <v>3.4749000000000002E-2</v>
      </c>
      <c r="N893" s="1595">
        <v>1.3529305708481418</v>
      </c>
      <c r="O893" s="1595">
        <v>1.3725001160623063</v>
      </c>
    </row>
    <row r="894" spans="11:15">
      <c r="K894" s="1592">
        <v>42951</v>
      </c>
      <c r="L894" s="1593" t="s">
        <v>2301</v>
      </c>
      <c r="M894" s="1594">
        <v>3.4749000000000002E-2</v>
      </c>
      <c r="N894" s="1595">
        <v>1.353400700692206</v>
      </c>
      <c r="O894" s="1595">
        <v>1.3732211040982749</v>
      </c>
    </row>
    <row r="895" spans="11:15">
      <c r="K895" s="1592">
        <v>42952</v>
      </c>
      <c r="L895" s="1593"/>
      <c r="M895" s="1594">
        <v>0</v>
      </c>
      <c r="N895" s="1595">
        <v>1.353400700692206</v>
      </c>
      <c r="O895" s="1595">
        <v>1.3732211040982749</v>
      </c>
    </row>
    <row r="896" spans="11:15">
      <c r="K896" s="1592">
        <v>42953</v>
      </c>
      <c r="L896" s="1593"/>
      <c r="M896" s="1594">
        <v>0</v>
      </c>
      <c r="N896" s="1595">
        <v>1.353400700692206</v>
      </c>
      <c r="O896" s="1595">
        <v>1.3732211040982749</v>
      </c>
    </row>
    <row r="897" spans="11:15">
      <c r="K897" s="1592">
        <v>42954</v>
      </c>
      <c r="L897" s="1593" t="s">
        <v>2301</v>
      </c>
      <c r="M897" s="1594">
        <v>3.4749000000000002E-2</v>
      </c>
      <c r="N897" s="1595">
        <v>1.3538709939016895</v>
      </c>
      <c r="O897" s="1595">
        <v>1.3739424708764687</v>
      </c>
    </row>
    <row r="898" spans="11:15">
      <c r="K898" s="1592">
        <v>42955</v>
      </c>
      <c r="L898" s="1593" t="s">
        <v>2301</v>
      </c>
      <c r="M898" s="1594">
        <v>3.4749000000000002E-2</v>
      </c>
      <c r="N898" s="1595">
        <v>1.3543414505333604</v>
      </c>
      <c r="O898" s="1595">
        <v>1.3746642165958449</v>
      </c>
    </row>
    <row r="899" spans="11:15">
      <c r="K899" s="1592">
        <v>42956</v>
      </c>
      <c r="L899" s="1593" t="s">
        <v>2301</v>
      </c>
      <c r="M899" s="1594">
        <v>3.4749000000000002E-2</v>
      </c>
      <c r="N899" s="1595">
        <v>1.3548120706440063</v>
      </c>
      <c r="O899" s="1595">
        <v>1.3753863414554648</v>
      </c>
    </row>
    <row r="900" spans="11:15">
      <c r="K900" s="1592">
        <v>42957</v>
      </c>
      <c r="L900" s="1593" t="s">
        <v>2301</v>
      </c>
      <c r="M900" s="1594">
        <v>3.4749000000000002E-2</v>
      </c>
      <c r="N900" s="1595">
        <v>1.3552828542904345</v>
      </c>
      <c r="O900" s="1595">
        <v>1.3761088456544948</v>
      </c>
    </row>
    <row r="901" spans="11:15">
      <c r="K901" s="1592">
        <v>42958</v>
      </c>
      <c r="L901" s="1593" t="s">
        <v>2301</v>
      </c>
      <c r="M901" s="1594">
        <v>3.4749000000000002E-2</v>
      </c>
      <c r="N901" s="1595">
        <v>1.3557538015294719</v>
      </c>
      <c r="O901" s="1595">
        <v>1.3768317293922054</v>
      </c>
    </row>
    <row r="902" spans="11:15">
      <c r="K902" s="1592">
        <v>42959</v>
      </c>
      <c r="L902" s="1593"/>
      <c r="M902" s="1594">
        <v>0</v>
      </c>
      <c r="N902" s="1595">
        <v>1.3557538015294719</v>
      </c>
      <c r="O902" s="1595">
        <v>1.3768317293922054</v>
      </c>
    </row>
    <row r="903" spans="11:15">
      <c r="K903" s="1592">
        <v>42960</v>
      </c>
      <c r="L903" s="1593"/>
      <c r="M903" s="1594">
        <v>0</v>
      </c>
      <c r="N903" s="1595">
        <v>1.3557538015294719</v>
      </c>
      <c r="O903" s="1595">
        <v>1.3768317293922054</v>
      </c>
    </row>
    <row r="904" spans="11:15">
      <c r="K904" s="1592">
        <v>42961</v>
      </c>
      <c r="L904" s="1593" t="s">
        <v>2301</v>
      </c>
      <c r="M904" s="1594">
        <v>3.4749000000000002E-2</v>
      </c>
      <c r="N904" s="1595">
        <v>1.3562249124179653</v>
      </c>
      <c r="O904" s="1595">
        <v>1.3775549928679724</v>
      </c>
    </row>
    <row r="905" spans="11:15">
      <c r="K905" s="1592">
        <v>42962</v>
      </c>
      <c r="L905" s="1593" t="s">
        <v>2301</v>
      </c>
      <c r="M905" s="1594">
        <v>3.4749000000000002E-2</v>
      </c>
      <c r="N905" s="1595">
        <v>1.3566961870127814</v>
      </c>
      <c r="O905" s="1595">
        <v>1.378278636281276</v>
      </c>
    </row>
    <row r="906" spans="11:15">
      <c r="K906" s="1592">
        <v>42963</v>
      </c>
      <c r="L906" s="1593" t="s">
        <v>2301</v>
      </c>
      <c r="M906" s="1594">
        <v>3.4749000000000002E-2</v>
      </c>
      <c r="N906" s="1595">
        <v>1.3571676253708065</v>
      </c>
      <c r="O906" s="1595">
        <v>1.3790026598317009</v>
      </c>
    </row>
    <row r="907" spans="11:15">
      <c r="K907" s="1592">
        <v>42964</v>
      </c>
      <c r="L907" s="1593" t="s">
        <v>2301</v>
      </c>
      <c r="M907" s="1594">
        <v>3.4749000000000002E-2</v>
      </c>
      <c r="N907" s="1595">
        <v>1.3576392275489466</v>
      </c>
      <c r="O907" s="1595">
        <v>1.3797270637189372</v>
      </c>
    </row>
    <row r="908" spans="11:15">
      <c r="K908" s="1592">
        <v>42965</v>
      </c>
      <c r="L908" s="1593" t="s">
        <v>2301</v>
      </c>
      <c r="M908" s="1594">
        <v>3.4749000000000002E-2</v>
      </c>
      <c r="N908" s="1595">
        <v>1.3581109936041276</v>
      </c>
      <c r="O908" s="1595">
        <v>1.3804518481427794</v>
      </c>
    </row>
    <row r="909" spans="11:15">
      <c r="K909" s="1592">
        <v>42966</v>
      </c>
      <c r="L909" s="1593"/>
      <c r="M909" s="1594">
        <v>0</v>
      </c>
      <c r="N909" s="1595">
        <v>1.3581109936041276</v>
      </c>
      <c r="O909" s="1595">
        <v>1.3804518481427794</v>
      </c>
    </row>
    <row r="910" spans="11:15">
      <c r="K910" s="1592">
        <v>42967</v>
      </c>
      <c r="L910" s="1593"/>
      <c r="M910" s="1594">
        <v>0</v>
      </c>
      <c r="N910" s="1595">
        <v>1.3581109936041276</v>
      </c>
      <c r="O910" s="1595">
        <v>1.3804518481427794</v>
      </c>
    </row>
    <row r="911" spans="11:15">
      <c r="K911" s="1592">
        <v>42968</v>
      </c>
      <c r="L911" s="1593" t="s">
        <v>2301</v>
      </c>
      <c r="M911" s="1594">
        <v>3.4749000000000002E-2</v>
      </c>
      <c r="N911" s="1595">
        <v>1.3585829235932951</v>
      </c>
      <c r="O911" s="1595">
        <v>1.3811770133031274</v>
      </c>
    </row>
    <row r="912" spans="11:15">
      <c r="K912" s="1592">
        <v>42969</v>
      </c>
      <c r="L912" s="1593" t="s">
        <v>2301</v>
      </c>
      <c r="M912" s="1594">
        <v>3.4749000000000002E-2</v>
      </c>
      <c r="N912" s="1595">
        <v>1.3590550175734146</v>
      </c>
      <c r="O912" s="1595">
        <v>1.3819025593999856</v>
      </c>
    </row>
    <row r="913" spans="11:15">
      <c r="K913" s="1592">
        <v>42970</v>
      </c>
      <c r="L913" s="1593" t="s">
        <v>2301</v>
      </c>
      <c r="M913" s="1594">
        <v>3.4749000000000002E-2</v>
      </c>
      <c r="N913" s="1595">
        <v>1.3595272756014711</v>
      </c>
      <c r="O913" s="1595">
        <v>1.3826284866334639</v>
      </c>
    </row>
    <row r="914" spans="11:15">
      <c r="K914" s="1592">
        <v>42971</v>
      </c>
      <c r="L914" s="1593" t="s">
        <v>2301</v>
      </c>
      <c r="M914" s="1594">
        <v>3.4749000000000002E-2</v>
      </c>
      <c r="N914" s="1595">
        <v>1.3599996977344699</v>
      </c>
      <c r="O914" s="1595">
        <v>1.3833547952037775</v>
      </c>
    </row>
    <row r="915" spans="11:15">
      <c r="K915" s="1592">
        <v>42972</v>
      </c>
      <c r="L915" s="1593" t="s">
        <v>2301</v>
      </c>
      <c r="M915" s="1594">
        <v>3.4749000000000002E-2</v>
      </c>
      <c r="N915" s="1595">
        <v>1.3604722840294357</v>
      </c>
      <c r="O915" s="1595">
        <v>1.384081485311246</v>
      </c>
    </row>
    <row r="916" spans="11:15">
      <c r="K916" s="1592">
        <v>42973</v>
      </c>
      <c r="L916" s="1593"/>
      <c r="M916" s="1594">
        <v>0</v>
      </c>
      <c r="N916" s="1595">
        <v>1.3604722840294357</v>
      </c>
      <c r="O916" s="1595">
        <v>1.384081485311246</v>
      </c>
    </row>
    <row r="917" spans="11:15">
      <c r="K917" s="1592">
        <v>42974</v>
      </c>
      <c r="L917" s="1593"/>
      <c r="M917" s="1594">
        <v>0</v>
      </c>
      <c r="N917" s="1595">
        <v>1.3604722840294357</v>
      </c>
      <c r="O917" s="1595">
        <v>1.384081485311246</v>
      </c>
    </row>
    <row r="918" spans="11:15">
      <c r="K918" s="1592">
        <v>42975</v>
      </c>
      <c r="L918" s="1593" t="s">
        <v>2301</v>
      </c>
      <c r="M918" s="1594">
        <v>3.4749000000000002E-2</v>
      </c>
      <c r="N918" s="1595">
        <v>1.3609450345434131</v>
      </c>
      <c r="O918" s="1595">
        <v>1.3848085571562949</v>
      </c>
    </row>
    <row r="919" spans="11:15">
      <c r="K919" s="1592">
        <v>42976</v>
      </c>
      <c r="L919" s="1593" t="s">
        <v>2301</v>
      </c>
      <c r="M919" s="1594">
        <v>3.4749000000000002E-2</v>
      </c>
      <c r="N919" s="1595">
        <v>1.3614179493334666</v>
      </c>
      <c r="O919" s="1595">
        <v>1.3855360109394548</v>
      </c>
    </row>
    <row r="920" spans="11:15">
      <c r="K920" s="1592">
        <v>42977</v>
      </c>
      <c r="L920" s="1593" t="s">
        <v>2301</v>
      </c>
      <c r="M920" s="1594">
        <v>3.4749000000000002E-2</v>
      </c>
      <c r="N920" s="1595">
        <v>1.3618910284566805</v>
      </c>
      <c r="O920" s="1595">
        <v>1.3862638468613613</v>
      </c>
    </row>
    <row r="921" spans="11:15">
      <c r="K921" s="1592">
        <v>42978</v>
      </c>
      <c r="L921" s="1593" t="s">
        <v>2301</v>
      </c>
      <c r="M921" s="1594">
        <v>3.4749000000000002E-2</v>
      </c>
      <c r="N921" s="1595">
        <v>1.362364271970159</v>
      </c>
      <c r="O921" s="1595">
        <v>1.3869920651227561</v>
      </c>
    </row>
    <row r="922" spans="11:15">
      <c r="K922" s="1592">
        <v>42979</v>
      </c>
      <c r="L922" s="1593" t="s">
        <v>2301</v>
      </c>
      <c r="M922" s="1594">
        <v>3.4749000000000002E-2</v>
      </c>
      <c r="N922" s="1595">
        <v>1.3628376799310258</v>
      </c>
      <c r="O922" s="1595">
        <v>1.3877206659244856</v>
      </c>
    </row>
    <row r="923" spans="11:15">
      <c r="K923" s="1592">
        <v>42980</v>
      </c>
      <c r="L923" s="1593"/>
      <c r="M923" s="1594">
        <v>0</v>
      </c>
      <c r="N923" s="1595">
        <v>1.3628376799310258</v>
      </c>
      <c r="O923" s="1595">
        <v>1.3877206659244856</v>
      </c>
    </row>
    <row r="924" spans="11:15">
      <c r="K924" s="1592">
        <v>42981</v>
      </c>
      <c r="L924" s="1593"/>
      <c r="M924" s="1594">
        <v>0</v>
      </c>
      <c r="N924" s="1595">
        <v>1.3628376799310258</v>
      </c>
      <c r="O924" s="1595">
        <v>1.3877206659244856</v>
      </c>
    </row>
    <row r="925" spans="11:15">
      <c r="K925" s="1592">
        <v>42982</v>
      </c>
      <c r="L925" s="1593" t="s">
        <v>2301</v>
      </c>
      <c r="M925" s="1594">
        <v>3.4749000000000002E-2</v>
      </c>
      <c r="N925" s="1595">
        <v>1.363311252396425</v>
      </c>
      <c r="O925" s="1595">
        <v>1.3884496494675025</v>
      </c>
    </row>
    <row r="926" spans="11:15">
      <c r="K926" s="1592">
        <v>42983</v>
      </c>
      <c r="L926" s="1593" t="s">
        <v>2301</v>
      </c>
      <c r="M926" s="1594">
        <v>3.4749000000000002E-2</v>
      </c>
      <c r="N926" s="1595">
        <v>1.3637849894235203</v>
      </c>
      <c r="O926" s="1595">
        <v>1.3891790159528643</v>
      </c>
    </row>
    <row r="927" spans="11:15">
      <c r="K927" s="1592">
        <v>42984</v>
      </c>
      <c r="L927" s="1593" t="s">
        <v>2301</v>
      </c>
      <c r="M927" s="1594">
        <v>3.4749000000000002E-2</v>
      </c>
      <c r="N927" s="1595">
        <v>1.364258891069495</v>
      </c>
      <c r="O927" s="1595">
        <v>1.3899087655817346</v>
      </c>
    </row>
    <row r="928" spans="11:15">
      <c r="K928" s="1592">
        <v>42985</v>
      </c>
      <c r="L928" s="1593"/>
      <c r="M928" s="1594">
        <v>0</v>
      </c>
      <c r="N928" s="1595">
        <v>1.364258891069495</v>
      </c>
      <c r="O928" s="1595">
        <v>1.3899087655817346</v>
      </c>
    </row>
    <row r="929" spans="11:15">
      <c r="K929" s="1592">
        <v>42986</v>
      </c>
      <c r="L929" s="1593" t="s">
        <v>2301</v>
      </c>
      <c r="M929" s="1594">
        <v>3.1095999999999999E-2</v>
      </c>
      <c r="N929" s="1595">
        <v>1.364683121014262</v>
      </c>
      <c r="O929" s="1595">
        <v>1.3906388985553824</v>
      </c>
    </row>
    <row r="930" spans="11:15">
      <c r="K930" s="1592">
        <v>42987</v>
      </c>
      <c r="L930" s="1593"/>
      <c r="M930" s="1594">
        <v>0</v>
      </c>
      <c r="N930" s="1595">
        <v>1.364683121014262</v>
      </c>
      <c r="O930" s="1595">
        <v>1.3906388985553824</v>
      </c>
    </row>
    <row r="931" spans="11:15">
      <c r="K931" s="1592">
        <v>42988</v>
      </c>
      <c r="L931" s="1593"/>
      <c r="M931" s="1594">
        <v>0</v>
      </c>
      <c r="N931" s="1595">
        <v>1.364683121014262</v>
      </c>
      <c r="O931" s="1595">
        <v>1.3906388985553824</v>
      </c>
    </row>
    <row r="932" spans="11:15">
      <c r="K932" s="1592">
        <v>42989</v>
      </c>
      <c r="L932" s="1593" t="s">
        <v>2301</v>
      </c>
      <c r="M932" s="1594">
        <v>3.1095999999999999E-2</v>
      </c>
      <c r="N932" s="1595">
        <v>1.3651074828775727</v>
      </c>
      <c r="O932" s="1595">
        <v>1.3913694150751825</v>
      </c>
    </row>
    <row r="933" spans="11:15">
      <c r="K933" s="1592">
        <v>42990</v>
      </c>
      <c r="L933" s="1593" t="s">
        <v>2301</v>
      </c>
      <c r="M933" s="1594">
        <v>3.1095999999999999E-2</v>
      </c>
      <c r="N933" s="1595">
        <v>1.3655319767004481</v>
      </c>
      <c r="O933" s="1595">
        <v>1.3921003153426157</v>
      </c>
    </row>
    <row r="934" spans="11:15">
      <c r="K934" s="1592">
        <v>42991</v>
      </c>
      <c r="L934" s="1593" t="s">
        <v>2301</v>
      </c>
      <c r="M934" s="1594">
        <v>3.1095999999999999E-2</v>
      </c>
      <c r="N934" s="1595">
        <v>1.3659566025239229</v>
      </c>
      <c r="O934" s="1595">
        <v>1.3928315995592684</v>
      </c>
    </row>
    <row r="935" spans="11:15">
      <c r="K935" s="1592">
        <v>42992</v>
      </c>
      <c r="L935" s="1593" t="s">
        <v>2301</v>
      </c>
      <c r="M935" s="1594">
        <v>3.1095999999999999E-2</v>
      </c>
      <c r="N935" s="1595">
        <v>1.3663813603890438</v>
      </c>
      <c r="O935" s="1595">
        <v>1.3935632679268328</v>
      </c>
    </row>
    <row r="936" spans="11:15">
      <c r="K936" s="1592">
        <v>42993</v>
      </c>
      <c r="L936" s="1593" t="s">
        <v>2301</v>
      </c>
      <c r="M936" s="1594">
        <v>3.1095999999999999E-2</v>
      </c>
      <c r="N936" s="1595">
        <v>1.3668062503368703</v>
      </c>
      <c r="O936" s="1595">
        <v>1.3942953206471074</v>
      </c>
    </row>
    <row r="937" spans="11:15">
      <c r="K937" s="1592">
        <v>42994</v>
      </c>
      <c r="L937" s="1593"/>
      <c r="M937" s="1594">
        <v>0</v>
      </c>
      <c r="N937" s="1595">
        <v>1.3668062503368703</v>
      </c>
      <c r="O937" s="1595">
        <v>1.3942953206471074</v>
      </c>
    </row>
    <row r="938" spans="11:15">
      <c r="K938" s="1592">
        <v>42995</v>
      </c>
      <c r="L938" s="1593"/>
      <c r="M938" s="1594">
        <v>0</v>
      </c>
      <c r="N938" s="1595">
        <v>1.3668062503368703</v>
      </c>
      <c r="O938" s="1595">
        <v>1.3942953206471074</v>
      </c>
    </row>
    <row r="939" spans="11:15">
      <c r="K939" s="1592">
        <v>42996</v>
      </c>
      <c r="L939" s="1593" t="s">
        <v>2301</v>
      </c>
      <c r="M939" s="1594">
        <v>3.1095999999999999E-2</v>
      </c>
      <c r="N939" s="1595">
        <v>1.367231272408475</v>
      </c>
      <c r="O939" s="1595">
        <v>1.3950277579219965</v>
      </c>
    </row>
    <row r="940" spans="11:15">
      <c r="K940" s="1592">
        <v>42997</v>
      </c>
      <c r="L940" s="1593" t="s">
        <v>2301</v>
      </c>
      <c r="M940" s="1594">
        <v>3.1095999999999999E-2</v>
      </c>
      <c r="N940" s="1595">
        <v>1.3676564266449431</v>
      </c>
      <c r="O940" s="1595">
        <v>1.3957605799535104</v>
      </c>
    </row>
    <row r="941" spans="11:15">
      <c r="K941" s="1592">
        <v>42998</v>
      </c>
      <c r="L941" s="1593" t="s">
        <v>2301</v>
      </c>
      <c r="M941" s="1594">
        <v>3.1095999999999999E-2</v>
      </c>
      <c r="N941" s="1595">
        <v>1.3680817130873726</v>
      </c>
      <c r="O941" s="1595">
        <v>1.3964937869437659</v>
      </c>
    </row>
    <row r="942" spans="11:15">
      <c r="K942" s="1592">
        <v>42999</v>
      </c>
      <c r="L942" s="1593" t="s">
        <v>2301</v>
      </c>
      <c r="M942" s="1594">
        <v>3.1095999999999999E-2</v>
      </c>
      <c r="N942" s="1595">
        <v>1.3685071317768742</v>
      </c>
      <c r="O942" s="1595">
        <v>1.3972273790949854</v>
      </c>
    </row>
    <row r="943" spans="11:15">
      <c r="K943" s="1592">
        <v>43000</v>
      </c>
      <c r="L943" s="1593" t="s">
        <v>2301</v>
      </c>
      <c r="M943" s="1594">
        <v>3.1095999999999999E-2</v>
      </c>
      <c r="N943" s="1595">
        <v>1.3689326827545716</v>
      </c>
      <c r="O943" s="1595">
        <v>1.3979613566094977</v>
      </c>
    </row>
    <row r="944" spans="11:15">
      <c r="K944" s="1592">
        <v>43001</v>
      </c>
      <c r="L944" s="1593"/>
      <c r="M944" s="1594">
        <v>0</v>
      </c>
      <c r="N944" s="1595">
        <v>1.3689326827545716</v>
      </c>
      <c r="O944" s="1595">
        <v>1.3979613566094977</v>
      </c>
    </row>
    <row r="945" spans="11:15">
      <c r="K945" s="1592">
        <v>43002</v>
      </c>
      <c r="L945" s="1593"/>
      <c r="M945" s="1594">
        <v>0</v>
      </c>
      <c r="N945" s="1595">
        <v>1.3689326827545716</v>
      </c>
      <c r="O945" s="1595">
        <v>1.3979613566094977</v>
      </c>
    </row>
    <row r="946" spans="11:15">
      <c r="K946" s="1592">
        <v>43003</v>
      </c>
      <c r="L946" s="1593" t="s">
        <v>2301</v>
      </c>
      <c r="M946" s="1594">
        <v>3.1095999999999999E-2</v>
      </c>
      <c r="N946" s="1595">
        <v>1.3693583660616009</v>
      </c>
      <c r="O946" s="1595">
        <v>1.3986957196897383</v>
      </c>
    </row>
    <row r="947" spans="11:15">
      <c r="K947" s="1592">
        <v>43004</v>
      </c>
      <c r="L947" s="1593" t="s">
        <v>2301</v>
      </c>
      <c r="M947" s="1594">
        <v>3.1095999999999999E-2</v>
      </c>
      <c r="N947" s="1595">
        <v>1.3697841817391114</v>
      </c>
      <c r="O947" s="1595">
        <v>1.3994304685382486</v>
      </c>
    </row>
    <row r="948" spans="11:15">
      <c r="K948" s="1592">
        <v>43005</v>
      </c>
      <c r="L948" s="1593" t="s">
        <v>2301</v>
      </c>
      <c r="M948" s="1594">
        <v>3.1095999999999999E-2</v>
      </c>
      <c r="N948" s="1595">
        <v>1.370210129828265</v>
      </c>
      <c r="O948" s="1595">
        <v>1.4001656033576764</v>
      </c>
    </row>
    <row r="949" spans="11:15">
      <c r="K949" s="1592">
        <v>43006</v>
      </c>
      <c r="L949" s="1593" t="s">
        <v>2301</v>
      </c>
      <c r="M949" s="1594">
        <v>3.1095999999999999E-2</v>
      </c>
      <c r="N949" s="1595">
        <v>1.3706362103702363</v>
      </c>
      <c r="O949" s="1595">
        <v>1.4009011243507763</v>
      </c>
    </row>
    <row r="950" spans="11:15">
      <c r="K950" s="1592">
        <v>43007</v>
      </c>
      <c r="L950" s="1593" t="s">
        <v>2301</v>
      </c>
      <c r="M950" s="1594">
        <v>3.1095999999999999E-2</v>
      </c>
      <c r="N950" s="1595">
        <v>1.371062423406213</v>
      </c>
      <c r="O950" s="1595">
        <v>1.401637031720409</v>
      </c>
    </row>
    <row r="951" spans="11:15">
      <c r="K951" s="1592">
        <v>43008</v>
      </c>
      <c r="L951" s="1593"/>
      <c r="M951" s="1594">
        <v>0</v>
      </c>
      <c r="N951" s="1595">
        <v>1.371062423406213</v>
      </c>
      <c r="O951" s="1595">
        <v>1.401637031720409</v>
      </c>
    </row>
    <row r="952" spans="11:15">
      <c r="K952" s="1592">
        <v>43009</v>
      </c>
      <c r="L952" s="1593"/>
      <c r="M952" s="1594">
        <v>0</v>
      </c>
      <c r="N952" s="1595">
        <v>1.371062423406213</v>
      </c>
      <c r="O952" s="1595">
        <v>1.401637031720409</v>
      </c>
    </row>
    <row r="953" spans="11:15">
      <c r="K953" s="1592">
        <v>43010</v>
      </c>
      <c r="L953" s="1593" t="s">
        <v>2301</v>
      </c>
      <c r="M953" s="1594">
        <v>3.1095999999999999E-2</v>
      </c>
      <c r="N953" s="1595">
        <v>1.3714887689773954</v>
      </c>
      <c r="O953" s="1595">
        <v>1.4023733256695421</v>
      </c>
    </row>
    <row r="954" spans="11:15">
      <c r="K954" s="1592">
        <v>43011</v>
      </c>
      <c r="L954" s="1593" t="s">
        <v>2301</v>
      </c>
      <c r="M954" s="1594">
        <v>3.1095999999999999E-2</v>
      </c>
      <c r="N954" s="1595">
        <v>1.3719152471249965</v>
      </c>
      <c r="O954" s="1595">
        <v>1.4031100064012496</v>
      </c>
    </row>
    <row r="955" spans="11:15">
      <c r="K955" s="1592">
        <v>43012</v>
      </c>
      <c r="L955" s="1593" t="s">
        <v>2301</v>
      </c>
      <c r="M955" s="1594">
        <v>3.1095999999999999E-2</v>
      </c>
      <c r="N955" s="1595">
        <v>1.3723418578902424</v>
      </c>
      <c r="O955" s="1595">
        <v>1.4038470741187123</v>
      </c>
    </row>
    <row r="956" spans="11:15">
      <c r="K956" s="1592">
        <v>43013</v>
      </c>
      <c r="L956" s="1593" t="s">
        <v>2301</v>
      </c>
      <c r="M956" s="1594">
        <v>3.1095999999999999E-2</v>
      </c>
      <c r="N956" s="1595">
        <v>1.3727686013143718</v>
      </c>
      <c r="O956" s="1595">
        <v>1.4045845290252177</v>
      </c>
    </row>
    <row r="957" spans="11:15">
      <c r="K957" s="1592">
        <v>43014</v>
      </c>
      <c r="L957" s="1593" t="s">
        <v>2301</v>
      </c>
      <c r="M957" s="1594">
        <v>3.1095999999999999E-2</v>
      </c>
      <c r="N957" s="1595">
        <v>1.3731954774386366</v>
      </c>
      <c r="O957" s="1595">
        <v>1.4053223713241598</v>
      </c>
    </row>
    <row r="958" spans="11:15">
      <c r="K958" s="1592">
        <v>43015</v>
      </c>
      <c r="L958" s="1593"/>
      <c r="M958" s="1594">
        <v>0</v>
      </c>
      <c r="N958" s="1595">
        <v>1.3731954774386366</v>
      </c>
      <c r="O958" s="1595">
        <v>1.4053223713241598</v>
      </c>
    </row>
    <row r="959" spans="11:15">
      <c r="K959" s="1592">
        <v>43016</v>
      </c>
      <c r="L959" s="1593"/>
      <c r="M959" s="1594">
        <v>0</v>
      </c>
      <c r="N959" s="1595">
        <v>1.3731954774386366</v>
      </c>
      <c r="O959" s="1595">
        <v>1.4053223713241598</v>
      </c>
    </row>
    <row r="960" spans="11:15">
      <c r="K960" s="1592">
        <v>43017</v>
      </c>
      <c r="L960" s="1593" t="s">
        <v>2301</v>
      </c>
      <c r="M960" s="1594">
        <v>3.1095999999999999E-2</v>
      </c>
      <c r="N960" s="1595">
        <v>1.3736224863043009</v>
      </c>
      <c r="O960" s="1595">
        <v>1.4060606012190402</v>
      </c>
    </row>
    <row r="961" spans="11:15">
      <c r="K961" s="1592">
        <v>43018</v>
      </c>
      <c r="L961" s="1593" t="s">
        <v>2301</v>
      </c>
      <c r="M961" s="1594">
        <v>3.1095999999999999E-2</v>
      </c>
      <c r="N961" s="1595">
        <v>1.3740496279526422</v>
      </c>
      <c r="O961" s="1595">
        <v>1.4067992189134666</v>
      </c>
    </row>
    <row r="962" spans="11:15">
      <c r="K962" s="1592">
        <v>43019</v>
      </c>
      <c r="L962" s="1593" t="s">
        <v>2301</v>
      </c>
      <c r="M962" s="1594">
        <v>3.1095999999999999E-2</v>
      </c>
      <c r="N962" s="1595">
        <v>1.3744769024249504</v>
      </c>
      <c r="O962" s="1595">
        <v>1.4075382246111541</v>
      </c>
    </row>
    <row r="963" spans="11:15">
      <c r="K963" s="1592">
        <v>43020</v>
      </c>
      <c r="L963" s="1593"/>
      <c r="M963" s="1594">
        <v>0</v>
      </c>
      <c r="N963" s="1595">
        <v>1.3744769024249504</v>
      </c>
      <c r="O963" s="1595">
        <v>1.4075382246111541</v>
      </c>
    </row>
    <row r="964" spans="11:15">
      <c r="K964" s="1592">
        <v>43021</v>
      </c>
      <c r="L964" s="1593" t="s">
        <v>2301</v>
      </c>
      <c r="M964" s="1594">
        <v>3.1095999999999999E-2</v>
      </c>
      <c r="N964" s="1595">
        <v>1.3749043097625284</v>
      </c>
      <c r="O964" s="1595">
        <v>1.4082776185159245</v>
      </c>
    </row>
    <row r="965" spans="11:15">
      <c r="K965" s="1592">
        <v>43022</v>
      </c>
      <c r="L965" s="1593"/>
      <c r="M965" s="1594">
        <v>0</v>
      </c>
      <c r="N965" s="1595">
        <v>1.3749043097625284</v>
      </c>
      <c r="O965" s="1595">
        <v>1.4082776185159245</v>
      </c>
    </row>
    <row r="966" spans="11:15">
      <c r="K966" s="1592">
        <v>43023</v>
      </c>
      <c r="L966" s="1593"/>
      <c r="M966" s="1594">
        <v>0</v>
      </c>
      <c r="N966" s="1595">
        <v>1.3749043097625284</v>
      </c>
      <c r="O966" s="1595">
        <v>1.4082776185159245</v>
      </c>
    </row>
    <row r="967" spans="11:15">
      <c r="K967" s="1592">
        <v>43024</v>
      </c>
      <c r="L967" s="1593" t="s">
        <v>2301</v>
      </c>
      <c r="M967" s="1594">
        <v>3.1095999999999999E-2</v>
      </c>
      <c r="N967" s="1595">
        <v>1.3753318500066922</v>
      </c>
      <c r="O967" s="1595">
        <v>1.4090174008317071</v>
      </c>
    </row>
    <row r="968" spans="11:15">
      <c r="K968" s="1592">
        <v>43025</v>
      </c>
      <c r="L968" s="1593" t="s">
        <v>2301</v>
      </c>
      <c r="M968" s="1594">
        <v>3.1095999999999999E-2</v>
      </c>
      <c r="N968" s="1595">
        <v>1.3757595231987703</v>
      </c>
      <c r="O968" s="1595">
        <v>1.4097575717625381</v>
      </c>
    </row>
    <row r="969" spans="11:15">
      <c r="K969" s="1592">
        <v>43026</v>
      </c>
      <c r="L969" s="1593" t="s">
        <v>2301</v>
      </c>
      <c r="M969" s="1594">
        <v>3.1095999999999999E-2</v>
      </c>
      <c r="N969" s="1595">
        <v>1.3761873293801041</v>
      </c>
      <c r="O969" s="1595">
        <v>1.4104981315125606</v>
      </c>
    </row>
    <row r="970" spans="11:15">
      <c r="K970" s="1592">
        <v>43027</v>
      </c>
      <c r="L970" s="1593" t="s">
        <v>2301</v>
      </c>
      <c r="M970" s="1594">
        <v>3.1095999999999999E-2</v>
      </c>
      <c r="N970" s="1595">
        <v>1.3766152685920481</v>
      </c>
      <c r="O970" s="1595">
        <v>1.4112390802860255</v>
      </c>
    </row>
    <row r="971" spans="11:15">
      <c r="K971" s="1592">
        <v>43028</v>
      </c>
      <c r="L971" s="1593" t="s">
        <v>2301</v>
      </c>
      <c r="M971" s="1594">
        <v>3.1095999999999999E-2</v>
      </c>
      <c r="N971" s="1595">
        <v>1.3770433408759695</v>
      </c>
      <c r="O971" s="1595">
        <v>1.4119804182872906</v>
      </c>
    </row>
    <row r="972" spans="11:15">
      <c r="K972" s="1592">
        <v>43029</v>
      </c>
      <c r="L972" s="1593"/>
      <c r="M972" s="1594">
        <v>0</v>
      </c>
      <c r="N972" s="1595">
        <v>1.3770433408759695</v>
      </c>
      <c r="O972" s="1595">
        <v>1.4119804182872906</v>
      </c>
    </row>
    <row r="973" spans="11:15">
      <c r="K973" s="1592">
        <v>43030</v>
      </c>
      <c r="L973" s="1593"/>
      <c r="M973" s="1594">
        <v>0</v>
      </c>
      <c r="N973" s="1595">
        <v>1.3770433408759695</v>
      </c>
      <c r="O973" s="1595">
        <v>1.4119804182872906</v>
      </c>
    </row>
    <row r="974" spans="11:15">
      <c r="K974" s="1592">
        <v>43031</v>
      </c>
      <c r="L974" s="1593" t="s">
        <v>2301</v>
      </c>
      <c r="M974" s="1594">
        <v>3.1095999999999999E-2</v>
      </c>
      <c r="N974" s="1595">
        <v>1.3774715462732483</v>
      </c>
      <c r="O974" s="1595">
        <v>1.412722145720821</v>
      </c>
    </row>
    <row r="975" spans="11:15">
      <c r="K975" s="1592">
        <v>43032</v>
      </c>
      <c r="L975" s="1593" t="s">
        <v>2301</v>
      </c>
      <c r="M975" s="1594">
        <v>3.1095999999999999E-2</v>
      </c>
      <c r="N975" s="1595">
        <v>1.3778998848252775</v>
      </c>
      <c r="O975" s="1595">
        <v>1.4134642627911895</v>
      </c>
    </row>
    <row r="976" spans="11:15">
      <c r="K976" s="1592">
        <v>43033</v>
      </c>
      <c r="L976" s="1593" t="s">
        <v>2301</v>
      </c>
      <c r="M976" s="1594">
        <v>3.1095999999999999E-2</v>
      </c>
      <c r="N976" s="1595">
        <v>1.3783283565734628</v>
      </c>
      <c r="O976" s="1595">
        <v>1.4142067697030765</v>
      </c>
    </row>
    <row r="977" spans="11:15">
      <c r="K977" s="1592">
        <v>43034</v>
      </c>
      <c r="L977" s="1593" t="s">
        <v>2301</v>
      </c>
      <c r="M977" s="1594">
        <v>2.8333000000000001E-2</v>
      </c>
      <c r="N977" s="1595">
        <v>1.3787188783467308</v>
      </c>
      <c r="O977" s="1595">
        <v>1.4149496666612691</v>
      </c>
    </row>
    <row r="978" spans="11:15">
      <c r="K978" s="1592">
        <v>43035</v>
      </c>
      <c r="L978" s="1593" t="s">
        <v>2301</v>
      </c>
      <c r="M978" s="1594">
        <v>2.8333000000000001E-2</v>
      </c>
      <c r="N978" s="1595">
        <v>1.3791095107665328</v>
      </c>
      <c r="O978" s="1595">
        <v>1.4156929538706629</v>
      </c>
    </row>
    <row r="979" spans="11:15">
      <c r="K979" s="1592">
        <v>43036</v>
      </c>
      <c r="L979" s="1593"/>
      <c r="M979" s="1594">
        <v>0</v>
      </c>
      <c r="N979" s="1595">
        <v>1.3791095107665328</v>
      </c>
      <c r="O979" s="1595">
        <v>1.4156929538706629</v>
      </c>
    </row>
    <row r="980" spans="11:15">
      <c r="K980" s="1592">
        <v>43037</v>
      </c>
      <c r="L980" s="1593"/>
      <c r="M980" s="1594">
        <v>0</v>
      </c>
      <c r="N980" s="1595">
        <v>1.3791095107665328</v>
      </c>
      <c r="O980" s="1595">
        <v>1.4156929538706629</v>
      </c>
    </row>
    <row r="981" spans="11:15">
      <c r="K981" s="1592">
        <v>43038</v>
      </c>
      <c r="L981" s="1593" t="s">
        <v>2301</v>
      </c>
      <c r="M981" s="1594">
        <v>2.8333000000000001E-2</v>
      </c>
      <c r="N981" s="1595">
        <v>1.3795002538642183</v>
      </c>
      <c r="O981" s="1595">
        <v>1.4164366315362606</v>
      </c>
    </row>
    <row r="982" spans="11:15">
      <c r="K982" s="1592">
        <v>43039</v>
      </c>
      <c r="L982" s="1593" t="s">
        <v>2301</v>
      </c>
      <c r="M982" s="1594">
        <v>2.8333000000000001E-2</v>
      </c>
      <c r="N982" s="1595">
        <v>1.3798911076711458</v>
      </c>
      <c r="O982" s="1595">
        <v>1.4171806998631729</v>
      </c>
    </row>
    <row r="983" spans="11:15">
      <c r="K983" s="1592">
        <v>43040</v>
      </c>
      <c r="L983" s="1593" t="s">
        <v>2301</v>
      </c>
      <c r="M983" s="1594">
        <v>2.8333000000000001E-2</v>
      </c>
      <c r="N983" s="1595">
        <v>1.3802820722186822</v>
      </c>
      <c r="O983" s="1595">
        <v>1.417925159056618</v>
      </c>
    </row>
    <row r="984" spans="11:15">
      <c r="K984" s="1592">
        <v>43041</v>
      </c>
      <c r="L984" s="1593"/>
      <c r="M984" s="1594">
        <v>0</v>
      </c>
      <c r="N984" s="1595">
        <v>1.3802820722186822</v>
      </c>
      <c r="O984" s="1595">
        <v>1.417925159056618</v>
      </c>
    </row>
    <row r="985" spans="11:15">
      <c r="K985" s="1592">
        <v>43042</v>
      </c>
      <c r="L985" s="1593" t="s">
        <v>2301</v>
      </c>
      <c r="M985" s="1594">
        <v>2.8333000000000001E-2</v>
      </c>
      <c r="N985" s="1595">
        <v>1.3806731475382039</v>
      </c>
      <c r="O985" s="1595">
        <v>1.418670009321922</v>
      </c>
    </row>
    <row r="986" spans="11:15">
      <c r="K986" s="1592">
        <v>43043</v>
      </c>
      <c r="L986" s="1593"/>
      <c r="M986" s="1594">
        <v>0</v>
      </c>
      <c r="N986" s="1595">
        <v>1.3806731475382039</v>
      </c>
      <c r="O986" s="1595">
        <v>1.418670009321922</v>
      </c>
    </row>
    <row r="987" spans="11:15">
      <c r="K987" s="1592">
        <v>43044</v>
      </c>
      <c r="L987" s="1593"/>
      <c r="M987" s="1594">
        <v>0</v>
      </c>
      <c r="N987" s="1595">
        <v>1.3806731475382039</v>
      </c>
      <c r="O987" s="1595">
        <v>1.418670009321922</v>
      </c>
    </row>
    <row r="988" spans="11:15">
      <c r="K988" s="1592">
        <v>43045</v>
      </c>
      <c r="L988" s="1593" t="s">
        <v>2301</v>
      </c>
      <c r="M988" s="1594">
        <v>2.8333000000000001E-2</v>
      </c>
      <c r="N988" s="1595">
        <v>1.3810643336610959</v>
      </c>
      <c r="O988" s="1595">
        <v>1.4194152508645188</v>
      </c>
    </row>
    <row r="989" spans="11:15">
      <c r="K989" s="1592">
        <v>43046</v>
      </c>
      <c r="L989" s="1593" t="s">
        <v>2301</v>
      </c>
      <c r="M989" s="1594">
        <v>2.8333000000000001E-2</v>
      </c>
      <c r="N989" s="1595">
        <v>1.3814556306187522</v>
      </c>
      <c r="O989" s="1595">
        <v>1.4201608838899504</v>
      </c>
    </row>
    <row r="990" spans="11:15">
      <c r="K990" s="1592">
        <v>43047</v>
      </c>
      <c r="L990" s="1593" t="s">
        <v>2301</v>
      </c>
      <c r="M990" s="1594">
        <v>2.8333000000000001E-2</v>
      </c>
      <c r="N990" s="1595">
        <v>1.3818470384425754</v>
      </c>
      <c r="O990" s="1595">
        <v>1.4209069086038666</v>
      </c>
    </row>
    <row r="991" spans="11:15">
      <c r="K991" s="1592">
        <v>43048</v>
      </c>
      <c r="L991" s="1593" t="s">
        <v>2301</v>
      </c>
      <c r="M991" s="1594">
        <v>2.8333000000000001E-2</v>
      </c>
      <c r="N991" s="1595">
        <v>1.3822385571639773</v>
      </c>
      <c r="O991" s="1595">
        <v>1.4216533252120254</v>
      </c>
    </row>
    <row r="992" spans="11:15">
      <c r="K992" s="1592">
        <v>43049</v>
      </c>
      <c r="L992" s="1593" t="s">
        <v>2301</v>
      </c>
      <c r="M992" s="1594">
        <v>2.8333000000000001E-2</v>
      </c>
      <c r="N992" s="1595">
        <v>1.3826301868143787</v>
      </c>
      <c r="O992" s="1595">
        <v>1.4224001339202925</v>
      </c>
    </row>
    <row r="993" spans="11:15">
      <c r="K993" s="1592">
        <v>43050</v>
      </c>
      <c r="L993" s="1593"/>
      <c r="M993" s="1594">
        <v>0</v>
      </c>
      <c r="N993" s="1595">
        <v>1.3826301868143787</v>
      </c>
      <c r="O993" s="1595">
        <v>1.4224001339202925</v>
      </c>
    </row>
    <row r="994" spans="11:15">
      <c r="K994" s="1592">
        <v>43051</v>
      </c>
      <c r="L994" s="1593"/>
      <c r="M994" s="1594">
        <v>0</v>
      </c>
      <c r="N994" s="1595">
        <v>1.3826301868143787</v>
      </c>
      <c r="O994" s="1595">
        <v>1.4224001339202925</v>
      </c>
    </row>
    <row r="995" spans="11:15">
      <c r="K995" s="1592">
        <v>43052</v>
      </c>
      <c r="L995" s="1593" t="s">
        <v>2301</v>
      </c>
      <c r="M995" s="1594">
        <v>2.8333000000000001E-2</v>
      </c>
      <c r="N995" s="1595">
        <v>1.3830219274252089</v>
      </c>
      <c r="O995" s="1595">
        <v>1.4231473349346422</v>
      </c>
    </row>
    <row r="996" spans="11:15">
      <c r="K996" s="1592">
        <v>43053</v>
      </c>
      <c r="L996" s="1593" t="s">
        <v>2301</v>
      </c>
      <c r="M996" s="1594">
        <v>2.8333000000000001E-2</v>
      </c>
      <c r="N996" s="1595">
        <v>1.3834137790279064</v>
      </c>
      <c r="O996" s="1595">
        <v>1.4238949284611566</v>
      </c>
    </row>
    <row r="997" spans="11:15">
      <c r="K997" s="1592">
        <v>43054</v>
      </c>
      <c r="L997" s="1593"/>
      <c r="M997" s="1594">
        <v>0</v>
      </c>
      <c r="N997" s="1595">
        <v>1.3834137790279064</v>
      </c>
      <c r="O997" s="1595">
        <v>1.4238949284611566</v>
      </c>
    </row>
    <row r="998" spans="11:15">
      <c r="K998" s="1592">
        <v>43055</v>
      </c>
      <c r="L998" s="1593" t="s">
        <v>2301</v>
      </c>
      <c r="M998" s="1594">
        <v>2.8333000000000001E-2</v>
      </c>
      <c r="N998" s="1595">
        <v>1.3838057416539185</v>
      </c>
      <c r="O998" s="1595">
        <v>1.4246429147060264</v>
      </c>
    </row>
    <row r="999" spans="11:15">
      <c r="K999" s="1592">
        <v>43056</v>
      </c>
      <c r="L999" s="1593" t="s">
        <v>2301</v>
      </c>
      <c r="M999" s="1594">
        <v>2.8333000000000001E-2</v>
      </c>
      <c r="N999" s="1595">
        <v>1.3841978153347012</v>
      </c>
      <c r="O999" s="1595">
        <v>1.4253912938755506</v>
      </c>
    </row>
    <row r="1000" spans="11:15">
      <c r="K1000" s="1592">
        <v>43057</v>
      </c>
      <c r="L1000" s="1593"/>
      <c r="M1000" s="1594">
        <v>0</v>
      </c>
      <c r="N1000" s="1595">
        <v>1.3841978153347012</v>
      </c>
      <c r="O1000" s="1595">
        <v>1.4253912938755506</v>
      </c>
    </row>
    <row r="1001" spans="11:15">
      <c r="K1001" s="1592">
        <v>43058</v>
      </c>
      <c r="L1001" s="1593"/>
      <c r="M1001" s="1594">
        <v>0</v>
      </c>
      <c r="N1001" s="1595">
        <v>1.3841978153347012</v>
      </c>
      <c r="O1001" s="1595">
        <v>1.4253912938755506</v>
      </c>
    </row>
    <row r="1002" spans="11:15">
      <c r="K1002" s="1592">
        <v>43059</v>
      </c>
      <c r="L1002" s="1593" t="s">
        <v>2301</v>
      </c>
      <c r="M1002" s="1594">
        <v>2.8333000000000001E-2</v>
      </c>
      <c r="N1002" s="1595">
        <v>1.38459000010172</v>
      </c>
      <c r="O1002" s="1595">
        <v>1.4261400661761363</v>
      </c>
    </row>
    <row r="1003" spans="11:15">
      <c r="K1003" s="1592">
        <v>43060</v>
      </c>
      <c r="L1003" s="1593" t="s">
        <v>2301</v>
      </c>
      <c r="M1003" s="1594">
        <v>2.8333000000000001E-2</v>
      </c>
      <c r="N1003" s="1595">
        <v>1.3849822959864488</v>
      </c>
      <c r="O1003" s="1595">
        <v>1.4268892318142994</v>
      </c>
    </row>
    <row r="1004" spans="11:15">
      <c r="K1004" s="1592">
        <v>43061</v>
      </c>
      <c r="L1004" s="1593" t="s">
        <v>2301</v>
      </c>
      <c r="M1004" s="1594">
        <v>2.8333000000000001E-2</v>
      </c>
      <c r="N1004" s="1595">
        <v>1.3853747030203707</v>
      </c>
      <c r="O1004" s="1595">
        <v>1.4276387909966637</v>
      </c>
    </row>
    <row r="1005" spans="11:15">
      <c r="K1005" s="1592">
        <v>43062</v>
      </c>
      <c r="L1005" s="1593" t="s">
        <v>2301</v>
      </c>
      <c r="M1005" s="1594">
        <v>2.8333000000000001E-2</v>
      </c>
      <c r="N1005" s="1595">
        <v>1.3857672212349774</v>
      </c>
      <c r="O1005" s="1595">
        <v>1.4283887439299621</v>
      </c>
    </row>
    <row r="1006" spans="11:15">
      <c r="K1006" s="1592">
        <v>43063</v>
      </c>
      <c r="L1006" s="1593" t="s">
        <v>2301</v>
      </c>
      <c r="M1006" s="1594">
        <v>2.8333000000000001E-2</v>
      </c>
      <c r="N1006" s="1595">
        <v>1.3861598506617701</v>
      </c>
      <c r="O1006" s="1595">
        <v>1.429139090821036</v>
      </c>
    </row>
    <row r="1007" spans="11:15">
      <c r="K1007" s="1592">
        <v>43064</v>
      </c>
      <c r="L1007" s="1593"/>
      <c r="M1007" s="1594">
        <v>0</v>
      </c>
      <c r="N1007" s="1595">
        <v>1.3861598506617701</v>
      </c>
      <c r="O1007" s="1595">
        <v>1.429139090821036</v>
      </c>
    </row>
    <row r="1008" spans="11:15">
      <c r="K1008" s="1592">
        <v>43065</v>
      </c>
      <c r="L1008" s="1593"/>
      <c r="M1008" s="1594">
        <v>0</v>
      </c>
      <c r="N1008" s="1595">
        <v>1.3861598506617701</v>
      </c>
      <c r="O1008" s="1595">
        <v>1.429139090821036</v>
      </c>
    </row>
    <row r="1009" spans="11:15">
      <c r="K1009" s="1592">
        <v>43066</v>
      </c>
      <c r="L1009" s="1593" t="s">
        <v>2301</v>
      </c>
      <c r="M1009" s="1594">
        <v>2.8333000000000001E-2</v>
      </c>
      <c r="N1009" s="1595">
        <v>1.3865525913322581</v>
      </c>
      <c r="O1009" s="1595">
        <v>1.4298898318768352</v>
      </c>
    </row>
    <row r="1010" spans="11:15">
      <c r="K1010" s="1592">
        <v>43067</v>
      </c>
      <c r="L1010" s="1593" t="s">
        <v>2301</v>
      </c>
      <c r="M1010" s="1594">
        <v>2.8333000000000001E-2</v>
      </c>
      <c r="N1010" s="1595">
        <v>1.3869454432779602</v>
      </c>
      <c r="O1010" s="1595">
        <v>1.4306409673044185</v>
      </c>
    </row>
    <row r="1011" spans="11:15">
      <c r="K1011" s="1592">
        <v>43068</v>
      </c>
      <c r="L1011" s="1593" t="s">
        <v>2301</v>
      </c>
      <c r="M1011" s="1594">
        <v>2.8333000000000001E-2</v>
      </c>
      <c r="N1011" s="1595">
        <v>1.3873384065304042</v>
      </c>
      <c r="O1011" s="1595">
        <v>1.4313924973109531</v>
      </c>
    </row>
    <row r="1012" spans="11:15">
      <c r="K1012" s="1592">
        <v>43069</v>
      </c>
      <c r="L1012" s="1593" t="s">
        <v>2301</v>
      </c>
      <c r="M1012" s="1594">
        <v>2.8333000000000001E-2</v>
      </c>
      <c r="N1012" s="1595">
        <v>1.3877314811211265</v>
      </c>
      <c r="O1012" s="1595">
        <v>1.4321444221037154</v>
      </c>
    </row>
    <row r="1013" spans="11:15">
      <c r="K1013" s="1592">
        <v>43070</v>
      </c>
      <c r="L1013" s="1593" t="s">
        <v>2301</v>
      </c>
      <c r="M1013" s="1594">
        <v>2.8333000000000001E-2</v>
      </c>
      <c r="N1013" s="1595">
        <v>1.3881246670816727</v>
      </c>
      <c r="O1013" s="1595">
        <v>1.4328967418900906</v>
      </c>
    </row>
    <row r="1014" spans="11:15">
      <c r="K1014" s="1592">
        <v>43071</v>
      </c>
      <c r="L1014" s="1593"/>
      <c r="M1014" s="1594">
        <v>0</v>
      </c>
      <c r="N1014" s="1595">
        <v>1.3881246670816727</v>
      </c>
      <c r="O1014" s="1595">
        <v>1.4328967418900906</v>
      </c>
    </row>
    <row r="1015" spans="11:15">
      <c r="K1015" s="1592">
        <v>43072</v>
      </c>
      <c r="L1015" s="1593"/>
      <c r="M1015" s="1594">
        <v>0</v>
      </c>
      <c r="N1015" s="1595">
        <v>1.3881246670816727</v>
      </c>
      <c r="O1015" s="1595">
        <v>1.4328967418900906</v>
      </c>
    </row>
    <row r="1016" spans="11:15">
      <c r="K1016" s="1592">
        <v>43073</v>
      </c>
      <c r="L1016" s="1593" t="s">
        <v>2301</v>
      </c>
      <c r="M1016" s="1594">
        <v>2.8333000000000001E-2</v>
      </c>
      <c r="N1016" s="1595">
        <v>1.388517964443597</v>
      </c>
      <c r="O1016" s="1595">
        <v>1.4336494568775728</v>
      </c>
    </row>
    <row r="1017" spans="11:15">
      <c r="K1017" s="1592">
        <v>43074</v>
      </c>
      <c r="L1017" s="1593" t="s">
        <v>2301</v>
      </c>
      <c r="M1017" s="1594">
        <v>2.8333000000000001E-2</v>
      </c>
      <c r="N1017" s="1595">
        <v>1.3889113732384628</v>
      </c>
      <c r="O1017" s="1595">
        <v>1.4344025672737652</v>
      </c>
    </row>
    <row r="1018" spans="11:15">
      <c r="K1018" s="1592">
        <v>43075</v>
      </c>
      <c r="L1018" s="1593" t="s">
        <v>2301</v>
      </c>
      <c r="M1018" s="1594">
        <v>2.8333000000000001E-2</v>
      </c>
      <c r="N1018" s="1595">
        <v>1.3893048934978425</v>
      </c>
      <c r="O1018" s="1595">
        <v>1.4351560732863797</v>
      </c>
    </row>
    <row r="1019" spans="11:15">
      <c r="K1019" s="1592">
        <v>43076</v>
      </c>
      <c r="L1019" s="1593" t="s">
        <v>2301</v>
      </c>
      <c r="M1019" s="1594">
        <v>2.6481000000000001E-2</v>
      </c>
      <c r="N1019" s="1595">
        <v>1.3896727953266896</v>
      </c>
      <c r="O1019" s="1595">
        <v>1.4359099751232378</v>
      </c>
    </row>
    <row r="1020" spans="11:15">
      <c r="K1020" s="1592">
        <v>43077</v>
      </c>
      <c r="L1020" s="1593" t="s">
        <v>2301</v>
      </c>
      <c r="M1020" s="1594">
        <v>2.6481000000000001E-2</v>
      </c>
      <c r="N1020" s="1595">
        <v>1.39004079457962</v>
      </c>
      <c r="O1020" s="1595">
        <v>1.4366642729922698</v>
      </c>
    </row>
    <row r="1021" spans="11:15">
      <c r="K1021" s="1592">
        <v>43078</v>
      </c>
      <c r="L1021" s="1593"/>
      <c r="M1021" s="1594">
        <v>0</v>
      </c>
      <c r="N1021" s="1595">
        <v>1.39004079457962</v>
      </c>
      <c r="O1021" s="1595">
        <v>1.4366642729922698</v>
      </c>
    </row>
    <row r="1022" spans="11:15">
      <c r="K1022" s="1592">
        <v>43079</v>
      </c>
      <c r="L1022" s="1593"/>
      <c r="M1022" s="1594">
        <v>0</v>
      </c>
      <c r="N1022" s="1595">
        <v>1.39004079457962</v>
      </c>
      <c r="O1022" s="1595">
        <v>1.4366642729922698</v>
      </c>
    </row>
    <row r="1023" spans="11:15">
      <c r="K1023" s="1592">
        <v>43080</v>
      </c>
      <c r="L1023" s="1593" t="s">
        <v>2301</v>
      </c>
      <c r="M1023" s="1594">
        <v>2.6481000000000001E-2</v>
      </c>
      <c r="N1023" s="1595">
        <v>1.3904088912824326</v>
      </c>
      <c r="O1023" s="1595">
        <v>1.4374189671015154</v>
      </c>
    </row>
    <row r="1024" spans="11:15">
      <c r="K1024" s="1592">
        <v>43081</v>
      </c>
      <c r="L1024" s="1593" t="s">
        <v>2301</v>
      </c>
      <c r="M1024" s="1594">
        <v>2.6481000000000001E-2</v>
      </c>
      <c r="N1024" s="1595">
        <v>1.3907770854609331</v>
      </c>
      <c r="O1024" s="1595">
        <v>1.4381740576591235</v>
      </c>
    </row>
    <row r="1025" spans="11:15">
      <c r="K1025" s="1592">
        <v>43082</v>
      </c>
      <c r="L1025" s="1593" t="s">
        <v>2301</v>
      </c>
      <c r="M1025" s="1594">
        <v>2.6481000000000001E-2</v>
      </c>
      <c r="N1025" s="1595">
        <v>1.3911453771409341</v>
      </c>
      <c r="O1025" s="1595">
        <v>1.4389295448733526</v>
      </c>
    </row>
    <row r="1026" spans="11:15">
      <c r="K1026" s="1592">
        <v>43083</v>
      </c>
      <c r="L1026" s="1593" t="s">
        <v>2301</v>
      </c>
      <c r="M1026" s="1594">
        <v>2.6481000000000001E-2</v>
      </c>
      <c r="N1026" s="1595">
        <v>1.3915137663482549</v>
      </c>
      <c r="O1026" s="1595">
        <v>1.43968542895257</v>
      </c>
    </row>
    <row r="1027" spans="11:15">
      <c r="K1027" s="1592">
        <v>43084</v>
      </c>
      <c r="L1027" s="1593" t="s">
        <v>2301</v>
      </c>
      <c r="M1027" s="1594">
        <v>2.6481000000000001E-2</v>
      </c>
      <c r="N1027" s="1595">
        <v>1.3918822531087216</v>
      </c>
      <c r="O1027" s="1595">
        <v>1.4404417101052531</v>
      </c>
    </row>
    <row r="1028" spans="11:15">
      <c r="K1028" s="1592">
        <v>43085</v>
      </c>
      <c r="L1028" s="1593"/>
      <c r="M1028" s="1594">
        <v>0</v>
      </c>
      <c r="N1028" s="1595">
        <v>1.3918822531087216</v>
      </c>
      <c r="O1028" s="1595">
        <v>1.4404417101052531</v>
      </c>
    </row>
    <row r="1029" spans="11:15">
      <c r="K1029" s="1592">
        <v>43086</v>
      </c>
      <c r="L1029" s="1593"/>
      <c r="M1029" s="1594">
        <v>0</v>
      </c>
      <c r="N1029" s="1595">
        <v>1.3918822531087216</v>
      </c>
      <c r="O1029" s="1595">
        <v>1.4404417101052531</v>
      </c>
    </row>
    <row r="1030" spans="11:15">
      <c r="K1030" s="1592">
        <v>43087</v>
      </c>
      <c r="L1030" s="1593" t="s">
        <v>2301</v>
      </c>
      <c r="M1030" s="1594">
        <v>2.6481000000000001E-2</v>
      </c>
      <c r="N1030" s="1595">
        <v>1.3922508374481672</v>
      </c>
      <c r="O1030" s="1595">
        <v>1.4411983885399886</v>
      </c>
    </row>
    <row r="1031" spans="11:15">
      <c r="K1031" s="1592">
        <v>43088</v>
      </c>
      <c r="L1031" s="1593" t="s">
        <v>2301</v>
      </c>
      <c r="M1031" s="1594">
        <v>2.6481000000000001E-2</v>
      </c>
      <c r="N1031" s="1595">
        <v>1.392619519392432</v>
      </c>
      <c r="O1031" s="1595">
        <v>1.4419554644654726</v>
      </c>
    </row>
    <row r="1032" spans="11:15">
      <c r="K1032" s="1592">
        <v>43089</v>
      </c>
      <c r="L1032" s="1593" t="s">
        <v>2301</v>
      </c>
      <c r="M1032" s="1594">
        <v>2.6481000000000001E-2</v>
      </c>
      <c r="N1032" s="1595">
        <v>1.3929882989673623</v>
      </c>
      <c r="O1032" s="1595">
        <v>1.442712938090511</v>
      </c>
    </row>
    <row r="1033" spans="11:15">
      <c r="K1033" s="1592">
        <v>43090</v>
      </c>
      <c r="L1033" s="1593" t="s">
        <v>2301</v>
      </c>
      <c r="M1033" s="1594">
        <v>2.6481000000000001E-2</v>
      </c>
      <c r="N1033" s="1595">
        <v>1.3933571761988119</v>
      </c>
      <c r="O1033" s="1595">
        <v>1.4434708096240194</v>
      </c>
    </row>
    <row r="1034" spans="11:15">
      <c r="K1034" s="1592">
        <v>43091</v>
      </c>
      <c r="L1034" s="1593" t="s">
        <v>2301</v>
      </c>
      <c r="M1034" s="1594">
        <v>2.6481000000000001E-2</v>
      </c>
      <c r="N1034" s="1595">
        <v>1.3937261511126411</v>
      </c>
      <c r="O1034" s="1595">
        <v>1.444229079275023</v>
      </c>
    </row>
    <row r="1035" spans="11:15">
      <c r="K1035" s="1592">
        <v>43092</v>
      </c>
      <c r="L1035" s="1593"/>
      <c r="M1035" s="1594">
        <v>0</v>
      </c>
      <c r="N1035" s="1595">
        <v>1.3937261511126411</v>
      </c>
      <c r="O1035" s="1595">
        <v>1.444229079275023</v>
      </c>
    </row>
    <row r="1036" spans="11:15">
      <c r="K1036" s="1592">
        <v>43093</v>
      </c>
      <c r="L1036" s="1593"/>
      <c r="M1036" s="1594">
        <v>0</v>
      </c>
      <c r="N1036" s="1595">
        <v>1.3937261511126411</v>
      </c>
      <c r="O1036" s="1595">
        <v>1.444229079275023</v>
      </c>
    </row>
    <row r="1037" spans="11:15">
      <c r="K1037" s="1592">
        <v>43094</v>
      </c>
      <c r="L1037" s="1593"/>
      <c r="M1037" s="1594">
        <v>0</v>
      </c>
      <c r="N1037" s="1595">
        <v>1.3937261511126411</v>
      </c>
      <c r="O1037" s="1595">
        <v>1.444229079275023</v>
      </c>
    </row>
    <row r="1038" spans="11:15">
      <c r="K1038" s="1592">
        <v>43095</v>
      </c>
      <c r="L1038" s="1593" t="s">
        <v>2301</v>
      </c>
      <c r="M1038" s="1594">
        <v>2.6481000000000001E-2</v>
      </c>
      <c r="N1038" s="1595">
        <v>1.3940952237347173</v>
      </c>
      <c r="O1038" s="1595">
        <v>1.4449877472526569</v>
      </c>
    </row>
    <row r="1039" spans="11:15">
      <c r="K1039" s="1592">
        <v>43096</v>
      </c>
      <c r="L1039" s="1593" t="s">
        <v>2301</v>
      </c>
      <c r="M1039" s="1594">
        <v>2.6481000000000001E-2</v>
      </c>
      <c r="N1039" s="1595">
        <v>1.3944643940909145</v>
      </c>
      <c r="O1039" s="1595">
        <v>1.4457468137661662</v>
      </c>
    </row>
    <row r="1040" spans="11:15">
      <c r="K1040" s="1592">
        <v>43097</v>
      </c>
      <c r="L1040" s="1593" t="s">
        <v>2301</v>
      </c>
      <c r="M1040" s="1594">
        <v>2.6481000000000001E-2</v>
      </c>
      <c r="N1040" s="1595">
        <v>1.3948336622071138</v>
      </c>
      <c r="O1040" s="1595">
        <v>1.4465062790249057</v>
      </c>
    </row>
    <row r="1041" spans="11:15">
      <c r="K1041" s="1592">
        <v>43098</v>
      </c>
      <c r="L1041" s="1593" t="s">
        <v>2301</v>
      </c>
      <c r="M1041" s="1594">
        <v>2.6481000000000001E-2</v>
      </c>
      <c r="N1041" s="1595">
        <v>1.3952030281092029</v>
      </c>
      <c r="O1041" s="1595">
        <v>1.4472661432383402</v>
      </c>
    </row>
    <row r="1042" spans="11:15">
      <c r="K1042" s="1592">
        <v>43099</v>
      </c>
      <c r="L1042" s="1593"/>
      <c r="M1042" s="1594">
        <v>0</v>
      </c>
      <c r="N1042" s="1595">
        <v>1.3952030281092029</v>
      </c>
      <c r="O1042" s="1595">
        <v>1.4472661432383402</v>
      </c>
    </row>
    <row r="1043" spans="11:15">
      <c r="K1043" s="1592">
        <v>43100</v>
      </c>
      <c r="L1043" s="1593"/>
      <c r="M1043" s="1594">
        <v>0</v>
      </c>
      <c r="N1043" s="1595">
        <v>1.3952030281092029</v>
      </c>
      <c r="O1043" s="1595">
        <v>1.4472661432383402</v>
      </c>
    </row>
    <row r="1044" spans="11:15">
      <c r="K1044" s="1592">
        <v>43101</v>
      </c>
      <c r="L1044" s="1593"/>
      <c r="M1044" s="1594">
        <v>0</v>
      </c>
      <c r="N1044" s="1595">
        <v>1.3952030281092029</v>
      </c>
      <c r="O1044" s="1595">
        <v>1.4472661432383402</v>
      </c>
    </row>
    <row r="1045" spans="11:15">
      <c r="K1045" s="1592">
        <v>43102</v>
      </c>
      <c r="L1045" s="1593" t="s">
        <v>2301</v>
      </c>
      <c r="M1045" s="1594">
        <v>2.6481000000000001E-2</v>
      </c>
      <c r="N1045" s="1595">
        <v>1.3955724918230765</v>
      </c>
      <c r="O1045" s="1595"/>
    </row>
    <row r="1046" spans="11:15">
      <c r="K1046" s="1592">
        <v>43103</v>
      </c>
      <c r="L1046" s="1593" t="s">
        <v>2301</v>
      </c>
      <c r="M1046" s="1594">
        <v>2.6481000000000001E-2</v>
      </c>
      <c r="N1046" s="1595">
        <v>1.3959420533746363</v>
      </c>
      <c r="O1046" s="1595"/>
    </row>
    <row r="1047" spans="11:15">
      <c r="K1047" s="1592">
        <v>43104</v>
      </c>
      <c r="L1047" s="1593" t="s">
        <v>2301</v>
      </c>
      <c r="M1047" s="1594">
        <v>2.6481000000000001E-2</v>
      </c>
      <c r="N1047" s="1595">
        <v>1.3963117127897904</v>
      </c>
      <c r="O1047" s="1595"/>
    </row>
    <row r="1048" spans="11:15">
      <c r="K1048" s="1592">
        <v>43105</v>
      </c>
      <c r="L1048" s="1593" t="s">
        <v>2301</v>
      </c>
      <c r="M1048" s="1594">
        <v>2.6481000000000001E-2</v>
      </c>
      <c r="N1048" s="1595">
        <v>1.3966814700944543</v>
      </c>
      <c r="O1048" s="1595"/>
    </row>
    <row r="1049" spans="11:15">
      <c r="K1049" s="1592">
        <v>43106</v>
      </c>
      <c r="L1049" s="1593"/>
      <c r="M1049" s="1594">
        <v>0</v>
      </c>
      <c r="N1049" s="1595">
        <v>1.3966814700944543</v>
      </c>
      <c r="O1049" s="1595"/>
    </row>
    <row r="1050" spans="11:15">
      <c r="K1050" s="1592">
        <v>43107</v>
      </c>
      <c r="L1050" s="1593"/>
      <c r="M1050" s="1594">
        <v>0</v>
      </c>
      <c r="N1050" s="1595">
        <v>1.3966814700944543</v>
      </c>
      <c r="O1050" s="1595"/>
    </row>
    <row r="1051" spans="11:15">
      <c r="K1051" s="1592">
        <v>43108</v>
      </c>
      <c r="L1051" s="1593" t="s">
        <v>2301</v>
      </c>
      <c r="M1051" s="1594">
        <v>2.6481000000000001E-2</v>
      </c>
      <c r="N1051" s="1595">
        <v>1.39705132531455</v>
      </c>
      <c r="O1051" s="1595"/>
    </row>
    <row r="1052" spans="11:15">
      <c r="K1052" s="1592">
        <v>43109</v>
      </c>
      <c r="L1052" s="1593" t="s">
        <v>2301</v>
      </c>
      <c r="M1052" s="1594">
        <v>2.6481000000000001E-2</v>
      </c>
      <c r="N1052" s="1595">
        <v>1.3974212784760065</v>
      </c>
      <c r="O1052" s="1595"/>
    </row>
    <row r="1053" spans="11:15">
      <c r="K1053" s="1592">
        <v>43110</v>
      </c>
      <c r="L1053" s="1593" t="s">
        <v>2301</v>
      </c>
      <c r="M1053" s="1594">
        <v>2.6481000000000001E-2</v>
      </c>
      <c r="N1053" s="1595">
        <v>1.3977913296047597</v>
      </c>
      <c r="O1053" s="1595"/>
    </row>
    <row r="1054" spans="11:15">
      <c r="K1054" s="1592">
        <v>43111</v>
      </c>
      <c r="L1054" s="1593" t="s">
        <v>2301</v>
      </c>
      <c r="M1054" s="1594">
        <v>2.6481000000000001E-2</v>
      </c>
      <c r="N1054" s="1595">
        <v>1.3981614787267524</v>
      </c>
      <c r="O1054" s="1595"/>
    </row>
    <row r="1055" spans="11:15">
      <c r="K1055" s="1592">
        <v>43112</v>
      </c>
      <c r="L1055" s="1593" t="s">
        <v>2301</v>
      </c>
      <c r="M1055" s="1594">
        <v>2.6481000000000001E-2</v>
      </c>
      <c r="N1055" s="1595">
        <v>1.3985317258679342</v>
      </c>
      <c r="O1055" s="1595"/>
    </row>
    <row r="1056" spans="11:15">
      <c r="K1056" s="1592">
        <v>43113</v>
      </c>
      <c r="L1056" s="1593"/>
      <c r="M1056" s="1594">
        <v>0</v>
      </c>
      <c r="N1056" s="1595">
        <v>1.3985317258679342</v>
      </c>
      <c r="O1056" s="1595"/>
    </row>
    <row r="1057" spans="11:15">
      <c r="K1057" s="1592">
        <v>43114</v>
      </c>
      <c r="L1057" s="1593"/>
      <c r="M1057" s="1594">
        <v>0</v>
      </c>
      <c r="N1057" s="1595">
        <v>1.3985317258679342</v>
      </c>
      <c r="O1057" s="1595"/>
    </row>
    <row r="1058" spans="11:15">
      <c r="K1058" s="1592">
        <v>43115</v>
      </c>
      <c r="L1058" s="1593" t="s">
        <v>2301</v>
      </c>
      <c r="M1058" s="1594">
        <v>2.6481000000000001E-2</v>
      </c>
      <c r="N1058" s="1595">
        <v>1.3989020710542612</v>
      </c>
      <c r="O1058" s="1595"/>
    </row>
    <row r="1059" spans="11:15">
      <c r="K1059" s="1592">
        <v>43116</v>
      </c>
      <c r="L1059" s="1593" t="s">
        <v>2301</v>
      </c>
      <c r="M1059" s="1594">
        <v>2.6481000000000001E-2</v>
      </c>
      <c r="N1059" s="1595">
        <v>1.3992725143116971</v>
      </c>
      <c r="O1059" s="1595"/>
    </row>
    <row r="1060" spans="11:15">
      <c r="K1060" s="1592">
        <v>43117</v>
      </c>
      <c r="L1060" s="1593" t="s">
        <v>2301</v>
      </c>
      <c r="M1060" s="1594">
        <v>2.6481000000000001E-2</v>
      </c>
      <c r="N1060" s="1595">
        <v>1.3996430556662121</v>
      </c>
      <c r="O1060" s="1595"/>
    </row>
    <row r="1061" spans="11:15">
      <c r="K1061" s="1592">
        <v>43118</v>
      </c>
      <c r="L1061" s="1593" t="s">
        <v>2301</v>
      </c>
      <c r="M1061" s="1594">
        <v>2.6481000000000001E-2</v>
      </c>
      <c r="N1061" s="1595">
        <v>1.4000136951437829</v>
      </c>
      <c r="O1061" s="1595"/>
    </row>
    <row r="1062" spans="11:15">
      <c r="K1062" s="1592">
        <v>43119</v>
      </c>
      <c r="L1062" s="1593" t="s">
        <v>2301</v>
      </c>
      <c r="M1062" s="1594">
        <v>2.6481000000000001E-2</v>
      </c>
      <c r="N1062" s="1595">
        <v>1.400384432770394</v>
      </c>
      <c r="O1062" s="1595"/>
    </row>
    <row r="1063" spans="11:15">
      <c r="K1063" s="1592">
        <v>43120</v>
      </c>
      <c r="L1063" s="1593"/>
      <c r="M1063" s="1594">
        <v>0</v>
      </c>
      <c r="N1063" s="1595">
        <v>1.400384432770394</v>
      </c>
      <c r="O1063" s="1595"/>
    </row>
    <row r="1064" spans="11:15">
      <c r="K1064" s="1592">
        <v>43121</v>
      </c>
      <c r="L1064" s="1593"/>
      <c r="M1064" s="1594">
        <v>0</v>
      </c>
      <c r="N1064" s="1595">
        <v>1.400384432770394</v>
      </c>
      <c r="O1064" s="1595"/>
    </row>
    <row r="1065" spans="11:15">
      <c r="K1065" s="1592">
        <v>43122</v>
      </c>
      <c r="L1065" s="1593" t="s">
        <v>2301</v>
      </c>
      <c r="M1065" s="1594">
        <v>2.6481000000000001E-2</v>
      </c>
      <c r="N1065" s="1595">
        <v>1.4007552685720359</v>
      </c>
      <c r="O1065" s="1595"/>
    </row>
    <row r="1066" spans="11:15">
      <c r="K1066" s="1592">
        <v>43123</v>
      </c>
      <c r="L1066" s="1593" t="s">
        <v>2301</v>
      </c>
      <c r="M1066" s="1594">
        <v>2.6481000000000001E-2</v>
      </c>
      <c r="N1066" s="1595">
        <v>1.4011262025747064</v>
      </c>
      <c r="O1066" s="1595"/>
    </row>
    <row r="1067" spans="11:15">
      <c r="K1067" s="1592">
        <v>43124</v>
      </c>
      <c r="L1067" s="1593" t="s">
        <v>2301</v>
      </c>
      <c r="M1067" s="1594">
        <v>2.6481000000000001E-2</v>
      </c>
      <c r="N1067" s="1595">
        <v>1.4014972348044104</v>
      </c>
      <c r="O1067" s="1595"/>
    </row>
    <row r="1068" spans="11:15">
      <c r="K1068" s="1592">
        <v>43125</v>
      </c>
      <c r="L1068" s="1593" t="s">
        <v>2301</v>
      </c>
      <c r="M1068" s="1594">
        <v>2.6481000000000001E-2</v>
      </c>
      <c r="N1068" s="1595">
        <v>1.4018683652871589</v>
      </c>
      <c r="O1068" s="1595"/>
    </row>
    <row r="1069" spans="11:15">
      <c r="K1069" s="1592">
        <v>43126</v>
      </c>
      <c r="L1069" s="1593" t="s">
        <v>2301</v>
      </c>
      <c r="M1069" s="1594">
        <v>2.6481000000000001E-2</v>
      </c>
      <c r="N1069" s="1595">
        <v>1.4022395940489705</v>
      </c>
      <c r="O1069" s="1595"/>
    </row>
    <row r="1070" spans="11:15">
      <c r="K1070" s="1592">
        <v>43127</v>
      </c>
      <c r="L1070" s="1593"/>
      <c r="M1070" s="1594">
        <v>0</v>
      </c>
      <c r="N1070" s="1595">
        <v>1.4022395940489705</v>
      </c>
      <c r="O1070" s="1595"/>
    </row>
    <row r="1071" spans="11:15">
      <c r="K1071" s="1592">
        <v>43128</v>
      </c>
      <c r="L1071" s="1593"/>
      <c r="M1071" s="1594">
        <v>0</v>
      </c>
      <c r="N1071" s="1595">
        <v>1.4022395940489705</v>
      </c>
      <c r="O1071" s="1595"/>
    </row>
    <row r="1072" spans="11:15">
      <c r="K1072" s="1592">
        <v>43129</v>
      </c>
      <c r="L1072" s="1593" t="s">
        <v>2301</v>
      </c>
      <c r="M1072" s="1594">
        <v>2.6481000000000001E-2</v>
      </c>
      <c r="N1072" s="1595">
        <v>1.4026109211158706</v>
      </c>
      <c r="O1072" s="1595"/>
    </row>
    <row r="1073" spans="11:15">
      <c r="K1073" s="1592">
        <v>43130</v>
      </c>
      <c r="L1073" s="1593" t="s">
        <v>2301</v>
      </c>
      <c r="M1073" s="1594">
        <v>2.6481000000000001E-2</v>
      </c>
      <c r="N1073" s="1595">
        <v>1.4029823465138913</v>
      </c>
      <c r="O1073" s="1595"/>
    </row>
    <row r="1074" spans="11:15">
      <c r="K1074" s="1592">
        <v>43131</v>
      </c>
      <c r="L1074" s="1593" t="s">
        <v>2301</v>
      </c>
      <c r="M1074" s="1594">
        <v>2.6481000000000001E-2</v>
      </c>
      <c r="N1074" s="1595">
        <v>1.4033538702690718</v>
      </c>
      <c r="O1074" s="1595"/>
    </row>
    <row r="1075" spans="11:15">
      <c r="K1075" s="1592">
        <v>43132</v>
      </c>
      <c r="L1075" s="1593" t="s">
        <v>2301</v>
      </c>
      <c r="M1075" s="1594">
        <v>2.6481000000000001E-2</v>
      </c>
      <c r="N1075" s="1595">
        <v>1.4037254924074578</v>
      </c>
      <c r="O1075" s="1595"/>
    </row>
    <row r="1076" spans="11:15">
      <c r="K1076" s="1592">
        <v>43133</v>
      </c>
      <c r="L1076" s="1593" t="s">
        <v>2301</v>
      </c>
      <c r="M1076" s="1594">
        <v>2.6481000000000001E-2</v>
      </c>
      <c r="N1076" s="1595">
        <v>1.4040972129551021</v>
      </c>
      <c r="O1076" s="1595"/>
    </row>
    <row r="1077" spans="11:15">
      <c r="K1077" s="1592">
        <v>43134</v>
      </c>
      <c r="L1077" s="1593"/>
      <c r="M1077" s="1594">
        <v>0</v>
      </c>
      <c r="N1077" s="1595">
        <v>1.4040972129551021</v>
      </c>
      <c r="O1077" s="1595"/>
    </row>
    <row r="1078" spans="11:15">
      <c r="K1078" s="1592">
        <v>43135</v>
      </c>
      <c r="L1078" s="1593"/>
      <c r="M1078" s="1594">
        <v>0</v>
      </c>
      <c r="N1078" s="1595">
        <v>1.4040972129551021</v>
      </c>
      <c r="O1078" s="1595"/>
    </row>
    <row r="1079" spans="11:15">
      <c r="K1079" s="1592">
        <v>43136</v>
      </c>
      <c r="L1079" s="1593" t="s">
        <v>2301</v>
      </c>
      <c r="M1079" s="1594">
        <v>2.6481000000000001E-2</v>
      </c>
      <c r="N1079" s="1595">
        <v>1.4044690319380648</v>
      </c>
      <c r="O1079" s="1595"/>
    </row>
    <row r="1080" spans="11:15">
      <c r="K1080" s="1592">
        <v>43137</v>
      </c>
      <c r="L1080" s="1593" t="s">
        <v>2301</v>
      </c>
      <c r="M1080" s="1594">
        <v>2.6481000000000001E-2</v>
      </c>
      <c r="N1080" s="1595">
        <v>1.4048409493824123</v>
      </c>
      <c r="O1080" s="1595"/>
    </row>
    <row r="1081" spans="11:15">
      <c r="K1081" s="1592">
        <v>43138</v>
      </c>
      <c r="L1081" s="1593" t="s">
        <v>2301</v>
      </c>
      <c r="M1081" s="1594">
        <v>2.6481000000000001E-2</v>
      </c>
      <c r="N1081" s="1595">
        <v>1.4052129653142182</v>
      </c>
      <c r="O1081" s="1595"/>
    </row>
    <row r="1082" spans="11:15">
      <c r="K1082" s="1592">
        <v>43139</v>
      </c>
      <c r="L1082" s="1593" t="s">
        <v>2301</v>
      </c>
      <c r="M1082" s="1594">
        <v>2.5551999999999998E-2</v>
      </c>
      <c r="N1082" s="1595">
        <v>1.4055720253311155</v>
      </c>
      <c r="O1082" s="1595"/>
    </row>
    <row r="1083" spans="11:15">
      <c r="K1083" s="1592">
        <v>43140</v>
      </c>
      <c r="L1083" s="1593" t="s">
        <v>2301</v>
      </c>
      <c r="M1083" s="1594">
        <v>2.5551999999999998E-2</v>
      </c>
      <c r="N1083" s="1595">
        <v>1.4059311770950282</v>
      </c>
      <c r="O1083" s="1595"/>
    </row>
    <row r="1084" spans="11:15">
      <c r="K1084" s="1592">
        <v>43141</v>
      </c>
      <c r="L1084" s="1593"/>
      <c r="M1084" s="1594">
        <v>0</v>
      </c>
      <c r="N1084" s="1595">
        <v>1.4059311770950282</v>
      </c>
      <c r="O1084" s="1595"/>
    </row>
    <row r="1085" spans="11:15">
      <c r="K1085" s="1592">
        <v>43142</v>
      </c>
      <c r="L1085" s="1593"/>
      <c r="M1085" s="1594">
        <v>0</v>
      </c>
      <c r="N1085" s="1595">
        <v>1.4059311770950282</v>
      </c>
      <c r="O1085" s="1595"/>
    </row>
    <row r="1086" spans="11:15">
      <c r="K1086" s="1592">
        <v>43143</v>
      </c>
      <c r="L1086" s="1593"/>
      <c r="M1086" s="1594">
        <v>0</v>
      </c>
      <c r="N1086" s="1595">
        <v>1.4059311770950282</v>
      </c>
      <c r="O1086" s="1595"/>
    </row>
    <row r="1087" spans="11:15">
      <c r="K1087" s="1592">
        <v>43144</v>
      </c>
      <c r="L1087" s="1593"/>
      <c r="M1087" s="1594">
        <v>0</v>
      </c>
      <c r="N1087" s="1595">
        <v>1.4059311770950282</v>
      </c>
      <c r="O1087" s="1595"/>
    </row>
    <row r="1088" spans="11:15">
      <c r="K1088" s="1592">
        <v>43145</v>
      </c>
      <c r="L1088" s="1593" t="s">
        <v>2301</v>
      </c>
      <c r="M1088" s="1594">
        <v>2.5551999999999998E-2</v>
      </c>
      <c r="N1088" s="1595">
        <v>1.4062904206293996</v>
      </c>
      <c r="O1088" s="1595"/>
    </row>
    <row r="1089" spans="11:15">
      <c r="K1089" s="1592">
        <v>43146</v>
      </c>
      <c r="L1089" s="1593" t="s">
        <v>2301</v>
      </c>
      <c r="M1089" s="1594">
        <v>2.5551999999999998E-2</v>
      </c>
      <c r="N1089" s="1595">
        <v>1.4066497559576789</v>
      </c>
      <c r="O1089" s="1595"/>
    </row>
    <row r="1090" spans="11:15">
      <c r="K1090" s="1592">
        <v>43147</v>
      </c>
      <c r="L1090" s="1593" t="s">
        <v>2301</v>
      </c>
      <c r="M1090" s="1594">
        <v>2.5551999999999998E-2</v>
      </c>
      <c r="N1090" s="1595">
        <v>1.4070091831033213</v>
      </c>
      <c r="O1090" s="1595"/>
    </row>
    <row r="1091" spans="11:15">
      <c r="K1091" s="1592">
        <v>43148</v>
      </c>
      <c r="L1091" s="1593"/>
      <c r="M1091" s="1594">
        <v>0</v>
      </c>
      <c r="N1091" s="1595">
        <v>1.4070091831033213</v>
      </c>
      <c r="O1091" s="1595"/>
    </row>
    <row r="1092" spans="11:15">
      <c r="K1092" s="1592">
        <v>43149</v>
      </c>
      <c r="L1092" s="1593"/>
      <c r="M1092" s="1594">
        <v>0</v>
      </c>
      <c r="N1092" s="1595">
        <v>1.4070091831033213</v>
      </c>
      <c r="O1092" s="1595"/>
    </row>
    <row r="1093" spans="11:15">
      <c r="K1093" s="1592">
        <v>43150</v>
      </c>
      <c r="L1093" s="1593" t="s">
        <v>2301</v>
      </c>
      <c r="M1093" s="1594">
        <v>2.5551999999999998E-2</v>
      </c>
      <c r="N1093" s="1595">
        <v>1.407368702089788</v>
      </c>
      <c r="O1093" s="1595"/>
    </row>
    <row r="1094" spans="11:15">
      <c r="K1094" s="1592">
        <v>43151</v>
      </c>
      <c r="L1094" s="1593" t="s">
        <v>2301</v>
      </c>
      <c r="M1094" s="1594">
        <v>2.5551999999999998E-2</v>
      </c>
      <c r="N1094" s="1595">
        <v>1.407728312940546</v>
      </c>
      <c r="O1094" s="1595"/>
    </row>
    <row r="1095" spans="11:15">
      <c r="K1095" s="1592">
        <v>43152</v>
      </c>
      <c r="L1095" s="1593" t="s">
        <v>2301</v>
      </c>
      <c r="M1095" s="1594">
        <v>2.5551999999999998E-2</v>
      </c>
      <c r="N1095" s="1595">
        <v>1.4080880156790687</v>
      </c>
      <c r="O1095" s="1595"/>
    </row>
    <row r="1096" spans="11:15">
      <c r="K1096" s="1592">
        <v>43153</v>
      </c>
      <c r="L1096" s="1593" t="s">
        <v>2301</v>
      </c>
      <c r="M1096" s="1594">
        <v>2.5551999999999998E-2</v>
      </c>
      <c r="N1096" s="1595">
        <v>1.4084478103288351</v>
      </c>
      <c r="O1096" s="1595"/>
    </row>
    <row r="1097" spans="11:15">
      <c r="K1097" s="1592">
        <v>43154</v>
      </c>
      <c r="L1097" s="1593" t="s">
        <v>2301</v>
      </c>
      <c r="M1097" s="1594">
        <v>2.5551999999999998E-2</v>
      </c>
      <c r="N1097" s="1595">
        <v>1.4088076969133305</v>
      </c>
      <c r="O1097" s="1595"/>
    </row>
    <row r="1098" spans="11:15">
      <c r="K1098" s="1592">
        <v>43155</v>
      </c>
      <c r="L1098" s="1593"/>
      <c r="M1098" s="1594">
        <v>0</v>
      </c>
      <c r="N1098" s="1595">
        <v>1.4088076969133305</v>
      </c>
      <c r="O1098" s="1595"/>
    </row>
    <row r="1099" spans="11:15">
      <c r="K1099" s="1592">
        <v>43156</v>
      </c>
      <c r="L1099" s="1593"/>
      <c r="M1099" s="1594">
        <v>0</v>
      </c>
      <c r="N1099" s="1595">
        <v>1.4088076969133305</v>
      </c>
      <c r="O1099" s="1595"/>
    </row>
    <row r="1100" spans="11:15">
      <c r="K1100" s="1592">
        <v>43157</v>
      </c>
      <c r="L1100" s="1593" t="s">
        <v>2301</v>
      </c>
      <c r="M1100" s="1594">
        <v>2.5551999999999998E-2</v>
      </c>
      <c r="N1100" s="1595">
        <v>1.4091676754560458</v>
      </c>
      <c r="O1100" s="1595"/>
    </row>
    <row r="1101" spans="11:15">
      <c r="K1101" s="1592">
        <v>43158</v>
      </c>
      <c r="L1101" s="1593" t="s">
        <v>2301</v>
      </c>
      <c r="M1101" s="1594">
        <v>2.5551999999999998E-2</v>
      </c>
      <c r="N1101" s="1595">
        <v>1.4095277459804785</v>
      </c>
      <c r="O1101" s="1595"/>
    </row>
    <row r="1102" spans="11:15">
      <c r="K1102" s="1592">
        <v>43159</v>
      </c>
      <c r="L1102" s="1593" t="s">
        <v>2301</v>
      </c>
      <c r="M1102" s="1594">
        <v>2.5551999999999998E-2</v>
      </c>
      <c r="N1102" s="1595">
        <v>1.4098879085101315</v>
      </c>
      <c r="O1102" s="1595"/>
    </row>
    <row r="1103" spans="11:15">
      <c r="K1103" s="1592">
        <v>43160</v>
      </c>
      <c r="L1103" s="1593" t="s">
        <v>2301</v>
      </c>
      <c r="M1103" s="1594">
        <v>2.5551999999999998E-2</v>
      </c>
      <c r="N1103" s="1595">
        <v>1.410248163068514</v>
      </c>
      <c r="O1103" s="1595"/>
    </row>
    <row r="1104" spans="11:15">
      <c r="K1104" s="1592">
        <v>43161</v>
      </c>
      <c r="L1104" s="1593" t="s">
        <v>2301</v>
      </c>
      <c r="M1104" s="1594">
        <v>2.5551999999999998E-2</v>
      </c>
      <c r="N1104" s="1595">
        <v>1.4106085096791414</v>
      </c>
      <c r="O1104" s="1595"/>
    </row>
    <row r="1105" spans="11:15">
      <c r="K1105" s="1592">
        <v>43162</v>
      </c>
      <c r="L1105" s="1593"/>
      <c r="M1105" s="1594">
        <v>0</v>
      </c>
      <c r="N1105" s="1595">
        <v>1.4106085096791414</v>
      </c>
      <c r="O1105" s="1595"/>
    </row>
    <row r="1106" spans="11:15">
      <c r="K1106" s="1592">
        <v>43163</v>
      </c>
      <c r="L1106" s="1593"/>
      <c r="M1106" s="1594">
        <v>0</v>
      </c>
      <c r="N1106" s="1595">
        <v>1.4106085096791414</v>
      </c>
      <c r="O1106" s="1595"/>
    </row>
    <row r="1107" spans="11:15">
      <c r="K1107" s="1592">
        <v>43164</v>
      </c>
      <c r="L1107" s="1593" t="s">
        <v>2301</v>
      </c>
      <c r="M1107" s="1594">
        <v>2.5551999999999998E-2</v>
      </c>
      <c r="N1107" s="1595">
        <v>1.4109689483655348</v>
      </c>
      <c r="O1107" s="1595"/>
    </row>
    <row r="1108" spans="11:15">
      <c r="K1108" s="1592">
        <v>43165</v>
      </c>
      <c r="L1108" s="1593" t="s">
        <v>2301</v>
      </c>
      <c r="M1108" s="1594">
        <v>2.5551999999999998E-2</v>
      </c>
      <c r="N1108" s="1595">
        <v>1.4113294791512212</v>
      </c>
      <c r="O1108" s="1595"/>
    </row>
    <row r="1109" spans="11:15">
      <c r="K1109" s="1592">
        <v>43166</v>
      </c>
      <c r="L1109" s="1593" t="s">
        <v>2301</v>
      </c>
      <c r="M1109" s="1594">
        <v>2.5551999999999998E-2</v>
      </c>
      <c r="N1109" s="1595">
        <v>1.4116901020597341</v>
      </c>
      <c r="O1109" s="1595"/>
    </row>
    <row r="1110" spans="11:15">
      <c r="K1110" s="1592">
        <v>43167</v>
      </c>
      <c r="L1110" s="1593" t="s">
        <v>2301</v>
      </c>
      <c r="M1110" s="1594">
        <v>2.5551999999999998E-2</v>
      </c>
      <c r="N1110" s="1595">
        <v>1.4120508171146124</v>
      </c>
      <c r="O1110" s="1595"/>
    </row>
    <row r="1111" spans="11:15">
      <c r="K1111" s="1592">
        <v>43168</v>
      </c>
      <c r="L1111" s="1593" t="s">
        <v>2301</v>
      </c>
      <c r="M1111" s="1594">
        <v>2.5551999999999998E-2</v>
      </c>
      <c r="N1111" s="1595">
        <v>1.4124116243394016</v>
      </c>
      <c r="O1111" s="1595"/>
    </row>
    <row r="1112" spans="11:15">
      <c r="K1112" s="1592">
        <v>43169</v>
      </c>
      <c r="L1112" s="1593"/>
      <c r="M1112" s="1594">
        <v>0</v>
      </c>
      <c r="N1112" s="1595">
        <v>1.4124116243394016</v>
      </c>
      <c r="O1112" s="1595"/>
    </row>
    <row r="1113" spans="11:15">
      <c r="K1113" s="1592">
        <v>43170</v>
      </c>
      <c r="L1113" s="1593"/>
      <c r="M1113" s="1594">
        <v>0</v>
      </c>
      <c r="N1113" s="1595">
        <v>1.4124116243394016</v>
      </c>
      <c r="O1113" s="1595"/>
    </row>
    <row r="1114" spans="11:15">
      <c r="K1114" s="1592">
        <v>43171</v>
      </c>
      <c r="L1114" s="1593" t="s">
        <v>2301</v>
      </c>
      <c r="M1114" s="1594">
        <v>2.5551999999999998E-2</v>
      </c>
      <c r="N1114" s="1595">
        <v>1.4127725237576529</v>
      </c>
      <c r="O1114" s="1595"/>
    </row>
    <row r="1115" spans="11:15">
      <c r="K1115" s="1592">
        <v>43172</v>
      </c>
      <c r="L1115" s="1593" t="s">
        <v>2301</v>
      </c>
      <c r="M1115" s="1594">
        <v>2.5551999999999998E-2</v>
      </c>
      <c r="N1115" s="1595">
        <v>1.4131335153929236</v>
      </c>
      <c r="O1115" s="1595"/>
    </row>
    <row r="1116" spans="11:15">
      <c r="K1116" s="1592">
        <v>43173</v>
      </c>
      <c r="L1116" s="1593" t="s">
        <v>2301</v>
      </c>
      <c r="M1116" s="1594">
        <v>2.5551999999999998E-2</v>
      </c>
      <c r="N1116" s="1595">
        <v>1.4134945992687769</v>
      </c>
      <c r="O1116" s="1595"/>
    </row>
    <row r="1117" spans="11:15">
      <c r="K1117" s="1592">
        <v>43174</v>
      </c>
      <c r="L1117" s="1593" t="s">
        <v>2301</v>
      </c>
      <c r="M1117" s="1594">
        <v>2.5551999999999998E-2</v>
      </c>
      <c r="N1117" s="1595">
        <v>1.4138557754087822</v>
      </c>
      <c r="O1117" s="1595"/>
    </row>
    <row r="1118" spans="11:15">
      <c r="K1118" s="1592">
        <v>43175</v>
      </c>
      <c r="L1118" s="1593" t="s">
        <v>2301</v>
      </c>
      <c r="M1118" s="1594">
        <v>2.5551999999999998E-2</v>
      </c>
      <c r="N1118" s="1595">
        <v>1.4142170438365147</v>
      </c>
      <c r="O1118" s="1595"/>
    </row>
    <row r="1119" spans="11:15">
      <c r="K1119" s="1592">
        <v>43176</v>
      </c>
      <c r="L1119" s="1593"/>
      <c r="M1119" s="1594">
        <v>0</v>
      </c>
      <c r="N1119" s="1595">
        <v>1.4142170438365147</v>
      </c>
      <c r="O1119" s="1595"/>
    </row>
    <row r="1120" spans="11:15">
      <c r="K1120" s="1592">
        <v>43177</v>
      </c>
      <c r="L1120" s="1593"/>
      <c r="M1120" s="1594">
        <v>0</v>
      </c>
      <c r="N1120" s="1595">
        <v>1.4142170438365147</v>
      </c>
      <c r="O1120" s="1595"/>
    </row>
    <row r="1121" spans="11:15">
      <c r="K1121" s="1592">
        <v>43178</v>
      </c>
      <c r="L1121" s="1593" t="s">
        <v>2301</v>
      </c>
      <c r="M1121" s="1594">
        <v>2.5551999999999998E-2</v>
      </c>
      <c r="N1121" s="1595">
        <v>1.4145784045755558</v>
      </c>
      <c r="O1121" s="1595"/>
    </row>
    <row r="1122" spans="11:15">
      <c r="K1122" s="1592">
        <v>43179</v>
      </c>
      <c r="L1122" s="1593" t="s">
        <v>2301</v>
      </c>
      <c r="M1122" s="1594">
        <v>2.5551999999999998E-2</v>
      </c>
      <c r="N1122" s="1595">
        <v>1.4149398576494931</v>
      </c>
      <c r="O1122" s="1595"/>
    </row>
    <row r="1123" spans="11:15">
      <c r="K1123" s="1592">
        <v>43180</v>
      </c>
      <c r="L1123" s="1593" t="s">
        <v>2301</v>
      </c>
      <c r="M1123" s="1594">
        <v>2.5551999999999998E-2</v>
      </c>
      <c r="N1123" s="1595">
        <v>1.4153014030819198</v>
      </c>
      <c r="O1123" s="1595"/>
    </row>
    <row r="1124" spans="11:15">
      <c r="K1124" s="1592">
        <v>43181</v>
      </c>
      <c r="L1124" s="1593" t="s">
        <v>2301</v>
      </c>
      <c r="M1124" s="1594">
        <v>2.462E-2</v>
      </c>
      <c r="N1124" s="1595">
        <v>1.4156498502873587</v>
      </c>
      <c r="O1124" s="1595"/>
    </row>
    <row r="1125" spans="11:15">
      <c r="K1125" s="1592">
        <v>43182</v>
      </c>
      <c r="L1125" s="1593" t="s">
        <v>2301</v>
      </c>
      <c r="M1125" s="1594">
        <v>2.462E-2</v>
      </c>
      <c r="N1125" s="1595">
        <v>1.4159983832804997</v>
      </c>
      <c r="O1125" s="1595"/>
    </row>
    <row r="1126" spans="11:15">
      <c r="K1126" s="1592">
        <v>43183</v>
      </c>
      <c r="L1126" s="1593"/>
      <c r="M1126" s="1594">
        <v>0</v>
      </c>
      <c r="N1126" s="1595">
        <v>1.4159983832804997</v>
      </c>
      <c r="O1126" s="1595"/>
    </row>
    <row r="1127" spans="11:15">
      <c r="K1127" s="1592">
        <v>43184</v>
      </c>
      <c r="L1127" s="1593"/>
      <c r="M1127" s="1594">
        <v>0</v>
      </c>
      <c r="N1127" s="1595">
        <v>1.4159983832804997</v>
      </c>
      <c r="O1127" s="1595"/>
    </row>
    <row r="1128" spans="11:15">
      <c r="K1128" s="1592">
        <v>43185</v>
      </c>
      <c r="L1128" s="1593" t="s">
        <v>2301</v>
      </c>
      <c r="M1128" s="1594">
        <v>2.462E-2</v>
      </c>
      <c r="N1128" s="1595">
        <v>1.4163470020824633</v>
      </c>
      <c r="O1128" s="1595"/>
    </row>
    <row r="1129" spans="11:15">
      <c r="K1129" s="1592">
        <v>43186</v>
      </c>
      <c r="L1129" s="1593" t="s">
        <v>2301</v>
      </c>
      <c r="M1129" s="1594">
        <v>2.462E-2</v>
      </c>
      <c r="N1129" s="1595">
        <v>1.4166957067143762</v>
      </c>
      <c r="O1129" s="1595"/>
    </row>
    <row r="1130" spans="11:15">
      <c r="K1130" s="1592">
        <v>43187</v>
      </c>
      <c r="L1130" s="1593" t="s">
        <v>2301</v>
      </c>
      <c r="M1130" s="1594">
        <v>2.462E-2</v>
      </c>
      <c r="N1130" s="1595">
        <v>1.4170444971973695</v>
      </c>
      <c r="O1130" s="1595"/>
    </row>
    <row r="1131" spans="11:15">
      <c r="K1131" s="1592">
        <v>43188</v>
      </c>
      <c r="L1131" s="1593" t="s">
        <v>2301</v>
      </c>
      <c r="M1131" s="1594">
        <v>2.462E-2</v>
      </c>
      <c r="N1131" s="1595">
        <v>1.4173933735525797</v>
      </c>
      <c r="O1131" s="1595"/>
    </row>
    <row r="1132" spans="11:15">
      <c r="K1132" s="1592">
        <v>43189</v>
      </c>
      <c r="L1132" s="1593"/>
      <c r="M1132" s="1594">
        <v>0</v>
      </c>
      <c r="N1132" s="1595">
        <v>1.4173933735525797</v>
      </c>
      <c r="O1132" s="1595"/>
    </row>
    <row r="1133" spans="11:15">
      <c r="K1133" s="1592">
        <v>43190</v>
      </c>
      <c r="L1133" s="1593"/>
      <c r="M1133" s="1594">
        <v>0</v>
      </c>
      <c r="N1133" s="1595">
        <v>1.4173933735525797</v>
      </c>
      <c r="O1133" s="1595"/>
    </row>
    <row r="1134" spans="11:15">
      <c r="K1134" s="1592">
        <v>43191</v>
      </c>
      <c r="L1134" s="1593"/>
      <c r="M1134" s="1594">
        <v>0</v>
      </c>
      <c r="N1134" s="1595">
        <v>1.4173933735525797</v>
      </c>
      <c r="O1134" s="1595"/>
    </row>
    <row r="1135" spans="11:15">
      <c r="K1135" s="1592">
        <v>43192</v>
      </c>
      <c r="L1135" s="1593" t="s">
        <v>2301</v>
      </c>
      <c r="M1135" s="1594">
        <v>2.462E-2</v>
      </c>
      <c r="N1135" s="1595">
        <v>1.4177423358011485</v>
      </c>
      <c r="O1135" s="1595"/>
    </row>
    <row r="1136" spans="11:15">
      <c r="K1136" s="1592">
        <v>43193</v>
      </c>
      <c r="L1136" s="1593" t="s">
        <v>2301</v>
      </c>
      <c r="M1136" s="1594">
        <v>2.462E-2</v>
      </c>
      <c r="N1136" s="1595">
        <v>1.4180913839642229</v>
      </c>
      <c r="O1136" s="1595"/>
    </row>
    <row r="1137" spans="11:15">
      <c r="K1137" s="1592">
        <v>43194</v>
      </c>
      <c r="L1137" s="1593" t="s">
        <v>2301</v>
      </c>
      <c r="M1137" s="1594">
        <v>2.462E-2</v>
      </c>
      <c r="N1137" s="1595">
        <v>1.4184405180629549</v>
      </c>
      <c r="O1137" s="1595"/>
    </row>
    <row r="1138" spans="11:15">
      <c r="K1138" s="1592">
        <v>43195</v>
      </c>
      <c r="L1138" s="1593" t="s">
        <v>2301</v>
      </c>
      <c r="M1138" s="1594">
        <v>2.462E-2</v>
      </c>
      <c r="N1138" s="1595">
        <v>1.4187897381185022</v>
      </c>
      <c r="O1138" s="1595"/>
    </row>
    <row r="1139" spans="11:15">
      <c r="K1139" s="1592">
        <v>43196</v>
      </c>
      <c r="L1139" s="1593" t="s">
        <v>2301</v>
      </c>
      <c r="M1139" s="1594">
        <v>2.462E-2</v>
      </c>
      <c r="N1139" s="1595">
        <v>1.4191390441520271</v>
      </c>
      <c r="O1139" s="1595"/>
    </row>
    <row r="1140" spans="11:15">
      <c r="K1140" s="1592">
        <v>43197</v>
      </c>
      <c r="L1140" s="1593"/>
      <c r="M1140" s="1594">
        <v>0</v>
      </c>
      <c r="N1140" s="1595">
        <v>1.4191390441520271</v>
      </c>
      <c r="O1140" s="1595"/>
    </row>
    <row r="1141" spans="11:15">
      <c r="K1141" s="1592">
        <v>43198</v>
      </c>
      <c r="L1141" s="1593"/>
      <c r="M1141" s="1594">
        <v>0</v>
      </c>
      <c r="N1141" s="1595">
        <v>1.4191390441520271</v>
      </c>
      <c r="O1141" s="1595"/>
    </row>
    <row r="1142" spans="11:15">
      <c r="K1142" s="1592">
        <v>43199</v>
      </c>
      <c r="L1142" s="1593" t="s">
        <v>2301</v>
      </c>
      <c r="M1142" s="1594">
        <v>2.462E-2</v>
      </c>
      <c r="N1142" s="1595">
        <v>1.4194884361846973</v>
      </c>
      <c r="O1142" s="1595"/>
    </row>
    <row r="1143" spans="11:15">
      <c r="K1143" s="1592">
        <v>43200</v>
      </c>
      <c r="L1143" s="1593" t="s">
        <v>2301</v>
      </c>
      <c r="M1143" s="1594">
        <v>2.462E-2</v>
      </c>
      <c r="N1143" s="1595">
        <v>1.419837914237686</v>
      </c>
      <c r="O1143" s="1595"/>
    </row>
    <row r="1144" spans="11:15">
      <c r="K1144" s="1592">
        <v>43201</v>
      </c>
      <c r="L1144" s="1593" t="s">
        <v>2301</v>
      </c>
      <c r="M1144" s="1594">
        <v>2.462E-2</v>
      </c>
      <c r="N1144" s="1595">
        <v>1.4201874783321715</v>
      </c>
      <c r="O1144" s="1595"/>
    </row>
    <row r="1145" spans="11:15">
      <c r="K1145" s="1592">
        <v>43202</v>
      </c>
      <c r="L1145" s="1593" t="s">
        <v>2301</v>
      </c>
      <c r="M1145" s="1594">
        <v>2.462E-2</v>
      </c>
      <c r="N1145" s="1595">
        <v>1.4205371284893371</v>
      </c>
      <c r="O1145" s="1595"/>
    </row>
    <row r="1146" spans="11:15">
      <c r="K1146" s="1592">
        <v>43203</v>
      </c>
      <c r="L1146" s="1593" t="s">
        <v>2301</v>
      </c>
      <c r="M1146" s="1594">
        <v>2.462E-2</v>
      </c>
      <c r="N1146" s="1595">
        <v>1.4208868647303714</v>
      </c>
      <c r="O1146" s="1595"/>
    </row>
    <row r="1147" spans="11:15">
      <c r="K1147" s="1592">
        <v>43204</v>
      </c>
      <c r="L1147" s="1593"/>
      <c r="M1147" s="1594">
        <v>0</v>
      </c>
      <c r="N1147" s="1595">
        <v>1.4208868647303714</v>
      </c>
      <c r="O1147" s="1595"/>
    </row>
    <row r="1148" spans="11:15">
      <c r="K1148" s="1592">
        <v>43205</v>
      </c>
      <c r="L1148" s="1593"/>
      <c r="M1148" s="1594">
        <v>0</v>
      </c>
      <c r="N1148" s="1595">
        <v>1.4208868647303714</v>
      </c>
      <c r="O1148" s="1595"/>
    </row>
    <row r="1149" spans="11:15">
      <c r="K1149" s="1592">
        <v>43206</v>
      </c>
      <c r="L1149" s="1593" t="s">
        <v>2301</v>
      </c>
      <c r="M1149" s="1594">
        <v>2.462E-2</v>
      </c>
      <c r="N1149" s="1595">
        <v>1.4212366870764681</v>
      </c>
      <c r="O1149" s="1595"/>
    </row>
    <row r="1150" spans="11:15">
      <c r="K1150" s="1592">
        <v>43207</v>
      </c>
      <c r="L1150" s="1593" t="s">
        <v>2301</v>
      </c>
      <c r="M1150" s="1594">
        <v>2.462E-2</v>
      </c>
      <c r="N1150" s="1595">
        <v>1.4215865955488265</v>
      </c>
      <c r="O1150" s="1595"/>
    </row>
    <row r="1151" spans="11:15">
      <c r="K1151" s="1592">
        <v>43208</v>
      </c>
      <c r="L1151" s="1593" t="s">
        <v>2301</v>
      </c>
      <c r="M1151" s="1594">
        <v>2.462E-2</v>
      </c>
      <c r="N1151" s="1595">
        <v>1.4219365901686507</v>
      </c>
      <c r="O1151" s="1595"/>
    </row>
    <row r="1152" spans="11:15">
      <c r="K1152" s="1592">
        <v>43209</v>
      </c>
      <c r="L1152" s="1593" t="s">
        <v>2301</v>
      </c>
      <c r="M1152" s="1594">
        <v>2.462E-2</v>
      </c>
      <c r="N1152" s="1595">
        <v>1.4222866709571504</v>
      </c>
      <c r="O1152" s="1595"/>
    </row>
    <row r="1153" spans="11:15">
      <c r="K1153" s="1592">
        <v>43210</v>
      </c>
      <c r="L1153" s="1593" t="s">
        <v>2301</v>
      </c>
      <c r="M1153" s="1594">
        <v>2.462E-2</v>
      </c>
      <c r="N1153" s="1595">
        <v>1.4226368379355403</v>
      </c>
      <c r="O1153" s="1595"/>
    </row>
    <row r="1154" spans="11:15">
      <c r="K1154" s="1592">
        <v>43211</v>
      </c>
      <c r="L1154" s="1593"/>
      <c r="M1154" s="1594">
        <v>0</v>
      </c>
      <c r="N1154" s="1595">
        <v>1.4226368379355403</v>
      </c>
      <c r="O1154" s="1595"/>
    </row>
    <row r="1155" spans="11:15">
      <c r="K1155" s="1592">
        <v>43212</v>
      </c>
      <c r="L1155" s="1593"/>
      <c r="M1155" s="1594">
        <v>0</v>
      </c>
      <c r="N1155" s="1595">
        <v>1.4226368379355403</v>
      </c>
      <c r="O1155" s="1595"/>
    </row>
    <row r="1156" spans="11:15">
      <c r="K1156" s="1592">
        <v>43213</v>
      </c>
      <c r="L1156" s="1593" t="s">
        <v>2301</v>
      </c>
      <c r="M1156" s="1594">
        <v>2.462E-2</v>
      </c>
      <c r="N1156" s="1595">
        <v>1.4229870911250402</v>
      </c>
      <c r="O1156" s="1595"/>
    </row>
    <row r="1157" spans="11:15">
      <c r="K1157" s="1592">
        <v>43214</v>
      </c>
      <c r="L1157" s="1593" t="s">
        <v>2301</v>
      </c>
      <c r="M1157" s="1594">
        <v>2.462E-2</v>
      </c>
      <c r="N1157" s="1595">
        <v>1.4233374305468753</v>
      </c>
      <c r="O1157" s="1595"/>
    </row>
    <row r="1158" spans="11:15">
      <c r="K1158" s="1592">
        <v>43215</v>
      </c>
      <c r="L1158" s="1593" t="s">
        <v>2301</v>
      </c>
      <c r="M1158" s="1594">
        <v>2.462E-2</v>
      </c>
      <c r="N1158" s="1595">
        <v>1.4236878562222761</v>
      </c>
      <c r="O1158" s="1595"/>
    </row>
    <row r="1159" spans="11:15">
      <c r="K1159" s="1592">
        <v>43216</v>
      </c>
      <c r="L1159" s="1593" t="s">
        <v>2301</v>
      </c>
      <c r="M1159" s="1594">
        <v>2.462E-2</v>
      </c>
      <c r="N1159" s="1595">
        <v>1.4240383681724782</v>
      </c>
      <c r="O1159" s="1595"/>
    </row>
    <row r="1160" spans="11:15">
      <c r="K1160" s="1592">
        <v>43217</v>
      </c>
      <c r="L1160" s="1593" t="s">
        <v>2301</v>
      </c>
      <c r="M1160" s="1594">
        <v>2.462E-2</v>
      </c>
      <c r="N1160" s="1595">
        <v>1.4243889664187224</v>
      </c>
      <c r="O1160" s="1595"/>
    </row>
    <row r="1161" spans="11:15">
      <c r="K1161" s="1592">
        <v>43218</v>
      </c>
      <c r="L1161" s="1593"/>
      <c r="M1161" s="1594">
        <v>0</v>
      </c>
      <c r="N1161" s="1595">
        <v>1.4243889664187224</v>
      </c>
      <c r="O1161" s="1595"/>
    </row>
    <row r="1162" spans="11:15">
      <c r="K1162" s="1592">
        <v>43219</v>
      </c>
      <c r="L1162" s="1593"/>
      <c r="M1162" s="1594">
        <v>0</v>
      </c>
      <c r="N1162" s="1595">
        <v>1.4243889664187224</v>
      </c>
      <c r="O1162" s="1595"/>
    </row>
    <row r="1163" spans="11:15">
      <c r="K1163" s="1592">
        <v>43220</v>
      </c>
      <c r="L1163" s="1593" t="s">
        <v>2301</v>
      </c>
      <c r="M1163" s="1594">
        <v>2.462E-2</v>
      </c>
      <c r="N1163" s="1595">
        <v>1.4247396509822547</v>
      </c>
      <c r="O1163" s="1595"/>
    </row>
    <row r="1164" spans="11:15">
      <c r="K1164" s="1592">
        <v>43221</v>
      </c>
      <c r="L1164" s="1593"/>
      <c r="M1164" s="1594">
        <v>0</v>
      </c>
      <c r="N1164" s="1595">
        <v>1.4247396509822547</v>
      </c>
      <c r="O1164" s="1595"/>
    </row>
    <row r="1165" spans="11:15">
      <c r="K1165" s="1592">
        <v>43222</v>
      </c>
      <c r="L1165" s="1593" t="s">
        <v>2301</v>
      </c>
      <c r="M1165" s="1594">
        <v>2.462E-2</v>
      </c>
      <c r="N1165" s="1595">
        <v>1.4250904218843268</v>
      </c>
      <c r="O1165" s="1595"/>
    </row>
    <row r="1166" spans="11:15">
      <c r="K1166" s="1592">
        <v>43223</v>
      </c>
      <c r="L1166" s="1593" t="s">
        <v>2301</v>
      </c>
      <c r="M1166" s="1594">
        <v>2.462E-2</v>
      </c>
      <c r="N1166" s="1595">
        <v>1.4254412791461948</v>
      </c>
      <c r="O1166" s="1595"/>
    </row>
    <row r="1167" spans="11:15">
      <c r="K1167" s="1592">
        <v>43224</v>
      </c>
      <c r="L1167" s="1593" t="s">
        <v>2301</v>
      </c>
      <c r="M1167" s="1594">
        <v>2.462E-2</v>
      </c>
      <c r="N1167" s="1595">
        <v>1.4257922227891207</v>
      </c>
      <c r="O1167" s="1595"/>
    </row>
    <row r="1168" spans="11:15">
      <c r="K1168" s="1592">
        <v>43225</v>
      </c>
      <c r="L1168" s="1593"/>
      <c r="M1168" s="1594">
        <v>0</v>
      </c>
      <c r="N1168" s="1595">
        <v>1.4257922227891207</v>
      </c>
      <c r="O1168" s="1595"/>
    </row>
    <row r="1169" spans="11:15">
      <c r="K1169" s="1592">
        <v>43226</v>
      </c>
      <c r="L1169" s="1593"/>
      <c r="M1169" s="1594">
        <v>0</v>
      </c>
      <c r="N1169" s="1595">
        <v>1.4257922227891207</v>
      </c>
      <c r="O1169" s="1595"/>
    </row>
    <row r="1170" spans="11:15">
      <c r="K1170" s="1592">
        <v>43227</v>
      </c>
      <c r="L1170" s="1593" t="s">
        <v>2301</v>
      </c>
      <c r="M1170" s="1594">
        <v>2.462E-2</v>
      </c>
      <c r="N1170" s="1595">
        <v>1.4261432528343714</v>
      </c>
      <c r="O1170" s="1595"/>
    </row>
    <row r="1171" spans="11:15">
      <c r="K1171" s="1592">
        <v>43228</v>
      </c>
      <c r="L1171" s="1593" t="s">
        <v>2301</v>
      </c>
      <c r="M1171" s="1594">
        <v>2.462E-2</v>
      </c>
      <c r="N1171" s="1595">
        <v>1.4264943693032193</v>
      </c>
      <c r="O1171" s="1595"/>
    </row>
    <row r="1172" spans="11:15">
      <c r="K1172" s="1592">
        <v>43229</v>
      </c>
      <c r="L1172" s="1593" t="s">
        <v>2301</v>
      </c>
      <c r="M1172" s="1594">
        <v>2.462E-2</v>
      </c>
      <c r="N1172" s="1595">
        <v>1.4268455722169417</v>
      </c>
      <c r="O1172" s="1595"/>
    </row>
    <row r="1173" spans="11:15">
      <c r="K1173" s="1592">
        <v>43230</v>
      </c>
      <c r="L1173" s="1593" t="s">
        <v>2301</v>
      </c>
      <c r="M1173" s="1594">
        <v>2.462E-2</v>
      </c>
      <c r="N1173" s="1595">
        <v>1.4271968615968216</v>
      </c>
      <c r="O1173" s="1595"/>
    </row>
    <row r="1174" spans="11:15">
      <c r="K1174" s="1592">
        <v>43231</v>
      </c>
      <c r="L1174" s="1593" t="s">
        <v>2301</v>
      </c>
      <c r="M1174" s="1594">
        <v>2.462E-2</v>
      </c>
      <c r="N1174" s="1595">
        <v>1.4275482374641468</v>
      </c>
      <c r="O1174" s="1595"/>
    </row>
    <row r="1175" spans="11:15">
      <c r="K1175" s="1592">
        <v>43232</v>
      </c>
      <c r="L1175" s="1593"/>
      <c r="M1175" s="1594">
        <v>0</v>
      </c>
      <c r="N1175" s="1595">
        <v>1.4275482374641468</v>
      </c>
      <c r="O1175" s="1595"/>
    </row>
    <row r="1176" spans="11:15">
      <c r="K1176" s="1592">
        <v>43233</v>
      </c>
      <c r="L1176" s="1593"/>
      <c r="M1176" s="1594">
        <v>0</v>
      </c>
      <c r="N1176" s="1595">
        <v>1.4275482374641468</v>
      </c>
      <c r="O1176" s="1595"/>
    </row>
    <row r="1177" spans="11:15">
      <c r="K1177" s="1592">
        <v>43234</v>
      </c>
      <c r="L1177" s="1593" t="s">
        <v>2301</v>
      </c>
      <c r="M1177" s="1594">
        <v>2.462E-2</v>
      </c>
      <c r="N1177" s="1595">
        <v>1.4278996998402107</v>
      </c>
      <c r="O1177" s="1595"/>
    </row>
    <row r="1178" spans="11:15">
      <c r="K1178" s="1592">
        <v>43235</v>
      </c>
      <c r="L1178" s="1593" t="s">
        <v>2301</v>
      </c>
      <c r="M1178" s="1594">
        <v>2.462E-2</v>
      </c>
      <c r="N1178" s="1595">
        <v>1.4282512487463115</v>
      </c>
      <c r="O1178" s="1595"/>
    </row>
    <row r="1179" spans="11:15">
      <c r="K1179" s="1592">
        <v>43236</v>
      </c>
      <c r="L1179" s="1593" t="s">
        <v>2301</v>
      </c>
      <c r="M1179" s="1594">
        <v>2.462E-2</v>
      </c>
      <c r="N1179" s="1595">
        <v>1.428602884203753</v>
      </c>
      <c r="O1179" s="1595"/>
    </row>
    <row r="1180" spans="11:15">
      <c r="K1180" s="1592">
        <v>43237</v>
      </c>
      <c r="L1180" s="1593" t="s">
        <v>2301</v>
      </c>
      <c r="M1180" s="1594">
        <v>2.462E-2</v>
      </c>
      <c r="N1180" s="1595">
        <v>1.4289546062338441</v>
      </c>
      <c r="O1180" s="1595"/>
    </row>
    <row r="1181" spans="11:15">
      <c r="K1181" s="1592">
        <v>43238</v>
      </c>
      <c r="L1181" s="1593" t="s">
        <v>2301</v>
      </c>
      <c r="M1181" s="1594">
        <v>2.462E-2</v>
      </c>
      <c r="N1181" s="1595">
        <v>1.4293064148578989</v>
      </c>
      <c r="O1181" s="1595"/>
    </row>
    <row r="1182" spans="11:15">
      <c r="K1182" s="1592">
        <v>43239</v>
      </c>
      <c r="L1182" s="1593"/>
      <c r="M1182" s="1594">
        <v>0</v>
      </c>
      <c r="N1182" s="1595">
        <v>1.4293064148578989</v>
      </c>
      <c r="O1182" s="1595"/>
    </row>
    <row r="1183" spans="11:15">
      <c r="K1183" s="1592">
        <v>43240</v>
      </c>
      <c r="L1183" s="1593"/>
      <c r="M1183" s="1594">
        <v>0</v>
      </c>
      <c r="N1183" s="1595">
        <v>1.4293064148578989</v>
      </c>
      <c r="O1183" s="1595"/>
    </row>
    <row r="1184" spans="11:15">
      <c r="K1184" s="1592">
        <v>43241</v>
      </c>
      <c r="L1184" s="1593" t="s">
        <v>2301</v>
      </c>
      <c r="M1184" s="1594">
        <v>2.462E-2</v>
      </c>
      <c r="N1184" s="1595">
        <v>1.4296583100972371</v>
      </c>
      <c r="O1184" s="1595"/>
    </row>
    <row r="1185" spans="11:15">
      <c r="K1185" s="1592">
        <v>43242</v>
      </c>
      <c r="L1185" s="1593" t="s">
        <v>2301</v>
      </c>
      <c r="M1185" s="1594">
        <v>2.462E-2</v>
      </c>
      <c r="N1185" s="1595">
        <v>1.4300102919731832</v>
      </c>
      <c r="O1185" s="1595"/>
    </row>
    <row r="1186" spans="11:15">
      <c r="K1186" s="1592">
        <v>43243</v>
      </c>
      <c r="L1186" s="1593" t="s">
        <v>2301</v>
      </c>
      <c r="M1186" s="1594">
        <v>2.462E-2</v>
      </c>
      <c r="N1186" s="1595">
        <v>1.430362360507067</v>
      </c>
      <c r="O1186" s="1595"/>
    </row>
    <row r="1187" spans="11:15">
      <c r="K1187" s="1592">
        <v>43244</v>
      </c>
      <c r="L1187" s="1593" t="s">
        <v>2301</v>
      </c>
      <c r="M1187" s="1594">
        <v>2.462E-2</v>
      </c>
      <c r="N1187" s="1595">
        <v>1.4307145157202239</v>
      </c>
      <c r="O1187" s="1595"/>
    </row>
    <row r="1188" spans="11:15">
      <c r="K1188" s="1592">
        <v>43245</v>
      </c>
      <c r="L1188" s="1593" t="s">
        <v>2301</v>
      </c>
      <c r="M1188" s="1594">
        <v>2.462E-2</v>
      </c>
      <c r="N1188" s="1595">
        <v>1.4310667576339944</v>
      </c>
      <c r="O1188" s="1595"/>
    </row>
    <row r="1189" spans="11:15">
      <c r="K1189" s="1592">
        <v>43246</v>
      </c>
      <c r="L1189" s="1593"/>
      <c r="M1189" s="1594">
        <v>0</v>
      </c>
      <c r="N1189" s="1595">
        <v>1.4310667576339944</v>
      </c>
      <c r="O1189" s="1595"/>
    </row>
    <row r="1190" spans="11:15">
      <c r="K1190" s="1592">
        <v>43247</v>
      </c>
      <c r="L1190" s="1593"/>
      <c r="M1190" s="1594">
        <v>0</v>
      </c>
      <c r="N1190" s="1595">
        <v>1.4310667576339944</v>
      </c>
      <c r="O1190" s="1595"/>
    </row>
    <row r="1191" spans="11:15">
      <c r="K1191" s="1592">
        <v>43248</v>
      </c>
      <c r="L1191" s="1593" t="s">
        <v>2301</v>
      </c>
      <c r="M1191" s="1594">
        <v>2.462E-2</v>
      </c>
      <c r="N1191" s="1595">
        <v>1.431419086269724</v>
      </c>
      <c r="O1191" s="1595"/>
    </row>
    <row r="1192" spans="11:15">
      <c r="K1192" s="1592">
        <v>43249</v>
      </c>
      <c r="L1192" s="1593" t="s">
        <v>2301</v>
      </c>
      <c r="M1192" s="1594">
        <v>2.462E-2</v>
      </c>
      <c r="N1192" s="1595">
        <v>1.4317715016487638</v>
      </c>
      <c r="O1192" s="1595"/>
    </row>
    <row r="1193" spans="11:15">
      <c r="K1193" s="1592">
        <v>43250</v>
      </c>
      <c r="L1193" s="1593" t="s">
        <v>2301</v>
      </c>
      <c r="M1193" s="1594">
        <v>2.462E-2</v>
      </c>
      <c r="N1193" s="1595">
        <v>1.4321240037924698</v>
      </c>
      <c r="O1193" s="1595"/>
    </row>
    <row r="1194" spans="11:15">
      <c r="K1194" s="1592">
        <v>43251</v>
      </c>
      <c r="L1194" s="1593"/>
      <c r="M1194" s="1594">
        <v>0</v>
      </c>
      <c r="N1194" s="1595">
        <v>1.4321240037924698</v>
      </c>
      <c r="O1194" s="1595"/>
    </row>
    <row r="1195" spans="11:15">
      <c r="K1195" s="1592">
        <v>43252</v>
      </c>
      <c r="L1195" s="1593" t="s">
        <v>2301</v>
      </c>
      <c r="M1195" s="1594">
        <v>2.462E-2</v>
      </c>
      <c r="N1195" s="1595">
        <v>1.4324765927222036</v>
      </c>
      <c r="O1195" s="1595"/>
    </row>
    <row r="1196" spans="11:15">
      <c r="K1196" s="1592">
        <v>43253</v>
      </c>
      <c r="L1196" s="1593"/>
      <c r="M1196" s="1594">
        <v>0</v>
      </c>
      <c r="N1196" s="1595">
        <v>1.4324765927222036</v>
      </c>
      <c r="O1196" s="1595"/>
    </row>
    <row r="1197" spans="11:15">
      <c r="K1197" s="1592">
        <v>43254</v>
      </c>
      <c r="L1197" s="1593"/>
      <c r="M1197" s="1594">
        <v>0</v>
      </c>
      <c r="N1197" s="1595">
        <v>1.4324765927222036</v>
      </c>
      <c r="O1197" s="1595"/>
    </row>
    <row r="1198" spans="11:15">
      <c r="K1198" s="1592">
        <v>43255</v>
      </c>
      <c r="L1198" s="1593" t="s">
        <v>2301</v>
      </c>
      <c r="M1198" s="1594">
        <v>2.462E-2</v>
      </c>
      <c r="N1198" s="1595">
        <v>1.432829268459332</v>
      </c>
      <c r="O1198" s="1595"/>
    </row>
    <row r="1199" spans="11:15">
      <c r="K1199" s="1592">
        <v>43256</v>
      </c>
      <c r="L1199" s="1593" t="s">
        <v>2301</v>
      </c>
      <c r="M1199" s="1594">
        <v>2.462E-2</v>
      </c>
      <c r="N1199" s="1595">
        <v>1.4331820310252268</v>
      </c>
      <c r="O1199" s="1595"/>
    </row>
    <row r="1200" spans="11:15">
      <c r="K1200" s="1592">
        <v>43257</v>
      </c>
      <c r="L1200" s="1593" t="s">
        <v>2301</v>
      </c>
      <c r="M1200" s="1594">
        <v>2.462E-2</v>
      </c>
      <c r="N1200" s="1595">
        <v>1.4335348804412653</v>
      </c>
      <c r="O1200" s="1595"/>
    </row>
    <row r="1201" spans="11:15">
      <c r="K1201" s="1592">
        <v>43258</v>
      </c>
      <c r="L1201" s="1593" t="s">
        <v>2301</v>
      </c>
      <c r="M1201" s="1594">
        <v>2.462E-2</v>
      </c>
      <c r="N1201" s="1595">
        <v>1.43388781672883</v>
      </c>
      <c r="O1201" s="1595"/>
    </row>
    <row r="1202" spans="11:15">
      <c r="K1202" s="1592">
        <v>43259</v>
      </c>
      <c r="L1202" s="1593" t="s">
        <v>2301</v>
      </c>
      <c r="M1202" s="1594">
        <v>2.462E-2</v>
      </c>
      <c r="N1202" s="1595">
        <v>1.4342408399093087</v>
      </c>
      <c r="O1202" s="1595"/>
    </row>
    <row r="1203" spans="11:15">
      <c r="K1203" s="1592">
        <v>43260</v>
      </c>
      <c r="L1203" s="1593"/>
      <c r="M1203" s="1594">
        <v>0</v>
      </c>
      <c r="N1203" s="1595">
        <v>1.4342408399093087</v>
      </c>
      <c r="O1203" s="1595"/>
    </row>
    <row r="1204" spans="11:15">
      <c r="K1204" s="1592">
        <v>43261</v>
      </c>
      <c r="L1204" s="1593"/>
      <c r="M1204" s="1594">
        <v>0</v>
      </c>
      <c r="N1204" s="1595">
        <v>1.4342408399093087</v>
      </c>
      <c r="O1204" s="1595"/>
    </row>
    <row r="1205" spans="11:15">
      <c r="K1205" s="1592">
        <v>43262</v>
      </c>
      <c r="L1205" s="1593" t="s">
        <v>2301</v>
      </c>
      <c r="M1205" s="1594">
        <v>2.462E-2</v>
      </c>
      <c r="N1205" s="1595">
        <v>1.4345939500040945</v>
      </c>
      <c r="O1205" s="1595"/>
    </row>
    <row r="1206" spans="11:15">
      <c r="K1206" s="1592">
        <v>43263</v>
      </c>
      <c r="L1206" s="1593" t="s">
        <v>2301</v>
      </c>
      <c r="M1206" s="1594">
        <v>2.462E-2</v>
      </c>
      <c r="N1206" s="1595">
        <v>1.4349471470345856</v>
      </c>
      <c r="O1206" s="1595"/>
    </row>
    <row r="1207" spans="11:15">
      <c r="K1207" s="1592">
        <v>43264</v>
      </c>
      <c r="L1207" s="1593" t="s">
        <v>2301</v>
      </c>
      <c r="M1207" s="1594">
        <v>2.462E-2</v>
      </c>
      <c r="N1207" s="1595">
        <v>1.4353004310221855</v>
      </c>
      <c r="O1207" s="1595"/>
    </row>
    <row r="1208" spans="11:15">
      <c r="K1208" s="1592">
        <v>43265</v>
      </c>
      <c r="L1208" s="1593" t="s">
        <v>2301</v>
      </c>
      <c r="M1208" s="1594">
        <v>2.462E-2</v>
      </c>
      <c r="N1208" s="1595">
        <v>1.4356538019883034</v>
      </c>
      <c r="O1208" s="1595"/>
    </row>
    <row r="1209" spans="11:15">
      <c r="K1209" s="1592">
        <v>43266</v>
      </c>
      <c r="L1209" s="1593" t="s">
        <v>2301</v>
      </c>
      <c r="M1209" s="1594">
        <v>2.462E-2</v>
      </c>
      <c r="N1209" s="1595">
        <v>1.436007259954353</v>
      </c>
      <c r="O1209" s="1595"/>
    </row>
    <row r="1210" spans="11:15">
      <c r="K1210" s="1592">
        <v>43267</v>
      </c>
      <c r="L1210" s="1593"/>
      <c r="M1210" s="1594">
        <v>0</v>
      </c>
      <c r="N1210" s="1595">
        <v>1.436007259954353</v>
      </c>
      <c r="O1210" s="1595"/>
    </row>
    <row r="1211" spans="11:15">
      <c r="K1211" s="1592">
        <v>43268</v>
      </c>
      <c r="L1211" s="1593"/>
      <c r="M1211" s="1594">
        <v>0</v>
      </c>
      <c r="N1211" s="1595">
        <v>1.436007259954353</v>
      </c>
      <c r="O1211" s="1595"/>
    </row>
    <row r="1212" spans="11:15">
      <c r="K1212" s="1592">
        <v>43269</v>
      </c>
      <c r="L1212" s="1593" t="s">
        <v>2301</v>
      </c>
      <c r="M1212" s="1594">
        <v>2.462E-2</v>
      </c>
      <c r="N1212" s="1595">
        <v>1.4363608049417538</v>
      </c>
      <c r="O1212" s="1595"/>
    </row>
    <row r="1213" spans="11:15">
      <c r="K1213" s="1592">
        <v>43270</v>
      </c>
      <c r="L1213" s="1593" t="s">
        <v>2301</v>
      </c>
      <c r="M1213" s="1594">
        <v>2.462E-2</v>
      </c>
      <c r="N1213" s="1595">
        <v>1.4367144369719305</v>
      </c>
      <c r="O1213" s="1595"/>
    </row>
    <row r="1214" spans="11:15">
      <c r="K1214" s="1592">
        <v>43271</v>
      </c>
      <c r="L1214" s="1593" t="s">
        <v>2301</v>
      </c>
      <c r="M1214" s="1594">
        <v>2.462E-2</v>
      </c>
      <c r="N1214" s="1595">
        <v>1.437068156066313</v>
      </c>
      <c r="O1214" s="1595"/>
    </row>
    <row r="1215" spans="11:15">
      <c r="K1215" s="1592">
        <v>43272</v>
      </c>
      <c r="L1215" s="1593" t="s">
        <v>2301</v>
      </c>
      <c r="M1215" s="1594">
        <v>2.462E-2</v>
      </c>
      <c r="N1215" s="1595">
        <v>1.4374219622463367</v>
      </c>
      <c r="O1215" s="1595"/>
    </row>
    <row r="1216" spans="11:15">
      <c r="K1216" s="1592">
        <v>43273</v>
      </c>
      <c r="L1216" s="1593" t="s">
        <v>2301</v>
      </c>
      <c r="M1216" s="1594">
        <v>2.462E-2</v>
      </c>
      <c r="N1216" s="1595">
        <v>1.4377758555334419</v>
      </c>
      <c r="O1216" s="1595"/>
    </row>
    <row r="1217" spans="11:15">
      <c r="K1217" s="1592">
        <v>43274</v>
      </c>
      <c r="L1217" s="1593"/>
      <c r="M1217" s="1594">
        <v>0</v>
      </c>
      <c r="N1217" s="1595">
        <v>1.4377758555334419</v>
      </c>
      <c r="O1217" s="1595"/>
    </row>
    <row r="1218" spans="11:15">
      <c r="K1218" s="1592">
        <v>43275</v>
      </c>
      <c r="L1218" s="1593"/>
      <c r="M1218" s="1594">
        <v>0</v>
      </c>
      <c r="N1218" s="1595">
        <v>1.4377758555334419</v>
      </c>
      <c r="O1218" s="1595"/>
    </row>
    <row r="1219" spans="11:15">
      <c r="K1219" s="1592">
        <v>43276</v>
      </c>
      <c r="L1219" s="1593" t="s">
        <v>2301</v>
      </c>
      <c r="M1219" s="1594">
        <v>2.462E-2</v>
      </c>
      <c r="N1219" s="1595">
        <v>1.4381298359490744</v>
      </c>
      <c r="O1219" s="1595"/>
    </row>
    <row r="1220" spans="11:15">
      <c r="K1220" s="1592">
        <v>43277</v>
      </c>
      <c r="L1220" s="1593" t="s">
        <v>2301</v>
      </c>
      <c r="M1220" s="1594">
        <v>2.462E-2</v>
      </c>
      <c r="N1220" s="1595">
        <v>1.4384839035146852</v>
      </c>
      <c r="O1220" s="1595"/>
    </row>
    <row r="1221" spans="11:15">
      <c r="K1221" s="1592">
        <v>43278</v>
      </c>
      <c r="L1221" s="1593" t="s">
        <v>2301</v>
      </c>
      <c r="M1221" s="1594">
        <v>2.462E-2</v>
      </c>
      <c r="N1221" s="1595">
        <v>1.4388380582517306</v>
      </c>
      <c r="O1221" s="1595"/>
    </row>
    <row r="1222" spans="11:15">
      <c r="K1222" s="1592">
        <v>43279</v>
      </c>
      <c r="L1222" s="1593" t="s">
        <v>2301</v>
      </c>
      <c r="M1222" s="1594">
        <v>2.462E-2</v>
      </c>
      <c r="N1222" s="1595">
        <v>1.4391923001816722</v>
      </c>
      <c r="O1222" s="1595"/>
    </row>
    <row r="1223" spans="11:15">
      <c r="K1223" s="1592">
        <v>43280</v>
      </c>
      <c r="L1223" s="1593" t="s">
        <v>2301</v>
      </c>
      <c r="M1223" s="1594">
        <v>2.462E-2</v>
      </c>
      <c r="N1223" s="1595">
        <v>1.4395466293259771</v>
      </c>
      <c r="O1223" s="1595"/>
    </row>
    <row r="1224" spans="11:15">
      <c r="K1224" s="1592">
        <v>43281</v>
      </c>
      <c r="L1224" s="1593"/>
      <c r="M1224" s="1594">
        <v>0</v>
      </c>
      <c r="N1224" s="1595">
        <v>1.4395466293259771</v>
      </c>
      <c r="O1224" s="1595"/>
    </row>
    <row r="1225" spans="11:15">
      <c r="K1225" s="1592">
        <v>43282</v>
      </c>
      <c r="L1225" s="1593"/>
      <c r="M1225" s="1594">
        <v>0</v>
      </c>
      <c r="N1225" s="1595">
        <v>1.4395466293259771</v>
      </c>
      <c r="O1225" s="1595"/>
    </row>
    <row r="1226" spans="11:15">
      <c r="K1226" s="1592">
        <v>43283</v>
      </c>
      <c r="L1226" s="1593" t="s">
        <v>2301</v>
      </c>
      <c r="M1226" s="1594">
        <v>2.462E-2</v>
      </c>
      <c r="N1226" s="1595">
        <v>1.4399010457061172</v>
      </c>
      <c r="O1226" s="1595"/>
    </row>
    <row r="1227" spans="11:15">
      <c r="K1227" s="1592">
        <v>43284</v>
      </c>
      <c r="L1227" s="1593" t="s">
        <v>2301</v>
      </c>
      <c r="M1227" s="1594">
        <v>2.462E-2</v>
      </c>
      <c r="N1227" s="1595">
        <v>1.4402555493435703</v>
      </c>
      <c r="O1227" s="1595"/>
    </row>
    <row r="1228" spans="11:15">
      <c r="K1228" s="1592">
        <v>43285</v>
      </c>
      <c r="L1228" s="1593" t="s">
        <v>2301</v>
      </c>
      <c r="M1228" s="1594">
        <v>2.462E-2</v>
      </c>
      <c r="N1228" s="1595">
        <v>1.4406101402598188</v>
      </c>
      <c r="O1228" s="1595"/>
    </row>
    <row r="1229" spans="11:15">
      <c r="K1229" s="1592">
        <v>43286</v>
      </c>
      <c r="L1229" s="1593" t="s">
        <v>2301</v>
      </c>
      <c r="M1229" s="1594">
        <v>2.462E-2</v>
      </c>
      <c r="N1229" s="1595">
        <v>1.4409648184763508</v>
      </c>
      <c r="O1229" s="1595"/>
    </row>
    <row r="1230" spans="11:15">
      <c r="K1230" s="1592">
        <v>43287</v>
      </c>
      <c r="L1230" s="1593" t="s">
        <v>2301</v>
      </c>
      <c r="M1230" s="1594">
        <v>2.462E-2</v>
      </c>
      <c r="N1230" s="1595">
        <v>1.4413195840146598</v>
      </c>
      <c r="O1230" s="1595"/>
    </row>
    <row r="1231" spans="11:15">
      <c r="K1231" s="1592">
        <v>43288</v>
      </c>
      <c r="L1231" s="1593"/>
      <c r="M1231" s="1594">
        <v>0</v>
      </c>
      <c r="N1231" s="1595">
        <v>1.4413195840146598</v>
      </c>
      <c r="O1231" s="1595"/>
    </row>
    <row r="1232" spans="11:15">
      <c r="K1232" s="1592">
        <v>43289</v>
      </c>
      <c r="L1232" s="1593"/>
      <c r="M1232" s="1594">
        <v>0</v>
      </c>
      <c r="N1232" s="1595">
        <v>1.4413195840146598</v>
      </c>
      <c r="O1232" s="1595"/>
    </row>
    <row r="1233" spans="11:15">
      <c r="K1233" s="1592">
        <v>43290</v>
      </c>
      <c r="L1233" s="1593" t="s">
        <v>2301</v>
      </c>
      <c r="M1233" s="1594">
        <v>2.462E-2</v>
      </c>
      <c r="N1233" s="1595">
        <v>1.4416744368962442</v>
      </c>
      <c r="O1233" s="1595"/>
    </row>
    <row r="1234" spans="11:15">
      <c r="K1234" s="1592">
        <v>43291</v>
      </c>
      <c r="L1234" s="1593" t="s">
        <v>2301</v>
      </c>
      <c r="M1234" s="1594">
        <v>2.462E-2</v>
      </c>
      <c r="N1234" s="1595">
        <v>1.4420293771426083</v>
      </c>
      <c r="O1234" s="1595"/>
    </row>
    <row r="1235" spans="11:15">
      <c r="K1235" s="1592">
        <v>43292</v>
      </c>
      <c r="L1235" s="1593" t="s">
        <v>2301</v>
      </c>
      <c r="M1235" s="1594">
        <v>2.462E-2</v>
      </c>
      <c r="N1235" s="1595">
        <v>1.442384404775261</v>
      </c>
      <c r="O1235" s="1595"/>
    </row>
    <row r="1236" spans="11:15">
      <c r="K1236" s="1592">
        <v>43293</v>
      </c>
      <c r="L1236" s="1593" t="s">
        <v>2301</v>
      </c>
      <c r="M1236" s="1594">
        <v>2.462E-2</v>
      </c>
      <c r="N1236" s="1595">
        <v>1.4427395198157167</v>
      </c>
      <c r="O1236" s="1595"/>
    </row>
    <row r="1237" spans="11:15">
      <c r="K1237" s="1592">
        <v>43294</v>
      </c>
      <c r="L1237" s="1593" t="s">
        <v>2301</v>
      </c>
      <c r="M1237" s="1594">
        <v>2.462E-2</v>
      </c>
      <c r="N1237" s="1595">
        <v>1.4430947222854955</v>
      </c>
      <c r="O1237" s="1595"/>
    </row>
    <row r="1238" spans="11:15">
      <c r="K1238" s="1592">
        <v>43295</v>
      </c>
      <c r="L1238" s="1593"/>
      <c r="M1238" s="1594">
        <v>0</v>
      </c>
      <c r="N1238" s="1595">
        <v>1.4430947222854955</v>
      </c>
      <c r="O1238" s="1595"/>
    </row>
    <row r="1239" spans="11:15">
      <c r="K1239" s="1592">
        <v>43296</v>
      </c>
      <c r="L1239" s="1593"/>
      <c r="M1239" s="1594">
        <v>0</v>
      </c>
      <c r="N1239" s="1595">
        <v>1.4430947222854955</v>
      </c>
      <c r="O1239" s="1595"/>
    </row>
    <row r="1240" spans="11:15">
      <c r="K1240" s="1592">
        <v>43297</v>
      </c>
      <c r="L1240" s="1593" t="s">
        <v>2301</v>
      </c>
      <c r="M1240" s="1594">
        <v>2.462E-2</v>
      </c>
      <c r="N1240" s="1595">
        <v>1.4434500122061222</v>
      </c>
      <c r="O1240" s="1595"/>
    </row>
    <row r="1241" spans="11:15">
      <c r="K1241" s="1592">
        <v>43298</v>
      </c>
      <c r="L1241" s="1593" t="s">
        <v>2301</v>
      </c>
      <c r="M1241" s="1594">
        <v>2.462E-2</v>
      </c>
      <c r="N1241" s="1595">
        <v>1.4438053895991274</v>
      </c>
      <c r="O1241" s="1595"/>
    </row>
    <row r="1242" spans="11:15">
      <c r="K1242" s="1592">
        <v>43299</v>
      </c>
      <c r="L1242" s="1593" t="s">
        <v>2301</v>
      </c>
      <c r="M1242" s="1594">
        <v>2.462E-2</v>
      </c>
      <c r="N1242" s="1595">
        <v>1.4441608544860469</v>
      </c>
      <c r="O1242" s="1595"/>
    </row>
    <row r="1243" spans="11:15">
      <c r="K1243" s="1592">
        <v>43300</v>
      </c>
      <c r="L1243" s="1593" t="s">
        <v>2301</v>
      </c>
      <c r="M1243" s="1594">
        <v>2.462E-2</v>
      </c>
      <c r="N1243" s="1595">
        <v>1.4445164068884215</v>
      </c>
      <c r="O1243" s="1595"/>
    </row>
    <row r="1244" spans="11:15">
      <c r="K1244" s="1592">
        <v>43301</v>
      </c>
      <c r="L1244" s="1593" t="s">
        <v>2301</v>
      </c>
      <c r="M1244" s="1594">
        <v>2.462E-2</v>
      </c>
      <c r="N1244" s="1595">
        <v>1.4448720468277976</v>
      </c>
      <c r="O1244" s="1595"/>
    </row>
    <row r="1245" spans="11:15">
      <c r="K1245" s="1592">
        <v>43302</v>
      </c>
      <c r="L1245" s="1593"/>
      <c r="M1245" s="1594">
        <v>0</v>
      </c>
      <c r="N1245" s="1595">
        <v>1.4448720468277976</v>
      </c>
      <c r="O1245" s="1595"/>
    </row>
    <row r="1246" spans="11:15">
      <c r="K1246" s="1592">
        <v>43303</v>
      </c>
      <c r="L1246" s="1593"/>
      <c r="M1246" s="1594">
        <v>0</v>
      </c>
      <c r="N1246" s="1595">
        <v>1.4448720468277976</v>
      </c>
      <c r="O1246" s="1595"/>
    </row>
    <row r="1247" spans="11:15">
      <c r="K1247" s="1592">
        <v>43304</v>
      </c>
      <c r="L1247" s="1593" t="s">
        <v>2301</v>
      </c>
      <c r="M1247" s="1594">
        <v>2.462E-2</v>
      </c>
      <c r="N1247" s="1595">
        <v>1.4452277743257267</v>
      </c>
      <c r="O1247" s="1595"/>
    </row>
    <row r="1248" spans="11:15">
      <c r="K1248" s="1592">
        <v>43305</v>
      </c>
      <c r="L1248" s="1593" t="s">
        <v>2301</v>
      </c>
      <c r="M1248" s="1594">
        <v>2.462E-2</v>
      </c>
      <c r="N1248" s="1595">
        <v>1.4455835894037659</v>
      </c>
      <c r="O1248" s="1595"/>
    </row>
    <row r="1249" spans="11:15">
      <c r="K1249" s="1592">
        <v>43306</v>
      </c>
      <c r="L1249" s="1593" t="s">
        <v>2301</v>
      </c>
      <c r="M1249" s="1594">
        <v>2.462E-2</v>
      </c>
      <c r="N1249" s="1595">
        <v>1.4459394920834772</v>
      </c>
      <c r="O1249" s="1595"/>
    </row>
    <row r="1250" spans="11:15">
      <c r="K1250" s="1592">
        <v>43307</v>
      </c>
      <c r="L1250" s="1593" t="s">
        <v>2301</v>
      </c>
      <c r="M1250" s="1594">
        <v>2.462E-2</v>
      </c>
      <c r="N1250" s="1595">
        <v>1.4462954823864282</v>
      </c>
      <c r="O1250" s="1595"/>
    </row>
    <row r="1251" spans="11:15">
      <c r="K1251" s="1592">
        <v>43308</v>
      </c>
      <c r="L1251" s="1593" t="s">
        <v>2301</v>
      </c>
      <c r="M1251" s="1594">
        <v>2.462E-2</v>
      </c>
      <c r="N1251" s="1595">
        <v>1.4466515603341918</v>
      </c>
      <c r="O1251" s="1595"/>
    </row>
    <row r="1252" spans="11:15">
      <c r="K1252" s="1592">
        <v>43309</v>
      </c>
      <c r="L1252" s="1593"/>
      <c r="M1252" s="1594">
        <v>0</v>
      </c>
      <c r="N1252" s="1595">
        <v>1.4466515603341918</v>
      </c>
      <c r="O1252" s="1595"/>
    </row>
    <row r="1253" spans="11:15">
      <c r="K1253" s="1592">
        <v>43310</v>
      </c>
      <c r="L1253" s="1593"/>
      <c r="M1253" s="1594">
        <v>0</v>
      </c>
      <c r="N1253" s="1595">
        <v>1.4466515603341918</v>
      </c>
      <c r="O1253" s="1595"/>
    </row>
    <row r="1254" spans="11:15">
      <c r="K1254" s="1592">
        <v>43311</v>
      </c>
      <c r="L1254" s="1593" t="s">
        <v>2301</v>
      </c>
      <c r="M1254" s="1594">
        <v>2.462E-2</v>
      </c>
      <c r="N1254" s="1595">
        <v>1.4470077259483463</v>
      </c>
      <c r="O1254" s="1595"/>
    </row>
    <row r="1255" spans="11:15">
      <c r="K1255" s="1592">
        <v>43312</v>
      </c>
      <c r="L1255" s="1593" t="s">
        <v>2301</v>
      </c>
      <c r="M1255" s="1594">
        <v>2.462E-2</v>
      </c>
      <c r="N1255" s="1595">
        <v>1.4473639792504749</v>
      </c>
      <c r="O1255" s="1595"/>
    </row>
    <row r="1256" spans="11:15">
      <c r="K1256" s="1592">
        <v>43313</v>
      </c>
      <c r="L1256" s="1593" t="s">
        <v>2301</v>
      </c>
      <c r="M1256" s="1594">
        <v>2.462E-2</v>
      </c>
      <c r="N1256" s="1595">
        <v>1.4477203202621665</v>
      </c>
      <c r="O1256" s="1595"/>
    </row>
    <row r="1257" spans="11:15">
      <c r="K1257" s="1592">
        <v>43314</v>
      </c>
      <c r="L1257" s="1593" t="s">
        <v>2301</v>
      </c>
      <c r="M1257" s="1594">
        <v>2.462E-2</v>
      </c>
      <c r="N1257" s="1595">
        <v>1.448076749005015</v>
      </c>
      <c r="O1257" s="1595"/>
    </row>
    <row r="1258" spans="11:15">
      <c r="K1258" s="1592">
        <v>43315</v>
      </c>
      <c r="L1258" s="1593" t="s">
        <v>2301</v>
      </c>
      <c r="M1258" s="1594">
        <v>2.462E-2</v>
      </c>
      <c r="N1258" s="1595">
        <v>1.4484332655006202</v>
      </c>
      <c r="O1258" s="1595"/>
    </row>
    <row r="1259" spans="11:15">
      <c r="K1259" s="1592">
        <v>43316</v>
      </c>
      <c r="L1259" s="1593"/>
      <c r="M1259" s="1594">
        <v>0</v>
      </c>
      <c r="N1259" s="1595">
        <v>1.4484332655006202</v>
      </c>
      <c r="O1259" s="1595"/>
    </row>
    <row r="1260" spans="11:15">
      <c r="K1260" s="1592">
        <v>43317</v>
      </c>
      <c r="L1260" s="1593"/>
      <c r="M1260" s="1594">
        <v>0</v>
      </c>
      <c r="N1260" s="1595">
        <v>1.4484332655006202</v>
      </c>
      <c r="O1260" s="1595"/>
    </row>
    <row r="1261" spans="11:15">
      <c r="K1261" s="1592">
        <v>43318</v>
      </c>
      <c r="L1261" s="1593" t="s">
        <v>2301</v>
      </c>
      <c r="M1261" s="1594">
        <v>2.462E-2</v>
      </c>
      <c r="N1261" s="1595">
        <v>1.4487898697705865</v>
      </c>
      <c r="O1261" s="1595"/>
    </row>
    <row r="1262" spans="11:15">
      <c r="K1262" s="1592">
        <v>43319</v>
      </c>
      <c r="L1262" s="1593" t="s">
        <v>2301</v>
      </c>
      <c r="M1262" s="1594">
        <v>2.462E-2</v>
      </c>
      <c r="N1262" s="1595">
        <v>1.4491465618365242</v>
      </c>
      <c r="O1262" s="1595"/>
    </row>
    <row r="1263" spans="11:15">
      <c r="K1263" s="1592">
        <v>43320</v>
      </c>
      <c r="L1263" s="1593" t="s">
        <v>2301</v>
      </c>
      <c r="M1263" s="1594">
        <v>2.462E-2</v>
      </c>
      <c r="N1263" s="1595">
        <v>1.4495033417200485</v>
      </c>
      <c r="O1263" s="1595"/>
    </row>
    <row r="1264" spans="11:15">
      <c r="K1264" s="1592">
        <v>43321</v>
      </c>
      <c r="L1264" s="1593" t="s">
        <v>2301</v>
      </c>
      <c r="M1264" s="1594">
        <v>2.462E-2</v>
      </c>
      <c r="N1264" s="1595">
        <v>1.4498602094427802</v>
      </c>
      <c r="O1264" s="1595"/>
    </row>
    <row r="1265" spans="11:15">
      <c r="K1265" s="1592">
        <v>43322</v>
      </c>
      <c r="L1265" s="1593" t="s">
        <v>2301</v>
      </c>
      <c r="M1265" s="1594">
        <v>2.462E-2</v>
      </c>
      <c r="N1265" s="1595">
        <v>1.4502171650263451</v>
      </c>
      <c r="O1265" s="1595"/>
    </row>
    <row r="1266" spans="11:15">
      <c r="K1266" s="1592">
        <v>43323</v>
      </c>
      <c r="L1266" s="1593"/>
      <c r="M1266" s="1594">
        <v>0</v>
      </c>
      <c r="N1266" s="1595">
        <v>1.4502171650263451</v>
      </c>
      <c r="O1266" s="1595"/>
    </row>
    <row r="1267" spans="11:15">
      <c r="K1267" s="1592">
        <v>43324</v>
      </c>
      <c r="L1267" s="1593"/>
      <c r="M1267" s="1594">
        <v>0</v>
      </c>
      <c r="N1267" s="1595">
        <v>1.4502171650263451</v>
      </c>
      <c r="O1267" s="1595"/>
    </row>
    <row r="1268" spans="11:15">
      <c r="K1268" s="1592">
        <v>43325</v>
      </c>
      <c r="L1268" s="1593" t="s">
        <v>2301</v>
      </c>
      <c r="M1268" s="1594">
        <v>2.462E-2</v>
      </c>
      <c r="N1268" s="1595">
        <v>1.4505742084923747</v>
      </c>
      <c r="O1268" s="1595"/>
    </row>
    <row r="1269" spans="11:15">
      <c r="K1269" s="1592">
        <v>43326</v>
      </c>
      <c r="L1269" s="1593" t="s">
        <v>2301</v>
      </c>
      <c r="M1269" s="1594">
        <v>2.462E-2</v>
      </c>
      <c r="N1269" s="1595">
        <v>1.4509313398625057</v>
      </c>
      <c r="O1269" s="1595"/>
    </row>
    <row r="1270" spans="11:15">
      <c r="K1270" s="1592">
        <v>43327</v>
      </c>
      <c r="L1270" s="1593" t="s">
        <v>2301</v>
      </c>
      <c r="M1270" s="1594">
        <v>2.462E-2</v>
      </c>
      <c r="N1270" s="1595">
        <v>1.45128855915838</v>
      </c>
      <c r="O1270" s="1595"/>
    </row>
    <row r="1271" spans="11:15">
      <c r="K1271" s="1592">
        <v>43328</v>
      </c>
      <c r="L1271" s="1593" t="s">
        <v>2301</v>
      </c>
      <c r="M1271" s="1594">
        <v>2.462E-2</v>
      </c>
      <c r="N1271" s="1595">
        <v>1.4516458664016449</v>
      </c>
      <c r="O1271" s="1595"/>
    </row>
    <row r="1272" spans="11:15">
      <c r="K1272" s="1592">
        <v>43329</v>
      </c>
      <c r="L1272" s="1593" t="s">
        <v>2301</v>
      </c>
      <c r="M1272" s="1594">
        <v>2.462E-2</v>
      </c>
      <c r="N1272" s="1595">
        <v>1.4520032616139531</v>
      </c>
      <c r="O1272" s="1595"/>
    </row>
    <row r="1273" spans="11:15">
      <c r="K1273" s="1592">
        <v>43330</v>
      </c>
      <c r="L1273" s="1593"/>
      <c r="M1273" s="1594">
        <v>0</v>
      </c>
      <c r="N1273" s="1595">
        <v>1.4520032616139531</v>
      </c>
      <c r="O1273" s="1595"/>
    </row>
    <row r="1274" spans="11:15">
      <c r="K1274" s="1592">
        <v>43331</v>
      </c>
      <c r="L1274" s="1593"/>
      <c r="M1274" s="1594">
        <v>0</v>
      </c>
      <c r="N1274" s="1595">
        <v>1.4520032616139531</v>
      </c>
      <c r="O1274" s="1595"/>
    </row>
    <row r="1275" spans="11:15">
      <c r="K1275" s="1592">
        <v>43332</v>
      </c>
      <c r="L1275" s="1593" t="s">
        <v>2301</v>
      </c>
      <c r="M1275" s="1594">
        <v>2.462E-2</v>
      </c>
      <c r="N1275" s="1595">
        <v>1.4523607448169626</v>
      </c>
      <c r="O1275" s="1595"/>
    </row>
    <row r="1276" spans="11:15">
      <c r="K1276" s="1592">
        <v>43333</v>
      </c>
      <c r="L1276" s="1593" t="s">
        <v>2301</v>
      </c>
      <c r="M1276" s="1594">
        <v>2.462E-2</v>
      </c>
      <c r="N1276" s="1595">
        <v>1.4527183160323367</v>
      </c>
      <c r="O1276" s="1595"/>
    </row>
    <row r="1277" spans="11:15">
      <c r="K1277" s="1592">
        <v>43334</v>
      </c>
      <c r="L1277" s="1593" t="s">
        <v>2301</v>
      </c>
      <c r="M1277" s="1594">
        <v>2.462E-2</v>
      </c>
      <c r="N1277" s="1595">
        <v>1.4530759752817439</v>
      </c>
      <c r="O1277" s="1595"/>
    </row>
    <row r="1278" spans="11:15">
      <c r="K1278" s="1592">
        <v>43335</v>
      </c>
      <c r="L1278" s="1593" t="s">
        <v>2301</v>
      </c>
      <c r="M1278" s="1594">
        <v>2.462E-2</v>
      </c>
      <c r="N1278" s="1595">
        <v>1.4534337225868583</v>
      </c>
      <c r="O1278" s="1595"/>
    </row>
    <row r="1279" spans="11:15">
      <c r="K1279" s="1592">
        <v>43336</v>
      </c>
      <c r="L1279" s="1593" t="s">
        <v>2301</v>
      </c>
      <c r="M1279" s="1594">
        <v>2.462E-2</v>
      </c>
      <c r="N1279" s="1595">
        <v>1.4537915579693594</v>
      </c>
      <c r="O1279" s="1595"/>
    </row>
    <row r="1280" spans="11:15">
      <c r="K1280" s="1592">
        <v>43337</v>
      </c>
      <c r="L1280" s="1593"/>
      <c r="M1280" s="1594">
        <v>0</v>
      </c>
      <c r="N1280" s="1595">
        <v>1.4537915579693594</v>
      </c>
      <c r="O1280" s="1595"/>
    </row>
    <row r="1281" spans="11:15">
      <c r="K1281" s="1592">
        <v>43338</v>
      </c>
      <c r="L1281" s="1593"/>
      <c r="M1281" s="1594">
        <v>0</v>
      </c>
      <c r="N1281" s="1595">
        <v>1.4537915579693594</v>
      </c>
      <c r="O1281" s="1595"/>
    </row>
    <row r="1282" spans="11:15">
      <c r="K1282" s="1592">
        <v>43339</v>
      </c>
      <c r="L1282" s="1593" t="s">
        <v>2301</v>
      </c>
      <c r="M1282" s="1594">
        <v>2.462E-2</v>
      </c>
      <c r="N1282" s="1595">
        <v>1.4541494814509317</v>
      </c>
      <c r="O1282" s="1595"/>
    </row>
    <row r="1283" spans="11:15">
      <c r="K1283" s="1592">
        <v>43340</v>
      </c>
      <c r="L1283" s="1593" t="s">
        <v>2301</v>
      </c>
      <c r="M1283" s="1594">
        <v>2.462E-2</v>
      </c>
      <c r="N1283" s="1595">
        <v>1.4545074930532651</v>
      </c>
      <c r="O1283" s="1595"/>
    </row>
    <row r="1284" spans="11:15">
      <c r="K1284" s="1592">
        <v>43341</v>
      </c>
      <c r="L1284" s="1593" t="s">
        <v>2301</v>
      </c>
      <c r="M1284" s="1594">
        <v>2.462E-2</v>
      </c>
      <c r="N1284" s="1595">
        <v>1.4548655927980549</v>
      </c>
      <c r="O1284" s="1595"/>
    </row>
    <row r="1285" spans="11:15">
      <c r="K1285" s="1592">
        <v>43342</v>
      </c>
      <c r="L1285" s="1593" t="s">
        <v>2301</v>
      </c>
      <c r="M1285" s="1594">
        <v>2.462E-2</v>
      </c>
      <c r="N1285" s="1595">
        <v>1.4552237807070019</v>
      </c>
      <c r="O1285" s="1595"/>
    </row>
    <row r="1286" spans="11:15">
      <c r="K1286" s="1592">
        <v>43343</v>
      </c>
      <c r="L1286" s="1593" t="s">
        <v>2301</v>
      </c>
      <c r="M1286" s="1594">
        <v>2.462E-2</v>
      </c>
      <c r="N1286" s="1595">
        <v>1.4555820568018121</v>
      </c>
      <c r="O1286" s="1595"/>
    </row>
    <row r="1287" spans="11:15">
      <c r="K1287" s="1592">
        <v>43344</v>
      </c>
      <c r="L1287" s="1593"/>
      <c r="M1287" s="1594">
        <v>0</v>
      </c>
      <c r="N1287" s="1595">
        <v>1.4555820568018121</v>
      </c>
      <c r="O1287" s="1595"/>
    </row>
    <row r="1288" spans="11:15">
      <c r="K1288" s="1592">
        <v>43345</v>
      </c>
      <c r="L1288" s="1593"/>
      <c r="M1288" s="1594">
        <v>0</v>
      </c>
      <c r="N1288" s="1595">
        <v>1.4555820568018121</v>
      </c>
      <c r="O1288" s="1595"/>
    </row>
    <row r="1289" spans="11:15">
      <c r="K1289" s="1592">
        <v>43346</v>
      </c>
      <c r="L1289" s="1593" t="s">
        <v>2301</v>
      </c>
      <c r="M1289" s="1594">
        <v>2.462E-2</v>
      </c>
      <c r="N1289" s="1595">
        <v>1.4559404211041969</v>
      </c>
      <c r="O1289" s="1595"/>
    </row>
    <row r="1290" spans="11:15">
      <c r="K1290" s="1592">
        <v>43347</v>
      </c>
      <c r="L1290" s="1593" t="s">
        <v>2301</v>
      </c>
      <c r="M1290" s="1594">
        <v>2.462E-2</v>
      </c>
      <c r="N1290" s="1595">
        <v>1.4562988736358728</v>
      </c>
      <c r="O1290" s="1595"/>
    </row>
    <row r="1291" spans="11:15">
      <c r="K1291" s="1592">
        <v>43348</v>
      </c>
      <c r="L1291" s="1593" t="s">
        <v>2301</v>
      </c>
      <c r="M1291" s="1594">
        <v>2.462E-2</v>
      </c>
      <c r="N1291" s="1595">
        <v>1.4566574144185622</v>
      </c>
      <c r="O1291" s="1595"/>
    </row>
    <row r="1292" spans="11:15">
      <c r="K1292" s="1592">
        <v>43349</v>
      </c>
      <c r="L1292" s="1593" t="s">
        <v>2301</v>
      </c>
      <c r="M1292" s="1594">
        <v>2.462E-2</v>
      </c>
      <c r="N1292" s="1595">
        <v>1.4570160434739923</v>
      </c>
      <c r="O1292" s="1595"/>
    </row>
    <row r="1293" spans="11:15">
      <c r="K1293" s="1592">
        <v>43350</v>
      </c>
      <c r="L1293" s="1593"/>
      <c r="M1293" s="1594">
        <v>0</v>
      </c>
      <c r="N1293" s="1595">
        <v>1.4570160434739923</v>
      </c>
      <c r="O1293" s="1595"/>
    </row>
    <row r="1294" spans="11:15">
      <c r="K1294" s="1592">
        <v>43351</v>
      </c>
      <c r="L1294" s="1593"/>
      <c r="M1294" s="1594">
        <v>0</v>
      </c>
      <c r="N1294" s="1595">
        <v>1.4570160434739923</v>
      </c>
      <c r="O1294" s="1595"/>
    </row>
    <row r="1295" spans="11:15">
      <c r="K1295" s="1592">
        <v>43352</v>
      </c>
      <c r="L1295" s="1593"/>
      <c r="M1295" s="1594">
        <v>0</v>
      </c>
      <c r="N1295" s="1595">
        <v>1.4570160434739923</v>
      </c>
      <c r="O1295" s="1595"/>
    </row>
    <row r="1296" spans="11:15">
      <c r="K1296" s="1592">
        <v>43353</v>
      </c>
      <c r="L1296" s="1593" t="s">
        <v>2301</v>
      </c>
      <c r="M1296" s="1594">
        <v>2.462E-2</v>
      </c>
      <c r="N1296" s="1595">
        <v>1.4573747608238956</v>
      </c>
      <c r="O1296" s="1595"/>
    </row>
    <row r="1297" spans="11:15">
      <c r="K1297" s="1592">
        <v>43354</v>
      </c>
      <c r="L1297" s="1593" t="s">
        <v>2301</v>
      </c>
      <c r="M1297" s="1594">
        <v>2.462E-2</v>
      </c>
      <c r="N1297" s="1595">
        <v>1.4577335664900106</v>
      </c>
      <c r="O1297" s="1595"/>
    </row>
    <row r="1298" spans="11:15">
      <c r="K1298" s="1592">
        <v>43355</v>
      </c>
      <c r="L1298" s="1593" t="s">
        <v>2301</v>
      </c>
      <c r="M1298" s="1594">
        <v>2.462E-2</v>
      </c>
      <c r="N1298" s="1595">
        <v>1.4580924604940806</v>
      </c>
      <c r="O1298" s="1595"/>
    </row>
    <row r="1299" spans="11:15">
      <c r="K1299" s="1592">
        <v>43356</v>
      </c>
      <c r="L1299" s="1593" t="s">
        <v>2301</v>
      </c>
      <c r="M1299" s="1594">
        <v>2.462E-2</v>
      </c>
      <c r="N1299" s="1595">
        <v>1.4584514428578543</v>
      </c>
      <c r="O1299" s="1595"/>
    </row>
    <row r="1300" spans="11:15">
      <c r="K1300" s="1592">
        <v>43357</v>
      </c>
      <c r="L1300" s="1593" t="s">
        <v>2301</v>
      </c>
      <c r="M1300" s="1594">
        <v>2.462E-2</v>
      </c>
      <c r="N1300" s="1595">
        <v>1.458810513603086</v>
      </c>
      <c r="O1300" s="1595"/>
    </row>
    <row r="1301" spans="11:15">
      <c r="K1301" s="1592">
        <v>43358</v>
      </c>
      <c r="L1301" s="1593"/>
      <c r="M1301" s="1594">
        <v>0</v>
      </c>
      <c r="N1301" s="1595">
        <v>1.458810513603086</v>
      </c>
      <c r="O1301" s="1595"/>
    </row>
    <row r="1302" spans="11:15">
      <c r="K1302" s="1592">
        <v>43359</v>
      </c>
      <c r="L1302" s="1593"/>
      <c r="M1302" s="1594">
        <v>0</v>
      </c>
      <c r="N1302" s="1595">
        <v>1.458810513603086</v>
      </c>
      <c r="O1302" s="1595"/>
    </row>
    <row r="1303" spans="11:15">
      <c r="K1303" s="1592">
        <v>43360</v>
      </c>
      <c r="L1303" s="1593" t="s">
        <v>2301</v>
      </c>
      <c r="M1303" s="1594">
        <v>2.462E-2</v>
      </c>
      <c r="N1303" s="1595">
        <v>1.4591696727515353</v>
      </c>
      <c r="O1303" s="1595"/>
    </row>
    <row r="1304" spans="11:15">
      <c r="K1304" s="1592">
        <v>43361</v>
      </c>
      <c r="L1304" s="1593" t="s">
        <v>2301</v>
      </c>
      <c r="M1304" s="1594">
        <v>2.462E-2</v>
      </c>
      <c r="N1304" s="1595">
        <v>1.4595289203249668</v>
      </c>
      <c r="O1304" s="1595"/>
    </row>
    <row r="1305" spans="11:15">
      <c r="K1305" s="1592">
        <v>43362</v>
      </c>
      <c r="L1305" s="1593" t="s">
        <v>2301</v>
      </c>
      <c r="M1305" s="1594">
        <v>2.462E-2</v>
      </c>
      <c r="N1305" s="1595">
        <v>1.459888256345151</v>
      </c>
      <c r="O1305" s="1595"/>
    </row>
    <row r="1306" spans="11:15">
      <c r="K1306" s="1592">
        <v>43363</v>
      </c>
      <c r="L1306" s="1593" t="s">
        <v>2301</v>
      </c>
      <c r="M1306" s="1594">
        <v>2.462E-2</v>
      </c>
      <c r="N1306" s="1595">
        <v>1.4602476808338634</v>
      </c>
      <c r="O1306" s="1595"/>
    </row>
    <row r="1307" spans="11:15">
      <c r="K1307" s="1592">
        <v>43364</v>
      </c>
      <c r="L1307" s="1593" t="s">
        <v>2301</v>
      </c>
      <c r="M1307" s="1594">
        <v>2.462E-2</v>
      </c>
      <c r="N1307" s="1595">
        <v>1.4606071938128848</v>
      </c>
      <c r="O1307" s="1595"/>
    </row>
    <row r="1308" spans="11:15">
      <c r="K1308" s="1592">
        <v>43365</v>
      </c>
      <c r="L1308" s="1593"/>
      <c r="M1308" s="1594">
        <v>0</v>
      </c>
      <c r="N1308" s="1595">
        <v>1.4606071938128848</v>
      </c>
      <c r="O1308" s="1595"/>
    </row>
    <row r="1309" spans="11:15">
      <c r="K1309" s="1592">
        <v>43366</v>
      </c>
      <c r="L1309" s="1593"/>
      <c r="M1309" s="1594">
        <v>0</v>
      </c>
      <c r="N1309" s="1595">
        <v>1.4606071938128848</v>
      </c>
      <c r="O1309" s="1595"/>
    </row>
    <row r="1310" spans="11:15">
      <c r="K1310" s="1592">
        <v>43367</v>
      </c>
      <c r="L1310" s="1593" t="s">
        <v>2301</v>
      </c>
      <c r="M1310" s="1594">
        <v>2.462E-2</v>
      </c>
      <c r="N1310" s="1595">
        <v>1.4609667953040018</v>
      </c>
      <c r="O1310" s="1595"/>
    </row>
    <row r="1311" spans="11:15">
      <c r="K1311" s="1592">
        <v>43368</v>
      </c>
      <c r="L1311" s="1593" t="s">
        <v>2301</v>
      </c>
      <c r="M1311" s="1594">
        <v>2.462E-2</v>
      </c>
      <c r="N1311" s="1595">
        <v>1.4613264853290058</v>
      </c>
      <c r="O1311" s="1595"/>
    </row>
    <row r="1312" spans="11:15">
      <c r="K1312" s="1592">
        <v>43369</v>
      </c>
      <c r="L1312" s="1593" t="s">
        <v>2301</v>
      </c>
      <c r="M1312" s="1594">
        <v>2.462E-2</v>
      </c>
      <c r="N1312" s="1595">
        <v>1.4616862639096939</v>
      </c>
      <c r="O1312" s="1595"/>
    </row>
    <row r="1313" spans="11:15">
      <c r="K1313" s="1592">
        <v>43370</v>
      </c>
      <c r="L1313" s="1593" t="s">
        <v>2301</v>
      </c>
      <c r="M1313" s="1594">
        <v>2.462E-2</v>
      </c>
      <c r="N1313" s="1595">
        <v>1.4620461310678685</v>
      </c>
      <c r="O1313" s="1595"/>
    </row>
    <row r="1314" spans="11:15">
      <c r="K1314" s="1592">
        <v>43371</v>
      </c>
      <c r="L1314" s="1593" t="s">
        <v>2301</v>
      </c>
      <c r="M1314" s="1594">
        <v>2.462E-2</v>
      </c>
      <c r="N1314" s="1595">
        <v>1.4624060868253375</v>
      </c>
      <c r="O1314" s="1595"/>
    </row>
    <row r="1315" spans="11:15">
      <c r="K1315" s="1592">
        <v>43372</v>
      </c>
      <c r="L1315" s="1593"/>
      <c r="M1315" s="1594">
        <v>0</v>
      </c>
      <c r="N1315" s="1595">
        <v>1.4624060868253375</v>
      </c>
      <c r="O1315" s="1595"/>
    </row>
    <row r="1316" spans="11:15">
      <c r="K1316" s="1592">
        <v>43373</v>
      </c>
      <c r="L1316" s="1593"/>
      <c r="M1316" s="1594">
        <v>0</v>
      </c>
      <c r="N1316" s="1595">
        <v>1.4624060868253375</v>
      </c>
      <c r="O1316" s="1595"/>
    </row>
    <row r="1317" spans="11:15">
      <c r="K1317" s="1592">
        <v>43374</v>
      </c>
      <c r="L1317" s="1593" t="s">
        <v>2301</v>
      </c>
      <c r="M1317" s="1594">
        <v>2.462E-2</v>
      </c>
      <c r="N1317" s="1595">
        <v>1.462766131203914</v>
      </c>
      <c r="O1317" s="1595"/>
    </row>
    <row r="1318" spans="11:15">
      <c r="K1318" s="1592">
        <v>43375</v>
      </c>
      <c r="L1318" s="1593" t="s">
        <v>2301</v>
      </c>
      <c r="M1318" s="1594">
        <v>2.462E-2</v>
      </c>
      <c r="N1318" s="1595">
        <v>1.4631262642254166</v>
      </c>
      <c r="O1318" s="1595"/>
    </row>
    <row r="1319" spans="11:15">
      <c r="K1319" s="1592">
        <v>43376</v>
      </c>
      <c r="L1319" s="1593" t="s">
        <v>2301</v>
      </c>
      <c r="M1319" s="1594">
        <v>2.462E-2</v>
      </c>
      <c r="N1319" s="1595">
        <v>1.463486485911669</v>
      </c>
      <c r="O1319" s="1595"/>
    </row>
    <row r="1320" spans="11:15">
      <c r="K1320" s="1592">
        <v>43377</v>
      </c>
      <c r="L1320" s="1593" t="s">
        <v>2301</v>
      </c>
      <c r="M1320" s="1594">
        <v>2.462E-2</v>
      </c>
      <c r="N1320" s="1595">
        <v>1.4638467962845005</v>
      </c>
      <c r="O1320" s="1595"/>
    </row>
    <row r="1321" spans="11:15">
      <c r="K1321" s="1592">
        <v>43378</v>
      </c>
      <c r="L1321" s="1593" t="s">
        <v>2301</v>
      </c>
      <c r="M1321" s="1594">
        <v>2.462E-2</v>
      </c>
      <c r="N1321" s="1595">
        <v>1.4642071953657458</v>
      </c>
      <c r="O1321" s="1595"/>
    </row>
    <row r="1322" spans="11:15">
      <c r="K1322" s="1592">
        <v>43379</v>
      </c>
      <c r="L1322" s="1593"/>
      <c r="M1322" s="1594">
        <v>0</v>
      </c>
      <c r="N1322" s="1595">
        <v>1.4642071953657458</v>
      </c>
      <c r="O1322" s="1595"/>
    </row>
    <row r="1323" spans="11:15">
      <c r="K1323" s="1592">
        <v>43380</v>
      </c>
      <c r="L1323" s="1593"/>
      <c r="M1323" s="1594">
        <v>0</v>
      </c>
      <c r="N1323" s="1595">
        <v>1.4642071953657458</v>
      </c>
      <c r="O1323" s="1595"/>
    </row>
    <row r="1324" spans="11:15">
      <c r="K1324" s="1592">
        <v>43381</v>
      </c>
      <c r="L1324" s="1593" t="s">
        <v>2301</v>
      </c>
      <c r="M1324" s="1594">
        <v>2.462E-2</v>
      </c>
      <c r="N1324" s="1595">
        <v>1.4645676831772449</v>
      </c>
      <c r="O1324" s="1595"/>
    </row>
    <row r="1325" spans="11:15">
      <c r="K1325" s="1592">
        <v>43382</v>
      </c>
      <c r="L1325" s="1593" t="s">
        <v>2301</v>
      </c>
      <c r="M1325" s="1594">
        <v>2.462E-2</v>
      </c>
      <c r="N1325" s="1595">
        <v>1.4649282597408433</v>
      </c>
      <c r="O1325" s="1595"/>
    </row>
    <row r="1326" spans="11:15">
      <c r="K1326" s="1592">
        <v>43383</v>
      </c>
      <c r="L1326" s="1593" t="s">
        <v>2301</v>
      </c>
      <c r="M1326" s="1594">
        <v>2.462E-2</v>
      </c>
      <c r="N1326" s="1595">
        <v>1.4652889250783916</v>
      </c>
      <c r="O1326" s="1595"/>
    </row>
    <row r="1327" spans="11:15">
      <c r="K1327" s="1592">
        <v>43384</v>
      </c>
      <c r="L1327" s="1593" t="s">
        <v>2301</v>
      </c>
      <c r="M1327" s="1594">
        <v>2.462E-2</v>
      </c>
      <c r="N1327" s="1595">
        <v>1.4656496792117459</v>
      </c>
      <c r="O1327" s="1595"/>
    </row>
    <row r="1328" spans="11:15">
      <c r="K1328" s="1592">
        <v>43385</v>
      </c>
      <c r="L1328" s="1593"/>
      <c r="M1328" s="1594">
        <v>0</v>
      </c>
      <c r="N1328" s="1595">
        <v>1.4656496792117459</v>
      </c>
      <c r="O1328" s="1595"/>
    </row>
    <row r="1329" spans="11:15">
      <c r="K1329" s="1592">
        <v>43386</v>
      </c>
      <c r="L1329" s="1593"/>
      <c r="M1329" s="1594">
        <v>0</v>
      </c>
      <c r="N1329" s="1595">
        <v>1.4656496792117459</v>
      </c>
      <c r="O1329" s="1595"/>
    </row>
    <row r="1330" spans="11:15">
      <c r="K1330" s="1592">
        <v>43387</v>
      </c>
      <c r="L1330" s="1593"/>
      <c r="M1330" s="1594">
        <v>0</v>
      </c>
      <c r="N1330" s="1595">
        <v>1.4656496792117459</v>
      </c>
      <c r="O1330" s="1595"/>
    </row>
    <row r="1331" spans="11:15">
      <c r="K1331" s="1592">
        <v>43388</v>
      </c>
      <c r="L1331" s="1593" t="s">
        <v>2301</v>
      </c>
      <c r="M1331" s="1594">
        <v>2.462E-2</v>
      </c>
      <c r="N1331" s="1595">
        <v>1.4660105221627679</v>
      </c>
      <c r="O1331" s="1595"/>
    </row>
    <row r="1332" spans="11:15">
      <c r="K1332" s="1592">
        <v>43389</v>
      </c>
      <c r="L1332" s="1593" t="s">
        <v>2301</v>
      </c>
      <c r="M1332" s="1594">
        <v>2.462E-2</v>
      </c>
      <c r="N1332" s="1595">
        <v>1.4663714539533246</v>
      </c>
      <c r="O1332" s="1595"/>
    </row>
    <row r="1333" spans="11:15">
      <c r="K1333" s="1592">
        <v>43390</v>
      </c>
      <c r="L1333" s="1593" t="s">
        <v>2301</v>
      </c>
      <c r="M1333" s="1594">
        <v>2.462E-2</v>
      </c>
      <c r="N1333" s="1595">
        <v>1.4667324746052881</v>
      </c>
      <c r="O1333" s="1595"/>
    </row>
    <row r="1334" spans="11:15">
      <c r="K1334" s="1592">
        <v>43391</v>
      </c>
      <c r="L1334" s="1593" t="s">
        <v>2301</v>
      </c>
      <c r="M1334" s="1594">
        <v>2.462E-2</v>
      </c>
      <c r="N1334" s="1595">
        <v>1.4670935841405361</v>
      </c>
      <c r="O1334" s="1595"/>
    </row>
    <row r="1335" spans="11:15">
      <c r="K1335" s="1592">
        <v>43392</v>
      </c>
      <c r="L1335" s="1593" t="s">
        <v>2301</v>
      </c>
      <c r="M1335" s="1594">
        <v>2.462E-2</v>
      </c>
      <c r="N1335" s="1595">
        <v>1.4674547825809516</v>
      </c>
      <c r="O1335" s="1595"/>
    </row>
    <row r="1336" spans="11:15">
      <c r="K1336" s="1592">
        <v>43393</v>
      </c>
      <c r="L1336" s="1593"/>
      <c r="M1336" s="1594">
        <v>0</v>
      </c>
      <c r="N1336" s="1595">
        <v>1.4674547825809516</v>
      </c>
      <c r="O1336" s="1595"/>
    </row>
    <row r="1337" spans="11:15">
      <c r="K1337" s="1592">
        <v>43394</v>
      </c>
      <c r="L1337" s="1593"/>
      <c r="M1337" s="1594">
        <v>0</v>
      </c>
      <c r="N1337" s="1595">
        <v>1.4674547825809516</v>
      </c>
      <c r="O1337" s="1595"/>
    </row>
    <row r="1338" spans="11:15">
      <c r="K1338" s="1592">
        <v>43395</v>
      </c>
      <c r="L1338" s="1593" t="s">
        <v>2301</v>
      </c>
      <c r="M1338" s="1594">
        <v>2.462E-2</v>
      </c>
      <c r="N1338" s="1595">
        <v>1.4678160699484233</v>
      </c>
      <c r="O1338" s="1595"/>
    </row>
    <row r="1339" spans="11:15">
      <c r="K1339" s="1592">
        <v>43396</v>
      </c>
      <c r="L1339" s="1593" t="s">
        <v>2301</v>
      </c>
      <c r="M1339" s="1594">
        <v>2.462E-2</v>
      </c>
      <c r="N1339" s="1595">
        <v>1.4681774462648447</v>
      </c>
      <c r="O1339" s="1595"/>
    </row>
    <row r="1340" spans="11:15">
      <c r="K1340" s="1592">
        <v>43397</v>
      </c>
      <c r="L1340" s="1593" t="s">
        <v>2301</v>
      </c>
      <c r="M1340" s="1594">
        <v>2.462E-2</v>
      </c>
      <c r="N1340" s="1595">
        <v>1.4685389115521152</v>
      </c>
      <c r="O1340" s="1595"/>
    </row>
    <row r="1341" spans="11:15">
      <c r="K1341" s="1592">
        <v>43398</v>
      </c>
      <c r="L1341" s="1593" t="s">
        <v>2301</v>
      </c>
      <c r="M1341" s="1594">
        <v>2.462E-2</v>
      </c>
      <c r="N1341" s="1595">
        <v>1.4689004658321394</v>
      </c>
      <c r="O1341" s="1595"/>
    </row>
    <row r="1342" spans="11:15">
      <c r="K1342" s="1592">
        <v>43399</v>
      </c>
      <c r="L1342" s="1593" t="s">
        <v>2301</v>
      </c>
      <c r="M1342" s="1594">
        <v>2.462E-2</v>
      </c>
      <c r="N1342" s="1595">
        <v>1.4692621091268274</v>
      </c>
      <c r="O1342" s="1595"/>
    </row>
    <row r="1343" spans="11:15">
      <c r="K1343" s="1592">
        <v>43400</v>
      </c>
      <c r="L1343" s="1593"/>
      <c r="M1343" s="1594">
        <v>0</v>
      </c>
      <c r="N1343" s="1595">
        <v>1.4692621091268274</v>
      </c>
      <c r="O1343" s="1595"/>
    </row>
    <row r="1344" spans="11:15">
      <c r="K1344" s="1592">
        <v>43401</v>
      </c>
      <c r="L1344" s="1593"/>
      <c r="M1344" s="1594">
        <v>0</v>
      </c>
      <c r="N1344" s="1595">
        <v>1.4692621091268274</v>
      </c>
      <c r="O1344" s="1595"/>
    </row>
    <row r="1345" spans="11:15">
      <c r="K1345" s="1592">
        <v>43402</v>
      </c>
      <c r="L1345" s="1593" t="s">
        <v>2301</v>
      </c>
      <c r="M1345" s="1594">
        <v>2.462E-2</v>
      </c>
      <c r="N1345" s="1595">
        <v>1.4696238414580947</v>
      </c>
      <c r="O1345" s="1595"/>
    </row>
    <row r="1346" spans="11:15">
      <c r="K1346" s="1592">
        <v>43403</v>
      </c>
      <c r="L1346" s="1593" t="s">
        <v>2301</v>
      </c>
      <c r="M1346" s="1594">
        <v>2.462E-2</v>
      </c>
      <c r="N1346" s="1595">
        <v>1.4699856628478618</v>
      </c>
      <c r="O1346" s="1595"/>
    </row>
    <row r="1347" spans="11:15">
      <c r="K1347" s="1592">
        <v>43404</v>
      </c>
      <c r="L1347" s="1593" t="s">
        <v>2301</v>
      </c>
      <c r="M1347" s="1594">
        <v>2.462E-2</v>
      </c>
      <c r="N1347" s="1595">
        <v>1.4703475733180551</v>
      </c>
      <c r="O1347" s="1595"/>
    </row>
    <row r="1348" spans="11:15">
      <c r="K1348" s="1592">
        <v>43405</v>
      </c>
      <c r="L1348" s="1593" t="s">
        <v>2301</v>
      </c>
      <c r="M1348" s="1594">
        <v>2.462E-2</v>
      </c>
      <c r="N1348" s="1595">
        <v>1.4707095728906061</v>
      </c>
      <c r="O1348" s="1595"/>
    </row>
    <row r="1349" spans="11:15">
      <c r="K1349" s="1592">
        <v>43406</v>
      </c>
      <c r="L1349" s="1593"/>
      <c r="M1349" s="1594">
        <v>0</v>
      </c>
      <c r="N1349" s="1595">
        <v>1.4707095728906061</v>
      </c>
      <c r="O1349" s="1595"/>
    </row>
    <row r="1350" spans="11:15">
      <c r="K1350" s="1592">
        <v>43407</v>
      </c>
      <c r="L1350" s="1593"/>
      <c r="M1350" s="1594">
        <v>0</v>
      </c>
      <c r="N1350" s="1595">
        <v>1.4707095728906061</v>
      </c>
      <c r="O1350" s="1595"/>
    </row>
    <row r="1351" spans="11:15">
      <c r="K1351" s="1592">
        <v>43408</v>
      </c>
      <c r="L1351" s="1593"/>
      <c r="M1351" s="1594">
        <v>0</v>
      </c>
      <c r="N1351" s="1595">
        <v>1.4707095728906061</v>
      </c>
      <c r="O1351" s="1595"/>
    </row>
    <row r="1352" spans="11:15">
      <c r="K1352" s="1592">
        <v>43409</v>
      </c>
      <c r="L1352" s="1593" t="s">
        <v>2301</v>
      </c>
      <c r="M1352" s="1594">
        <v>2.462E-2</v>
      </c>
      <c r="N1352" s="1595">
        <v>1.471071661587452</v>
      </c>
      <c r="O1352" s="1595"/>
    </row>
    <row r="1353" spans="11:15">
      <c r="K1353" s="1592">
        <v>43410</v>
      </c>
      <c r="L1353" s="1593" t="s">
        <v>2301</v>
      </c>
      <c r="M1353" s="1594">
        <v>2.462E-2</v>
      </c>
      <c r="N1353" s="1595">
        <v>1.4714338394305349</v>
      </c>
      <c r="O1353" s="1595"/>
    </row>
    <row r="1354" spans="11:15">
      <c r="K1354" s="1592">
        <v>43411</v>
      </c>
      <c r="L1354" s="1593" t="s">
        <v>2301</v>
      </c>
      <c r="M1354" s="1594">
        <v>2.462E-2</v>
      </c>
      <c r="N1354" s="1595">
        <v>1.4717961064418028</v>
      </c>
      <c r="O1354" s="1595"/>
    </row>
    <row r="1355" spans="11:15">
      <c r="K1355" s="1592">
        <v>43412</v>
      </c>
      <c r="L1355" s="1593" t="s">
        <v>2301</v>
      </c>
      <c r="M1355" s="1594">
        <v>2.462E-2</v>
      </c>
      <c r="N1355" s="1595">
        <v>1.4721584626432089</v>
      </c>
      <c r="O1355" s="1595"/>
    </row>
    <row r="1356" spans="11:15">
      <c r="K1356" s="1592">
        <v>43413</v>
      </c>
      <c r="L1356" s="1593" t="s">
        <v>2301</v>
      </c>
      <c r="M1356" s="1594">
        <v>2.462E-2</v>
      </c>
      <c r="N1356" s="1595">
        <v>1.4725209080567119</v>
      </c>
      <c r="O1356" s="1595"/>
    </row>
    <row r="1357" spans="11:15">
      <c r="K1357" s="1592">
        <v>43414</v>
      </c>
      <c r="L1357" s="1593"/>
      <c r="M1357" s="1594">
        <v>0</v>
      </c>
      <c r="N1357" s="1595">
        <v>1.4725209080567119</v>
      </c>
      <c r="O1357" s="1595"/>
    </row>
    <row r="1358" spans="11:15">
      <c r="K1358" s="1592">
        <v>43415</v>
      </c>
      <c r="L1358" s="1593"/>
      <c r="M1358" s="1594">
        <v>0</v>
      </c>
      <c r="N1358" s="1595">
        <v>1.4725209080567119</v>
      </c>
      <c r="O1358" s="1595"/>
    </row>
    <row r="1359" spans="11:15">
      <c r="K1359" s="1592">
        <v>43416</v>
      </c>
      <c r="L1359" s="1593" t="s">
        <v>2301</v>
      </c>
      <c r="M1359" s="1594">
        <v>2.462E-2</v>
      </c>
      <c r="N1359" s="1595">
        <v>1.4728834427042756</v>
      </c>
      <c r="O1359" s="1595"/>
    </row>
    <row r="1360" spans="11:15">
      <c r="K1360" s="1592">
        <v>43417</v>
      </c>
      <c r="L1360" s="1593" t="s">
        <v>2301</v>
      </c>
      <c r="M1360" s="1594">
        <v>2.462E-2</v>
      </c>
      <c r="N1360" s="1595">
        <v>1.4732460666078695</v>
      </c>
      <c r="O1360" s="1595"/>
    </row>
    <row r="1361" spans="11:15">
      <c r="K1361" s="1592">
        <v>43418</v>
      </c>
      <c r="L1361" s="1593" t="s">
        <v>2301</v>
      </c>
      <c r="M1361" s="1594">
        <v>2.462E-2</v>
      </c>
      <c r="N1361" s="1595">
        <v>1.4736087797894686</v>
      </c>
      <c r="O1361" s="1595"/>
    </row>
    <row r="1362" spans="11:15">
      <c r="K1362" s="1592">
        <v>43419</v>
      </c>
      <c r="L1362" s="1593"/>
      <c r="M1362" s="1594">
        <v>0</v>
      </c>
      <c r="N1362" s="1595">
        <v>1.4736087797894686</v>
      </c>
      <c r="O1362" s="1595"/>
    </row>
    <row r="1363" spans="11:15">
      <c r="K1363" s="1592">
        <v>43420</v>
      </c>
      <c r="L1363" s="1593" t="s">
        <v>2301</v>
      </c>
      <c r="M1363" s="1594">
        <v>2.462E-2</v>
      </c>
      <c r="N1363" s="1595">
        <v>1.4739715822710528</v>
      </c>
      <c r="O1363" s="1595"/>
    </row>
    <row r="1364" spans="11:15">
      <c r="K1364" s="1592">
        <v>43421</v>
      </c>
      <c r="L1364" s="1593"/>
      <c r="M1364" s="1594">
        <v>0</v>
      </c>
      <c r="N1364" s="1595">
        <v>1.4739715822710528</v>
      </c>
      <c r="O1364" s="1595"/>
    </row>
    <row r="1365" spans="11:15">
      <c r="K1365" s="1592">
        <v>43422</v>
      </c>
      <c r="L1365" s="1593"/>
      <c r="M1365" s="1594">
        <v>0</v>
      </c>
      <c r="N1365" s="1595">
        <v>1.4739715822710528</v>
      </c>
      <c r="O1365" s="1595"/>
    </row>
    <row r="1366" spans="11:15">
      <c r="K1366" s="1592">
        <v>43423</v>
      </c>
      <c r="L1366" s="1593" t="s">
        <v>2301</v>
      </c>
      <c r="M1366" s="1594">
        <v>2.462E-2</v>
      </c>
      <c r="N1366" s="1595">
        <v>1.474334474074608</v>
      </c>
      <c r="O1366" s="1595"/>
    </row>
    <row r="1367" spans="11:15">
      <c r="K1367" s="1592">
        <v>43424</v>
      </c>
      <c r="L1367" s="1593" t="s">
        <v>2301</v>
      </c>
      <c r="M1367" s="1594">
        <v>2.462E-2</v>
      </c>
      <c r="N1367" s="1595">
        <v>1.4746974552221253</v>
      </c>
      <c r="O1367" s="1595"/>
    </row>
    <row r="1368" spans="11:15">
      <c r="K1368" s="1592">
        <v>43425</v>
      </c>
      <c r="L1368" s="1593" t="s">
        <v>2301</v>
      </c>
      <c r="M1368" s="1594">
        <v>2.462E-2</v>
      </c>
      <c r="N1368" s="1595">
        <v>1.4750605257356011</v>
      </c>
      <c r="O1368" s="1595"/>
    </row>
    <row r="1369" spans="11:15">
      <c r="K1369" s="1592">
        <v>43426</v>
      </c>
      <c r="L1369" s="1593" t="s">
        <v>2301</v>
      </c>
      <c r="M1369" s="1594">
        <v>2.462E-2</v>
      </c>
      <c r="N1369" s="1595">
        <v>1.4754236856370373</v>
      </c>
      <c r="O1369" s="1595"/>
    </row>
    <row r="1370" spans="11:15">
      <c r="K1370" s="1592">
        <v>43427</v>
      </c>
      <c r="L1370" s="1593" t="s">
        <v>2301</v>
      </c>
      <c r="M1370" s="1594">
        <v>2.462E-2</v>
      </c>
      <c r="N1370" s="1595">
        <v>1.4757869349484412</v>
      </c>
      <c r="O1370" s="1595"/>
    </row>
    <row r="1371" spans="11:15">
      <c r="K1371" s="1592">
        <v>43428</v>
      </c>
      <c r="L1371" s="1593"/>
      <c r="M1371" s="1594">
        <v>0</v>
      </c>
      <c r="N1371" s="1595">
        <v>1.4757869349484412</v>
      </c>
      <c r="O1371" s="1595"/>
    </row>
    <row r="1372" spans="11:15">
      <c r="K1372" s="1592">
        <v>43429</v>
      </c>
      <c r="L1372" s="1593"/>
      <c r="M1372" s="1594">
        <v>0</v>
      </c>
      <c r="N1372" s="1595">
        <v>1.4757869349484412</v>
      </c>
      <c r="O1372" s="1595"/>
    </row>
    <row r="1373" spans="11:15">
      <c r="K1373" s="1592">
        <v>43430</v>
      </c>
      <c r="L1373" s="1593" t="s">
        <v>2301</v>
      </c>
      <c r="M1373" s="1594">
        <v>2.462E-2</v>
      </c>
      <c r="N1373" s="1595">
        <v>1.4761502736918255</v>
      </c>
      <c r="O1373" s="1595"/>
    </row>
    <row r="1374" spans="11:15">
      <c r="K1374" s="1592">
        <v>43431</v>
      </c>
      <c r="L1374" s="1593" t="s">
        <v>2301</v>
      </c>
      <c r="M1374" s="1594">
        <v>2.462E-2</v>
      </c>
      <c r="N1374" s="1595">
        <v>1.4765137018892085</v>
      </c>
      <c r="O1374" s="1595"/>
    </row>
    <row r="1375" spans="11:15">
      <c r="K1375" s="1592">
        <v>43432</v>
      </c>
      <c r="L1375" s="1593" t="s">
        <v>2301</v>
      </c>
      <c r="M1375" s="1594">
        <v>2.462E-2</v>
      </c>
      <c r="N1375" s="1595">
        <v>1.4768772195626136</v>
      </c>
      <c r="O1375" s="1595"/>
    </row>
    <row r="1376" spans="11:15">
      <c r="K1376" s="1592">
        <v>43433</v>
      </c>
      <c r="L1376" s="1593" t="s">
        <v>2301</v>
      </c>
      <c r="M1376" s="1594">
        <v>2.462E-2</v>
      </c>
      <c r="N1376" s="1595">
        <v>1.47724082673407</v>
      </c>
      <c r="O1376" s="1595"/>
    </row>
    <row r="1377" spans="11:15">
      <c r="K1377" s="1592">
        <v>43434</v>
      </c>
      <c r="L1377" s="1593" t="s">
        <v>2301</v>
      </c>
      <c r="M1377" s="1594">
        <v>2.462E-2</v>
      </c>
      <c r="N1377" s="1595">
        <v>1.4776045234256121</v>
      </c>
      <c r="O1377" s="1595"/>
    </row>
    <row r="1378" spans="11:15">
      <c r="K1378" s="1592">
        <v>43435</v>
      </c>
      <c r="L1378" s="1593"/>
      <c r="M1378" s="1594">
        <v>0</v>
      </c>
      <c r="N1378" s="1595">
        <v>1.4776045234256121</v>
      </c>
      <c r="O1378" s="1595"/>
    </row>
    <row r="1379" spans="11:15">
      <c r="K1379" s="1592">
        <v>43436</v>
      </c>
      <c r="L1379" s="1593"/>
      <c r="M1379" s="1594">
        <v>0</v>
      </c>
      <c r="N1379" s="1595">
        <v>1.4776045234256121</v>
      </c>
      <c r="O1379" s="1595"/>
    </row>
    <row r="1380" spans="11:15">
      <c r="K1380" s="1592">
        <v>43437</v>
      </c>
      <c r="L1380" s="1593" t="s">
        <v>2301</v>
      </c>
      <c r="M1380" s="1594">
        <v>2.462E-2</v>
      </c>
      <c r="N1380" s="1595">
        <v>1.4779683096592797</v>
      </c>
      <c r="O1380" s="1595"/>
    </row>
    <row r="1381" spans="11:15">
      <c r="K1381" s="1592">
        <v>43438</v>
      </c>
      <c r="L1381" s="1593" t="s">
        <v>2301</v>
      </c>
      <c r="M1381" s="1594">
        <v>2.462E-2</v>
      </c>
      <c r="N1381" s="1595">
        <v>1.4783321854571179</v>
      </c>
      <c r="O1381" s="1595"/>
    </row>
    <row r="1382" spans="11:15">
      <c r="K1382" s="1592">
        <v>43439</v>
      </c>
      <c r="L1382" s="1593" t="s">
        <v>2301</v>
      </c>
      <c r="M1382" s="1594">
        <v>2.462E-2</v>
      </c>
      <c r="N1382" s="1595">
        <v>1.4786961508411776</v>
      </c>
      <c r="O1382" s="1595"/>
    </row>
    <row r="1383" spans="11:15">
      <c r="K1383" s="1592">
        <v>43440</v>
      </c>
      <c r="L1383" s="1593" t="s">
        <v>2301</v>
      </c>
      <c r="M1383" s="1594">
        <v>2.462E-2</v>
      </c>
      <c r="N1383" s="1595">
        <v>1.4790602058335147</v>
      </c>
      <c r="O1383" s="1595"/>
    </row>
    <row r="1384" spans="11:15">
      <c r="K1384" s="1592">
        <v>43441</v>
      </c>
      <c r="L1384" s="1593" t="s">
        <v>2301</v>
      </c>
      <c r="M1384" s="1594">
        <v>2.462E-2</v>
      </c>
      <c r="N1384" s="1595">
        <v>1.479424350456191</v>
      </c>
      <c r="O1384" s="1595"/>
    </row>
    <row r="1385" spans="11:15">
      <c r="K1385" s="1592">
        <v>43442</v>
      </c>
      <c r="L1385" s="1593"/>
      <c r="M1385" s="1594">
        <v>0</v>
      </c>
      <c r="N1385" s="1595">
        <v>1.479424350456191</v>
      </c>
      <c r="O1385" s="1595"/>
    </row>
    <row r="1386" spans="11:15">
      <c r="K1386" s="1592">
        <v>43443</v>
      </c>
      <c r="L1386" s="1593"/>
      <c r="M1386" s="1594">
        <v>0</v>
      </c>
      <c r="N1386" s="1595">
        <v>1.479424350456191</v>
      </c>
      <c r="O1386" s="1595"/>
    </row>
    <row r="1387" spans="11:15">
      <c r="K1387" s="1592">
        <v>43444</v>
      </c>
      <c r="L1387" s="1593" t="s">
        <v>2301</v>
      </c>
      <c r="M1387" s="1594">
        <v>2.462E-2</v>
      </c>
      <c r="N1387" s="1595">
        <v>1.4797885847312735</v>
      </c>
      <c r="O1387" s="1595"/>
    </row>
    <row r="1388" spans="11:15">
      <c r="K1388" s="1592">
        <v>43445</v>
      </c>
      <c r="L1388" s="1593" t="s">
        <v>2301</v>
      </c>
      <c r="M1388" s="1594">
        <v>2.462E-2</v>
      </c>
      <c r="N1388" s="1595">
        <v>1.4801529086808345</v>
      </c>
      <c r="O1388" s="1595"/>
    </row>
    <row r="1389" spans="11:15">
      <c r="K1389" s="1592">
        <v>43446</v>
      </c>
      <c r="L1389" s="1593" t="s">
        <v>2301</v>
      </c>
      <c r="M1389" s="1594">
        <v>2.462E-2</v>
      </c>
      <c r="N1389" s="1595">
        <v>1.4805173223269519</v>
      </c>
      <c r="O1389" s="1595"/>
    </row>
    <row r="1390" spans="11:15">
      <c r="K1390" s="1592">
        <v>43447</v>
      </c>
      <c r="L1390" s="1593" t="s">
        <v>2301</v>
      </c>
      <c r="M1390" s="1594">
        <v>2.462E-2</v>
      </c>
      <c r="N1390" s="1595">
        <v>1.4808818256917089</v>
      </c>
      <c r="O1390" s="1595"/>
    </row>
    <row r="1391" spans="11:15">
      <c r="K1391" s="1592">
        <v>43448</v>
      </c>
      <c r="L1391" s="1593" t="s">
        <v>2301</v>
      </c>
      <c r="M1391" s="1594">
        <v>2.462E-2</v>
      </c>
      <c r="N1391" s="1595">
        <v>1.4812464187971943</v>
      </c>
      <c r="O1391" s="1595"/>
    </row>
    <row r="1392" spans="11:15">
      <c r="K1392" s="1592">
        <v>43449</v>
      </c>
      <c r="L1392" s="1593"/>
      <c r="M1392" s="1594">
        <v>0</v>
      </c>
      <c r="N1392" s="1595">
        <v>1.4812464187971943</v>
      </c>
      <c r="O1392" s="1595"/>
    </row>
    <row r="1393" spans="11:15">
      <c r="K1393" s="1592">
        <v>43450</v>
      </c>
      <c r="L1393" s="1593"/>
      <c r="M1393" s="1594">
        <v>0</v>
      </c>
      <c r="N1393" s="1595">
        <v>1.4812464187971943</v>
      </c>
      <c r="O1393" s="1595"/>
    </row>
    <row r="1394" spans="11:15">
      <c r="K1394" s="1592">
        <v>43451</v>
      </c>
      <c r="L1394" s="1593" t="s">
        <v>2301</v>
      </c>
      <c r="M1394" s="1594">
        <v>2.462E-2</v>
      </c>
      <c r="N1394" s="1595">
        <v>1.4816111016655023</v>
      </c>
      <c r="O1394" s="1595"/>
    </row>
    <row r="1395" spans="11:15">
      <c r="K1395" s="1592">
        <v>43452</v>
      </c>
      <c r="L1395" s="1593" t="s">
        <v>2301</v>
      </c>
      <c r="M1395" s="1594">
        <v>2.462E-2</v>
      </c>
      <c r="N1395" s="1595">
        <v>1.4819758743187323</v>
      </c>
      <c r="O1395" s="1595"/>
    </row>
    <row r="1396" spans="11:15">
      <c r="K1396" s="1592">
        <v>43453</v>
      </c>
      <c r="L1396" s="1593" t="s">
        <v>2301</v>
      </c>
      <c r="M1396" s="1594">
        <v>2.462E-2</v>
      </c>
      <c r="N1396" s="1595">
        <v>1.4823407367789898</v>
      </c>
      <c r="O1396" s="1595"/>
    </row>
    <row r="1397" spans="11:15">
      <c r="K1397" s="1592">
        <v>43454</v>
      </c>
      <c r="L1397" s="1593" t="s">
        <v>2301</v>
      </c>
      <c r="M1397" s="1594">
        <v>2.462E-2</v>
      </c>
      <c r="N1397" s="1595">
        <v>1.482705689068385</v>
      </c>
      <c r="O1397" s="1595"/>
    </row>
    <row r="1398" spans="11:15">
      <c r="K1398" s="1592">
        <v>43455</v>
      </c>
      <c r="L1398" s="1593" t="s">
        <v>2301</v>
      </c>
      <c r="M1398" s="1594">
        <v>2.462E-2</v>
      </c>
      <c r="N1398" s="1595">
        <v>1.4830707312090337</v>
      </c>
      <c r="O1398" s="1595"/>
    </row>
    <row r="1399" spans="11:15">
      <c r="K1399" s="1592">
        <v>43456</v>
      </c>
      <c r="L1399" s="1593"/>
      <c r="M1399" s="1594">
        <v>0</v>
      </c>
      <c r="N1399" s="1595">
        <v>1.4830707312090337</v>
      </c>
      <c r="O1399" s="1595"/>
    </row>
    <row r="1400" spans="11:15">
      <c r="K1400" s="1592">
        <v>43457</v>
      </c>
      <c r="L1400" s="1593"/>
      <c r="M1400" s="1594">
        <v>0</v>
      </c>
      <c r="N1400" s="1595">
        <v>1.4830707312090337</v>
      </c>
      <c r="O1400" s="1595"/>
    </row>
    <row r="1401" spans="11:15">
      <c r="K1401" s="1592">
        <v>43458</v>
      </c>
      <c r="L1401" s="1593" t="s">
        <v>2301</v>
      </c>
      <c r="M1401" s="1594">
        <v>2.462E-2</v>
      </c>
      <c r="N1401" s="1595">
        <v>1.4834358632230575</v>
      </c>
      <c r="O1401" s="1595"/>
    </row>
    <row r="1402" spans="11:15">
      <c r="K1402" s="1592">
        <v>43459</v>
      </c>
      <c r="L1402" s="1593"/>
      <c r="M1402" s="1594">
        <v>0</v>
      </c>
      <c r="N1402" s="1595">
        <v>1.4834358632230575</v>
      </c>
      <c r="O1402" s="1595"/>
    </row>
    <row r="1403" spans="11:15">
      <c r="K1403" s="1592">
        <v>43460</v>
      </c>
      <c r="L1403" s="1593" t="s">
        <v>2301</v>
      </c>
      <c r="M1403" s="1594">
        <v>2.462E-2</v>
      </c>
      <c r="N1403" s="1595">
        <v>1.4838010851325831</v>
      </c>
      <c r="O1403" s="1595"/>
    </row>
    <row r="1404" spans="11:15">
      <c r="K1404" s="1592">
        <v>43461</v>
      </c>
      <c r="L1404" s="1593" t="s">
        <v>2301</v>
      </c>
      <c r="M1404" s="1594">
        <v>2.462E-2</v>
      </c>
      <c r="N1404" s="1595">
        <v>1.484166396959743</v>
      </c>
      <c r="O1404" s="1595"/>
    </row>
    <row r="1405" spans="11:15">
      <c r="K1405" s="1592">
        <v>43462</v>
      </c>
      <c r="L1405" s="1593" t="s">
        <v>2301</v>
      </c>
      <c r="M1405" s="1594">
        <v>2.462E-2</v>
      </c>
      <c r="N1405" s="1595">
        <v>1.4845317987266746</v>
      </c>
      <c r="O1405" s="1595"/>
    </row>
    <row r="1406" spans="11:15">
      <c r="K1406" s="1592">
        <v>43463</v>
      </c>
      <c r="L1406" s="1593"/>
      <c r="M1406" s="1594">
        <v>0</v>
      </c>
      <c r="N1406" s="1595">
        <v>1.4845317987266746</v>
      </c>
      <c r="O1406" s="1595"/>
    </row>
    <row r="1407" spans="11:15">
      <c r="K1407" s="1592">
        <v>43464</v>
      </c>
      <c r="L1407" s="1593"/>
      <c r="M1407" s="1594">
        <v>0</v>
      </c>
      <c r="N1407" s="1595">
        <v>1.4845317987266746</v>
      </c>
      <c r="O1407" s="1595"/>
    </row>
    <row r="1408" spans="11:15">
      <c r="K1408" s="1592">
        <v>43465</v>
      </c>
      <c r="L1408" s="1593" t="s">
        <v>2301</v>
      </c>
      <c r="M1408" s="1594">
        <v>2.462E-2</v>
      </c>
      <c r="N1408" s="1595">
        <v>1.4848972904555213</v>
      </c>
      <c r="O1408" s="1595"/>
    </row>
    <row r="1409" spans="11:15">
      <c r="K1409" s="1592">
        <v>43466</v>
      </c>
      <c r="L1409" s="1593"/>
      <c r="M1409" s="1594">
        <v>0</v>
      </c>
      <c r="N1409" s="1595">
        <v>1.4848972904555213</v>
      </c>
      <c r="O1409" s="1595"/>
    </row>
    <row r="1410" spans="11:15">
      <c r="K1410" s="1592">
        <v>43467</v>
      </c>
      <c r="L1410" s="1593" t="s">
        <v>2301</v>
      </c>
      <c r="M1410" s="1594">
        <v>2.462E-2</v>
      </c>
      <c r="N1410" s="1595">
        <v>1.4852628721684316</v>
      </c>
      <c r="O1410" s="1595"/>
    </row>
    <row r="1411" spans="11:15">
      <c r="K1411" s="1592">
        <v>43468</v>
      </c>
      <c r="L1411" s="1593" t="s">
        <v>2301</v>
      </c>
      <c r="M1411" s="1594">
        <v>2.462E-2</v>
      </c>
      <c r="N1411" s="1595">
        <v>1.4856285438875596</v>
      </c>
      <c r="O1411" s="1595"/>
    </row>
    <row r="1412" spans="11:15">
      <c r="K1412" s="1592">
        <v>43469</v>
      </c>
      <c r="L1412" s="1593" t="s">
        <v>2301</v>
      </c>
      <c r="M1412" s="1594">
        <v>2.462E-2</v>
      </c>
      <c r="N1412" s="1595">
        <v>1.4859943056350648</v>
      </c>
      <c r="O1412" s="1595"/>
    </row>
    <row r="1413" spans="11:15">
      <c r="K1413" s="1592">
        <v>43470</v>
      </c>
      <c r="L1413" s="1593"/>
      <c r="M1413" s="1594">
        <v>0</v>
      </c>
      <c r="N1413" s="1595">
        <v>1.4859943056350648</v>
      </c>
      <c r="O1413" s="1595"/>
    </row>
    <row r="1414" spans="11:15">
      <c r="K1414" s="1592">
        <v>43471</v>
      </c>
      <c r="L1414" s="1593"/>
      <c r="M1414" s="1594">
        <v>0</v>
      </c>
      <c r="N1414" s="1595">
        <v>1.4859943056350648</v>
      </c>
      <c r="O1414" s="1595"/>
    </row>
    <row r="1415" spans="11:15">
      <c r="K1415" s="1592">
        <v>43472</v>
      </c>
      <c r="L1415" s="1593" t="s">
        <v>2301</v>
      </c>
      <c r="M1415" s="1594">
        <v>2.462E-2</v>
      </c>
      <c r="N1415" s="1595">
        <v>1.4863601574331122</v>
      </c>
      <c r="O1415" s="1595"/>
    </row>
    <row r="1416" spans="11:15">
      <c r="K1416" s="1592">
        <v>43473</v>
      </c>
      <c r="L1416" s="1593" t="s">
        <v>2301</v>
      </c>
      <c r="M1416" s="1594">
        <v>2.462E-2</v>
      </c>
      <c r="N1416" s="1595">
        <v>1.4867260993038725</v>
      </c>
      <c r="O1416" s="1595"/>
    </row>
    <row r="1417" spans="11:15">
      <c r="K1417" s="1592">
        <v>43474</v>
      </c>
      <c r="L1417" s="1593" t="s">
        <v>2301</v>
      </c>
      <c r="M1417" s="1594">
        <v>2.462E-2</v>
      </c>
      <c r="N1417" s="1595">
        <v>1.4870921312695211</v>
      </c>
      <c r="O1417" s="1595"/>
    </row>
    <row r="1418" spans="11:15">
      <c r="K1418" s="1592">
        <v>43475</v>
      </c>
      <c r="L1418" s="1593" t="s">
        <v>2301</v>
      </c>
      <c r="M1418" s="1594">
        <v>2.462E-2</v>
      </c>
      <c r="N1418" s="1595">
        <v>1.4874582533522398</v>
      </c>
      <c r="O1418" s="1595"/>
    </row>
    <row r="1419" spans="11:15">
      <c r="K1419" s="1592">
        <v>43476</v>
      </c>
      <c r="L1419" s="1593" t="s">
        <v>2301</v>
      </c>
      <c r="M1419" s="1594">
        <v>2.462E-2</v>
      </c>
      <c r="N1419" s="1595">
        <v>1.4878244655742152</v>
      </c>
      <c r="O1419" s="1595"/>
    </row>
    <row r="1420" spans="11:15">
      <c r="K1420" s="1592">
        <v>43477</v>
      </c>
      <c r="L1420" s="1593"/>
      <c r="M1420" s="1594">
        <v>0</v>
      </c>
      <c r="N1420" s="1595">
        <v>1.4878244655742152</v>
      </c>
      <c r="O1420" s="1595"/>
    </row>
    <row r="1421" spans="11:15">
      <c r="K1421" s="1592">
        <v>43478</v>
      </c>
      <c r="L1421" s="1593"/>
      <c r="M1421" s="1594">
        <v>0</v>
      </c>
      <c r="N1421" s="1595">
        <v>1.4878244655742152</v>
      </c>
      <c r="O1421" s="1595"/>
    </row>
    <row r="1422" spans="11:15">
      <c r="K1422" s="1592">
        <v>43479</v>
      </c>
      <c r="L1422" s="1593" t="s">
        <v>2301</v>
      </c>
      <c r="M1422" s="1594">
        <v>2.462E-2</v>
      </c>
      <c r="N1422" s="1595">
        <v>1.4881907679576396</v>
      </c>
      <c r="O1422" s="1595"/>
    </row>
    <row r="1423" spans="11:15">
      <c r="K1423" s="1592">
        <v>43480</v>
      </c>
      <c r="L1423" s="1593" t="s">
        <v>2301</v>
      </c>
      <c r="M1423" s="1594">
        <v>2.462E-2</v>
      </c>
      <c r="N1423" s="1595">
        <v>1.488557160524711</v>
      </c>
      <c r="O1423" s="1595"/>
    </row>
    <row r="1424" spans="11:15">
      <c r="K1424" s="1592">
        <v>43481</v>
      </c>
      <c r="L1424" s="1593" t="s">
        <v>2301</v>
      </c>
      <c r="M1424" s="1594">
        <v>2.462E-2</v>
      </c>
      <c r="N1424" s="1595">
        <v>1.4889236432976323</v>
      </c>
      <c r="O1424" s="1595"/>
    </row>
    <row r="1425" spans="11:15">
      <c r="K1425" s="1592">
        <v>43482</v>
      </c>
      <c r="L1425" s="1593" t="s">
        <v>2301</v>
      </c>
      <c r="M1425" s="1594">
        <v>2.462E-2</v>
      </c>
      <c r="N1425" s="1595">
        <v>1.4892902162986124</v>
      </c>
      <c r="O1425" s="1595"/>
    </row>
    <row r="1426" spans="11:15">
      <c r="K1426" s="1592">
        <v>43483</v>
      </c>
      <c r="L1426" s="1593" t="s">
        <v>2301</v>
      </c>
      <c r="M1426" s="1594">
        <v>2.462E-2</v>
      </c>
      <c r="N1426" s="1595">
        <v>1.4896568795498653</v>
      </c>
      <c r="O1426" s="1595"/>
    </row>
    <row r="1427" spans="11:15">
      <c r="K1427" s="1592">
        <v>43484</v>
      </c>
      <c r="L1427" s="1593"/>
      <c r="M1427" s="1594">
        <v>0</v>
      </c>
      <c r="N1427" s="1595">
        <v>1.4896568795498653</v>
      </c>
      <c r="O1427" s="1595"/>
    </row>
    <row r="1428" spans="11:15">
      <c r="K1428" s="1592">
        <v>43485</v>
      </c>
      <c r="L1428" s="1593"/>
      <c r="M1428" s="1594">
        <v>0</v>
      </c>
      <c r="N1428" s="1595">
        <v>1.4896568795498653</v>
      </c>
      <c r="O1428" s="1595"/>
    </row>
    <row r="1429" spans="11:15">
      <c r="K1429" s="1592">
        <v>43486</v>
      </c>
      <c r="L1429" s="1593" t="s">
        <v>2301</v>
      </c>
      <c r="M1429" s="1594">
        <v>2.462E-2</v>
      </c>
      <c r="N1429" s="1595">
        <v>1.4900236330736105</v>
      </c>
      <c r="O1429" s="1595"/>
    </row>
    <row r="1430" spans="11:15">
      <c r="K1430" s="1592">
        <v>43487</v>
      </c>
      <c r="L1430" s="1593" t="s">
        <v>2301</v>
      </c>
      <c r="M1430" s="1594">
        <v>2.462E-2</v>
      </c>
      <c r="N1430" s="1595">
        <v>1.4903904768920733</v>
      </c>
      <c r="O1430" s="1595"/>
    </row>
    <row r="1431" spans="11:15">
      <c r="K1431" s="1592">
        <v>43488</v>
      </c>
      <c r="L1431" s="1593" t="s">
        <v>2301</v>
      </c>
      <c r="M1431" s="1594">
        <v>2.462E-2</v>
      </c>
      <c r="N1431" s="1595">
        <v>1.4907574110274842</v>
      </c>
      <c r="O1431" s="1595"/>
    </row>
    <row r="1432" spans="11:15">
      <c r="K1432" s="1592">
        <v>43489</v>
      </c>
      <c r="L1432" s="1593" t="s">
        <v>2301</v>
      </c>
      <c r="M1432" s="1594">
        <v>2.462E-2</v>
      </c>
      <c r="N1432" s="1595">
        <v>1.4911244355020792</v>
      </c>
      <c r="O1432" s="1595"/>
    </row>
    <row r="1433" spans="11:15">
      <c r="K1433" s="1592">
        <v>43490</v>
      </c>
      <c r="L1433" s="1593" t="s">
        <v>2301</v>
      </c>
      <c r="M1433" s="1594">
        <v>2.462E-2</v>
      </c>
      <c r="N1433" s="1595">
        <v>1.4914915503380999</v>
      </c>
      <c r="O1433" s="1595"/>
    </row>
    <row r="1434" spans="11:15">
      <c r="K1434" s="1592">
        <v>43491</v>
      </c>
      <c r="L1434" s="1593"/>
      <c r="M1434" s="1594">
        <v>0</v>
      </c>
      <c r="N1434" s="1595">
        <v>1.4914915503380999</v>
      </c>
      <c r="O1434" s="1595"/>
    </row>
    <row r="1435" spans="11:15">
      <c r="K1435" s="1592">
        <v>43492</v>
      </c>
      <c r="L1435" s="1593"/>
      <c r="M1435" s="1594">
        <v>0</v>
      </c>
      <c r="N1435" s="1595">
        <v>1.4914915503380999</v>
      </c>
      <c r="O1435" s="1595"/>
    </row>
    <row r="1436" spans="11:15">
      <c r="K1436" s="1592">
        <v>43493</v>
      </c>
      <c r="L1436" s="1593" t="s">
        <v>2301</v>
      </c>
      <c r="M1436" s="1594">
        <v>2.462E-2</v>
      </c>
      <c r="N1436" s="1595">
        <v>1.4918587555577933</v>
      </c>
      <c r="O1436" s="1595"/>
    </row>
    <row r="1437" spans="11:15">
      <c r="K1437" s="1592">
        <v>43494</v>
      </c>
      <c r="L1437" s="1593" t="s">
        <v>2301</v>
      </c>
      <c r="M1437" s="1594">
        <v>2.462E-2</v>
      </c>
      <c r="N1437" s="1595">
        <v>1.4922260511834118</v>
      </c>
      <c r="O1437" s="1595"/>
    </row>
    <row r="1438" spans="11:15">
      <c r="K1438" s="1592">
        <v>43495</v>
      </c>
      <c r="L1438" s="1593" t="s">
        <v>2301</v>
      </c>
      <c r="M1438" s="1594">
        <v>2.462E-2</v>
      </c>
      <c r="N1438" s="1595">
        <v>1.4925934372372132</v>
      </c>
      <c r="O1438" s="1595"/>
    </row>
    <row r="1439" spans="11:15">
      <c r="K1439" s="1592">
        <v>43496</v>
      </c>
      <c r="L1439" s="1593" t="s">
        <v>2301</v>
      </c>
      <c r="M1439" s="1594">
        <v>2.462E-2</v>
      </c>
      <c r="N1439" s="1595">
        <v>1.492960913741461</v>
      </c>
      <c r="O1439" s="1595"/>
    </row>
    <row r="1440" spans="11:15">
      <c r="K1440" s="1592">
        <v>43497</v>
      </c>
      <c r="L1440" s="1593" t="s">
        <v>2301</v>
      </c>
      <c r="M1440" s="1594">
        <v>2.462E-2</v>
      </c>
      <c r="N1440" s="1595">
        <v>1.4933284807184244</v>
      </c>
      <c r="O1440" s="1595"/>
    </row>
    <row r="1441" spans="11:15">
      <c r="K1441" s="1592">
        <v>43498</v>
      </c>
      <c r="L1441" s="1593"/>
      <c r="M1441" s="1594">
        <v>0</v>
      </c>
      <c r="N1441" s="1595">
        <v>1.4933284807184244</v>
      </c>
      <c r="O1441" s="1595"/>
    </row>
    <row r="1442" spans="11:15">
      <c r="K1442" s="1592">
        <v>43499</v>
      </c>
      <c r="L1442" s="1593"/>
      <c r="M1442" s="1594">
        <v>0</v>
      </c>
      <c r="N1442" s="1595">
        <v>1.4933284807184244</v>
      </c>
      <c r="O1442" s="1595"/>
    </row>
    <row r="1443" spans="11:15">
      <c r="K1443" s="1592">
        <v>43500</v>
      </c>
      <c r="L1443" s="1593" t="s">
        <v>2301</v>
      </c>
      <c r="M1443" s="1594">
        <v>2.462E-2</v>
      </c>
      <c r="N1443" s="1595">
        <v>1.4936961381903775</v>
      </c>
      <c r="O1443" s="1595"/>
    </row>
    <row r="1444" spans="11:15">
      <c r="K1444" s="1592">
        <v>43501</v>
      </c>
      <c r="L1444" s="1593" t="s">
        <v>2301</v>
      </c>
      <c r="M1444" s="1594">
        <v>2.462E-2</v>
      </c>
      <c r="N1444" s="1595">
        <v>1.4940638861796001</v>
      </c>
      <c r="O1444" s="1595"/>
    </row>
    <row r="1445" spans="11:15">
      <c r="K1445" s="1592">
        <v>43502</v>
      </c>
      <c r="L1445" s="1593" t="s">
        <v>2301</v>
      </c>
      <c r="M1445" s="1594">
        <v>2.462E-2</v>
      </c>
      <c r="N1445" s="1595">
        <v>1.4944317247083776</v>
      </c>
      <c r="O1445" s="1595"/>
    </row>
    <row r="1446" spans="11:15">
      <c r="K1446" s="1592">
        <v>43503</v>
      </c>
      <c r="L1446" s="1593" t="s">
        <v>2301</v>
      </c>
      <c r="M1446" s="1594">
        <v>2.462E-2</v>
      </c>
      <c r="N1446" s="1595">
        <v>1.4947996537990009</v>
      </c>
      <c r="O1446" s="1595"/>
    </row>
    <row r="1447" spans="11:15">
      <c r="K1447" s="1592">
        <v>43504</v>
      </c>
      <c r="L1447" s="1593" t="s">
        <v>2301</v>
      </c>
      <c r="M1447" s="1594">
        <v>2.462E-2</v>
      </c>
      <c r="N1447" s="1595">
        <v>1.4951676734737664</v>
      </c>
      <c r="O1447" s="1595"/>
    </row>
    <row r="1448" spans="11:15">
      <c r="K1448" s="1592">
        <v>43505</v>
      </c>
      <c r="L1448" s="1593"/>
      <c r="M1448" s="1594">
        <v>0</v>
      </c>
      <c r="N1448" s="1595">
        <v>1.4951676734737664</v>
      </c>
      <c r="O1448" s="1595"/>
    </row>
    <row r="1449" spans="11:15">
      <c r="K1449" s="1592">
        <v>43506</v>
      </c>
      <c r="L1449" s="1593"/>
      <c r="M1449" s="1594">
        <v>0</v>
      </c>
      <c r="N1449" s="1595">
        <v>1.4951676734737664</v>
      </c>
      <c r="O1449" s="1595"/>
    </row>
    <row r="1450" spans="11:15">
      <c r="K1450" s="1592">
        <v>43507</v>
      </c>
      <c r="L1450" s="1593" t="s">
        <v>2301</v>
      </c>
      <c r="M1450" s="1594">
        <v>2.462E-2</v>
      </c>
      <c r="N1450" s="1595">
        <v>1.4955357837549759</v>
      </c>
      <c r="O1450" s="1595"/>
    </row>
    <row r="1451" spans="11:15">
      <c r="K1451" s="1592">
        <v>43508</v>
      </c>
      <c r="L1451" s="1593" t="s">
        <v>2301</v>
      </c>
      <c r="M1451" s="1594">
        <v>2.462E-2</v>
      </c>
      <c r="N1451" s="1595">
        <v>1.4959039846649365</v>
      </c>
      <c r="O1451" s="1595"/>
    </row>
    <row r="1452" spans="11:15">
      <c r="K1452" s="1592">
        <v>43509</v>
      </c>
      <c r="L1452" s="1593" t="s">
        <v>2301</v>
      </c>
      <c r="M1452" s="1594">
        <v>2.462E-2</v>
      </c>
      <c r="N1452" s="1595">
        <v>1.496272276225961</v>
      </c>
      <c r="O1452" s="1595"/>
    </row>
    <row r="1453" spans="11:15">
      <c r="K1453" s="1592">
        <v>43510</v>
      </c>
      <c r="L1453" s="1593" t="s">
        <v>2301</v>
      </c>
      <c r="M1453" s="1594">
        <v>2.462E-2</v>
      </c>
      <c r="N1453" s="1595">
        <v>1.496640658460368</v>
      </c>
      <c r="O1453" s="1595"/>
    </row>
    <row r="1454" spans="11:15">
      <c r="K1454" s="1592">
        <v>43511</v>
      </c>
      <c r="L1454" s="1593" t="s">
        <v>2301</v>
      </c>
      <c r="M1454" s="1594">
        <v>2.462E-2</v>
      </c>
      <c r="N1454" s="1595">
        <v>1.497009131390481</v>
      </c>
      <c r="O1454" s="1595"/>
    </row>
    <row r="1455" spans="11:15">
      <c r="K1455" s="1592">
        <v>43512</v>
      </c>
      <c r="L1455" s="1593"/>
      <c r="M1455" s="1594">
        <v>0</v>
      </c>
      <c r="N1455" s="1595">
        <v>1.497009131390481</v>
      </c>
      <c r="O1455" s="1595"/>
    </row>
    <row r="1456" spans="11:15">
      <c r="K1456" s="1592">
        <v>43513</v>
      </c>
      <c r="L1456" s="1593"/>
      <c r="M1456" s="1594">
        <v>0</v>
      </c>
      <c r="N1456" s="1595">
        <v>1.497009131390481</v>
      </c>
      <c r="O1456" s="1595"/>
    </row>
    <row r="1457" spans="11:15">
      <c r="K1457" s="1592">
        <v>43514</v>
      </c>
      <c r="L1457" s="1593" t="s">
        <v>2301</v>
      </c>
      <c r="M1457" s="1594">
        <v>2.462E-2</v>
      </c>
      <c r="N1457" s="1595">
        <v>1.4973776950386295</v>
      </c>
      <c r="O1457" s="1595"/>
    </row>
    <row r="1458" spans="11:15">
      <c r="K1458" s="1592">
        <v>43515</v>
      </c>
      <c r="L1458" s="1593" t="s">
        <v>2301</v>
      </c>
      <c r="M1458" s="1594">
        <v>2.462E-2</v>
      </c>
      <c r="N1458" s="1595">
        <v>1.4977463494271481</v>
      </c>
      <c r="O1458" s="1595"/>
    </row>
    <row r="1459" spans="11:15">
      <c r="K1459" s="1592">
        <v>43516</v>
      </c>
      <c r="L1459" s="1593" t="s">
        <v>2301</v>
      </c>
      <c r="M1459" s="1594">
        <v>2.462E-2</v>
      </c>
      <c r="N1459" s="1595">
        <v>1.4981150945783772</v>
      </c>
      <c r="O1459" s="1595"/>
    </row>
    <row r="1460" spans="11:15">
      <c r="K1460" s="1592">
        <v>43517</v>
      </c>
      <c r="L1460" s="1593" t="s">
        <v>2301</v>
      </c>
      <c r="M1460" s="1594">
        <v>2.462E-2</v>
      </c>
      <c r="N1460" s="1595">
        <v>1.4984839305146624</v>
      </c>
      <c r="O1460" s="1595"/>
    </row>
    <row r="1461" spans="11:15">
      <c r="K1461" s="1592">
        <v>43518</v>
      </c>
      <c r="L1461" s="1593" t="s">
        <v>2301</v>
      </c>
      <c r="M1461" s="1594">
        <v>2.462E-2</v>
      </c>
      <c r="N1461" s="1595">
        <v>1.4988528572583553</v>
      </c>
      <c r="O1461" s="1595"/>
    </row>
    <row r="1462" spans="11:15">
      <c r="K1462" s="1592">
        <v>43519</v>
      </c>
      <c r="L1462" s="1593"/>
      <c r="M1462" s="1594">
        <v>0</v>
      </c>
      <c r="N1462" s="1595">
        <v>1.4988528572583553</v>
      </c>
      <c r="O1462" s="1595"/>
    </row>
    <row r="1463" spans="11:15">
      <c r="K1463" s="1592">
        <v>43520</v>
      </c>
      <c r="L1463" s="1593"/>
      <c r="M1463" s="1594">
        <v>0</v>
      </c>
      <c r="N1463" s="1595">
        <v>1.4988528572583553</v>
      </c>
      <c r="O1463" s="1595"/>
    </row>
    <row r="1464" spans="11:15">
      <c r="K1464" s="1592">
        <v>43521</v>
      </c>
      <c r="L1464" s="1593" t="s">
        <v>2301</v>
      </c>
      <c r="M1464" s="1594">
        <v>2.462E-2</v>
      </c>
      <c r="N1464" s="1595">
        <v>1.4992218748318125</v>
      </c>
      <c r="O1464" s="1595"/>
    </row>
    <row r="1465" spans="11:15">
      <c r="K1465" s="1592">
        <v>43522</v>
      </c>
      <c r="L1465" s="1593" t="s">
        <v>2301</v>
      </c>
      <c r="M1465" s="1594">
        <v>2.462E-2</v>
      </c>
      <c r="N1465" s="1595">
        <v>1.4995909832573961</v>
      </c>
      <c r="O1465" s="1595"/>
    </row>
    <row r="1466" spans="11:15">
      <c r="K1466" s="1592">
        <v>43523</v>
      </c>
      <c r="L1466" s="1593" t="s">
        <v>2301</v>
      </c>
      <c r="M1466" s="1594">
        <v>2.462E-2</v>
      </c>
      <c r="N1466" s="1595">
        <v>1.4999601825574742</v>
      </c>
      <c r="O1466" s="1595"/>
    </row>
    <row r="1467" spans="11:15">
      <c r="K1467" s="1592">
        <v>43524</v>
      </c>
      <c r="L1467" s="1593" t="s">
        <v>2301</v>
      </c>
      <c r="M1467" s="1594">
        <v>2.462E-2</v>
      </c>
      <c r="N1467" s="1595">
        <v>1.5003294727544201</v>
      </c>
      <c r="O1467" s="1595"/>
    </row>
    <row r="1468" spans="11:15">
      <c r="K1468" s="1592">
        <v>43525</v>
      </c>
      <c r="L1468" s="1593" t="s">
        <v>2301</v>
      </c>
      <c r="M1468" s="1594">
        <v>2.462E-2</v>
      </c>
      <c r="N1468" s="1595">
        <v>1.5006988538706123</v>
      </c>
      <c r="O1468" s="1595"/>
    </row>
    <row r="1469" spans="11:15">
      <c r="K1469" s="1592">
        <v>43526</v>
      </c>
      <c r="L1469" s="1593"/>
      <c r="M1469" s="1594">
        <v>0</v>
      </c>
      <c r="N1469" s="1595">
        <v>1.5006988538706123</v>
      </c>
      <c r="O1469" s="1595"/>
    </row>
    <row r="1470" spans="11:15">
      <c r="K1470" s="1592">
        <v>43527</v>
      </c>
      <c r="L1470" s="1593"/>
      <c r="M1470" s="1594">
        <v>0</v>
      </c>
      <c r="N1470" s="1595">
        <v>1.5006988538706123</v>
      </c>
      <c r="O1470" s="1595"/>
    </row>
    <row r="1471" spans="11:15">
      <c r="K1471" s="1592">
        <v>43528</v>
      </c>
      <c r="L1471" s="1593"/>
      <c r="M1471" s="1594">
        <v>0</v>
      </c>
      <c r="N1471" s="1595">
        <v>1.5006988538706123</v>
      </c>
      <c r="O1471" s="1595"/>
    </row>
    <row r="1472" spans="11:15">
      <c r="K1472" s="1592">
        <v>43529</v>
      </c>
      <c r="L1472" s="1593"/>
      <c r="M1472" s="1594">
        <v>0</v>
      </c>
      <c r="N1472" s="1595">
        <v>1.5006988538706123</v>
      </c>
      <c r="O1472" s="1595"/>
    </row>
    <row r="1473" spans="11:15">
      <c r="K1473" s="1592">
        <v>43530</v>
      </c>
      <c r="L1473" s="1593" t="s">
        <v>2301</v>
      </c>
      <c r="M1473" s="1594">
        <v>2.462E-2</v>
      </c>
      <c r="N1473" s="1595">
        <v>1.5010683259284354</v>
      </c>
      <c r="O1473" s="1595"/>
    </row>
    <row r="1474" spans="11:15">
      <c r="K1474" s="1592">
        <v>43531</v>
      </c>
      <c r="L1474" s="1593" t="s">
        <v>2301</v>
      </c>
      <c r="M1474" s="1594">
        <v>2.462E-2</v>
      </c>
      <c r="N1474" s="1595">
        <v>1.5014378889502791</v>
      </c>
      <c r="O1474" s="1595"/>
    </row>
    <row r="1475" spans="11:15">
      <c r="K1475" s="1592">
        <v>43532</v>
      </c>
      <c r="L1475" s="1593" t="s">
        <v>2301</v>
      </c>
      <c r="M1475" s="1594">
        <v>2.462E-2</v>
      </c>
      <c r="N1475" s="1595">
        <v>1.5018075429585387</v>
      </c>
      <c r="O1475" s="1595"/>
    </row>
    <row r="1476" spans="11:15">
      <c r="K1476" s="1592">
        <v>43533</v>
      </c>
      <c r="L1476" s="1593"/>
      <c r="M1476" s="1594">
        <v>0</v>
      </c>
      <c r="N1476" s="1595">
        <v>1.5018075429585387</v>
      </c>
      <c r="O1476" s="1595"/>
    </row>
    <row r="1477" spans="11:15">
      <c r="K1477" s="1592">
        <v>43534</v>
      </c>
      <c r="L1477" s="1593"/>
      <c r="M1477" s="1594">
        <v>0</v>
      </c>
      <c r="N1477" s="1595">
        <v>1.5018075429585387</v>
      </c>
      <c r="O1477" s="1595"/>
    </row>
    <row r="1478" spans="11:15">
      <c r="K1478" s="1592">
        <v>43535</v>
      </c>
      <c r="L1478" s="1593" t="s">
        <v>2301</v>
      </c>
      <c r="M1478" s="1594">
        <v>2.462E-2</v>
      </c>
      <c r="N1478" s="1595">
        <v>1.5021772879756152</v>
      </c>
      <c r="O1478" s="1595"/>
    </row>
    <row r="1479" spans="11:15">
      <c r="K1479" s="1592">
        <v>43536</v>
      </c>
      <c r="L1479" s="1593" t="s">
        <v>2301</v>
      </c>
      <c r="M1479" s="1594">
        <v>2.462E-2</v>
      </c>
      <c r="N1479" s="1595">
        <v>1.502547124023915</v>
      </c>
      <c r="O1479" s="1595"/>
    </row>
    <row r="1480" spans="11:15">
      <c r="K1480" s="1592">
        <v>43537</v>
      </c>
      <c r="L1480" s="1593" t="s">
        <v>2301</v>
      </c>
      <c r="M1480" s="1594">
        <v>2.462E-2</v>
      </c>
      <c r="N1480" s="1595">
        <v>1.5029170511258498</v>
      </c>
      <c r="O1480" s="1595"/>
    </row>
    <row r="1481" spans="11:15">
      <c r="K1481" s="1592">
        <v>43538</v>
      </c>
      <c r="L1481" s="1593" t="s">
        <v>2301</v>
      </c>
      <c r="M1481" s="1594">
        <v>2.462E-2</v>
      </c>
      <c r="N1481" s="1595">
        <v>1.5032870693038372</v>
      </c>
      <c r="O1481" s="1595"/>
    </row>
    <row r="1482" spans="11:15">
      <c r="K1482" s="1592">
        <v>43539</v>
      </c>
      <c r="L1482" s="1593" t="s">
        <v>2301</v>
      </c>
      <c r="M1482" s="1594">
        <v>2.462E-2</v>
      </c>
      <c r="N1482" s="1595">
        <v>1.5036571785802999</v>
      </c>
      <c r="O1482" s="1595"/>
    </row>
    <row r="1483" spans="11:15">
      <c r="K1483" s="1592">
        <v>43540</v>
      </c>
      <c r="L1483" s="1593"/>
      <c r="M1483" s="1594">
        <v>0</v>
      </c>
      <c r="N1483" s="1595">
        <v>1.5036571785802999</v>
      </c>
      <c r="O1483" s="1595"/>
    </row>
    <row r="1484" spans="11:15">
      <c r="K1484" s="1592">
        <v>43541</v>
      </c>
      <c r="L1484" s="1593"/>
      <c r="M1484" s="1594">
        <v>0</v>
      </c>
      <c r="N1484" s="1595">
        <v>1.5036571785802999</v>
      </c>
      <c r="O1484" s="1595"/>
    </row>
    <row r="1485" spans="11:15">
      <c r="K1485" s="1592">
        <v>43542</v>
      </c>
      <c r="L1485" s="1593" t="s">
        <v>2301</v>
      </c>
      <c r="M1485" s="1594">
        <v>2.462E-2</v>
      </c>
      <c r="N1485" s="1595">
        <v>1.5040273789776666</v>
      </c>
      <c r="O1485" s="1595"/>
    </row>
    <row r="1486" spans="11:15">
      <c r="K1486" s="1592">
        <v>43543</v>
      </c>
      <c r="L1486" s="1593" t="s">
        <v>2301</v>
      </c>
      <c r="M1486" s="1594">
        <v>2.462E-2</v>
      </c>
      <c r="N1486" s="1595">
        <v>1.504397670518371</v>
      </c>
      <c r="O1486" s="1595"/>
    </row>
    <row r="1487" spans="11:15">
      <c r="K1487" s="1592">
        <v>43544</v>
      </c>
      <c r="L1487" s="1593" t="s">
        <v>2301</v>
      </c>
      <c r="M1487" s="1594">
        <v>2.462E-2</v>
      </c>
      <c r="N1487" s="1595">
        <v>1.5047680532248529</v>
      </c>
      <c r="O1487" s="1595"/>
    </row>
    <row r="1488" spans="11:15">
      <c r="K1488" s="1592">
        <v>43545</v>
      </c>
      <c r="L1488" s="1593" t="s">
        <v>2301</v>
      </c>
      <c r="M1488" s="1594">
        <v>2.462E-2</v>
      </c>
      <c r="N1488" s="1595">
        <v>1.505138527119557</v>
      </c>
      <c r="O1488" s="1595"/>
    </row>
    <row r="1489" spans="11:15">
      <c r="K1489" s="1592">
        <v>43546</v>
      </c>
      <c r="L1489" s="1593" t="s">
        <v>2301</v>
      </c>
      <c r="M1489" s="1594">
        <v>2.462E-2</v>
      </c>
      <c r="N1489" s="1595">
        <v>1.5055090922249339</v>
      </c>
      <c r="O1489" s="1595"/>
    </row>
    <row r="1490" spans="11:15">
      <c r="K1490" s="1592">
        <v>43547</v>
      </c>
      <c r="L1490" s="1593"/>
      <c r="M1490" s="1594">
        <v>0</v>
      </c>
      <c r="N1490" s="1595">
        <v>1.5055090922249339</v>
      </c>
      <c r="O1490" s="1595"/>
    </row>
    <row r="1491" spans="11:15">
      <c r="K1491" s="1592">
        <v>43548</v>
      </c>
      <c r="L1491" s="1593"/>
      <c r="M1491" s="1594">
        <v>0</v>
      </c>
      <c r="N1491" s="1595">
        <v>1.5055090922249339</v>
      </c>
      <c r="O1491" s="1595"/>
    </row>
    <row r="1492" spans="11:15">
      <c r="K1492" s="1592">
        <v>43549</v>
      </c>
      <c r="L1492" s="1593" t="s">
        <v>2301</v>
      </c>
      <c r="M1492" s="1594">
        <v>2.462E-2</v>
      </c>
      <c r="N1492" s="1595">
        <v>1.5058797485634399</v>
      </c>
      <c r="O1492" s="1595"/>
    </row>
    <row r="1493" spans="11:15">
      <c r="K1493" s="1592">
        <v>43550</v>
      </c>
      <c r="L1493" s="1593" t="s">
        <v>2301</v>
      </c>
      <c r="M1493" s="1594">
        <v>2.462E-2</v>
      </c>
      <c r="N1493" s="1595">
        <v>1.5062504961575363</v>
      </c>
      <c r="O1493" s="1595"/>
    </row>
    <row r="1494" spans="11:15">
      <c r="K1494" s="1592">
        <v>43551</v>
      </c>
      <c r="L1494" s="1593" t="s">
        <v>2301</v>
      </c>
      <c r="M1494" s="1594">
        <v>2.462E-2</v>
      </c>
      <c r="N1494" s="1595">
        <v>1.5066213350296904</v>
      </c>
      <c r="O1494" s="1595"/>
    </row>
    <row r="1495" spans="11:15">
      <c r="K1495" s="1592">
        <v>43552</v>
      </c>
      <c r="L1495" s="1593" t="s">
        <v>2301</v>
      </c>
      <c r="M1495" s="1594">
        <v>2.462E-2</v>
      </c>
      <c r="N1495" s="1595">
        <v>1.5069922652023748</v>
      </c>
      <c r="O1495" s="1595"/>
    </row>
    <row r="1496" spans="11:15">
      <c r="K1496" s="1592">
        <v>43553</v>
      </c>
      <c r="L1496" s="1593" t="s">
        <v>2301</v>
      </c>
      <c r="M1496" s="1594">
        <v>2.462E-2</v>
      </c>
      <c r="N1496" s="1595">
        <v>1.5073632866980677</v>
      </c>
      <c r="O1496" s="1595"/>
    </row>
    <row r="1497" spans="11:15">
      <c r="K1497" s="1592">
        <v>43554</v>
      </c>
      <c r="L1497" s="1593"/>
      <c r="M1497" s="1594">
        <v>0</v>
      </c>
      <c r="N1497" s="1595">
        <v>1.5073632866980677</v>
      </c>
      <c r="O1497" s="1595"/>
    </row>
    <row r="1498" spans="11:15">
      <c r="K1498" s="1592">
        <v>43555</v>
      </c>
      <c r="L1498" s="1593"/>
      <c r="M1498" s="1594">
        <v>0</v>
      </c>
      <c r="N1498" s="1595">
        <v>1.5073632866980677</v>
      </c>
      <c r="O1498" s="1595"/>
    </row>
    <row r="1499" spans="11:15">
      <c r="K1499" s="1592">
        <v>43556</v>
      </c>
      <c r="L1499" s="1593" t="s">
        <v>2301</v>
      </c>
      <c r="M1499" s="1594">
        <v>2.462E-2</v>
      </c>
      <c r="N1499" s="1595">
        <v>1.5077343995392529</v>
      </c>
      <c r="O1499" s="1595"/>
    </row>
    <row r="1500" spans="11:15">
      <c r="K1500" s="1592">
        <v>43557</v>
      </c>
      <c r="L1500" s="1593" t="s">
        <v>2301</v>
      </c>
      <c r="M1500" s="1594">
        <v>2.462E-2</v>
      </c>
      <c r="N1500" s="1595">
        <v>1.5081056037484195</v>
      </c>
      <c r="O1500" s="1595"/>
    </row>
    <row r="1501" spans="11:15">
      <c r="K1501" s="1592">
        <v>43558</v>
      </c>
      <c r="L1501" s="1593" t="s">
        <v>2301</v>
      </c>
      <c r="M1501" s="1594">
        <v>2.462E-2</v>
      </c>
      <c r="N1501" s="1595">
        <v>1.5084768993480624</v>
      </c>
      <c r="O1501" s="1595"/>
    </row>
    <row r="1502" spans="11:15">
      <c r="K1502" s="1592">
        <v>43559</v>
      </c>
      <c r="L1502" s="1593" t="s">
        <v>2301</v>
      </c>
      <c r="M1502" s="1594">
        <v>2.462E-2</v>
      </c>
      <c r="N1502" s="1595">
        <v>1.508848286360682</v>
      </c>
      <c r="O1502" s="1595"/>
    </row>
    <row r="1503" spans="11:15">
      <c r="K1503" s="1592">
        <v>43560</v>
      </c>
      <c r="L1503" s="1593" t="s">
        <v>2301</v>
      </c>
      <c r="M1503" s="1594">
        <v>2.462E-2</v>
      </c>
      <c r="N1503" s="1595">
        <v>1.5092197648087842</v>
      </c>
      <c r="O1503" s="1595"/>
    </row>
    <row r="1504" spans="11:15">
      <c r="K1504" s="1592">
        <v>43561</v>
      </c>
      <c r="L1504" s="1593"/>
      <c r="M1504" s="1594">
        <v>0</v>
      </c>
      <c r="N1504" s="1595">
        <v>1.5092197648087842</v>
      </c>
      <c r="O1504" s="1595"/>
    </row>
    <row r="1505" spans="11:15">
      <c r="K1505" s="1592">
        <v>43562</v>
      </c>
      <c r="L1505" s="1593"/>
      <c r="M1505" s="1594">
        <v>0</v>
      </c>
      <c r="N1505" s="1595">
        <v>1.5092197648087842</v>
      </c>
      <c r="O1505" s="1595"/>
    </row>
    <row r="1506" spans="11:15">
      <c r="K1506" s="1592">
        <v>43563</v>
      </c>
      <c r="L1506" s="1593" t="s">
        <v>2301</v>
      </c>
      <c r="M1506" s="1594">
        <v>2.462E-2</v>
      </c>
      <c r="N1506" s="1595">
        <v>1.5095913347148802</v>
      </c>
      <c r="O1506" s="1595"/>
    </row>
    <row r="1507" spans="11:15">
      <c r="K1507" s="1592">
        <v>43564</v>
      </c>
      <c r="L1507" s="1593" t="s">
        <v>2301</v>
      </c>
      <c r="M1507" s="1594">
        <v>2.462E-2</v>
      </c>
      <c r="N1507" s="1595">
        <v>1.5099629961014871</v>
      </c>
      <c r="O1507" s="1595"/>
    </row>
    <row r="1508" spans="11:15">
      <c r="K1508" s="1592">
        <v>43565</v>
      </c>
      <c r="L1508" s="1593" t="s">
        <v>2301</v>
      </c>
      <c r="M1508" s="1594">
        <v>2.462E-2</v>
      </c>
      <c r="N1508" s="1595">
        <v>1.5103347489911274</v>
      </c>
      <c r="O1508" s="1595"/>
    </row>
    <row r="1509" spans="11:15">
      <c r="K1509" s="1592">
        <v>43566</v>
      </c>
      <c r="L1509" s="1593" t="s">
        <v>2301</v>
      </c>
      <c r="M1509" s="1594">
        <v>2.462E-2</v>
      </c>
      <c r="N1509" s="1595">
        <v>1.5107065934063291</v>
      </c>
      <c r="O1509" s="1595"/>
    </row>
    <row r="1510" spans="11:15">
      <c r="K1510" s="1592">
        <v>43567</v>
      </c>
      <c r="L1510" s="1593" t="s">
        <v>2301</v>
      </c>
      <c r="M1510" s="1594">
        <v>2.462E-2</v>
      </c>
      <c r="N1510" s="1595">
        <v>1.5110785293696258</v>
      </c>
      <c r="O1510" s="1595"/>
    </row>
    <row r="1511" spans="11:15">
      <c r="K1511" s="1592">
        <v>43568</v>
      </c>
      <c r="L1511" s="1593"/>
      <c r="M1511" s="1594">
        <v>0</v>
      </c>
      <c r="N1511" s="1595">
        <v>1.5110785293696258</v>
      </c>
      <c r="O1511" s="1595"/>
    </row>
    <row r="1512" spans="11:15">
      <c r="K1512" s="1592">
        <v>43569</v>
      </c>
      <c r="L1512" s="1593"/>
      <c r="M1512" s="1594">
        <v>0</v>
      </c>
      <c r="N1512" s="1595">
        <v>1.5110785293696258</v>
      </c>
      <c r="O1512" s="1595"/>
    </row>
    <row r="1513" spans="11:15">
      <c r="K1513" s="1592">
        <v>43570</v>
      </c>
      <c r="L1513" s="1593" t="s">
        <v>2301</v>
      </c>
      <c r="M1513" s="1594">
        <v>2.462E-2</v>
      </c>
      <c r="N1513" s="1595">
        <v>1.5114505569035568</v>
      </c>
      <c r="O1513" s="1595"/>
    </row>
    <row r="1514" spans="11:15">
      <c r="K1514" s="1592">
        <v>43571</v>
      </c>
      <c r="L1514" s="1593" t="s">
        <v>2301</v>
      </c>
      <c r="M1514" s="1594">
        <v>2.462E-2</v>
      </c>
      <c r="N1514" s="1595">
        <v>1.5118226760306666</v>
      </c>
      <c r="O1514" s="1595"/>
    </row>
    <row r="1515" spans="11:15">
      <c r="K1515" s="1592">
        <v>43572</v>
      </c>
      <c r="L1515" s="1593" t="s">
        <v>2301</v>
      </c>
      <c r="M1515" s="1594">
        <v>2.462E-2</v>
      </c>
      <c r="N1515" s="1595">
        <v>1.5121948867735053</v>
      </c>
      <c r="O1515" s="1595"/>
    </row>
    <row r="1516" spans="11:15">
      <c r="K1516" s="1592">
        <v>43573</v>
      </c>
      <c r="L1516" s="1593" t="s">
        <v>2301</v>
      </c>
      <c r="M1516" s="1594">
        <v>2.462E-2</v>
      </c>
      <c r="N1516" s="1595">
        <v>1.5125671891546291</v>
      </c>
      <c r="O1516" s="1595"/>
    </row>
    <row r="1517" spans="11:15">
      <c r="K1517" s="1592">
        <v>43574</v>
      </c>
      <c r="L1517" s="1593"/>
      <c r="M1517" s="1594">
        <v>0</v>
      </c>
      <c r="N1517" s="1595">
        <v>1.5125671891546291</v>
      </c>
      <c r="O1517" s="1595"/>
    </row>
    <row r="1518" spans="11:15">
      <c r="K1518" s="1592">
        <v>43575</v>
      </c>
      <c r="L1518" s="1593"/>
      <c r="M1518" s="1594">
        <v>0</v>
      </c>
      <c r="N1518" s="1595">
        <v>1.5125671891546291</v>
      </c>
      <c r="O1518" s="1595"/>
    </row>
    <row r="1519" spans="11:15">
      <c r="K1519" s="1592">
        <v>43576</v>
      </c>
      <c r="L1519" s="1593"/>
      <c r="M1519" s="1594">
        <v>0</v>
      </c>
      <c r="N1519" s="1595">
        <v>1.5125671891546291</v>
      </c>
      <c r="O1519" s="1595"/>
    </row>
    <row r="1520" spans="11:15">
      <c r="K1520" s="1592">
        <v>43577</v>
      </c>
      <c r="L1520" s="1593" t="s">
        <v>2301</v>
      </c>
      <c r="M1520" s="1594">
        <v>2.462E-2</v>
      </c>
      <c r="N1520" s="1595">
        <v>1.512939583196599</v>
      </c>
      <c r="O1520" s="1595"/>
    </row>
    <row r="1521" spans="11:15">
      <c r="K1521" s="1592">
        <v>43578</v>
      </c>
      <c r="L1521" s="1593" t="s">
        <v>2301</v>
      </c>
      <c r="M1521" s="1594">
        <v>2.462E-2</v>
      </c>
      <c r="N1521" s="1595">
        <v>1.5133120689219821</v>
      </c>
      <c r="O1521" s="1595"/>
    </row>
    <row r="1522" spans="11:15">
      <c r="K1522" s="1592">
        <v>43579</v>
      </c>
      <c r="L1522" s="1593" t="s">
        <v>2301</v>
      </c>
      <c r="M1522" s="1594">
        <v>2.462E-2</v>
      </c>
      <c r="N1522" s="1595">
        <v>1.5136846463533509</v>
      </c>
      <c r="O1522" s="1595"/>
    </row>
    <row r="1523" spans="11:15">
      <c r="K1523" s="1592">
        <v>43580</v>
      </c>
      <c r="L1523" s="1593" t="s">
        <v>2301</v>
      </c>
      <c r="M1523" s="1594">
        <v>2.462E-2</v>
      </c>
      <c r="N1523" s="1595">
        <v>1.5140573155132833</v>
      </c>
      <c r="O1523" s="1595"/>
    </row>
    <row r="1524" spans="11:15">
      <c r="K1524" s="1592">
        <v>43581</v>
      </c>
      <c r="L1524" s="1593" t="s">
        <v>2301</v>
      </c>
      <c r="M1524" s="1594">
        <v>2.462E-2</v>
      </c>
      <c r="N1524" s="1595">
        <v>1.5144300764243628</v>
      </c>
      <c r="O1524" s="1595"/>
    </row>
    <row r="1525" spans="11:15">
      <c r="K1525" s="1592">
        <v>43582</v>
      </c>
      <c r="L1525" s="1593"/>
      <c r="M1525" s="1594">
        <v>0</v>
      </c>
      <c r="N1525" s="1595">
        <v>1.5144300764243628</v>
      </c>
      <c r="O1525" s="1595"/>
    </row>
    <row r="1526" spans="11:15">
      <c r="K1526" s="1592">
        <v>43583</v>
      </c>
      <c r="L1526" s="1593"/>
      <c r="M1526" s="1594">
        <v>0</v>
      </c>
      <c r="N1526" s="1595">
        <v>1.5144300764243628</v>
      </c>
      <c r="O1526" s="1595"/>
    </row>
    <row r="1527" spans="11:15">
      <c r="K1527" s="1592">
        <v>43584</v>
      </c>
      <c r="L1527" s="1593" t="s">
        <v>2301</v>
      </c>
      <c r="M1527" s="1594">
        <v>2.462E-2</v>
      </c>
      <c r="N1527" s="1595">
        <v>1.5148029291091787</v>
      </c>
      <c r="O1527" s="1595"/>
    </row>
    <row r="1528" spans="11:15">
      <c r="K1528" s="1592">
        <v>43585</v>
      </c>
      <c r="L1528" s="1593" t="s">
        <v>2301</v>
      </c>
      <c r="M1528" s="1594">
        <v>2.462E-2</v>
      </c>
      <c r="N1528" s="1595">
        <v>1.5151758735903256</v>
      </c>
      <c r="O1528" s="1595"/>
    </row>
    <row r="1529" spans="11:15">
      <c r="K1529" s="1592">
        <v>43586</v>
      </c>
      <c r="L1529" s="1593"/>
      <c r="M1529" s="1594">
        <v>0</v>
      </c>
      <c r="N1529" s="1595">
        <v>1.5151758735903256</v>
      </c>
      <c r="O1529" s="1595"/>
    </row>
    <row r="1530" spans="11:15">
      <c r="K1530" s="1592">
        <v>43587</v>
      </c>
      <c r="L1530" s="1593" t="s">
        <v>2301</v>
      </c>
      <c r="M1530" s="1594">
        <v>2.462E-2</v>
      </c>
      <c r="N1530" s="1595">
        <v>1.5155489098904036</v>
      </c>
      <c r="O1530" s="1595"/>
    </row>
    <row r="1531" spans="11:15">
      <c r="K1531" s="1592">
        <v>43588</v>
      </c>
      <c r="L1531" s="1593" t="s">
        <v>2301</v>
      </c>
      <c r="M1531" s="1594">
        <v>2.462E-2</v>
      </c>
      <c r="N1531" s="1595">
        <v>1.5159220380320186</v>
      </c>
      <c r="O1531" s="1595"/>
    </row>
    <row r="1532" spans="11:15">
      <c r="K1532" s="1592">
        <v>43589</v>
      </c>
      <c r="L1532" s="1593"/>
      <c r="M1532" s="1594">
        <v>0</v>
      </c>
      <c r="N1532" s="1595">
        <v>1.5159220380320186</v>
      </c>
      <c r="O1532" s="1595"/>
    </row>
    <row r="1533" spans="11:15">
      <c r="K1533" s="1592">
        <v>43590</v>
      </c>
      <c r="L1533" s="1593"/>
      <c r="M1533" s="1594">
        <v>0</v>
      </c>
      <c r="N1533" s="1595">
        <v>1.5159220380320186</v>
      </c>
      <c r="O1533" s="1595"/>
    </row>
    <row r="1534" spans="11:15">
      <c r="K1534" s="1592">
        <v>43591</v>
      </c>
      <c r="L1534" s="1593" t="s">
        <v>2301</v>
      </c>
      <c r="M1534" s="1594">
        <v>2.462E-2</v>
      </c>
      <c r="N1534" s="1595">
        <v>1.5162952580377822</v>
      </c>
      <c r="O1534" s="1595"/>
    </row>
    <row r="1535" spans="11:15">
      <c r="K1535" s="1592">
        <v>43592</v>
      </c>
      <c r="L1535" s="1593" t="s">
        <v>2301</v>
      </c>
      <c r="M1535" s="1594">
        <v>2.462E-2</v>
      </c>
      <c r="N1535" s="1595">
        <v>1.5166685699303113</v>
      </c>
      <c r="O1535" s="1595"/>
    </row>
    <row r="1536" spans="11:15">
      <c r="K1536" s="1592">
        <v>43593</v>
      </c>
      <c r="L1536" s="1593" t="s">
        <v>2301</v>
      </c>
      <c r="M1536" s="1594">
        <v>2.462E-2</v>
      </c>
      <c r="N1536" s="1595">
        <v>1.5170419737322283</v>
      </c>
      <c r="O1536" s="1595"/>
    </row>
    <row r="1537" spans="11:15">
      <c r="K1537" s="1592">
        <v>43594</v>
      </c>
      <c r="L1537" s="1593" t="s">
        <v>2301</v>
      </c>
      <c r="M1537" s="1594">
        <v>2.462E-2</v>
      </c>
      <c r="N1537" s="1595">
        <v>1.5174154694661612</v>
      </c>
      <c r="O1537" s="1595"/>
    </row>
    <row r="1538" spans="11:15">
      <c r="K1538" s="1592">
        <v>43595</v>
      </c>
      <c r="L1538" s="1593" t="s">
        <v>2301</v>
      </c>
      <c r="M1538" s="1594">
        <v>2.462E-2</v>
      </c>
      <c r="N1538" s="1595">
        <v>1.5177890571547439</v>
      </c>
      <c r="O1538" s="1595"/>
    </row>
    <row r="1539" spans="11:15">
      <c r="K1539" s="1592">
        <v>43596</v>
      </c>
      <c r="L1539" s="1593"/>
      <c r="M1539" s="1594">
        <v>0</v>
      </c>
      <c r="N1539" s="1595">
        <v>1.5177890571547439</v>
      </c>
      <c r="O1539" s="1595"/>
    </row>
    <row r="1540" spans="11:15">
      <c r="K1540" s="1592">
        <v>43597</v>
      </c>
      <c r="L1540" s="1593"/>
      <c r="M1540" s="1594">
        <v>0</v>
      </c>
      <c r="N1540" s="1595">
        <v>1.5177890571547439</v>
      </c>
      <c r="O1540" s="1595"/>
    </row>
    <row r="1541" spans="11:15">
      <c r="K1541" s="1592">
        <v>43598</v>
      </c>
      <c r="L1541" s="1593" t="s">
        <v>2301</v>
      </c>
      <c r="M1541" s="1594">
        <v>2.462E-2</v>
      </c>
      <c r="N1541" s="1595">
        <v>1.5181627368206154</v>
      </c>
      <c r="O1541" s="1595"/>
    </row>
    <row r="1542" spans="11:15">
      <c r="K1542" s="1592">
        <v>43599</v>
      </c>
      <c r="L1542" s="1593" t="s">
        <v>2301</v>
      </c>
      <c r="M1542" s="1594">
        <v>2.462E-2</v>
      </c>
      <c r="N1542" s="1595">
        <v>1.5185365084864209</v>
      </c>
      <c r="O1542" s="1595"/>
    </row>
    <row r="1543" spans="11:15">
      <c r="K1543" s="1592">
        <v>43600</v>
      </c>
      <c r="L1543" s="1593" t="s">
        <v>2301</v>
      </c>
      <c r="M1543" s="1594">
        <v>2.462E-2</v>
      </c>
      <c r="N1543" s="1595">
        <v>1.5189103721748103</v>
      </c>
      <c r="O1543" s="1595"/>
    </row>
    <row r="1544" spans="11:15">
      <c r="K1544" s="1592">
        <v>43601</v>
      </c>
      <c r="L1544" s="1593" t="s">
        <v>2301</v>
      </c>
      <c r="M1544" s="1594">
        <v>2.462E-2</v>
      </c>
      <c r="N1544" s="1595">
        <v>1.5192843279084398</v>
      </c>
      <c r="O1544" s="1595"/>
    </row>
    <row r="1545" spans="11:15">
      <c r="K1545" s="1592">
        <v>43602</v>
      </c>
      <c r="L1545" s="1593" t="s">
        <v>2301</v>
      </c>
      <c r="M1545" s="1594">
        <v>2.462E-2</v>
      </c>
      <c r="N1545" s="1595">
        <v>1.5196583757099711</v>
      </c>
      <c r="O1545" s="1595"/>
    </row>
    <row r="1546" spans="11:15">
      <c r="K1546" s="1592">
        <v>43603</v>
      </c>
      <c r="L1546" s="1593"/>
      <c r="M1546" s="1594">
        <v>0</v>
      </c>
      <c r="N1546" s="1595">
        <v>1.5196583757099711</v>
      </c>
      <c r="O1546" s="1595"/>
    </row>
    <row r="1547" spans="11:15">
      <c r="K1547" s="1592">
        <v>43604</v>
      </c>
      <c r="L1547" s="1593"/>
      <c r="M1547" s="1594">
        <v>0</v>
      </c>
      <c r="N1547" s="1595">
        <v>1.5196583757099711</v>
      </c>
      <c r="O1547" s="1595"/>
    </row>
    <row r="1548" spans="11:15">
      <c r="K1548" s="1592">
        <v>43605</v>
      </c>
      <c r="L1548" s="1593" t="s">
        <v>2301</v>
      </c>
      <c r="M1548" s="1594">
        <v>2.462E-2</v>
      </c>
      <c r="N1548" s="1595">
        <v>1.5200325156020711</v>
      </c>
      <c r="O1548" s="1595"/>
    </row>
    <row r="1549" spans="11:15">
      <c r="K1549" s="1592">
        <v>43606</v>
      </c>
      <c r="L1549" s="1593" t="s">
        <v>2301</v>
      </c>
      <c r="M1549" s="1594">
        <v>2.462E-2</v>
      </c>
      <c r="N1549" s="1595">
        <v>1.5204067476074123</v>
      </c>
      <c r="O1549" s="1595"/>
    </row>
    <row r="1550" spans="11:15">
      <c r="K1550" s="1592">
        <v>43607</v>
      </c>
      <c r="L1550" s="1593" t="s">
        <v>2301</v>
      </c>
      <c r="M1550" s="1594">
        <v>2.462E-2</v>
      </c>
      <c r="N1550" s="1595">
        <v>1.5207810717486734</v>
      </c>
      <c r="O1550" s="1595"/>
    </row>
    <row r="1551" spans="11:15">
      <c r="K1551" s="1592">
        <v>43608</v>
      </c>
      <c r="L1551" s="1593" t="s">
        <v>2301</v>
      </c>
      <c r="M1551" s="1594">
        <v>2.462E-2</v>
      </c>
      <c r="N1551" s="1595">
        <v>1.5211554880485381</v>
      </c>
      <c r="O1551" s="1595"/>
    </row>
    <row r="1552" spans="11:15">
      <c r="K1552" s="1592">
        <v>43609</v>
      </c>
      <c r="L1552" s="1593" t="s">
        <v>2301</v>
      </c>
      <c r="M1552" s="1594">
        <v>2.462E-2</v>
      </c>
      <c r="N1552" s="1595">
        <v>1.5215299965296958</v>
      </c>
      <c r="O1552" s="1595"/>
    </row>
    <row r="1553" spans="11:15">
      <c r="K1553" s="1592">
        <v>43610</v>
      </c>
      <c r="L1553" s="1593"/>
      <c r="M1553" s="1594">
        <v>0</v>
      </c>
      <c r="N1553" s="1595">
        <v>1.5215299965296958</v>
      </c>
      <c r="O1553" s="1595"/>
    </row>
    <row r="1554" spans="11:15">
      <c r="K1554" s="1592">
        <v>43611</v>
      </c>
      <c r="L1554" s="1593"/>
      <c r="M1554" s="1594">
        <v>0</v>
      </c>
      <c r="N1554" s="1595">
        <v>1.5215299965296958</v>
      </c>
      <c r="O1554" s="1595"/>
    </row>
    <row r="1555" spans="11:15">
      <c r="K1555" s="1592">
        <v>43612</v>
      </c>
      <c r="L1555" s="1593" t="s">
        <v>2301</v>
      </c>
      <c r="M1555" s="1594">
        <v>2.462E-2</v>
      </c>
      <c r="N1555" s="1595">
        <v>1.5219045972148415</v>
      </c>
      <c r="O1555" s="1595"/>
    </row>
    <row r="1556" spans="11:15">
      <c r="K1556" s="1592">
        <v>43613</v>
      </c>
      <c r="L1556" s="1593" t="s">
        <v>2301</v>
      </c>
      <c r="M1556" s="1594">
        <v>2.462E-2</v>
      </c>
      <c r="N1556" s="1595">
        <v>1.522279290126676</v>
      </c>
      <c r="O1556" s="1595"/>
    </row>
    <row r="1557" spans="11:15">
      <c r="K1557" s="1592">
        <v>43614</v>
      </c>
      <c r="L1557" s="1593" t="s">
        <v>2301</v>
      </c>
      <c r="M1557" s="1594">
        <v>2.462E-2</v>
      </c>
      <c r="N1557" s="1595">
        <v>1.5226540752879052</v>
      </c>
      <c r="O1557" s="1595"/>
    </row>
    <row r="1558" spans="11:15">
      <c r="K1558" s="1592">
        <v>43615</v>
      </c>
      <c r="L1558" s="1593" t="s">
        <v>2301</v>
      </c>
      <c r="M1558" s="1594">
        <v>2.462E-2</v>
      </c>
      <c r="N1558" s="1595">
        <v>1.5230289527212413</v>
      </c>
      <c r="O1558" s="1595"/>
    </row>
    <row r="1559" spans="11:15">
      <c r="K1559" s="1592">
        <v>43616</v>
      </c>
      <c r="L1559" s="1593" t="s">
        <v>2301</v>
      </c>
      <c r="M1559" s="1594">
        <v>2.462E-2</v>
      </c>
      <c r="N1559" s="1595">
        <v>1.5234039224494014</v>
      </c>
      <c r="O1559" s="1595"/>
    </row>
    <row r="1560" spans="11:15">
      <c r="K1560" s="1592">
        <v>43617</v>
      </c>
      <c r="L1560" s="1593"/>
      <c r="M1560" s="1594">
        <v>0</v>
      </c>
      <c r="N1560" s="1595">
        <v>1.5234039224494014</v>
      </c>
      <c r="O1560" s="1595"/>
    </row>
    <row r="1561" spans="11:15">
      <c r="K1561" s="1592">
        <v>43618</v>
      </c>
      <c r="L1561" s="1593"/>
      <c r="M1561" s="1594">
        <v>0</v>
      </c>
      <c r="N1561" s="1595">
        <v>1.5234039224494014</v>
      </c>
      <c r="O1561" s="1595"/>
    </row>
    <row r="1562" spans="11:15">
      <c r="K1562" s="1592">
        <v>43619</v>
      </c>
      <c r="L1562" s="1593" t="s">
        <v>2301</v>
      </c>
      <c r="M1562" s="1594">
        <v>2.462E-2</v>
      </c>
      <c r="N1562" s="1595">
        <v>1.5237789844951086</v>
      </c>
      <c r="O1562" s="1595"/>
    </row>
    <row r="1563" spans="11:15">
      <c r="K1563" s="1592">
        <v>43620</v>
      </c>
      <c r="L1563" s="1593" t="s">
        <v>2301</v>
      </c>
      <c r="M1563" s="1594">
        <v>2.462E-2</v>
      </c>
      <c r="N1563" s="1595">
        <v>1.5241541388810915</v>
      </c>
      <c r="O1563" s="1595"/>
    </row>
    <row r="1564" spans="11:15">
      <c r="K1564" s="1592">
        <v>43621</v>
      </c>
      <c r="L1564" s="1593" t="s">
        <v>2301</v>
      </c>
      <c r="M1564" s="1594">
        <v>2.462E-2</v>
      </c>
      <c r="N1564" s="1595">
        <v>1.5245293856300841</v>
      </c>
      <c r="O1564" s="1595"/>
    </row>
    <row r="1565" spans="11:15">
      <c r="K1565" s="1592">
        <v>43622</v>
      </c>
      <c r="L1565" s="1593" t="s">
        <v>2301</v>
      </c>
      <c r="M1565" s="1594">
        <v>2.462E-2</v>
      </c>
      <c r="N1565" s="1595">
        <v>1.5249047247648264</v>
      </c>
      <c r="O1565" s="1595"/>
    </row>
    <row r="1566" spans="11:15">
      <c r="K1566" s="1592">
        <v>43623</v>
      </c>
      <c r="L1566" s="1593" t="s">
        <v>2301</v>
      </c>
      <c r="M1566" s="1594">
        <v>2.462E-2</v>
      </c>
      <c r="N1566" s="1595">
        <v>1.5252801563080636</v>
      </c>
      <c r="O1566" s="1595"/>
    </row>
    <row r="1567" spans="11:15">
      <c r="K1567" s="1592">
        <v>43624</v>
      </c>
      <c r="L1567" s="1593"/>
      <c r="M1567" s="1594">
        <v>0</v>
      </c>
      <c r="N1567" s="1595">
        <v>1.5252801563080636</v>
      </c>
      <c r="O1567" s="1595"/>
    </row>
    <row r="1568" spans="11:15">
      <c r="K1568" s="1592">
        <v>43625</v>
      </c>
      <c r="L1568" s="1593"/>
      <c r="M1568" s="1594">
        <v>0</v>
      </c>
      <c r="N1568" s="1595">
        <v>1.5252801563080636</v>
      </c>
      <c r="O1568" s="1595"/>
    </row>
    <row r="1569" spans="11:15">
      <c r="K1569" s="1592">
        <v>43626</v>
      </c>
      <c r="L1569" s="1593" t="s">
        <v>2301</v>
      </c>
      <c r="M1569" s="1594">
        <v>2.462E-2</v>
      </c>
      <c r="N1569" s="1595">
        <v>1.5256556802825467</v>
      </c>
      <c r="O1569" s="1595"/>
    </row>
    <row r="1570" spans="11:15">
      <c r="K1570" s="1592">
        <v>43627</v>
      </c>
      <c r="L1570" s="1593" t="s">
        <v>2301</v>
      </c>
      <c r="M1570" s="1594">
        <v>2.462E-2</v>
      </c>
      <c r="N1570" s="1595">
        <v>1.5260312967110323</v>
      </c>
      <c r="O1570" s="1595"/>
    </row>
    <row r="1571" spans="11:15">
      <c r="K1571" s="1592">
        <v>43628</v>
      </c>
      <c r="L1571" s="1593" t="s">
        <v>2301</v>
      </c>
      <c r="M1571" s="1594">
        <v>2.462E-2</v>
      </c>
      <c r="N1571" s="1595">
        <v>1.5264070056162826</v>
      </c>
      <c r="O1571" s="1595"/>
    </row>
    <row r="1572" spans="11:15">
      <c r="K1572" s="1592">
        <v>43629</v>
      </c>
      <c r="L1572" s="1593" t="s">
        <v>2301</v>
      </c>
      <c r="M1572" s="1594">
        <v>2.462E-2</v>
      </c>
      <c r="N1572" s="1595">
        <v>1.5267828070210654</v>
      </c>
      <c r="O1572" s="1595"/>
    </row>
    <row r="1573" spans="11:15">
      <c r="K1573" s="1592">
        <v>43630</v>
      </c>
      <c r="L1573" s="1593" t="s">
        <v>2301</v>
      </c>
      <c r="M1573" s="1594">
        <v>2.462E-2</v>
      </c>
      <c r="N1573" s="1595">
        <v>1.5271587009481542</v>
      </c>
      <c r="O1573" s="1595"/>
    </row>
    <row r="1574" spans="11:15">
      <c r="K1574" s="1592">
        <v>43631</v>
      </c>
      <c r="L1574" s="1593"/>
      <c r="M1574" s="1594">
        <v>0</v>
      </c>
      <c r="N1574" s="1595">
        <v>1.5271587009481542</v>
      </c>
      <c r="O1574" s="1595"/>
    </row>
    <row r="1575" spans="11:15">
      <c r="K1575" s="1592">
        <v>43632</v>
      </c>
      <c r="L1575" s="1593"/>
      <c r="M1575" s="1594">
        <v>0</v>
      </c>
      <c r="N1575" s="1595">
        <v>1.5271587009481542</v>
      </c>
      <c r="O1575" s="1595"/>
    </row>
    <row r="1576" spans="11:15">
      <c r="K1576" s="1592">
        <v>43633</v>
      </c>
      <c r="L1576" s="1593" t="s">
        <v>2301</v>
      </c>
      <c r="M1576" s="1594">
        <v>2.462E-2</v>
      </c>
      <c r="N1576" s="1595">
        <v>1.5275346874203277</v>
      </c>
      <c r="O1576" s="1595"/>
    </row>
    <row r="1577" spans="11:15">
      <c r="K1577" s="1592">
        <v>43634</v>
      </c>
      <c r="L1577" s="1593" t="s">
        <v>2301</v>
      </c>
      <c r="M1577" s="1594">
        <v>2.462E-2</v>
      </c>
      <c r="N1577" s="1595">
        <v>1.5279107664603708</v>
      </c>
      <c r="O1577" s="1595"/>
    </row>
    <row r="1578" spans="11:15">
      <c r="K1578" s="1592">
        <v>43635</v>
      </c>
      <c r="L1578" s="1593" t="s">
        <v>2301</v>
      </c>
      <c r="M1578" s="1594">
        <v>2.462E-2</v>
      </c>
      <c r="N1578" s="1595">
        <v>1.5282869380910735</v>
      </c>
      <c r="O1578" s="1595"/>
    </row>
    <row r="1579" spans="11:15">
      <c r="K1579" s="1592">
        <v>43636</v>
      </c>
      <c r="L1579" s="1593"/>
      <c r="M1579" s="1594">
        <v>0</v>
      </c>
      <c r="N1579" s="1595">
        <v>1.5282869380910735</v>
      </c>
      <c r="O1579" s="1595"/>
    </row>
    <row r="1580" spans="11:15">
      <c r="K1580" s="1592">
        <v>43637</v>
      </c>
      <c r="L1580" s="1593" t="s">
        <v>2301</v>
      </c>
      <c r="M1580" s="1594">
        <v>2.462E-2</v>
      </c>
      <c r="N1580" s="1595">
        <v>1.5286632023352316</v>
      </c>
      <c r="O1580" s="1595"/>
    </row>
    <row r="1581" spans="11:15">
      <c r="K1581" s="1592">
        <v>43638</v>
      </c>
      <c r="L1581" s="1593"/>
      <c r="M1581" s="1594">
        <v>0</v>
      </c>
      <c r="N1581" s="1595">
        <v>1.5286632023352316</v>
      </c>
      <c r="O1581" s="1595"/>
    </row>
    <row r="1582" spans="11:15">
      <c r="K1582" s="1592">
        <v>43639</v>
      </c>
      <c r="L1582" s="1593"/>
      <c r="M1582" s="1594">
        <v>0</v>
      </c>
      <c r="N1582" s="1595">
        <v>1.5286632023352316</v>
      </c>
      <c r="O1582" s="1595"/>
    </row>
    <row r="1583" spans="11:15">
      <c r="K1583" s="1592">
        <v>43640</v>
      </c>
      <c r="L1583" s="1593" t="s">
        <v>2301</v>
      </c>
      <c r="M1583" s="1594">
        <v>2.462E-2</v>
      </c>
      <c r="N1583" s="1595">
        <v>1.5290395592156467</v>
      </c>
      <c r="O1583" s="1595"/>
    </row>
    <row r="1584" spans="11:15">
      <c r="K1584" s="1592">
        <v>43641</v>
      </c>
      <c r="L1584" s="1593" t="s">
        <v>2301</v>
      </c>
      <c r="M1584" s="1594">
        <v>2.462E-2</v>
      </c>
      <c r="N1584" s="1595">
        <v>1.5294160087551258</v>
      </c>
      <c r="O1584" s="1595"/>
    </row>
    <row r="1585" spans="11:15">
      <c r="K1585" s="1592">
        <v>43642</v>
      </c>
      <c r="L1585" s="1593" t="s">
        <v>2301</v>
      </c>
      <c r="M1585" s="1594">
        <v>2.462E-2</v>
      </c>
      <c r="N1585" s="1595">
        <v>1.5297925509764816</v>
      </c>
      <c r="O1585" s="1595"/>
    </row>
    <row r="1586" spans="11:15">
      <c r="K1586" s="1592">
        <v>43643</v>
      </c>
      <c r="L1586" s="1593" t="s">
        <v>2301</v>
      </c>
      <c r="M1586" s="1594">
        <v>2.462E-2</v>
      </c>
      <c r="N1586" s="1595">
        <v>1.5301691859025321</v>
      </c>
      <c r="O1586" s="1595"/>
    </row>
    <row r="1587" spans="11:15">
      <c r="K1587" s="1592">
        <v>43644</v>
      </c>
      <c r="L1587" s="1593" t="s">
        <v>2301</v>
      </c>
      <c r="M1587" s="1594">
        <v>2.462E-2</v>
      </c>
      <c r="N1587" s="1595">
        <v>1.5305459135561015</v>
      </c>
      <c r="O1587" s="1595"/>
    </row>
    <row r="1588" spans="11:15">
      <c r="K1588" s="1592">
        <v>43645</v>
      </c>
      <c r="L1588" s="1593"/>
      <c r="M1588" s="1594">
        <v>0</v>
      </c>
      <c r="N1588" s="1595">
        <v>1.5305459135561015</v>
      </c>
      <c r="O1588" s="1595"/>
    </row>
    <row r="1589" spans="11:15">
      <c r="K1589" s="1592">
        <v>43646</v>
      </c>
      <c r="L1589" s="1593"/>
      <c r="M1589" s="1594">
        <v>0</v>
      </c>
      <c r="N1589" s="1595">
        <v>1.5305459135561015</v>
      </c>
      <c r="O1589" s="1595"/>
    </row>
    <row r="1590" spans="11:15">
      <c r="K1590" s="1592">
        <v>43647</v>
      </c>
      <c r="L1590" s="1593" t="s">
        <v>2301</v>
      </c>
      <c r="M1590" s="1594">
        <v>2.462E-2</v>
      </c>
      <c r="N1590" s="1595">
        <v>1.5309227339600191</v>
      </c>
      <c r="O1590" s="1595"/>
    </row>
    <row r="1591" spans="11:15">
      <c r="K1591" s="1592">
        <v>43648</v>
      </c>
      <c r="L1591" s="1593" t="s">
        <v>2301</v>
      </c>
      <c r="M1591" s="1594">
        <v>2.462E-2</v>
      </c>
      <c r="N1591" s="1595">
        <v>1.5312996471371201</v>
      </c>
      <c r="O1591" s="1595"/>
    </row>
    <row r="1592" spans="11:15">
      <c r="K1592" s="1592">
        <v>43649</v>
      </c>
      <c r="L1592" s="1593" t="s">
        <v>2301</v>
      </c>
      <c r="M1592" s="1594">
        <v>2.462E-2</v>
      </c>
      <c r="N1592" s="1595">
        <v>1.5316766531102455</v>
      </c>
      <c r="O1592" s="1595"/>
    </row>
    <row r="1593" spans="11:15">
      <c r="K1593" s="1592">
        <v>43650</v>
      </c>
      <c r="L1593" s="1593" t="s">
        <v>2301</v>
      </c>
      <c r="M1593" s="1594">
        <v>2.462E-2</v>
      </c>
      <c r="N1593" s="1595">
        <v>1.5320537519022412</v>
      </c>
      <c r="O1593" s="1595"/>
    </row>
    <row r="1594" spans="11:15">
      <c r="K1594" s="1592">
        <v>43651</v>
      </c>
      <c r="L1594" s="1593" t="s">
        <v>2301</v>
      </c>
      <c r="M1594" s="1594">
        <v>2.462E-2</v>
      </c>
      <c r="N1594" s="1595">
        <v>1.5324309435359598</v>
      </c>
      <c r="O1594" s="1595"/>
    </row>
    <row r="1595" spans="11:15">
      <c r="K1595" s="1592">
        <v>43652</v>
      </c>
      <c r="L1595" s="1593"/>
      <c r="M1595" s="1594">
        <v>0</v>
      </c>
      <c r="N1595" s="1595">
        <v>1.5324309435359598</v>
      </c>
      <c r="O1595" s="1595"/>
    </row>
    <row r="1596" spans="11:15">
      <c r="K1596" s="1592">
        <v>43653</v>
      </c>
      <c r="L1596" s="1593"/>
      <c r="M1596" s="1594">
        <v>0</v>
      </c>
      <c r="N1596" s="1595">
        <v>1.5324309435359598</v>
      </c>
      <c r="O1596" s="1595"/>
    </row>
    <row r="1597" spans="11:15">
      <c r="K1597" s="1592">
        <v>43654</v>
      </c>
      <c r="L1597" s="1593" t="s">
        <v>2301</v>
      </c>
      <c r="M1597" s="1594">
        <v>2.462E-2</v>
      </c>
      <c r="N1597" s="1595">
        <v>1.5328082280342585</v>
      </c>
      <c r="O1597" s="1595"/>
    </row>
    <row r="1598" spans="11:15">
      <c r="K1598" s="1592">
        <v>43655</v>
      </c>
      <c r="L1598" s="1593" t="s">
        <v>2301</v>
      </c>
      <c r="M1598" s="1594">
        <v>2.462E-2</v>
      </c>
      <c r="N1598" s="1595">
        <v>1.5331856054200006</v>
      </c>
      <c r="O1598" s="1595"/>
    </row>
    <row r="1599" spans="11:15">
      <c r="K1599" s="1592">
        <v>43656</v>
      </c>
      <c r="L1599" s="1593" t="s">
        <v>2301</v>
      </c>
      <c r="M1599" s="1594">
        <v>2.462E-2</v>
      </c>
      <c r="N1599" s="1595">
        <v>1.5335630757160552</v>
      </c>
      <c r="O1599" s="1595"/>
    </row>
    <row r="1600" spans="11:15">
      <c r="K1600" s="1592">
        <v>43657</v>
      </c>
      <c r="L1600" s="1593" t="s">
        <v>2301</v>
      </c>
      <c r="M1600" s="1594">
        <v>2.462E-2</v>
      </c>
      <c r="N1600" s="1595">
        <v>1.5339406389452965</v>
      </c>
      <c r="O1600" s="1595"/>
    </row>
    <row r="1601" spans="11:15">
      <c r="K1601" s="1592">
        <v>43658</v>
      </c>
      <c r="L1601" s="1593" t="s">
        <v>2301</v>
      </c>
      <c r="M1601" s="1594">
        <v>2.462E-2</v>
      </c>
      <c r="N1601" s="1595">
        <v>1.5343182951306049</v>
      </c>
      <c r="O1601" s="1595"/>
    </row>
    <row r="1602" spans="11:15">
      <c r="K1602" s="1592">
        <v>43659</v>
      </c>
      <c r="L1602" s="1593"/>
      <c r="M1602" s="1594">
        <v>0</v>
      </c>
      <c r="N1602" s="1595">
        <v>1.5343182951306049</v>
      </c>
      <c r="O1602" s="1595"/>
    </row>
    <row r="1603" spans="11:15">
      <c r="K1603" s="1592">
        <v>43660</v>
      </c>
      <c r="L1603" s="1593"/>
      <c r="M1603" s="1594">
        <v>0</v>
      </c>
      <c r="N1603" s="1595">
        <v>1.5343182951306049</v>
      </c>
      <c r="O1603" s="1595"/>
    </row>
    <row r="1604" spans="11:15">
      <c r="K1604" s="1592">
        <v>43661</v>
      </c>
      <c r="L1604" s="1593" t="s">
        <v>2301</v>
      </c>
      <c r="M1604" s="1594">
        <v>2.462E-2</v>
      </c>
      <c r="N1604" s="1595">
        <v>1.5346960442948663</v>
      </c>
      <c r="O1604" s="1595"/>
    </row>
    <row r="1605" spans="11:15">
      <c r="K1605" s="1592">
        <v>43662</v>
      </c>
      <c r="L1605" s="1593" t="s">
        <v>2301</v>
      </c>
      <c r="M1605" s="1594">
        <v>2.462E-2</v>
      </c>
      <c r="N1605" s="1595">
        <v>1.5350738864609719</v>
      </c>
      <c r="O1605" s="1595"/>
    </row>
    <row r="1606" spans="11:15">
      <c r="K1606" s="1592">
        <v>43663</v>
      </c>
      <c r="L1606" s="1593" t="s">
        <v>2301</v>
      </c>
      <c r="M1606" s="1594">
        <v>2.462E-2</v>
      </c>
      <c r="N1606" s="1595">
        <v>1.5354518216518187</v>
      </c>
      <c r="O1606" s="1595"/>
    </row>
    <row r="1607" spans="11:15">
      <c r="K1607" s="1592">
        <v>43664</v>
      </c>
      <c r="L1607" s="1593" t="s">
        <v>2301</v>
      </c>
      <c r="M1607" s="1594">
        <v>2.462E-2</v>
      </c>
      <c r="N1607" s="1595">
        <v>1.5358298498903096</v>
      </c>
      <c r="O1607" s="1595"/>
    </row>
    <row r="1608" spans="11:15">
      <c r="K1608" s="1592">
        <v>43665</v>
      </c>
      <c r="L1608" s="1593" t="s">
        <v>2301</v>
      </c>
      <c r="M1608" s="1594">
        <v>2.462E-2</v>
      </c>
      <c r="N1608" s="1595">
        <v>1.5362079711993526</v>
      </c>
      <c r="O1608" s="1595"/>
    </row>
    <row r="1609" spans="11:15">
      <c r="K1609" s="1592">
        <v>43666</v>
      </c>
      <c r="L1609" s="1593"/>
      <c r="M1609" s="1594">
        <v>0</v>
      </c>
      <c r="N1609" s="1595">
        <v>1.5362079711993526</v>
      </c>
      <c r="O1609" s="1595"/>
    </row>
    <row r="1610" spans="11:15">
      <c r="K1610" s="1592">
        <v>43667</v>
      </c>
      <c r="L1610" s="1593"/>
      <c r="M1610" s="1594">
        <v>0</v>
      </c>
      <c r="N1610" s="1595">
        <v>1.5362079711993526</v>
      </c>
      <c r="O1610" s="1595"/>
    </row>
    <row r="1611" spans="11:15">
      <c r="K1611" s="1592">
        <v>43668</v>
      </c>
      <c r="L1611" s="1593" t="s">
        <v>2301</v>
      </c>
      <c r="M1611" s="1594">
        <v>2.462E-2</v>
      </c>
      <c r="N1611" s="1595">
        <v>1.5365861856018621</v>
      </c>
      <c r="O1611" s="1595"/>
    </row>
    <row r="1612" spans="11:15">
      <c r="K1612" s="1592">
        <v>43669</v>
      </c>
      <c r="L1612" s="1593" t="s">
        <v>2301</v>
      </c>
      <c r="M1612" s="1594">
        <v>2.462E-2</v>
      </c>
      <c r="N1612" s="1595">
        <v>1.5369644931207573</v>
      </c>
      <c r="O1612" s="1595"/>
    </row>
    <row r="1613" spans="11:15">
      <c r="K1613" s="1592">
        <v>43670</v>
      </c>
      <c r="L1613" s="1593" t="s">
        <v>2301</v>
      </c>
      <c r="M1613" s="1594">
        <v>2.462E-2</v>
      </c>
      <c r="N1613" s="1595">
        <v>1.5373428937789637</v>
      </c>
      <c r="O1613" s="1595"/>
    </row>
    <row r="1614" spans="11:15">
      <c r="K1614" s="1592">
        <v>43671</v>
      </c>
      <c r="L1614" s="1593" t="s">
        <v>2301</v>
      </c>
      <c r="M1614" s="1594">
        <v>2.462E-2</v>
      </c>
      <c r="N1614" s="1595">
        <v>1.5377213875994122</v>
      </c>
      <c r="O1614" s="1595"/>
    </row>
    <row r="1615" spans="11:15">
      <c r="K1615" s="1592">
        <v>43672</v>
      </c>
      <c r="L1615" s="1593" t="s">
        <v>2301</v>
      </c>
      <c r="M1615" s="1594">
        <v>2.462E-2</v>
      </c>
      <c r="N1615" s="1595">
        <v>1.5380999746050394</v>
      </c>
      <c r="O1615" s="1595"/>
    </row>
    <row r="1616" spans="11:15">
      <c r="K1616" s="1592">
        <v>43673</v>
      </c>
      <c r="L1616" s="1593"/>
      <c r="M1616" s="1594">
        <v>0</v>
      </c>
      <c r="N1616" s="1595">
        <v>1.5380999746050394</v>
      </c>
      <c r="O1616" s="1595"/>
    </row>
    <row r="1617" spans="11:15">
      <c r="K1617" s="1592">
        <v>43674</v>
      </c>
      <c r="L1617" s="1593"/>
      <c r="M1617" s="1594">
        <v>0</v>
      </c>
      <c r="N1617" s="1595">
        <v>1.5380999746050394</v>
      </c>
      <c r="O1617" s="1595"/>
    </row>
    <row r="1618" spans="11:15">
      <c r="K1618" s="1592">
        <v>43675</v>
      </c>
      <c r="L1618" s="1593" t="s">
        <v>2301</v>
      </c>
      <c r="M1618" s="1594">
        <v>2.462E-2</v>
      </c>
      <c r="N1618" s="1595">
        <v>1.5384786548187874</v>
      </c>
      <c r="O1618" s="1595"/>
    </row>
    <row r="1619" spans="11:15">
      <c r="K1619" s="1592">
        <v>43676</v>
      </c>
      <c r="L1619" s="1593" t="s">
        <v>2301</v>
      </c>
      <c r="M1619" s="1594">
        <v>2.462E-2</v>
      </c>
      <c r="N1619" s="1595">
        <v>1.5388574282636041</v>
      </c>
      <c r="O1619" s="1595"/>
    </row>
    <row r="1620" spans="11:15">
      <c r="K1620" s="1592">
        <v>43677</v>
      </c>
      <c r="L1620" s="1593" t="s">
        <v>2301</v>
      </c>
      <c r="M1620" s="1594">
        <v>2.462E-2</v>
      </c>
      <c r="N1620" s="1595">
        <v>1.5392362949624427</v>
      </c>
      <c r="O1620" s="1595"/>
    </row>
    <row r="1621" spans="11:15">
      <c r="K1621" s="1592">
        <v>43678</v>
      </c>
      <c r="L1621" s="1593" t="s">
        <v>2301</v>
      </c>
      <c r="M1621" s="1594">
        <v>2.2751E-2</v>
      </c>
      <c r="N1621" s="1595">
        <v>1.5395864866119096</v>
      </c>
      <c r="O1621" s="1595"/>
    </row>
    <row r="1622" spans="11:15">
      <c r="K1622" s="1592">
        <v>43679</v>
      </c>
      <c r="L1622" s="1593" t="s">
        <v>2301</v>
      </c>
      <c r="M1622" s="1594">
        <v>2.2751E-2</v>
      </c>
      <c r="N1622" s="1595">
        <v>1.5399367579334786</v>
      </c>
      <c r="O1622" s="1595"/>
    </row>
    <row r="1623" spans="11:15">
      <c r="K1623" s="1592">
        <v>43680</v>
      </c>
      <c r="L1623" s="1593"/>
      <c r="M1623" s="1594">
        <v>0</v>
      </c>
      <c r="N1623" s="1595">
        <v>1.5399367579334786</v>
      </c>
      <c r="O1623" s="1595"/>
    </row>
    <row r="1624" spans="11:15">
      <c r="K1624" s="1592">
        <v>43681</v>
      </c>
      <c r="L1624" s="1593"/>
      <c r="M1624" s="1594">
        <v>0</v>
      </c>
      <c r="N1624" s="1595">
        <v>1.5399367579334786</v>
      </c>
      <c r="O1624" s="1595"/>
    </row>
    <row r="1625" spans="11:15">
      <c r="K1625" s="1592">
        <v>43682</v>
      </c>
      <c r="L1625" s="1593" t="s">
        <v>2301</v>
      </c>
      <c r="M1625" s="1594">
        <v>2.2751E-2</v>
      </c>
      <c r="N1625" s="1595">
        <v>1.5402871089452761</v>
      </c>
      <c r="O1625" s="1595"/>
    </row>
    <row r="1626" spans="11:15">
      <c r="K1626" s="1592">
        <v>43683</v>
      </c>
      <c r="L1626" s="1593" t="s">
        <v>2301</v>
      </c>
      <c r="M1626" s="1594">
        <v>2.2751E-2</v>
      </c>
      <c r="N1626" s="1595">
        <v>1.5406375396654322</v>
      </c>
      <c r="O1626" s="1595"/>
    </row>
    <row r="1627" spans="11:15">
      <c r="K1627" s="1592">
        <v>43684</v>
      </c>
      <c r="L1627" s="1593" t="s">
        <v>2301</v>
      </c>
      <c r="M1627" s="1594">
        <v>2.2751E-2</v>
      </c>
      <c r="N1627" s="1595">
        <v>1.5409880501120814</v>
      </c>
      <c r="O1627" s="1595"/>
    </row>
    <row r="1628" spans="11:15">
      <c r="K1628" s="1592">
        <v>43685</v>
      </c>
      <c r="L1628" s="1593" t="s">
        <v>2301</v>
      </c>
      <c r="M1628" s="1594">
        <v>2.2751E-2</v>
      </c>
      <c r="N1628" s="1595">
        <v>1.5413386403033624</v>
      </c>
      <c r="O1628" s="1595"/>
    </row>
    <row r="1629" spans="11:15">
      <c r="K1629" s="1592">
        <v>43686</v>
      </c>
      <c r="L1629" s="1593" t="s">
        <v>2301</v>
      </c>
      <c r="M1629" s="1594">
        <v>2.2751E-2</v>
      </c>
      <c r="N1629" s="1595">
        <v>1.5416893102574178</v>
      </c>
      <c r="O1629" s="1595"/>
    </row>
    <row r="1630" spans="11:15">
      <c r="K1630" s="1592">
        <v>43687</v>
      </c>
      <c r="L1630" s="1593"/>
      <c r="M1630" s="1594">
        <v>0</v>
      </c>
      <c r="N1630" s="1595">
        <v>1.5416893102574178</v>
      </c>
      <c r="O1630" s="1595"/>
    </row>
    <row r="1631" spans="11:15">
      <c r="K1631" s="1592">
        <v>43688</v>
      </c>
      <c r="L1631" s="1593"/>
      <c r="M1631" s="1594">
        <v>0</v>
      </c>
      <c r="N1631" s="1595">
        <v>1.5416893102574178</v>
      </c>
      <c r="O1631" s="1595"/>
    </row>
    <row r="1632" spans="11:15">
      <c r="K1632" s="1592">
        <v>43689</v>
      </c>
      <c r="L1632" s="1593" t="s">
        <v>2301</v>
      </c>
      <c r="M1632" s="1594">
        <v>2.2751E-2</v>
      </c>
      <c r="N1632" s="1595">
        <v>1.5420400599923945</v>
      </c>
      <c r="O1632" s="1595"/>
    </row>
    <row r="1633" spans="11:15">
      <c r="K1633" s="1592">
        <v>43690</v>
      </c>
      <c r="L1633" s="1593" t="s">
        <v>2301</v>
      </c>
      <c r="M1633" s="1594">
        <v>2.2751E-2</v>
      </c>
      <c r="N1633" s="1595">
        <v>1.5423908895264433</v>
      </c>
      <c r="O1633" s="1595"/>
    </row>
    <row r="1634" spans="11:15">
      <c r="K1634" s="1592">
        <v>43691</v>
      </c>
      <c r="L1634" s="1593" t="s">
        <v>2301</v>
      </c>
      <c r="M1634" s="1594">
        <v>2.2751E-2</v>
      </c>
      <c r="N1634" s="1595">
        <v>1.5427417988777195</v>
      </c>
      <c r="O1634" s="1595"/>
    </row>
    <row r="1635" spans="11:15">
      <c r="K1635" s="1592">
        <v>43692</v>
      </c>
      <c r="L1635" s="1593" t="s">
        <v>2301</v>
      </c>
      <c r="M1635" s="1594">
        <v>2.2751E-2</v>
      </c>
      <c r="N1635" s="1595">
        <v>1.5430927880643821</v>
      </c>
      <c r="O1635" s="1595"/>
    </row>
    <row r="1636" spans="11:15">
      <c r="K1636" s="1592">
        <v>43693</v>
      </c>
      <c r="L1636" s="1593" t="s">
        <v>2301</v>
      </c>
      <c r="M1636" s="1594">
        <v>2.2751E-2</v>
      </c>
      <c r="N1636" s="1595">
        <v>1.5434438571045945</v>
      </c>
      <c r="O1636" s="1595"/>
    </row>
    <row r="1637" spans="11:15">
      <c r="K1637" s="1592">
        <v>43694</v>
      </c>
      <c r="L1637" s="1593"/>
      <c r="M1637" s="1594">
        <v>0</v>
      </c>
      <c r="N1637" s="1595">
        <v>1.5434438571045945</v>
      </c>
      <c r="O1637" s="1595"/>
    </row>
    <row r="1638" spans="11:15">
      <c r="K1638" s="1592">
        <v>43695</v>
      </c>
      <c r="L1638" s="1593"/>
      <c r="M1638" s="1594">
        <v>0</v>
      </c>
      <c r="N1638" s="1595">
        <v>1.5434438571045945</v>
      </c>
      <c r="O1638" s="1595"/>
    </row>
    <row r="1639" spans="11:15">
      <c r="K1639" s="1592">
        <v>43696</v>
      </c>
      <c r="L1639" s="1593" t="s">
        <v>2301</v>
      </c>
      <c r="M1639" s="1594">
        <v>2.2751E-2</v>
      </c>
      <c r="N1639" s="1595">
        <v>1.5437950060165244</v>
      </c>
      <c r="O1639" s="1595"/>
    </row>
    <row r="1640" spans="11:15">
      <c r="K1640" s="1592">
        <v>43697</v>
      </c>
      <c r="L1640" s="1593" t="s">
        <v>2301</v>
      </c>
      <c r="M1640" s="1594">
        <v>2.2751E-2</v>
      </c>
      <c r="N1640" s="1595">
        <v>1.5441462348183432</v>
      </c>
      <c r="O1640" s="1595"/>
    </row>
    <row r="1641" spans="11:15">
      <c r="K1641" s="1592">
        <v>43698</v>
      </c>
      <c r="L1641" s="1593" t="s">
        <v>2301</v>
      </c>
      <c r="M1641" s="1594">
        <v>2.2751E-2</v>
      </c>
      <c r="N1641" s="1595">
        <v>1.5444975435282267</v>
      </c>
      <c r="O1641" s="1595"/>
    </row>
    <row r="1642" spans="11:15">
      <c r="K1642" s="1592">
        <v>43699</v>
      </c>
      <c r="L1642" s="1593" t="s">
        <v>2301</v>
      </c>
      <c r="M1642" s="1594">
        <v>2.2751E-2</v>
      </c>
      <c r="N1642" s="1595">
        <v>1.5448489321643548</v>
      </c>
      <c r="O1642" s="1595"/>
    </row>
    <row r="1643" spans="11:15">
      <c r="K1643" s="1592">
        <v>43700</v>
      </c>
      <c r="L1643" s="1593" t="s">
        <v>2301</v>
      </c>
      <c r="M1643" s="1594">
        <v>2.2751E-2</v>
      </c>
      <c r="N1643" s="1595">
        <v>1.5452004007449116</v>
      </c>
      <c r="O1643" s="1595"/>
    </row>
    <row r="1644" spans="11:15">
      <c r="K1644" s="1592">
        <v>43701</v>
      </c>
      <c r="L1644" s="1593"/>
      <c r="M1644" s="1594">
        <v>0</v>
      </c>
      <c r="N1644" s="1595">
        <v>1.5452004007449116</v>
      </c>
      <c r="O1644" s="1595"/>
    </row>
    <row r="1645" spans="11:15">
      <c r="K1645" s="1592">
        <v>43702</v>
      </c>
      <c r="L1645" s="1593"/>
      <c r="M1645" s="1594">
        <v>0</v>
      </c>
      <c r="N1645" s="1595">
        <v>1.5452004007449116</v>
      </c>
      <c r="O1645" s="1595"/>
    </row>
    <row r="1646" spans="11:15">
      <c r="K1646" s="1592">
        <v>43703</v>
      </c>
      <c r="L1646" s="1593" t="s">
        <v>2301</v>
      </c>
      <c r="M1646" s="1594">
        <v>2.2751E-2</v>
      </c>
      <c r="N1646" s="1595">
        <v>1.5455519492880851</v>
      </c>
      <c r="O1646" s="1595"/>
    </row>
    <row r="1647" spans="11:15">
      <c r="K1647" s="1592">
        <v>43704</v>
      </c>
      <c r="L1647" s="1593" t="s">
        <v>2301</v>
      </c>
      <c r="M1647" s="1594">
        <v>2.2751E-2</v>
      </c>
      <c r="N1647" s="1595">
        <v>1.5459035778120676</v>
      </c>
      <c r="O1647" s="1595"/>
    </row>
    <row r="1648" spans="11:15">
      <c r="K1648" s="1592">
        <v>43705</v>
      </c>
      <c r="L1648" s="1593" t="s">
        <v>2301</v>
      </c>
      <c r="M1648" s="1594">
        <v>2.2751E-2</v>
      </c>
      <c r="N1648" s="1595">
        <v>1.5462552863350556</v>
      </c>
      <c r="O1648" s="1595"/>
    </row>
    <row r="1649" spans="11:15">
      <c r="K1649" s="1592">
        <v>43706</v>
      </c>
      <c r="L1649" s="1593" t="s">
        <v>2301</v>
      </c>
      <c r="M1649" s="1594">
        <v>2.2751E-2</v>
      </c>
      <c r="N1649" s="1595">
        <v>1.5466070748752496</v>
      </c>
      <c r="O1649" s="1595"/>
    </row>
    <row r="1650" spans="11:15">
      <c r="K1650" s="1592">
        <v>43707</v>
      </c>
      <c r="L1650" s="1593" t="s">
        <v>2301</v>
      </c>
      <c r="M1650" s="1594">
        <v>2.2751E-2</v>
      </c>
      <c r="N1650" s="1595">
        <v>1.5469589434508544</v>
      </c>
      <c r="O1650" s="1595"/>
    </row>
    <row r="1651" spans="11:15">
      <c r="K1651" s="1592">
        <v>43708</v>
      </c>
      <c r="L1651" s="1593"/>
      <c r="M1651" s="1594">
        <v>0</v>
      </c>
      <c r="N1651" s="1595">
        <v>1.5469589434508544</v>
      </c>
      <c r="O1651" s="1595"/>
    </row>
    <row r="1652" spans="11:15">
      <c r="K1652" s="1592">
        <v>43709</v>
      </c>
      <c r="L1652" s="1593"/>
      <c r="M1652" s="1594">
        <v>0</v>
      </c>
      <c r="N1652" s="1595">
        <v>1.5469589434508544</v>
      </c>
      <c r="O1652" s="1595"/>
    </row>
    <row r="1653" spans="11:15">
      <c r="K1653" s="1592">
        <v>43710</v>
      </c>
      <c r="L1653" s="1593" t="s">
        <v>2301</v>
      </c>
      <c r="M1653" s="1594">
        <v>2.2751E-2</v>
      </c>
      <c r="N1653" s="1595">
        <v>1.5473108920800789</v>
      </c>
      <c r="O1653" s="1595"/>
    </row>
    <row r="1654" spans="11:15">
      <c r="K1654" s="1592">
        <v>43711</v>
      </c>
      <c r="L1654" s="1593" t="s">
        <v>2301</v>
      </c>
      <c r="M1654" s="1594">
        <v>2.2751E-2</v>
      </c>
      <c r="N1654" s="1595">
        <v>1.5476629207811361</v>
      </c>
      <c r="O1654" s="1595"/>
    </row>
    <row r="1655" spans="11:15">
      <c r="K1655" s="1592">
        <v>43712</v>
      </c>
      <c r="L1655" s="1593" t="s">
        <v>2301</v>
      </c>
      <c r="M1655" s="1594">
        <v>2.2751E-2</v>
      </c>
      <c r="N1655" s="1595">
        <v>1.548015029572243</v>
      </c>
      <c r="O1655" s="1595"/>
    </row>
    <row r="1656" spans="11:15">
      <c r="K1656" s="1592">
        <v>43713</v>
      </c>
      <c r="L1656" s="1593" t="s">
        <v>2301</v>
      </c>
      <c r="M1656" s="1594">
        <v>2.2751E-2</v>
      </c>
      <c r="N1656" s="1595">
        <v>1.5483672184716211</v>
      </c>
      <c r="O1656" s="1595"/>
    </row>
    <row r="1657" spans="11:15">
      <c r="K1657" s="1592">
        <v>43714</v>
      </c>
      <c r="L1657" s="1593" t="s">
        <v>2301</v>
      </c>
      <c r="M1657" s="1594">
        <v>2.2751E-2</v>
      </c>
      <c r="N1657" s="1595">
        <v>1.5487194874974954</v>
      </c>
      <c r="O1657" s="1595"/>
    </row>
    <row r="1658" spans="11:15">
      <c r="K1658" s="1592">
        <v>43715</v>
      </c>
      <c r="L1658" s="1593"/>
      <c r="M1658" s="1594">
        <v>0</v>
      </c>
      <c r="N1658" s="1595">
        <v>1.5487194874974954</v>
      </c>
      <c r="O1658" s="1595"/>
    </row>
    <row r="1659" spans="11:15">
      <c r="K1659" s="1592">
        <v>43716</v>
      </c>
      <c r="L1659" s="1593"/>
      <c r="M1659" s="1594">
        <v>0</v>
      </c>
      <c r="N1659" s="1595">
        <v>1.5487194874974954</v>
      </c>
      <c r="O1659" s="1595"/>
    </row>
    <row r="1660" spans="11:15">
      <c r="K1660" s="1592">
        <v>43717</v>
      </c>
      <c r="L1660" s="1593" t="s">
        <v>2301</v>
      </c>
      <c r="M1660" s="1594">
        <v>2.2751E-2</v>
      </c>
      <c r="N1660" s="1595">
        <v>1.549071836668096</v>
      </c>
      <c r="O1660" s="1595"/>
    </row>
    <row r="1661" spans="11:15">
      <c r="K1661" s="1592">
        <v>43718</v>
      </c>
      <c r="L1661" s="1593" t="s">
        <v>2301</v>
      </c>
      <c r="M1661" s="1594">
        <v>2.2751E-2</v>
      </c>
      <c r="N1661" s="1595">
        <v>1.5494242660016564</v>
      </c>
      <c r="O1661" s="1595"/>
    </row>
    <row r="1662" spans="11:15">
      <c r="K1662" s="1592">
        <v>43719</v>
      </c>
      <c r="L1662" s="1593" t="s">
        <v>2301</v>
      </c>
      <c r="M1662" s="1594">
        <v>2.2751E-2</v>
      </c>
      <c r="N1662" s="1595">
        <v>1.5497767755164145</v>
      </c>
      <c r="O1662" s="1595"/>
    </row>
    <row r="1663" spans="11:15">
      <c r="K1663" s="1592">
        <v>43720</v>
      </c>
      <c r="L1663" s="1593" t="s">
        <v>2301</v>
      </c>
      <c r="M1663" s="1594">
        <v>2.2751E-2</v>
      </c>
      <c r="N1663" s="1595">
        <v>1.5501293652306123</v>
      </c>
      <c r="O1663" s="1595"/>
    </row>
    <row r="1664" spans="11:15">
      <c r="K1664" s="1592">
        <v>43721</v>
      </c>
      <c r="L1664" s="1593" t="s">
        <v>2301</v>
      </c>
      <c r="M1664" s="1594">
        <v>2.2751E-2</v>
      </c>
      <c r="N1664" s="1595">
        <v>1.5504820351624959</v>
      </c>
      <c r="O1664" s="1595"/>
    </row>
    <row r="1665" spans="11:15">
      <c r="K1665" s="1592">
        <v>43722</v>
      </c>
      <c r="L1665" s="1593"/>
      <c r="M1665" s="1594">
        <v>0</v>
      </c>
      <c r="N1665" s="1595">
        <v>1.5504820351624959</v>
      </c>
      <c r="O1665" s="1595"/>
    </row>
    <row r="1666" spans="11:15">
      <c r="K1666" s="1592">
        <v>43723</v>
      </c>
      <c r="L1666" s="1593"/>
      <c r="M1666" s="1594">
        <v>0</v>
      </c>
      <c r="N1666" s="1595">
        <v>1.5504820351624959</v>
      </c>
      <c r="O1666" s="1595"/>
    </row>
    <row r="1667" spans="11:15">
      <c r="K1667" s="1592">
        <v>43724</v>
      </c>
      <c r="L1667" s="1593" t="s">
        <v>2301</v>
      </c>
      <c r="M1667" s="1594">
        <v>2.2751E-2</v>
      </c>
      <c r="N1667" s="1595">
        <v>1.5508347853303157</v>
      </c>
      <c r="O1667" s="1595"/>
    </row>
    <row r="1668" spans="11:15">
      <c r="K1668" s="1592">
        <v>43725</v>
      </c>
      <c r="L1668" s="1593" t="s">
        <v>2301</v>
      </c>
      <c r="M1668" s="1594">
        <v>2.2751E-2</v>
      </c>
      <c r="N1668" s="1595">
        <v>1.5511876157523261</v>
      </c>
      <c r="O1668" s="1595"/>
    </row>
    <row r="1669" spans="11:15">
      <c r="K1669" s="1592">
        <v>43726</v>
      </c>
      <c r="L1669" s="1593" t="s">
        <v>2301</v>
      </c>
      <c r="M1669" s="1594">
        <v>2.2751E-2</v>
      </c>
      <c r="N1669" s="1595">
        <v>1.5515405264467859</v>
      </c>
      <c r="O1669" s="1595"/>
    </row>
    <row r="1670" spans="11:15">
      <c r="K1670" s="1592">
        <v>43727</v>
      </c>
      <c r="L1670" s="1593" t="s">
        <v>2301</v>
      </c>
      <c r="M1670" s="1594">
        <v>2.0872000000000002E-2</v>
      </c>
      <c r="N1670" s="1595">
        <v>1.5518643639854659</v>
      </c>
      <c r="O1670" s="1595"/>
    </row>
    <row r="1671" spans="11:15">
      <c r="K1671" s="1592">
        <v>43728</v>
      </c>
      <c r="L1671" s="1593" t="s">
        <v>2301</v>
      </c>
      <c r="M1671" s="1594">
        <v>2.0872000000000002E-2</v>
      </c>
      <c r="N1671" s="1595">
        <v>1.5521882691155171</v>
      </c>
      <c r="O1671" s="1595"/>
    </row>
    <row r="1672" spans="11:15">
      <c r="K1672" s="1592">
        <v>43729</v>
      </c>
      <c r="L1672" s="1593"/>
      <c r="M1672" s="1594">
        <v>0</v>
      </c>
      <c r="N1672" s="1595">
        <v>1.5521882691155171</v>
      </c>
      <c r="O1672" s="1595"/>
    </row>
    <row r="1673" spans="11:15">
      <c r="K1673" s="1592">
        <v>43730</v>
      </c>
      <c r="L1673" s="1593"/>
      <c r="M1673" s="1594">
        <v>0</v>
      </c>
      <c r="N1673" s="1595">
        <v>1.5521882691155171</v>
      </c>
      <c r="O1673" s="1595"/>
    </row>
    <row r="1674" spans="11:15">
      <c r="K1674" s="1592">
        <v>43731</v>
      </c>
      <c r="L1674" s="1593" t="s">
        <v>2301</v>
      </c>
      <c r="M1674" s="1594">
        <v>2.0872000000000002E-2</v>
      </c>
      <c r="N1674" s="1595">
        <v>1.5525122418510471</v>
      </c>
      <c r="O1674" s="1595"/>
    </row>
    <row r="1675" spans="11:15">
      <c r="K1675" s="1592">
        <v>43732</v>
      </c>
      <c r="L1675" s="1593" t="s">
        <v>2301</v>
      </c>
      <c r="M1675" s="1594">
        <v>2.0872000000000002E-2</v>
      </c>
      <c r="N1675" s="1595">
        <v>1.5528362822061663</v>
      </c>
      <c r="O1675" s="1595"/>
    </row>
    <row r="1676" spans="11:15">
      <c r="K1676" s="1592">
        <v>43733</v>
      </c>
      <c r="L1676" s="1593" t="s">
        <v>2301</v>
      </c>
      <c r="M1676" s="1594">
        <v>2.0872000000000002E-2</v>
      </c>
      <c r="N1676" s="1595">
        <v>1.5531603901949884</v>
      </c>
      <c r="O1676" s="1595"/>
    </row>
    <row r="1677" spans="11:15">
      <c r="K1677" s="1592">
        <v>43734</v>
      </c>
      <c r="L1677" s="1593" t="s">
        <v>2301</v>
      </c>
      <c r="M1677" s="1594">
        <v>2.0872000000000002E-2</v>
      </c>
      <c r="N1677" s="1595">
        <v>1.5534845658316301</v>
      </c>
      <c r="O1677" s="1595"/>
    </row>
    <row r="1678" spans="11:15">
      <c r="K1678" s="1592">
        <v>43735</v>
      </c>
      <c r="L1678" s="1593" t="s">
        <v>2301</v>
      </c>
      <c r="M1678" s="1594">
        <v>2.0872000000000002E-2</v>
      </c>
      <c r="N1678" s="1595">
        <v>1.5538088091302105</v>
      </c>
      <c r="O1678" s="1595"/>
    </row>
    <row r="1679" spans="11:15">
      <c r="K1679" s="1592">
        <v>43736</v>
      </c>
      <c r="L1679" s="1593"/>
      <c r="M1679" s="1594">
        <v>0</v>
      </c>
      <c r="N1679" s="1595">
        <v>1.5538088091302105</v>
      </c>
      <c r="O1679" s="1595"/>
    </row>
    <row r="1680" spans="11:15">
      <c r="K1680" s="1592">
        <v>43737</v>
      </c>
      <c r="L1680" s="1593"/>
      <c r="M1680" s="1594">
        <v>0</v>
      </c>
      <c r="N1680" s="1595">
        <v>1.5538088091302105</v>
      </c>
      <c r="O1680" s="1595"/>
    </row>
    <row r="1681" spans="11:15">
      <c r="K1681" s="1592">
        <v>43738</v>
      </c>
      <c r="L1681" s="1593" t="s">
        <v>2301</v>
      </c>
      <c r="M1681" s="1594">
        <v>2.0872000000000002E-2</v>
      </c>
      <c r="N1681" s="1595">
        <v>1.5541331201048523</v>
      </c>
      <c r="O1681" s="1595"/>
    </row>
    <row r="1682" spans="11:15">
      <c r="K1682" s="1592">
        <v>43739</v>
      </c>
      <c r="L1682" s="1593" t="s">
        <v>2301</v>
      </c>
      <c r="M1682" s="1594">
        <v>2.0872000000000002E-2</v>
      </c>
      <c r="N1682" s="1595">
        <v>1.5544574987696806</v>
      </c>
      <c r="O1682" s="1595"/>
    </row>
    <row r="1683" spans="11:15">
      <c r="K1683" s="1592">
        <v>43740</v>
      </c>
      <c r="L1683" s="1593" t="s">
        <v>2301</v>
      </c>
      <c r="M1683" s="1594">
        <v>2.0872000000000002E-2</v>
      </c>
      <c r="N1683" s="1595">
        <v>1.5547819451388238</v>
      </c>
      <c r="O1683" s="1595"/>
    </row>
    <row r="1684" spans="11:15">
      <c r="K1684" s="1592">
        <v>43741</v>
      </c>
      <c r="L1684" s="1593" t="s">
        <v>2301</v>
      </c>
      <c r="M1684" s="1594">
        <v>2.0872000000000002E-2</v>
      </c>
      <c r="N1684" s="1595">
        <v>1.5551064592264132</v>
      </c>
      <c r="O1684" s="1595"/>
    </row>
    <row r="1685" spans="11:15">
      <c r="K1685" s="1592">
        <v>43742</v>
      </c>
      <c r="L1685" s="1593" t="s">
        <v>2301</v>
      </c>
      <c r="M1685" s="1594">
        <v>2.0872000000000002E-2</v>
      </c>
      <c r="N1685" s="1595">
        <v>1.555431041046583</v>
      </c>
      <c r="O1685" s="1595"/>
    </row>
    <row r="1686" spans="11:15">
      <c r="K1686" s="1592">
        <v>43743</v>
      </c>
      <c r="L1686" s="1593"/>
      <c r="M1686" s="1594">
        <v>0</v>
      </c>
      <c r="N1686" s="1595">
        <v>1.555431041046583</v>
      </c>
      <c r="O1686" s="1595"/>
    </row>
    <row r="1687" spans="11:15">
      <c r="K1687" s="1592">
        <v>43744</v>
      </c>
      <c r="L1687" s="1593"/>
      <c r="M1687" s="1594">
        <v>0</v>
      </c>
      <c r="N1687" s="1595">
        <v>1.555431041046583</v>
      </c>
      <c r="O1687" s="1595"/>
    </row>
    <row r="1688" spans="11:15">
      <c r="K1688" s="1592">
        <v>43745</v>
      </c>
      <c r="L1688" s="1593" t="s">
        <v>2301</v>
      </c>
      <c r="M1688" s="1594">
        <v>2.0872000000000002E-2</v>
      </c>
      <c r="N1688" s="1595">
        <v>1.5557556906134704</v>
      </c>
      <c r="O1688" s="1595"/>
    </row>
    <row r="1689" spans="11:15">
      <c r="K1689" s="1592">
        <v>43746</v>
      </c>
      <c r="L1689" s="1593" t="s">
        <v>2301</v>
      </c>
      <c r="M1689" s="1594">
        <v>2.0872000000000002E-2</v>
      </c>
      <c r="N1689" s="1595">
        <v>1.5560804079412154</v>
      </c>
      <c r="O1689" s="1595"/>
    </row>
    <row r="1690" spans="11:15">
      <c r="K1690" s="1592">
        <v>43747</v>
      </c>
      <c r="L1690" s="1593" t="s">
        <v>2301</v>
      </c>
      <c r="M1690" s="1594">
        <v>2.0872000000000002E-2</v>
      </c>
      <c r="N1690" s="1595">
        <v>1.5564051930439609</v>
      </c>
      <c r="O1690" s="1595"/>
    </row>
    <row r="1691" spans="11:15">
      <c r="K1691" s="1592">
        <v>43748</v>
      </c>
      <c r="L1691" s="1593" t="s">
        <v>2301</v>
      </c>
      <c r="M1691" s="1594">
        <v>2.0872000000000002E-2</v>
      </c>
      <c r="N1691" s="1595">
        <v>1.5567300459358531</v>
      </c>
      <c r="O1691" s="1595"/>
    </row>
    <row r="1692" spans="11:15">
      <c r="K1692" s="1592">
        <v>43749</v>
      </c>
      <c r="L1692" s="1593" t="s">
        <v>2301</v>
      </c>
      <c r="M1692" s="1594">
        <v>2.0872000000000002E-2</v>
      </c>
      <c r="N1692" s="1595">
        <v>1.5570549666310409</v>
      </c>
      <c r="O1692" s="1595"/>
    </row>
    <row r="1693" spans="11:15">
      <c r="K1693" s="1592">
        <v>43750</v>
      </c>
      <c r="L1693" s="1593"/>
      <c r="M1693" s="1594">
        <v>0</v>
      </c>
      <c r="N1693" s="1595">
        <v>1.5570549666310409</v>
      </c>
      <c r="O1693" s="1595"/>
    </row>
    <row r="1694" spans="11:15">
      <c r="K1694" s="1592">
        <v>43751</v>
      </c>
      <c r="L1694" s="1593"/>
      <c r="M1694" s="1594">
        <v>0</v>
      </c>
      <c r="N1694" s="1595">
        <v>1.5570549666310409</v>
      </c>
      <c r="O1694" s="1595"/>
    </row>
    <row r="1695" spans="11:15">
      <c r="K1695" s="1592">
        <v>43752</v>
      </c>
      <c r="L1695" s="1593" t="s">
        <v>2301</v>
      </c>
      <c r="M1695" s="1594">
        <v>2.0872000000000002E-2</v>
      </c>
      <c r="N1695" s="1595">
        <v>1.5573799551436762</v>
      </c>
      <c r="O1695" s="1595"/>
    </row>
    <row r="1696" spans="11:15">
      <c r="K1696" s="1592">
        <v>43753</v>
      </c>
      <c r="L1696" s="1593" t="s">
        <v>2301</v>
      </c>
      <c r="M1696" s="1594">
        <v>2.0872000000000002E-2</v>
      </c>
      <c r="N1696" s="1595">
        <v>1.5577050114879138</v>
      </c>
      <c r="O1696" s="1595"/>
    </row>
    <row r="1697" spans="11:15">
      <c r="K1697" s="1592">
        <v>43754</v>
      </c>
      <c r="L1697" s="1593" t="s">
        <v>2301</v>
      </c>
      <c r="M1697" s="1594">
        <v>2.0872000000000002E-2</v>
      </c>
      <c r="N1697" s="1595">
        <v>1.5580301356779116</v>
      </c>
      <c r="O1697" s="1595"/>
    </row>
    <row r="1698" spans="11:15">
      <c r="K1698" s="1592">
        <v>43755</v>
      </c>
      <c r="L1698" s="1593" t="s">
        <v>2301</v>
      </c>
      <c r="M1698" s="1594">
        <v>2.0872000000000002E-2</v>
      </c>
      <c r="N1698" s="1595">
        <v>1.5583553277278304</v>
      </c>
      <c r="O1698" s="1595"/>
    </row>
    <row r="1699" spans="11:15">
      <c r="K1699" s="1592">
        <v>43756</v>
      </c>
      <c r="L1699" s="1593" t="s">
        <v>2301</v>
      </c>
      <c r="M1699" s="1594">
        <v>2.0872000000000002E-2</v>
      </c>
      <c r="N1699" s="1595">
        <v>1.5586805876518337</v>
      </c>
      <c r="O1699" s="1595"/>
    </row>
    <row r="1700" spans="11:15">
      <c r="K1700" s="1592">
        <v>43757</v>
      </c>
      <c r="L1700" s="1593"/>
      <c r="M1700" s="1594">
        <v>0</v>
      </c>
      <c r="N1700" s="1595">
        <v>1.5586805876518337</v>
      </c>
      <c r="O1700" s="1595"/>
    </row>
    <row r="1701" spans="11:15">
      <c r="K1701" s="1592">
        <v>43758</v>
      </c>
      <c r="L1701" s="1593"/>
      <c r="M1701" s="1594">
        <v>0</v>
      </c>
      <c r="N1701" s="1595">
        <v>1.5586805876518337</v>
      </c>
      <c r="O1701" s="1595"/>
    </row>
    <row r="1702" spans="11:15">
      <c r="K1702" s="1592">
        <v>43759</v>
      </c>
      <c r="L1702" s="1593" t="s">
        <v>2301</v>
      </c>
      <c r="M1702" s="1594">
        <v>2.0872000000000002E-2</v>
      </c>
      <c r="N1702" s="1595">
        <v>1.5590059154640885</v>
      </c>
      <c r="O1702" s="1595"/>
    </row>
    <row r="1703" spans="11:15">
      <c r="K1703" s="1592">
        <v>43760</v>
      </c>
      <c r="L1703" s="1593" t="s">
        <v>2301</v>
      </c>
      <c r="M1703" s="1594">
        <v>2.0872000000000002E-2</v>
      </c>
      <c r="N1703" s="1595">
        <v>1.5593313111787643</v>
      </c>
      <c r="O1703" s="1595"/>
    </row>
    <row r="1704" spans="11:15">
      <c r="K1704" s="1592">
        <v>43761</v>
      </c>
      <c r="L1704" s="1593" t="s">
        <v>2301</v>
      </c>
      <c r="M1704" s="1594">
        <v>2.0872000000000002E-2</v>
      </c>
      <c r="N1704" s="1595">
        <v>1.5596567748100336</v>
      </c>
      <c r="O1704" s="1595"/>
    </row>
    <row r="1705" spans="11:15">
      <c r="K1705" s="1592">
        <v>43762</v>
      </c>
      <c r="L1705" s="1593" t="s">
        <v>2301</v>
      </c>
      <c r="M1705" s="1594">
        <v>2.0872000000000002E-2</v>
      </c>
      <c r="N1705" s="1595">
        <v>1.5599823063720721</v>
      </c>
      <c r="O1705" s="1595"/>
    </row>
    <row r="1706" spans="11:15">
      <c r="K1706" s="1592">
        <v>43763</v>
      </c>
      <c r="L1706" s="1593" t="s">
        <v>2301</v>
      </c>
      <c r="M1706" s="1594">
        <v>2.0872000000000002E-2</v>
      </c>
      <c r="N1706" s="1595">
        <v>1.5603079058790581</v>
      </c>
      <c r="O1706" s="1595"/>
    </row>
    <row r="1707" spans="11:15">
      <c r="K1707" s="1592">
        <v>43764</v>
      </c>
      <c r="L1707" s="1593"/>
      <c r="M1707" s="1594">
        <v>0</v>
      </c>
      <c r="N1707" s="1595">
        <v>1.5603079058790581</v>
      </c>
      <c r="O1707" s="1595"/>
    </row>
    <row r="1708" spans="11:15">
      <c r="K1708" s="1592">
        <v>43765</v>
      </c>
      <c r="L1708" s="1593"/>
      <c r="M1708" s="1594">
        <v>0</v>
      </c>
      <c r="N1708" s="1595">
        <v>1.5603079058790581</v>
      </c>
      <c r="O1708" s="1595"/>
    </row>
    <row r="1709" spans="11:15">
      <c r="K1709" s="1592">
        <v>43766</v>
      </c>
      <c r="L1709" s="1593" t="s">
        <v>2301</v>
      </c>
      <c r="M1709" s="1594">
        <v>2.0872000000000002E-2</v>
      </c>
      <c r="N1709" s="1595">
        <v>1.5606335733451733</v>
      </c>
      <c r="O1709" s="1595"/>
    </row>
    <row r="1710" spans="11:15">
      <c r="K1710" s="1592">
        <v>43767</v>
      </c>
      <c r="L1710" s="1593" t="s">
        <v>2301</v>
      </c>
      <c r="M1710" s="1594">
        <v>2.0872000000000002E-2</v>
      </c>
      <c r="N1710" s="1595">
        <v>1.5609593087846019</v>
      </c>
      <c r="O1710" s="1595"/>
    </row>
    <row r="1711" spans="11:15">
      <c r="K1711" s="1592">
        <v>43768</v>
      </c>
      <c r="L1711" s="1593" t="s">
        <v>2301</v>
      </c>
      <c r="M1711" s="1594">
        <v>2.0872000000000002E-2</v>
      </c>
      <c r="N1711" s="1595">
        <v>1.5612851122115314</v>
      </c>
      <c r="O1711" s="1595"/>
    </row>
    <row r="1712" spans="11:15">
      <c r="K1712" s="1592">
        <v>43769</v>
      </c>
      <c r="L1712" s="1593" t="s">
        <v>2301</v>
      </c>
      <c r="M1712" s="1594">
        <v>1.8984999999999998E-2</v>
      </c>
      <c r="N1712" s="1595">
        <v>1.5615815221900846</v>
      </c>
      <c r="O1712" s="1595"/>
    </row>
    <row r="1713" spans="11:15">
      <c r="K1713" s="1592">
        <v>43770</v>
      </c>
      <c r="L1713" s="1593" t="s">
        <v>2301</v>
      </c>
      <c r="M1713" s="1594">
        <v>1.8984999999999998E-2</v>
      </c>
      <c r="N1713" s="1595">
        <v>1.5618779884420724</v>
      </c>
      <c r="O1713" s="1595"/>
    </row>
    <row r="1714" spans="11:15">
      <c r="K1714" s="1592">
        <v>43771</v>
      </c>
      <c r="L1714" s="1593"/>
      <c r="M1714" s="1594">
        <v>0</v>
      </c>
      <c r="N1714" s="1595">
        <v>1.5618779884420724</v>
      </c>
      <c r="O1714" s="1595"/>
    </row>
    <row r="1715" spans="11:15">
      <c r="K1715" s="1592">
        <v>43772</v>
      </c>
      <c r="L1715" s="1593"/>
      <c r="M1715" s="1594">
        <v>0</v>
      </c>
      <c r="N1715" s="1595">
        <v>1.5618779884420724</v>
      </c>
      <c r="O1715" s="1595"/>
    </row>
    <row r="1716" spans="11:15">
      <c r="K1716" s="1592">
        <v>43773</v>
      </c>
      <c r="L1716" s="1593" t="s">
        <v>2301</v>
      </c>
      <c r="M1716" s="1594">
        <v>1.8984999999999998E-2</v>
      </c>
      <c r="N1716" s="1595">
        <v>1.5621745109781779</v>
      </c>
      <c r="O1716" s="1595"/>
    </row>
    <row r="1717" spans="11:15">
      <c r="K1717" s="1592">
        <v>43774</v>
      </c>
      <c r="L1717" s="1593" t="s">
        <v>2301</v>
      </c>
      <c r="M1717" s="1594">
        <v>1.8984999999999998E-2</v>
      </c>
      <c r="N1717" s="1595">
        <v>1.562471089809087</v>
      </c>
      <c r="O1717" s="1595"/>
    </row>
    <row r="1718" spans="11:15">
      <c r="K1718" s="1592">
        <v>43775</v>
      </c>
      <c r="L1718" s="1593" t="s">
        <v>2301</v>
      </c>
      <c r="M1718" s="1594">
        <v>1.8984999999999998E-2</v>
      </c>
      <c r="N1718" s="1595">
        <v>1.5627677249454872</v>
      </c>
      <c r="O1718" s="1595"/>
    </row>
    <row r="1719" spans="11:15">
      <c r="K1719" s="1592">
        <v>43776</v>
      </c>
      <c r="L1719" s="1593" t="s">
        <v>2301</v>
      </c>
      <c r="M1719" s="1594">
        <v>1.8984999999999998E-2</v>
      </c>
      <c r="N1719" s="1595">
        <v>1.563064416398068</v>
      </c>
      <c r="O1719" s="1595"/>
    </row>
    <row r="1720" spans="11:15">
      <c r="K1720" s="1592">
        <v>43777</v>
      </c>
      <c r="L1720" s="1593" t="s">
        <v>2301</v>
      </c>
      <c r="M1720" s="1594">
        <v>1.8984999999999998E-2</v>
      </c>
      <c r="N1720" s="1595">
        <v>1.5633611641775211</v>
      </c>
      <c r="O1720" s="1595"/>
    </row>
    <row r="1721" spans="11:15">
      <c r="K1721" s="1592">
        <v>43778</v>
      </c>
      <c r="L1721" s="1593"/>
      <c r="M1721" s="1594">
        <v>0</v>
      </c>
      <c r="N1721" s="1595">
        <v>1.5633611641775211</v>
      </c>
      <c r="O1721" s="1595"/>
    </row>
    <row r="1722" spans="11:15">
      <c r="K1722" s="1592">
        <v>43779</v>
      </c>
      <c r="L1722" s="1593"/>
      <c r="M1722" s="1594">
        <v>0</v>
      </c>
      <c r="N1722" s="1595">
        <v>1.5633611641775211</v>
      </c>
      <c r="O1722" s="1595"/>
    </row>
    <row r="1723" spans="11:15">
      <c r="K1723" s="1592">
        <v>43780</v>
      </c>
      <c r="L1723" s="1593" t="s">
        <v>2301</v>
      </c>
      <c r="M1723" s="1594">
        <v>1.8984999999999998E-2</v>
      </c>
      <c r="N1723" s="1595">
        <v>1.5636579682945402</v>
      </c>
      <c r="O1723" s="1595"/>
    </row>
    <row r="1724" spans="11:15">
      <c r="K1724" s="1592">
        <v>43781</v>
      </c>
      <c r="L1724" s="1593" t="s">
        <v>2301</v>
      </c>
      <c r="M1724" s="1594">
        <v>1.8984999999999998E-2</v>
      </c>
      <c r="N1724" s="1595">
        <v>1.5639548287598208</v>
      </c>
      <c r="O1724" s="1595"/>
    </row>
    <row r="1725" spans="11:15">
      <c r="K1725" s="1592">
        <v>43782</v>
      </c>
      <c r="L1725" s="1593" t="s">
        <v>2301</v>
      </c>
      <c r="M1725" s="1594">
        <v>1.8984999999999998E-2</v>
      </c>
      <c r="N1725" s="1595">
        <v>1.5642517455840608</v>
      </c>
      <c r="O1725" s="1595"/>
    </row>
    <row r="1726" spans="11:15">
      <c r="K1726" s="1592">
        <v>43783</v>
      </c>
      <c r="L1726" s="1593" t="s">
        <v>2301</v>
      </c>
      <c r="M1726" s="1594">
        <v>1.8984999999999998E-2</v>
      </c>
      <c r="N1726" s="1595">
        <v>1.5645487187779599</v>
      </c>
      <c r="O1726" s="1595"/>
    </row>
    <row r="1727" spans="11:15">
      <c r="K1727" s="1592">
        <v>43784</v>
      </c>
      <c r="L1727" s="1593"/>
      <c r="M1727" s="1594">
        <v>0</v>
      </c>
      <c r="N1727" s="1595">
        <v>1.5645487187779599</v>
      </c>
      <c r="O1727" s="1595"/>
    </row>
    <row r="1728" spans="11:15">
      <c r="K1728" s="1592">
        <v>43785</v>
      </c>
      <c r="L1728" s="1593"/>
      <c r="M1728" s="1594">
        <v>0</v>
      </c>
      <c r="N1728" s="1595">
        <v>1.5645487187779599</v>
      </c>
      <c r="O1728" s="1595"/>
    </row>
    <row r="1729" spans="11:15">
      <c r="K1729" s="1592">
        <v>43786</v>
      </c>
      <c r="L1729" s="1593"/>
      <c r="M1729" s="1594">
        <v>0</v>
      </c>
      <c r="N1729" s="1595">
        <v>1.5645487187779599</v>
      </c>
      <c r="O1729" s="1595"/>
    </row>
    <row r="1730" spans="11:15">
      <c r="K1730" s="1592">
        <v>43787</v>
      </c>
      <c r="L1730" s="1593" t="s">
        <v>2301</v>
      </c>
      <c r="M1730" s="1594">
        <v>1.8984999999999998E-2</v>
      </c>
      <c r="N1730" s="1595">
        <v>1.5648457483522198</v>
      </c>
      <c r="O1730" s="1595"/>
    </row>
    <row r="1731" spans="11:15">
      <c r="K1731" s="1592">
        <v>43788</v>
      </c>
      <c r="L1731" s="1593" t="s">
        <v>2301</v>
      </c>
      <c r="M1731" s="1594">
        <v>1.8984999999999998E-2</v>
      </c>
      <c r="N1731" s="1595">
        <v>1.5651428343175444</v>
      </c>
      <c r="O1731" s="1595"/>
    </row>
    <row r="1732" spans="11:15">
      <c r="K1732" s="1592">
        <v>43789</v>
      </c>
      <c r="L1732" s="1593" t="s">
        <v>2301</v>
      </c>
      <c r="M1732" s="1594">
        <v>1.8984999999999998E-2</v>
      </c>
      <c r="N1732" s="1595">
        <v>1.5654399766846394</v>
      </c>
      <c r="O1732" s="1595"/>
    </row>
    <row r="1733" spans="11:15">
      <c r="K1733" s="1592">
        <v>43790</v>
      </c>
      <c r="L1733" s="1593" t="s">
        <v>2301</v>
      </c>
      <c r="M1733" s="1594">
        <v>1.8984999999999998E-2</v>
      </c>
      <c r="N1733" s="1595">
        <v>1.5657371754642129</v>
      </c>
      <c r="O1733" s="1595"/>
    </row>
    <row r="1734" spans="11:15">
      <c r="K1734" s="1592">
        <v>43791</v>
      </c>
      <c r="L1734" s="1593" t="s">
        <v>2301</v>
      </c>
      <c r="M1734" s="1594">
        <v>1.8984999999999998E-2</v>
      </c>
      <c r="N1734" s="1595">
        <v>1.5660344306669747</v>
      </c>
      <c r="O1734" s="1595"/>
    </row>
    <row r="1735" spans="11:15">
      <c r="K1735" s="1592">
        <v>43792</v>
      </c>
      <c r="L1735" s="1593"/>
      <c r="M1735" s="1594">
        <v>0</v>
      </c>
      <c r="N1735" s="1595">
        <v>1.5660344306669747</v>
      </c>
      <c r="O1735" s="1595"/>
    </row>
    <row r="1736" spans="11:15">
      <c r="K1736" s="1592">
        <v>43793</v>
      </c>
      <c r="L1736" s="1593"/>
      <c r="M1736" s="1594">
        <v>0</v>
      </c>
      <c r="N1736" s="1595">
        <v>1.5660344306669747</v>
      </c>
      <c r="O1736" s="1595"/>
    </row>
    <row r="1737" spans="11:15">
      <c r="K1737" s="1592">
        <v>43794</v>
      </c>
      <c r="L1737" s="1593" t="s">
        <v>2301</v>
      </c>
      <c r="M1737" s="1594">
        <v>1.8984999999999998E-2</v>
      </c>
      <c r="N1737" s="1595">
        <v>1.5663317423036367</v>
      </c>
      <c r="O1737" s="1595"/>
    </row>
    <row r="1738" spans="11:15">
      <c r="K1738" s="1592">
        <v>43795</v>
      </c>
      <c r="L1738" s="1593" t="s">
        <v>2301</v>
      </c>
      <c r="M1738" s="1594">
        <v>1.8984999999999998E-2</v>
      </c>
      <c r="N1738" s="1595">
        <v>1.566629110384913</v>
      </c>
      <c r="O1738" s="1595"/>
    </row>
    <row r="1739" spans="11:15">
      <c r="K1739" s="1592">
        <v>43796</v>
      </c>
      <c r="L1739" s="1593" t="s">
        <v>2301</v>
      </c>
      <c r="M1739" s="1594">
        <v>1.8984999999999998E-2</v>
      </c>
      <c r="N1739" s="1595">
        <v>1.5669265349215196</v>
      </c>
      <c r="O1739" s="1595"/>
    </row>
    <row r="1740" spans="11:15">
      <c r="K1740" s="1592">
        <v>43797</v>
      </c>
      <c r="L1740" s="1593" t="s">
        <v>2301</v>
      </c>
      <c r="M1740" s="1594">
        <v>1.8984999999999998E-2</v>
      </c>
      <c r="N1740" s="1595">
        <v>1.5672240159241744</v>
      </c>
      <c r="O1740" s="1595"/>
    </row>
    <row r="1741" spans="11:15">
      <c r="K1741" s="1592">
        <v>43798</v>
      </c>
      <c r="L1741" s="1593" t="s">
        <v>2301</v>
      </c>
      <c r="M1741" s="1594">
        <v>1.8984999999999998E-2</v>
      </c>
      <c r="N1741" s="1595">
        <v>1.5675215534035976</v>
      </c>
      <c r="O1741" s="1595"/>
    </row>
    <row r="1742" spans="11:15">
      <c r="K1742" s="1592">
        <v>43799</v>
      </c>
      <c r="L1742" s="1593"/>
      <c r="M1742" s="1594">
        <v>0</v>
      </c>
      <c r="N1742" s="1595">
        <v>1.5675215534035976</v>
      </c>
      <c r="O1742" s="1595"/>
    </row>
    <row r="1743" spans="11:15">
      <c r="K1743" s="1592">
        <v>43800</v>
      </c>
      <c r="L1743" s="1593"/>
      <c r="M1743" s="1594">
        <v>0</v>
      </c>
      <c r="N1743" s="1595">
        <v>1.5675215534035976</v>
      </c>
      <c r="O1743" s="1595"/>
    </row>
    <row r="1744" spans="11:15">
      <c r="K1744" s="1592">
        <v>43801</v>
      </c>
      <c r="L1744" s="1593" t="s">
        <v>2301</v>
      </c>
      <c r="M1744" s="1594">
        <v>1.8984999999999998E-2</v>
      </c>
      <c r="N1744" s="1595">
        <v>1.5678191473705112</v>
      </c>
      <c r="O1744" s="1595"/>
    </row>
    <row r="1745" spans="11:15">
      <c r="K1745" s="1592">
        <v>43802</v>
      </c>
      <c r="L1745" s="1593" t="s">
        <v>2301</v>
      </c>
      <c r="M1745" s="1594">
        <v>1.8984999999999998E-2</v>
      </c>
      <c r="N1745" s="1595">
        <v>1.5681167978356394</v>
      </c>
      <c r="O1745" s="1595"/>
    </row>
    <row r="1746" spans="11:15">
      <c r="K1746" s="1592">
        <v>43803</v>
      </c>
      <c r="L1746" s="1593" t="s">
        <v>2301</v>
      </c>
      <c r="M1746" s="1594">
        <v>1.8984999999999998E-2</v>
      </c>
      <c r="N1746" s="1595">
        <v>1.5684145048097085</v>
      </c>
      <c r="O1746" s="1595"/>
    </row>
    <row r="1747" spans="11:15">
      <c r="K1747" s="1592">
        <v>43804</v>
      </c>
      <c r="L1747" s="1593" t="s">
        <v>2301</v>
      </c>
      <c r="M1747" s="1594">
        <v>1.8984999999999998E-2</v>
      </c>
      <c r="N1747" s="1595">
        <v>1.5687122683034465</v>
      </c>
      <c r="O1747" s="1595"/>
    </row>
    <row r="1748" spans="11:15">
      <c r="K1748" s="1592">
        <v>43805</v>
      </c>
      <c r="L1748" s="1593" t="s">
        <v>2301</v>
      </c>
      <c r="M1748" s="1594">
        <v>1.8984999999999998E-2</v>
      </c>
      <c r="N1748" s="1595">
        <v>1.5690100883275837</v>
      </c>
      <c r="O1748" s="1595"/>
    </row>
    <row r="1749" spans="11:15">
      <c r="K1749" s="1592">
        <v>43806</v>
      </c>
      <c r="L1749" s="1593"/>
      <c r="M1749" s="1594">
        <v>0</v>
      </c>
      <c r="N1749" s="1595">
        <v>1.5690100883275837</v>
      </c>
      <c r="O1749" s="1595"/>
    </row>
    <row r="1750" spans="11:15">
      <c r="K1750" s="1592">
        <v>43807</v>
      </c>
      <c r="L1750" s="1593"/>
      <c r="M1750" s="1594">
        <v>0</v>
      </c>
      <c r="N1750" s="1595">
        <v>1.5690100883275837</v>
      </c>
      <c r="O1750" s="1595"/>
    </row>
    <row r="1751" spans="11:15">
      <c r="K1751" s="1592">
        <v>43808</v>
      </c>
      <c r="L1751" s="1593" t="s">
        <v>2301</v>
      </c>
      <c r="M1751" s="1594">
        <v>1.8984999999999998E-2</v>
      </c>
      <c r="N1751" s="1595">
        <v>1.5693079648928525</v>
      </c>
      <c r="O1751" s="1595"/>
    </row>
    <row r="1752" spans="11:15">
      <c r="K1752" s="1592">
        <v>43809</v>
      </c>
      <c r="L1752" s="1593" t="s">
        <v>2301</v>
      </c>
      <c r="M1752" s="1594">
        <v>1.8984999999999998E-2</v>
      </c>
      <c r="N1752" s="1595">
        <v>1.5696058980099874</v>
      </c>
      <c r="O1752" s="1595"/>
    </row>
    <row r="1753" spans="11:15">
      <c r="K1753" s="1592">
        <v>43810</v>
      </c>
      <c r="L1753" s="1593" t="s">
        <v>2301</v>
      </c>
      <c r="M1753" s="1594">
        <v>1.8984999999999998E-2</v>
      </c>
      <c r="N1753" s="1595">
        <v>1.5699038876897244</v>
      </c>
      <c r="O1753" s="1595"/>
    </row>
    <row r="1754" spans="11:15">
      <c r="K1754" s="1592">
        <v>43811</v>
      </c>
      <c r="L1754" s="1593" t="s">
        <v>2301</v>
      </c>
      <c r="M1754" s="1594">
        <v>1.7089E-2</v>
      </c>
      <c r="N1754" s="1595">
        <v>1.5701721685650916</v>
      </c>
      <c r="O1754" s="1595"/>
    </row>
    <row r="1755" spans="11:15">
      <c r="K1755" s="1592">
        <v>43812</v>
      </c>
      <c r="L1755" s="1593" t="s">
        <v>2301</v>
      </c>
      <c r="M1755" s="1594">
        <v>1.7089E-2</v>
      </c>
      <c r="N1755" s="1595">
        <v>1.5704404952869775</v>
      </c>
      <c r="O1755" s="1595"/>
    </row>
    <row r="1756" spans="11:15">
      <c r="K1756" s="1592">
        <v>43813</v>
      </c>
      <c r="L1756" s="1593"/>
      <c r="M1756" s="1594">
        <v>0</v>
      </c>
      <c r="N1756" s="1595">
        <v>1.5704404952869775</v>
      </c>
      <c r="O1756" s="1595"/>
    </row>
    <row r="1757" spans="11:15">
      <c r="K1757" s="1592">
        <v>43814</v>
      </c>
      <c r="L1757" s="1593"/>
      <c r="M1757" s="1594">
        <v>0</v>
      </c>
      <c r="N1757" s="1595">
        <v>1.5704404952869775</v>
      </c>
      <c r="O1757" s="1595"/>
    </row>
    <row r="1758" spans="11:15">
      <c r="K1758" s="1592">
        <v>43815</v>
      </c>
      <c r="L1758" s="1593" t="s">
        <v>2301</v>
      </c>
      <c r="M1758" s="1594">
        <v>1.7089E-2</v>
      </c>
      <c r="N1758" s="1595">
        <v>1.5707088678632171</v>
      </c>
      <c r="O1758" s="1595"/>
    </row>
    <row r="1759" spans="11:15">
      <c r="K1759" s="1592">
        <v>43816</v>
      </c>
      <c r="L1759" s="1593" t="s">
        <v>2301</v>
      </c>
      <c r="M1759" s="1594">
        <v>1.7089E-2</v>
      </c>
      <c r="N1759" s="1595">
        <v>1.570977286301646</v>
      </c>
      <c r="O1759" s="1595"/>
    </row>
    <row r="1760" spans="11:15">
      <c r="K1760" s="1592">
        <v>43817</v>
      </c>
      <c r="L1760" s="1593" t="s">
        <v>2301</v>
      </c>
      <c r="M1760" s="1594">
        <v>1.7089E-2</v>
      </c>
      <c r="N1760" s="1595">
        <v>1.5712457506101021</v>
      </c>
      <c r="O1760" s="1595"/>
    </row>
    <row r="1761" spans="11:15">
      <c r="K1761" s="1592">
        <v>43818</v>
      </c>
      <c r="L1761" s="1593" t="s">
        <v>2301</v>
      </c>
      <c r="M1761" s="1594">
        <v>1.7089E-2</v>
      </c>
      <c r="N1761" s="1595">
        <v>1.5715142607964236</v>
      </c>
      <c r="O1761" s="1595"/>
    </row>
    <row r="1762" spans="11:15">
      <c r="K1762" s="1592">
        <v>43819</v>
      </c>
      <c r="L1762" s="1593" t="s">
        <v>2301</v>
      </c>
      <c r="M1762" s="1594">
        <v>1.7089E-2</v>
      </c>
      <c r="N1762" s="1595">
        <v>1.5717828168684511</v>
      </c>
      <c r="O1762" s="1595"/>
    </row>
    <row r="1763" spans="11:15">
      <c r="K1763" s="1592">
        <v>43820</v>
      </c>
      <c r="L1763" s="1593"/>
      <c r="M1763" s="1594">
        <v>0</v>
      </c>
      <c r="N1763" s="1595">
        <v>1.5717828168684511</v>
      </c>
      <c r="O1763" s="1595"/>
    </row>
    <row r="1764" spans="11:15">
      <c r="K1764" s="1592">
        <v>43821</v>
      </c>
      <c r="L1764" s="1593"/>
      <c r="M1764" s="1594">
        <v>0</v>
      </c>
      <c r="N1764" s="1595">
        <v>1.5717828168684511</v>
      </c>
      <c r="O1764" s="1595"/>
    </row>
    <row r="1765" spans="11:15">
      <c r="K1765" s="1592">
        <v>43822</v>
      </c>
      <c r="L1765" s="1593" t="s">
        <v>2301</v>
      </c>
      <c r="M1765" s="1594">
        <v>1.7089E-2</v>
      </c>
      <c r="N1765" s="1595">
        <v>1.5720514188340255</v>
      </c>
      <c r="O1765" s="1595"/>
    </row>
    <row r="1766" spans="11:15">
      <c r="K1766" s="1592">
        <v>43823</v>
      </c>
      <c r="L1766" s="1593" t="s">
        <v>2301</v>
      </c>
      <c r="M1766" s="1594">
        <v>1.7089E-2</v>
      </c>
      <c r="N1766" s="1595">
        <v>1.57232006670099</v>
      </c>
      <c r="O1766" s="1595"/>
    </row>
    <row r="1767" spans="11:15">
      <c r="K1767" s="1592">
        <v>43824</v>
      </c>
      <c r="L1767" s="1593"/>
      <c r="M1767" s="1594">
        <v>0</v>
      </c>
      <c r="N1767" s="1595">
        <v>1.57232006670099</v>
      </c>
      <c r="O1767" s="1595"/>
    </row>
    <row r="1768" spans="11:15">
      <c r="K1768" s="1592">
        <v>43825</v>
      </c>
      <c r="L1768" s="1593" t="s">
        <v>2301</v>
      </c>
      <c r="M1768" s="1594">
        <v>1.7089E-2</v>
      </c>
      <c r="N1768" s="1595">
        <v>1.5725887604771884</v>
      </c>
      <c r="O1768" s="1595"/>
    </row>
    <row r="1769" spans="11:15">
      <c r="K1769" s="1592">
        <v>43826</v>
      </c>
      <c r="L1769" s="1593" t="s">
        <v>2301</v>
      </c>
      <c r="M1769" s="1594">
        <v>1.7089E-2</v>
      </c>
      <c r="N1769" s="1595">
        <v>1.5728575001704663</v>
      </c>
      <c r="O1769" s="1595"/>
    </row>
    <row r="1770" spans="11:15">
      <c r="K1770" s="1592">
        <v>43827</v>
      </c>
      <c r="L1770" s="1593"/>
      <c r="M1770" s="1594">
        <v>0</v>
      </c>
      <c r="N1770" s="1595">
        <v>1.5728575001704663</v>
      </c>
      <c r="O1770" s="1595"/>
    </row>
    <row r="1771" spans="11:15">
      <c r="K1771" s="1592">
        <v>43828</v>
      </c>
      <c r="L1771" s="1593"/>
      <c r="M1771" s="1594">
        <v>0</v>
      </c>
      <c r="N1771" s="1595">
        <v>1.5728575001704663</v>
      </c>
      <c r="O1771" s="1595"/>
    </row>
    <row r="1772" spans="11:15">
      <c r="K1772" s="1592">
        <v>43829</v>
      </c>
      <c r="L1772" s="1593" t="s">
        <v>2301</v>
      </c>
      <c r="M1772" s="1594">
        <v>1.7089E-2</v>
      </c>
      <c r="N1772" s="1595">
        <v>1.5731262857886703</v>
      </c>
      <c r="O1772" s="1595"/>
    </row>
    <row r="1773" spans="11:15">
      <c r="K1773" s="1592">
        <v>43830</v>
      </c>
      <c r="L1773" s="1593" t="s">
        <v>2301</v>
      </c>
      <c r="M1773" s="1594">
        <v>1.7089E-2</v>
      </c>
      <c r="N1773" s="1595">
        <v>1.5733951173396485</v>
      </c>
      <c r="O1773" s="1595"/>
    </row>
    <row r="1774" spans="11:15">
      <c r="K1774" s="1592">
        <v>43831</v>
      </c>
      <c r="L1774" s="1593"/>
      <c r="M1774" s="1594">
        <v>0</v>
      </c>
      <c r="N1774" s="1595">
        <v>1.5733951173396485</v>
      </c>
      <c r="O1774" s="1595"/>
    </row>
    <row r="1775" spans="11:15">
      <c r="K1775" s="1592">
        <v>43832</v>
      </c>
      <c r="L1775" s="1593" t="s">
        <v>2301</v>
      </c>
      <c r="M1775" s="1594">
        <v>1.7089E-2</v>
      </c>
      <c r="N1775" s="1595">
        <v>1.5736639948312505</v>
      </c>
      <c r="O1775" s="1595"/>
    </row>
    <row r="1776" spans="11:15">
      <c r="K1776" s="1592">
        <v>43833</v>
      </c>
      <c r="L1776" s="1593" t="s">
        <v>2301</v>
      </c>
      <c r="M1776" s="1594">
        <v>1.7089E-2</v>
      </c>
      <c r="N1776" s="1595">
        <v>1.5739329182713271</v>
      </c>
      <c r="O1776" s="1595"/>
    </row>
    <row r="1777" spans="11:15">
      <c r="K1777" s="1592">
        <v>43834</v>
      </c>
      <c r="L1777" s="1593"/>
      <c r="M1777" s="1594">
        <v>0</v>
      </c>
      <c r="N1777" s="1595">
        <v>1.5739329182713271</v>
      </c>
      <c r="O1777" s="1595"/>
    </row>
    <row r="1778" spans="11:15">
      <c r="K1778" s="1592">
        <v>43835</v>
      </c>
      <c r="L1778" s="1593"/>
      <c r="M1778" s="1594">
        <v>0</v>
      </c>
      <c r="N1778" s="1595">
        <v>1.5739329182713271</v>
      </c>
      <c r="O1778" s="1595"/>
    </row>
    <row r="1779" spans="11:15">
      <c r="K1779" s="1592">
        <v>43836</v>
      </c>
      <c r="L1779" s="1593" t="s">
        <v>2301</v>
      </c>
      <c r="M1779" s="1594">
        <v>1.7089E-2</v>
      </c>
      <c r="N1779" s="1595">
        <v>1.5742018876677304</v>
      </c>
      <c r="O1779" s="1595"/>
    </row>
    <row r="1780" spans="11:15">
      <c r="K1780" s="1592">
        <v>43837</v>
      </c>
      <c r="L1780" s="1593" t="s">
        <v>2301</v>
      </c>
      <c r="M1780" s="1594">
        <v>1.7089E-2</v>
      </c>
      <c r="N1780" s="1595">
        <v>1.5744709030283137</v>
      </c>
      <c r="O1780" s="1595"/>
    </row>
    <row r="1781" spans="11:15">
      <c r="K1781" s="1592">
        <v>43838</v>
      </c>
      <c r="L1781" s="1593" t="s">
        <v>2301</v>
      </c>
      <c r="M1781" s="1594">
        <v>1.7089E-2</v>
      </c>
      <c r="N1781" s="1595">
        <v>1.5747399643609321</v>
      </c>
      <c r="O1781" s="1595"/>
    </row>
    <row r="1782" spans="11:15">
      <c r="K1782" s="1592">
        <v>43839</v>
      </c>
      <c r="L1782" s="1593" t="s">
        <v>2301</v>
      </c>
      <c r="M1782" s="1594">
        <v>1.7089E-2</v>
      </c>
      <c r="N1782" s="1595">
        <v>1.5750090716734417</v>
      </c>
      <c r="O1782" s="1595"/>
    </row>
    <row r="1783" spans="11:15">
      <c r="K1783" s="1592">
        <v>43840</v>
      </c>
      <c r="L1783" s="1593" t="s">
        <v>2301</v>
      </c>
      <c r="M1783" s="1594">
        <v>1.7089E-2</v>
      </c>
      <c r="N1783" s="1595">
        <v>1.5752782249736998</v>
      </c>
      <c r="O1783" s="1595"/>
    </row>
    <row r="1784" spans="11:15">
      <c r="K1784" s="1592">
        <v>43841</v>
      </c>
      <c r="L1784" s="1593"/>
      <c r="M1784" s="1594">
        <v>0</v>
      </c>
      <c r="N1784" s="1595">
        <v>1.5752782249736998</v>
      </c>
      <c r="O1784" s="1595"/>
    </row>
    <row r="1785" spans="11:15">
      <c r="K1785" s="1592">
        <v>43842</v>
      </c>
      <c r="L1785" s="1593"/>
      <c r="M1785" s="1594">
        <v>0</v>
      </c>
      <c r="N1785" s="1595">
        <v>1.5752782249736998</v>
      </c>
      <c r="O1785" s="1595"/>
    </row>
    <row r="1786" spans="11:15">
      <c r="K1786" s="1592">
        <v>43843</v>
      </c>
      <c r="L1786" s="1593" t="s">
        <v>2301</v>
      </c>
      <c r="M1786" s="1594">
        <v>1.7089E-2</v>
      </c>
      <c r="N1786" s="1595">
        <v>1.5755474242695655</v>
      </c>
      <c r="O1786" s="1595"/>
    </row>
    <row r="1787" spans="11:15">
      <c r="K1787" s="1592">
        <v>43844</v>
      </c>
      <c r="L1787" s="1593" t="s">
        <v>2301</v>
      </c>
      <c r="M1787" s="1594">
        <v>1.7089E-2</v>
      </c>
      <c r="N1787" s="1595">
        <v>1.5758166695688989</v>
      </c>
      <c r="O1787" s="1595"/>
    </row>
    <row r="1788" spans="11:15">
      <c r="K1788" s="1592">
        <v>43845</v>
      </c>
      <c r="L1788" s="1593" t="s">
        <v>2301</v>
      </c>
      <c r="M1788" s="1594">
        <v>1.7089E-2</v>
      </c>
      <c r="N1788" s="1595">
        <v>1.5760859608795614</v>
      </c>
      <c r="O1788" s="1595"/>
    </row>
    <row r="1789" spans="11:15">
      <c r="K1789" s="1592">
        <v>43846</v>
      </c>
      <c r="L1789" s="1593" t="s">
        <v>2301</v>
      </c>
      <c r="M1789" s="1594">
        <v>1.7089E-2</v>
      </c>
      <c r="N1789" s="1595">
        <v>1.576355298209416</v>
      </c>
      <c r="O1789" s="1595"/>
    </row>
    <row r="1790" spans="11:15">
      <c r="K1790" s="1592">
        <v>43847</v>
      </c>
      <c r="L1790" s="1593" t="s">
        <v>2301</v>
      </c>
      <c r="M1790" s="1594">
        <v>1.7089E-2</v>
      </c>
      <c r="N1790" s="1595">
        <v>1.576624681566327</v>
      </c>
      <c r="O1790" s="1595"/>
    </row>
    <row r="1791" spans="11:15">
      <c r="K1791" s="1592">
        <v>43848</v>
      </c>
      <c r="L1791" s="1593"/>
      <c r="M1791" s="1594">
        <v>0</v>
      </c>
      <c r="N1791" s="1595">
        <v>1.576624681566327</v>
      </c>
      <c r="O1791" s="1595"/>
    </row>
    <row r="1792" spans="11:15">
      <c r="K1792" s="1592">
        <v>43849</v>
      </c>
      <c r="L1792" s="1593"/>
      <c r="M1792" s="1594">
        <v>0</v>
      </c>
      <c r="N1792" s="1595">
        <v>1.576624681566327</v>
      </c>
      <c r="O1792" s="1595"/>
    </row>
    <row r="1793" spans="11:15">
      <c r="K1793" s="1592">
        <v>43850</v>
      </c>
      <c r="L1793" s="1593" t="s">
        <v>2301</v>
      </c>
      <c r="M1793" s="1594">
        <v>1.7089E-2</v>
      </c>
      <c r="N1793" s="1595">
        <v>1.5768941109581598</v>
      </c>
      <c r="O1793" s="1595"/>
    </row>
    <row r="1794" spans="11:15">
      <c r="K1794" s="1592">
        <v>43851</v>
      </c>
      <c r="L1794" s="1593" t="s">
        <v>2301</v>
      </c>
      <c r="M1794" s="1594">
        <v>1.7089E-2</v>
      </c>
      <c r="N1794" s="1595">
        <v>1.5771635863927813</v>
      </c>
      <c r="O1794" s="1595"/>
    </row>
    <row r="1795" spans="11:15">
      <c r="K1795" s="1592">
        <v>43852</v>
      </c>
      <c r="L1795" s="1593" t="s">
        <v>2301</v>
      </c>
      <c r="M1795" s="1594">
        <v>1.7089E-2</v>
      </c>
      <c r="N1795" s="1595">
        <v>1.5774331078780599</v>
      </c>
      <c r="O1795" s="1595"/>
    </row>
    <row r="1796" spans="11:15">
      <c r="K1796" s="1592">
        <v>43853</v>
      </c>
      <c r="L1796" s="1593" t="s">
        <v>2301</v>
      </c>
      <c r="M1796" s="1594">
        <v>1.7089E-2</v>
      </c>
      <c r="N1796" s="1595">
        <v>1.577702675421865</v>
      </c>
      <c r="O1796" s="1595"/>
    </row>
    <row r="1797" spans="11:15">
      <c r="K1797" s="1592">
        <v>43854</v>
      </c>
      <c r="L1797" s="1593" t="s">
        <v>2301</v>
      </c>
      <c r="M1797" s="1594">
        <v>1.7089E-2</v>
      </c>
      <c r="N1797" s="1595">
        <v>1.5779722890320678</v>
      </c>
      <c r="O1797" s="1595"/>
    </row>
    <row r="1798" spans="11:15">
      <c r="K1798" s="1592">
        <v>43855</v>
      </c>
      <c r="L1798" s="1593"/>
      <c r="M1798" s="1594">
        <v>0</v>
      </c>
      <c r="N1798" s="1595">
        <v>1.5779722890320678</v>
      </c>
      <c r="O1798" s="1595"/>
    </row>
    <row r="1799" spans="11:15">
      <c r="K1799" s="1592">
        <v>43856</v>
      </c>
      <c r="L1799" s="1593"/>
      <c r="M1799" s="1594">
        <v>0</v>
      </c>
      <c r="N1799" s="1595">
        <v>1.5779722890320678</v>
      </c>
      <c r="O1799" s="1595"/>
    </row>
    <row r="1800" spans="11:15">
      <c r="K1800" s="1592">
        <v>43857</v>
      </c>
      <c r="L1800" s="1593" t="s">
        <v>2301</v>
      </c>
      <c r="M1800" s="1594">
        <v>1.7089E-2</v>
      </c>
      <c r="N1800" s="1595">
        <v>1.5782419487165404</v>
      </c>
      <c r="O1800" s="1595"/>
    </row>
    <row r="1801" spans="11:15">
      <c r="K1801" s="1592">
        <v>43858</v>
      </c>
      <c r="L1801" s="1593" t="s">
        <v>2301</v>
      </c>
      <c r="M1801" s="1594">
        <v>1.7089E-2</v>
      </c>
      <c r="N1801" s="1595">
        <v>1.5785116544831566</v>
      </c>
      <c r="O1801" s="1595"/>
    </row>
    <row r="1802" spans="11:15">
      <c r="K1802" s="1592">
        <v>43859</v>
      </c>
      <c r="L1802" s="1593" t="s">
        <v>2301</v>
      </c>
      <c r="M1802" s="1594">
        <v>1.7089E-2</v>
      </c>
      <c r="N1802" s="1595">
        <v>1.5787814063397911</v>
      </c>
      <c r="O1802" s="1595"/>
    </row>
    <row r="1803" spans="11:15">
      <c r="K1803" s="1592">
        <v>43860</v>
      </c>
      <c r="L1803" s="1593" t="s">
        <v>2301</v>
      </c>
      <c r="M1803" s="1594">
        <v>1.7089E-2</v>
      </c>
      <c r="N1803" s="1595">
        <v>1.5790512042943203</v>
      </c>
      <c r="O1803" s="1595"/>
    </row>
    <row r="1804" spans="11:15">
      <c r="K1804" s="1592">
        <v>43861</v>
      </c>
      <c r="L1804" s="1593" t="s">
        <v>2301</v>
      </c>
      <c r="M1804" s="1594">
        <v>1.7089E-2</v>
      </c>
      <c r="N1804" s="1595">
        <v>1.5793210483546221</v>
      </c>
      <c r="O1804" s="1595"/>
    </row>
    <row r="1805" spans="11:15">
      <c r="K1805" s="1592">
        <v>43862</v>
      </c>
      <c r="L1805" s="1593"/>
      <c r="M1805" s="1594">
        <v>0</v>
      </c>
      <c r="N1805" s="1595">
        <v>1.5793210483546221</v>
      </c>
      <c r="O1805" s="1595"/>
    </row>
    <row r="1806" spans="11:15">
      <c r="K1806" s="1592">
        <v>43863</v>
      </c>
      <c r="L1806" s="1593"/>
      <c r="M1806" s="1594">
        <v>0</v>
      </c>
      <c r="N1806" s="1595">
        <v>1.5793210483546221</v>
      </c>
      <c r="O1806" s="1595"/>
    </row>
    <row r="1807" spans="11:15">
      <c r="K1807" s="1592">
        <v>43864</v>
      </c>
      <c r="L1807" s="1593" t="s">
        <v>2301</v>
      </c>
      <c r="M1807" s="1594">
        <v>1.7089E-2</v>
      </c>
      <c r="N1807" s="1595">
        <v>1.5795909385285754</v>
      </c>
      <c r="O1807" s="1595"/>
    </row>
    <row r="1808" spans="11:15">
      <c r="K1808" s="1592">
        <v>43865</v>
      </c>
      <c r="L1808" s="1593" t="s">
        <v>2301</v>
      </c>
      <c r="M1808" s="1594">
        <v>1.7089E-2</v>
      </c>
      <c r="N1808" s="1595">
        <v>1.5798608748240603</v>
      </c>
      <c r="O1808" s="1595"/>
    </row>
    <row r="1809" spans="11:15">
      <c r="K1809" s="1592">
        <v>43866</v>
      </c>
      <c r="L1809" s="1593" t="s">
        <v>2301</v>
      </c>
      <c r="M1809" s="1594">
        <v>1.7089E-2</v>
      </c>
      <c r="N1809" s="1595">
        <v>1.580130857248959</v>
      </c>
      <c r="O1809" s="1595"/>
    </row>
    <row r="1810" spans="11:15">
      <c r="K1810" s="1592">
        <v>43867</v>
      </c>
      <c r="L1810" s="1593" t="s">
        <v>2301</v>
      </c>
      <c r="M1810" s="1594">
        <v>1.6136999999999999E-2</v>
      </c>
      <c r="N1810" s="1595">
        <v>1.5803858429653934</v>
      </c>
      <c r="O1810" s="1595"/>
    </row>
    <row r="1811" spans="11:15">
      <c r="K1811" s="1592">
        <v>43868</v>
      </c>
      <c r="L1811" s="1593" t="s">
        <v>2301</v>
      </c>
      <c r="M1811" s="1594">
        <v>1.6136999999999999E-2</v>
      </c>
      <c r="N1811" s="1595">
        <v>1.5806408698288728</v>
      </c>
      <c r="O1811" s="1595"/>
    </row>
    <row r="1812" spans="11:15">
      <c r="K1812" s="1592">
        <v>43869</v>
      </c>
      <c r="L1812" s="1593"/>
      <c r="M1812" s="1594">
        <v>0</v>
      </c>
      <c r="N1812" s="1595">
        <v>1.5806408698288728</v>
      </c>
      <c r="O1812" s="1595"/>
    </row>
    <row r="1813" spans="11:15">
      <c r="K1813" s="1592">
        <v>43870</v>
      </c>
      <c r="L1813" s="1593"/>
      <c r="M1813" s="1594">
        <v>0</v>
      </c>
      <c r="N1813" s="1595">
        <v>1.5806408698288728</v>
      </c>
      <c r="O1813" s="1595"/>
    </row>
    <row r="1814" spans="11:15">
      <c r="K1814" s="1592">
        <v>43871</v>
      </c>
      <c r="L1814" s="1593" t="s">
        <v>2301</v>
      </c>
      <c r="M1814" s="1594">
        <v>1.6136999999999999E-2</v>
      </c>
      <c r="N1814" s="1595">
        <v>1.5808959378460372</v>
      </c>
      <c r="O1814" s="1595"/>
    </row>
    <row r="1815" spans="11:15">
      <c r="K1815" s="1592">
        <v>43872</v>
      </c>
      <c r="L1815" s="1593" t="s">
        <v>2301</v>
      </c>
      <c r="M1815" s="1594">
        <v>1.6136999999999999E-2</v>
      </c>
      <c r="N1815" s="1595">
        <v>1.5811510470235275</v>
      </c>
      <c r="O1815" s="1595"/>
    </row>
    <row r="1816" spans="11:15">
      <c r="K1816" s="1592">
        <v>43873</v>
      </c>
      <c r="L1816" s="1593" t="s">
        <v>2301</v>
      </c>
      <c r="M1816" s="1594">
        <v>1.6136999999999999E-2</v>
      </c>
      <c r="N1816" s="1595">
        <v>1.5814061973679858</v>
      </c>
      <c r="O1816" s="1595"/>
    </row>
    <row r="1817" spans="11:15">
      <c r="K1817" s="1592">
        <v>43874</v>
      </c>
      <c r="L1817" s="1593" t="s">
        <v>2301</v>
      </c>
      <c r="M1817" s="1594">
        <v>1.6136999999999999E-2</v>
      </c>
      <c r="N1817" s="1595">
        <v>1.5816613888860551</v>
      </c>
      <c r="O1817" s="1595"/>
    </row>
    <row r="1818" spans="11:15">
      <c r="K1818" s="1592">
        <v>43875</v>
      </c>
      <c r="L1818" s="1593" t="s">
        <v>2301</v>
      </c>
      <c r="M1818" s="1594">
        <v>1.6136999999999999E-2</v>
      </c>
      <c r="N1818" s="1595">
        <v>1.5819166215843798</v>
      </c>
      <c r="O1818" s="1595"/>
    </row>
    <row r="1819" spans="11:15">
      <c r="K1819" s="1592">
        <v>43876</v>
      </c>
      <c r="L1819" s="1593"/>
      <c r="M1819" s="1594">
        <v>0</v>
      </c>
      <c r="N1819" s="1595">
        <v>1.5819166215843798</v>
      </c>
      <c r="O1819" s="1595"/>
    </row>
    <row r="1820" spans="11:15">
      <c r="K1820" s="1592">
        <v>43877</v>
      </c>
      <c r="L1820" s="1593"/>
      <c r="M1820" s="1594">
        <v>0</v>
      </c>
      <c r="N1820" s="1595">
        <v>1.5819166215843798</v>
      </c>
      <c r="O1820" s="1595"/>
    </row>
    <row r="1821" spans="11:15">
      <c r="K1821" s="1592">
        <v>43878</v>
      </c>
      <c r="L1821" s="1593" t="s">
        <v>2301</v>
      </c>
      <c r="M1821" s="1594">
        <v>1.6136999999999999E-2</v>
      </c>
      <c r="N1821" s="1595">
        <v>1.5821718954696049</v>
      </c>
      <c r="O1821" s="1595"/>
    </row>
    <row r="1822" spans="11:15">
      <c r="K1822" s="1592">
        <v>43879</v>
      </c>
      <c r="L1822" s="1593" t="s">
        <v>2301</v>
      </c>
      <c r="M1822" s="1594">
        <v>1.6136999999999999E-2</v>
      </c>
      <c r="N1822" s="1595">
        <v>1.582427210548377</v>
      </c>
      <c r="O1822" s="1595"/>
    </row>
    <row r="1823" spans="11:15">
      <c r="K1823" s="1592">
        <v>43880</v>
      </c>
      <c r="L1823" s="1593" t="s">
        <v>2301</v>
      </c>
      <c r="M1823" s="1594">
        <v>1.6136999999999999E-2</v>
      </c>
      <c r="N1823" s="1595">
        <v>1.5826825668273432</v>
      </c>
      <c r="O1823" s="1595"/>
    </row>
    <row r="1824" spans="11:15">
      <c r="K1824" s="1592">
        <v>43881</v>
      </c>
      <c r="L1824" s="1593" t="s">
        <v>2301</v>
      </c>
      <c r="M1824" s="1594">
        <v>1.6136999999999999E-2</v>
      </c>
      <c r="N1824" s="1595">
        <v>1.5829379643131523</v>
      </c>
      <c r="O1824" s="1595"/>
    </row>
    <row r="1825" spans="11:15">
      <c r="K1825" s="1592">
        <v>43882</v>
      </c>
      <c r="L1825" s="1593" t="s">
        <v>2301</v>
      </c>
      <c r="M1825" s="1594">
        <v>1.6136999999999999E-2</v>
      </c>
      <c r="N1825" s="1595">
        <v>1.5831934030124535</v>
      </c>
      <c r="O1825" s="1595"/>
    </row>
    <row r="1826" spans="11:15">
      <c r="K1826" s="1592">
        <v>43883</v>
      </c>
      <c r="L1826" s="1593"/>
      <c r="M1826" s="1594">
        <v>0</v>
      </c>
      <c r="N1826" s="1595">
        <v>1.5831934030124535</v>
      </c>
      <c r="O1826" s="1595"/>
    </row>
    <row r="1827" spans="11:15">
      <c r="K1827" s="1592">
        <v>43884</v>
      </c>
      <c r="L1827" s="1593"/>
      <c r="M1827" s="1594">
        <v>0</v>
      </c>
      <c r="N1827" s="1595">
        <v>1.5831934030124535</v>
      </c>
      <c r="O1827" s="1595"/>
    </row>
    <row r="1828" spans="11:15">
      <c r="K1828" s="1592">
        <v>43885</v>
      </c>
      <c r="L1828" s="1593"/>
      <c r="M1828" s="1594">
        <v>0</v>
      </c>
      <c r="N1828" s="1595">
        <v>1.5831934030124535</v>
      </c>
      <c r="O1828" s="1595"/>
    </row>
    <row r="1829" spans="11:15">
      <c r="K1829" s="1592">
        <v>43886</v>
      </c>
      <c r="L1829" s="1593"/>
      <c r="M1829" s="1594">
        <v>0</v>
      </c>
      <c r="N1829" s="1595">
        <v>1.5831934030124535</v>
      </c>
      <c r="O1829" s="1595"/>
    </row>
    <row r="1830" spans="11:15">
      <c r="K1830" s="1592">
        <v>43887</v>
      </c>
      <c r="L1830" s="1593" t="s">
        <v>2301</v>
      </c>
      <c r="M1830" s="1594">
        <v>1.6136999999999999E-2</v>
      </c>
      <c r="N1830" s="1595">
        <v>1.5834488829318978</v>
      </c>
      <c r="O1830" s="1595"/>
    </row>
    <row r="1831" spans="11:15">
      <c r="K1831" s="1592">
        <v>43888</v>
      </c>
      <c r="L1831" s="1593" t="s">
        <v>2301</v>
      </c>
      <c r="M1831" s="1594">
        <v>1.6136999999999999E-2</v>
      </c>
      <c r="N1831" s="1595">
        <v>1.5837044040781365</v>
      </c>
      <c r="O1831" s="1595"/>
    </row>
    <row r="1832" spans="11:15">
      <c r="K1832" s="1592">
        <v>43889</v>
      </c>
      <c r="L1832" s="1593" t="s">
        <v>2301</v>
      </c>
      <c r="M1832" s="1594">
        <v>1.6136999999999999E-2</v>
      </c>
      <c r="N1832" s="1595">
        <v>1.5839599664578228</v>
      </c>
      <c r="O1832" s="1595"/>
    </row>
    <row r="1833" spans="11:15">
      <c r="K1833" s="1592">
        <v>43890</v>
      </c>
      <c r="L1833" s="1593"/>
      <c r="M1833" s="1594">
        <v>0</v>
      </c>
      <c r="N1833" s="1595">
        <v>1.5839599664578228</v>
      </c>
      <c r="O1833" s="1595"/>
    </row>
    <row r="1834" spans="11:15">
      <c r="K1834" s="1592">
        <v>43891</v>
      </c>
      <c r="L1834" s="1593"/>
      <c r="M1834" s="1594">
        <v>0</v>
      </c>
      <c r="N1834" s="1595">
        <v>1.5839599664578228</v>
      </c>
      <c r="O1834" s="1595"/>
    </row>
    <row r="1835" spans="11:15">
      <c r="K1835" s="1592">
        <v>43892</v>
      </c>
      <c r="L1835" s="1593" t="s">
        <v>2301</v>
      </c>
      <c r="M1835" s="1594">
        <v>1.6136999999999999E-2</v>
      </c>
      <c r="N1835" s="1595">
        <v>1.5842155700776102</v>
      </c>
      <c r="O1835" s="1595"/>
    </row>
    <row r="1836" spans="11:15">
      <c r="K1836" s="1592">
        <v>43893</v>
      </c>
      <c r="L1836" s="1593" t="s">
        <v>2301</v>
      </c>
      <c r="M1836" s="1594">
        <v>1.6136999999999999E-2</v>
      </c>
      <c r="N1836" s="1595">
        <v>1.5844712149441535</v>
      </c>
      <c r="O1836" s="1595"/>
    </row>
    <row r="1837" spans="11:15">
      <c r="K1837" s="1592">
        <v>43894</v>
      </c>
      <c r="L1837" s="1593" t="s">
        <v>2301</v>
      </c>
      <c r="M1837" s="1594">
        <v>1.6136999999999999E-2</v>
      </c>
      <c r="N1837" s="1595">
        <v>1.5847269010641092</v>
      </c>
      <c r="O1837" s="1595"/>
    </row>
    <row r="1838" spans="11:15">
      <c r="K1838" s="1592">
        <v>43895</v>
      </c>
      <c r="L1838" s="1593" t="s">
        <v>2301</v>
      </c>
      <c r="M1838" s="1594">
        <v>1.6136999999999999E-2</v>
      </c>
      <c r="N1838" s="1595">
        <v>1.584982628444134</v>
      </c>
      <c r="O1838" s="1595"/>
    </row>
    <row r="1839" spans="11:15">
      <c r="K1839" s="1592">
        <v>43896</v>
      </c>
      <c r="L1839" s="1593" t="s">
        <v>2301</v>
      </c>
      <c r="M1839" s="1594">
        <v>1.6136999999999999E-2</v>
      </c>
      <c r="N1839" s="1595">
        <v>1.5852383970908861</v>
      </c>
      <c r="O1839" s="1595"/>
    </row>
    <row r="1840" spans="11:15">
      <c r="K1840" s="1592">
        <v>43897</v>
      </c>
      <c r="L1840" s="1593"/>
      <c r="M1840" s="1594">
        <v>0</v>
      </c>
      <c r="N1840" s="1595">
        <v>1.5852383970908861</v>
      </c>
      <c r="O1840" s="1595"/>
    </row>
    <row r="1841" spans="11:15">
      <c r="K1841" s="1592">
        <v>43898</v>
      </c>
      <c r="L1841" s="1593"/>
      <c r="M1841" s="1594">
        <v>0</v>
      </c>
      <c r="N1841" s="1595">
        <v>1.5852383970908861</v>
      </c>
      <c r="O1841" s="1595"/>
    </row>
    <row r="1842" spans="11:15">
      <c r="K1842" s="1592">
        <v>43899</v>
      </c>
      <c r="L1842" s="1593" t="s">
        <v>2301</v>
      </c>
      <c r="M1842" s="1594">
        <v>1.6136999999999999E-2</v>
      </c>
      <c r="N1842" s="1595">
        <v>1.5854942070110247</v>
      </c>
      <c r="O1842" s="1595"/>
    </row>
    <row r="1843" spans="11:15">
      <c r="K1843" s="1592">
        <v>43900</v>
      </c>
      <c r="L1843" s="1593" t="s">
        <v>2301</v>
      </c>
      <c r="M1843" s="1594">
        <v>1.6136999999999999E-2</v>
      </c>
      <c r="N1843" s="1595">
        <v>1.5857500582112101</v>
      </c>
      <c r="O1843" s="1595"/>
    </row>
    <row r="1844" spans="11:15">
      <c r="K1844" s="1592">
        <v>43901</v>
      </c>
      <c r="L1844" s="1593" t="s">
        <v>2301</v>
      </c>
      <c r="M1844" s="1594">
        <v>1.6136999999999999E-2</v>
      </c>
      <c r="N1844" s="1595">
        <v>1.5860059506981037</v>
      </c>
      <c r="O1844" s="1595"/>
    </row>
    <row r="1845" spans="11:15">
      <c r="K1845" s="1592">
        <v>43902</v>
      </c>
      <c r="L1845" s="1593" t="s">
        <v>2301</v>
      </c>
      <c r="M1845" s="1594">
        <v>1.6136999999999999E-2</v>
      </c>
      <c r="N1845" s="1595">
        <v>1.586261884478368</v>
      </c>
      <c r="O1845" s="1595"/>
    </row>
    <row r="1846" spans="11:15">
      <c r="K1846" s="1592">
        <v>43903</v>
      </c>
      <c r="L1846" s="1593" t="s">
        <v>2301</v>
      </c>
      <c r="M1846" s="1594">
        <v>1.6136999999999999E-2</v>
      </c>
      <c r="N1846" s="1595">
        <v>1.5865178595586664</v>
      </c>
      <c r="O1846" s="1595"/>
    </row>
    <row r="1847" spans="11:15">
      <c r="K1847" s="1592">
        <v>43904</v>
      </c>
      <c r="L1847" s="1593"/>
      <c r="M1847" s="1594">
        <v>0</v>
      </c>
      <c r="N1847" s="1595">
        <v>1.5865178595586664</v>
      </c>
      <c r="O1847" s="1595"/>
    </row>
    <row r="1848" spans="11:15">
      <c r="K1848" s="1592">
        <v>43905</v>
      </c>
      <c r="L1848" s="1593"/>
      <c r="M1848" s="1594">
        <v>0</v>
      </c>
      <c r="N1848" s="1595">
        <v>1.5865178595586664</v>
      </c>
      <c r="O1848" s="1595"/>
    </row>
    <row r="1849" spans="11:15">
      <c r="K1849" s="1592">
        <v>43906</v>
      </c>
      <c r="L1849" s="1593" t="s">
        <v>2301</v>
      </c>
      <c r="M1849" s="1594">
        <v>1.6136999999999999E-2</v>
      </c>
      <c r="N1849" s="1595">
        <v>1.5867738759456635</v>
      </c>
      <c r="O1849" s="1595"/>
    </row>
    <row r="1850" spans="11:15">
      <c r="K1850" s="1592">
        <v>43907</v>
      </c>
      <c r="L1850" s="1593" t="s">
        <v>2301</v>
      </c>
      <c r="M1850" s="1594">
        <v>1.6136999999999999E-2</v>
      </c>
      <c r="N1850" s="1595">
        <v>1.587029933646025</v>
      </c>
      <c r="O1850" s="1595"/>
    </row>
    <row r="1851" spans="11:15">
      <c r="K1851" s="1592">
        <v>43908</v>
      </c>
      <c r="L1851" s="1593" t="s">
        <v>2301</v>
      </c>
      <c r="M1851" s="1594">
        <v>1.6136999999999999E-2</v>
      </c>
      <c r="N1851" s="1595">
        <v>1.5872860326664175</v>
      </c>
      <c r="O1851" s="1595"/>
    </row>
    <row r="1852" spans="11:15">
      <c r="K1852" s="1592">
        <v>43909</v>
      </c>
      <c r="L1852" s="1593" t="s">
        <v>2301</v>
      </c>
      <c r="M1852" s="1594">
        <v>1.4227E-2</v>
      </c>
      <c r="N1852" s="1595">
        <v>1.587511855850285</v>
      </c>
      <c r="O1852" s="1595"/>
    </row>
    <row r="1853" spans="11:15">
      <c r="K1853" s="1592">
        <v>43910</v>
      </c>
      <c r="L1853" s="1593" t="s">
        <v>2301</v>
      </c>
      <c r="M1853" s="1594">
        <v>1.4227E-2</v>
      </c>
      <c r="N1853" s="1595">
        <v>1.5877377111620168</v>
      </c>
      <c r="O1853" s="1595"/>
    </row>
    <row r="1854" spans="11:15">
      <c r="K1854" s="1592">
        <v>43911</v>
      </c>
      <c r="L1854" s="1593"/>
      <c r="M1854" s="1594">
        <v>0</v>
      </c>
      <c r="N1854" s="1595">
        <v>1.5877377111620168</v>
      </c>
      <c r="O1854" s="1595"/>
    </row>
    <row r="1855" spans="11:15">
      <c r="K1855" s="1592">
        <v>43912</v>
      </c>
      <c r="L1855" s="1593"/>
      <c r="M1855" s="1594">
        <v>0</v>
      </c>
      <c r="N1855" s="1595">
        <v>1.5877377111620168</v>
      </c>
      <c r="O1855" s="1595"/>
    </row>
    <row r="1856" spans="11:15">
      <c r="K1856" s="1592">
        <v>43913</v>
      </c>
      <c r="L1856" s="1593" t="s">
        <v>2301</v>
      </c>
      <c r="M1856" s="1594">
        <v>1.4227E-2</v>
      </c>
      <c r="N1856" s="1595">
        <v>1.5879635986061837</v>
      </c>
      <c r="O1856" s="1595"/>
    </row>
    <row r="1857" spans="11:15">
      <c r="K1857" s="1592">
        <v>43914</v>
      </c>
      <c r="L1857" s="1593" t="s">
        <v>2301</v>
      </c>
      <c r="M1857" s="1594">
        <v>1.4227E-2</v>
      </c>
      <c r="N1857" s="1595">
        <v>1.5881895181873575</v>
      </c>
      <c r="O1857" s="1595"/>
    </row>
    <row r="1858" spans="11:15">
      <c r="K1858" s="1592">
        <v>43915</v>
      </c>
      <c r="L1858" s="1593" t="s">
        <v>2301</v>
      </c>
      <c r="M1858" s="1594">
        <v>1.4227E-2</v>
      </c>
      <c r="N1858" s="1595">
        <v>1.5884154699101101</v>
      </c>
      <c r="O1858" s="1595"/>
    </row>
    <row r="1859" spans="11:15">
      <c r="K1859" s="1592">
        <v>43916</v>
      </c>
      <c r="L1859" s="1593" t="s">
        <v>2301</v>
      </c>
      <c r="M1859" s="1594">
        <v>1.4227E-2</v>
      </c>
      <c r="N1859" s="1595">
        <v>1.5886414537790141</v>
      </c>
      <c r="O1859" s="1595"/>
    </row>
    <row r="1860" spans="11:15">
      <c r="K1860" s="1592">
        <v>43917</v>
      </c>
      <c r="L1860" s="1593" t="s">
        <v>2301</v>
      </c>
      <c r="M1860" s="1594">
        <v>1.4227E-2</v>
      </c>
      <c r="N1860" s="1595">
        <v>1.5888674697986434</v>
      </c>
      <c r="O1860" s="1595"/>
    </row>
    <row r="1861" spans="11:15">
      <c r="K1861" s="1592">
        <v>43918</v>
      </c>
      <c r="L1861" s="1593"/>
      <c r="M1861" s="1594">
        <v>0</v>
      </c>
      <c r="N1861" s="1595">
        <v>1.5888674697986434</v>
      </c>
      <c r="O1861" s="1595"/>
    </row>
    <row r="1862" spans="11:15">
      <c r="K1862" s="1592">
        <v>43919</v>
      </c>
      <c r="L1862" s="1593"/>
      <c r="M1862" s="1594">
        <v>0</v>
      </c>
      <c r="N1862" s="1595">
        <v>1.5888674697986434</v>
      </c>
      <c r="O1862" s="1595"/>
    </row>
    <row r="1863" spans="11:15">
      <c r="K1863" s="1592">
        <v>43920</v>
      </c>
      <c r="L1863" s="1593" t="s">
        <v>2301</v>
      </c>
      <c r="M1863" s="1594">
        <v>1.4227E-2</v>
      </c>
      <c r="N1863" s="1595">
        <v>1.5890935179735717</v>
      </c>
      <c r="O1863" s="1595"/>
    </row>
    <row r="1864" spans="11:15">
      <c r="K1864" s="1592">
        <v>43921</v>
      </c>
      <c r="L1864" s="1593" t="s">
        <v>2301</v>
      </c>
      <c r="M1864" s="1594">
        <v>1.4227E-2</v>
      </c>
      <c r="N1864" s="1595">
        <v>1.5893195983083739</v>
      </c>
      <c r="O1864" s="1595"/>
    </row>
    <row r="1865" spans="11:15">
      <c r="K1865" s="1592">
        <v>43922</v>
      </c>
      <c r="L1865" s="1593" t="s">
        <v>2301</v>
      </c>
      <c r="M1865" s="1594">
        <v>1.4227E-2</v>
      </c>
      <c r="N1865" s="1595">
        <v>1.5895457108076252</v>
      </c>
      <c r="O1865" s="1595"/>
    </row>
    <row r="1866" spans="11:15">
      <c r="K1866" s="1592">
        <v>43923</v>
      </c>
      <c r="L1866" s="1593" t="s">
        <v>2301</v>
      </c>
      <c r="M1866" s="1594">
        <v>1.4227E-2</v>
      </c>
      <c r="N1866" s="1595">
        <v>1.5897718554759017</v>
      </c>
      <c r="O1866" s="1595"/>
    </row>
    <row r="1867" spans="11:15">
      <c r="K1867" s="1592">
        <v>43924</v>
      </c>
      <c r="L1867" s="1593" t="s">
        <v>2301</v>
      </c>
      <c r="M1867" s="1594">
        <v>1.4227E-2</v>
      </c>
      <c r="N1867" s="1595">
        <v>1.5899980323177803</v>
      </c>
      <c r="O1867" s="1595"/>
    </row>
    <row r="1868" spans="11:15">
      <c r="K1868" s="1592">
        <v>43925</v>
      </c>
      <c r="L1868" s="1593"/>
      <c r="M1868" s="1594">
        <v>0</v>
      </c>
      <c r="N1868" s="1595">
        <v>1.5899980323177803</v>
      </c>
      <c r="O1868" s="1595"/>
    </row>
    <row r="1869" spans="11:15">
      <c r="K1869" s="1592">
        <v>43926</v>
      </c>
      <c r="L1869" s="1593"/>
      <c r="M1869" s="1594">
        <v>0</v>
      </c>
      <c r="N1869" s="1595">
        <v>1.5899980323177803</v>
      </c>
      <c r="O1869" s="1595"/>
    </row>
    <row r="1870" spans="11:15">
      <c r="K1870" s="1592">
        <v>43927</v>
      </c>
      <c r="L1870" s="1593" t="s">
        <v>2301</v>
      </c>
      <c r="M1870" s="1594">
        <v>1.4227E-2</v>
      </c>
      <c r="N1870" s="1595">
        <v>1.590224241337838</v>
      </c>
      <c r="O1870" s="1595"/>
    </row>
    <row r="1871" spans="11:15">
      <c r="K1871" s="1592">
        <v>43928</v>
      </c>
      <c r="L1871" s="1593" t="s">
        <v>2301</v>
      </c>
      <c r="M1871" s="1594">
        <v>1.4227E-2</v>
      </c>
      <c r="N1871" s="1595">
        <v>1.5904504825406531</v>
      </c>
      <c r="O1871" s="1595"/>
    </row>
    <row r="1872" spans="11:15">
      <c r="K1872" s="1592">
        <v>43929</v>
      </c>
      <c r="L1872" s="1593" t="s">
        <v>2301</v>
      </c>
      <c r="M1872" s="1594">
        <v>1.4227E-2</v>
      </c>
      <c r="N1872" s="1595">
        <v>1.5906767559308042</v>
      </c>
      <c r="O1872" s="1595"/>
    </row>
    <row r="1873" spans="11:15">
      <c r="K1873" s="1592">
        <v>43930</v>
      </c>
      <c r="L1873" s="1593" t="s">
        <v>2301</v>
      </c>
      <c r="M1873" s="1594">
        <v>1.4227E-2</v>
      </c>
      <c r="N1873" s="1595">
        <v>1.5909030615128705</v>
      </c>
      <c r="O1873" s="1595"/>
    </row>
    <row r="1874" spans="11:15">
      <c r="K1874" s="1592">
        <v>43931</v>
      </c>
      <c r="L1874" s="1593"/>
      <c r="M1874" s="1594">
        <v>0</v>
      </c>
      <c r="N1874" s="1595">
        <v>1.5909030615128705</v>
      </c>
      <c r="O1874" s="1595"/>
    </row>
    <row r="1875" spans="11:15">
      <c r="K1875" s="1592">
        <v>43932</v>
      </c>
      <c r="L1875" s="1593"/>
      <c r="M1875" s="1594">
        <v>0</v>
      </c>
      <c r="N1875" s="1595">
        <v>1.5909030615128705</v>
      </c>
      <c r="O1875" s="1595"/>
    </row>
    <row r="1876" spans="11:15">
      <c r="K1876" s="1592">
        <v>43933</v>
      </c>
      <c r="L1876" s="1593"/>
      <c r="M1876" s="1594">
        <v>0</v>
      </c>
      <c r="N1876" s="1595">
        <v>1.5909030615128705</v>
      </c>
      <c r="O1876" s="1595"/>
    </row>
    <row r="1877" spans="11:15">
      <c r="K1877" s="1592">
        <v>43934</v>
      </c>
      <c r="L1877" s="1593" t="s">
        <v>2301</v>
      </c>
      <c r="M1877" s="1594">
        <v>1.4227E-2</v>
      </c>
      <c r="N1877" s="1595">
        <v>1.5911293992914319</v>
      </c>
      <c r="O1877" s="1595"/>
    </row>
    <row r="1878" spans="11:15">
      <c r="K1878" s="1592">
        <v>43935</v>
      </c>
      <c r="L1878" s="1593" t="s">
        <v>2301</v>
      </c>
      <c r="M1878" s="1594">
        <v>1.4227E-2</v>
      </c>
      <c r="N1878" s="1595">
        <v>1.5913557692710691</v>
      </c>
      <c r="O1878" s="1595"/>
    </row>
    <row r="1879" spans="11:15">
      <c r="K1879" s="1592">
        <v>43936</v>
      </c>
      <c r="L1879" s="1593" t="s">
        <v>2301</v>
      </c>
      <c r="M1879" s="1594">
        <v>1.4227E-2</v>
      </c>
      <c r="N1879" s="1595">
        <v>1.5915821714563634</v>
      </c>
      <c r="O1879" s="1595"/>
    </row>
    <row r="1880" spans="11:15">
      <c r="K1880" s="1592">
        <v>43937</v>
      </c>
      <c r="L1880" s="1593" t="s">
        <v>2301</v>
      </c>
      <c r="M1880" s="1594">
        <v>1.4227E-2</v>
      </c>
      <c r="N1880" s="1595">
        <v>1.5918086058518965</v>
      </c>
      <c r="O1880" s="1595"/>
    </row>
    <row r="1881" spans="11:15">
      <c r="K1881" s="1592">
        <v>43938</v>
      </c>
      <c r="L1881" s="1593" t="s">
        <v>2301</v>
      </c>
      <c r="M1881" s="1594">
        <v>1.4227E-2</v>
      </c>
      <c r="N1881" s="1595">
        <v>1.5920350724622512</v>
      </c>
      <c r="O1881" s="1595"/>
    </row>
    <row r="1882" spans="11:15">
      <c r="K1882" s="1592">
        <v>43939</v>
      </c>
      <c r="L1882" s="1593"/>
      <c r="M1882" s="1594">
        <v>0</v>
      </c>
      <c r="N1882" s="1595">
        <v>1.5920350724622512</v>
      </c>
      <c r="O1882" s="1595"/>
    </row>
    <row r="1883" spans="11:15">
      <c r="K1883" s="1592">
        <v>43940</v>
      </c>
      <c r="L1883" s="1593"/>
      <c r="M1883" s="1594">
        <v>0</v>
      </c>
      <c r="N1883" s="1595">
        <v>1.5920350724622512</v>
      </c>
      <c r="O1883" s="1595"/>
    </row>
    <row r="1884" spans="11:15">
      <c r="K1884" s="1592">
        <v>43941</v>
      </c>
      <c r="L1884" s="1593" t="s">
        <v>2301</v>
      </c>
      <c r="M1884" s="1594">
        <v>1.4227E-2</v>
      </c>
      <c r="N1884" s="1595">
        <v>1.5922615712920103</v>
      </c>
      <c r="O1884" s="1595"/>
    </row>
    <row r="1885" spans="11:15">
      <c r="K1885" s="1592">
        <v>43942</v>
      </c>
      <c r="L1885" s="1593"/>
      <c r="M1885" s="1594">
        <v>0</v>
      </c>
      <c r="N1885" s="1595">
        <v>1.5922615712920103</v>
      </c>
      <c r="O1885" s="1595"/>
    </row>
    <row r="1886" spans="11:15">
      <c r="K1886" s="1592">
        <v>43943</v>
      </c>
      <c r="L1886" s="1593" t="s">
        <v>2301</v>
      </c>
      <c r="M1886" s="1594">
        <v>1.4227E-2</v>
      </c>
      <c r="N1886" s="1595">
        <v>1.592488102345758</v>
      </c>
      <c r="O1886" s="1595"/>
    </row>
    <row r="1887" spans="11:15">
      <c r="K1887" s="1592">
        <v>43944</v>
      </c>
      <c r="L1887" s="1593" t="s">
        <v>2301</v>
      </c>
      <c r="M1887" s="1594">
        <v>1.4227E-2</v>
      </c>
      <c r="N1887" s="1595">
        <v>1.5927146656280786</v>
      </c>
      <c r="O1887" s="1595"/>
    </row>
    <row r="1888" spans="11:15">
      <c r="K1888" s="1592">
        <v>43945</v>
      </c>
      <c r="L1888" s="1593" t="s">
        <v>2301</v>
      </c>
      <c r="M1888" s="1594">
        <v>1.4227E-2</v>
      </c>
      <c r="N1888" s="1595">
        <v>1.5929412611435576</v>
      </c>
      <c r="O1888" s="1595"/>
    </row>
    <row r="1889" spans="11:15">
      <c r="K1889" s="1592">
        <v>43946</v>
      </c>
      <c r="L1889" s="1593"/>
      <c r="M1889" s="1594">
        <v>0</v>
      </c>
      <c r="N1889" s="1595">
        <v>1.5929412611435576</v>
      </c>
      <c r="O1889" s="1595"/>
    </row>
    <row r="1890" spans="11:15">
      <c r="K1890" s="1592">
        <v>43947</v>
      </c>
      <c r="L1890" s="1593"/>
      <c r="M1890" s="1594">
        <v>0</v>
      </c>
      <c r="N1890" s="1595">
        <v>1.5929412611435576</v>
      </c>
      <c r="O1890" s="1595"/>
    </row>
    <row r="1891" spans="11:15">
      <c r="K1891" s="1592">
        <v>43948</v>
      </c>
      <c r="L1891" s="1593" t="s">
        <v>2301</v>
      </c>
      <c r="M1891" s="1594">
        <v>1.4227E-2</v>
      </c>
      <c r="N1891" s="1595">
        <v>1.5931678888967804</v>
      </c>
      <c r="O1891" s="1595"/>
    </row>
    <row r="1892" spans="11:15">
      <c r="K1892" s="1592">
        <v>43949</v>
      </c>
      <c r="L1892" s="1593" t="s">
        <v>2301</v>
      </c>
      <c r="M1892" s="1594">
        <v>1.4227E-2</v>
      </c>
      <c r="N1892" s="1595">
        <v>1.5933945488923338</v>
      </c>
      <c r="O1892" s="1595"/>
    </row>
    <row r="1893" spans="11:15">
      <c r="K1893" s="1592">
        <v>43950</v>
      </c>
      <c r="L1893" s="1593" t="s">
        <v>2301</v>
      </c>
      <c r="M1893" s="1594">
        <v>1.4227E-2</v>
      </c>
      <c r="N1893" s="1595">
        <v>1.5936212411348047</v>
      </c>
      <c r="O1893" s="1595"/>
    </row>
    <row r="1894" spans="11:15">
      <c r="K1894" s="1592">
        <v>43951</v>
      </c>
      <c r="L1894" s="1593" t="s">
        <v>2301</v>
      </c>
      <c r="M1894" s="1594">
        <v>1.4227E-2</v>
      </c>
      <c r="N1894" s="1595">
        <v>1.5938479656287809</v>
      </c>
      <c r="O1894" s="1595"/>
    </row>
    <row r="1895" spans="11:15">
      <c r="K1895" s="1592">
        <v>43952</v>
      </c>
      <c r="L1895" s="1593"/>
      <c r="M1895" s="1594">
        <v>0</v>
      </c>
      <c r="N1895" s="1595">
        <v>1.5938479656287809</v>
      </c>
      <c r="O1895" s="1595"/>
    </row>
    <row r="1896" spans="11:15">
      <c r="K1896" s="1592">
        <v>43953</v>
      </c>
      <c r="L1896" s="1593"/>
      <c r="M1896" s="1594">
        <v>0</v>
      </c>
      <c r="N1896" s="1595">
        <v>1.5938479656287809</v>
      </c>
      <c r="O1896" s="1595"/>
    </row>
    <row r="1897" spans="11:15">
      <c r="K1897" s="1592">
        <v>43954</v>
      </c>
      <c r="L1897" s="1593"/>
      <c r="M1897" s="1594">
        <v>0</v>
      </c>
      <c r="N1897" s="1595">
        <v>1.5938479656287809</v>
      </c>
      <c r="O1897" s="1595"/>
    </row>
    <row r="1898" spans="11:15">
      <c r="K1898" s="1592">
        <v>43955</v>
      </c>
      <c r="L1898" s="1593" t="s">
        <v>2301</v>
      </c>
      <c r="M1898" s="1594">
        <v>1.4227E-2</v>
      </c>
      <c r="N1898" s="1595">
        <v>1.594074722378851</v>
      </c>
      <c r="O1898" s="1595"/>
    </row>
    <row r="1899" spans="11:15">
      <c r="K1899" s="1592">
        <v>43956</v>
      </c>
      <c r="L1899" s="1593" t="s">
        <v>2301</v>
      </c>
      <c r="M1899" s="1594">
        <v>1.4227E-2</v>
      </c>
      <c r="N1899" s="1595">
        <v>1.5943015113896037</v>
      </c>
      <c r="O1899" s="1595"/>
    </row>
    <row r="1900" spans="11:15">
      <c r="K1900" s="1592">
        <v>43957</v>
      </c>
      <c r="L1900" s="1593" t="s">
        <v>2301</v>
      </c>
      <c r="M1900" s="1594">
        <v>1.4227E-2</v>
      </c>
      <c r="N1900" s="1595">
        <v>1.5945283326656292</v>
      </c>
      <c r="O1900" s="1595"/>
    </row>
    <row r="1901" spans="11:15">
      <c r="K1901" s="1592">
        <v>43958</v>
      </c>
      <c r="L1901" s="1593" t="s">
        <v>2301</v>
      </c>
      <c r="M1901" s="1594">
        <v>1.1344999999999999E-2</v>
      </c>
      <c r="N1901" s="1595">
        <v>1.59470923190497</v>
      </c>
      <c r="O1901" s="1595"/>
    </row>
    <row r="1902" spans="11:15">
      <c r="K1902" s="1592">
        <v>43959</v>
      </c>
      <c r="L1902" s="1593" t="s">
        <v>2301</v>
      </c>
      <c r="M1902" s="1594">
        <v>1.1344999999999999E-2</v>
      </c>
      <c r="N1902" s="1595">
        <v>1.5948901516673295</v>
      </c>
      <c r="O1902" s="1595"/>
    </row>
    <row r="1903" spans="11:15">
      <c r="K1903" s="1592">
        <v>43960</v>
      </c>
      <c r="L1903" s="1593"/>
      <c r="M1903" s="1594">
        <v>0</v>
      </c>
      <c r="N1903" s="1595">
        <v>1.5948901516673295</v>
      </c>
      <c r="O1903" s="1595"/>
    </row>
    <row r="1904" spans="11:15">
      <c r="K1904" s="1592">
        <v>43961</v>
      </c>
      <c r="L1904" s="1593"/>
      <c r="M1904" s="1594">
        <v>0</v>
      </c>
      <c r="N1904" s="1595">
        <v>1.5948901516673295</v>
      </c>
      <c r="O1904" s="1595"/>
    </row>
    <row r="1905" spans="11:15">
      <c r="K1905" s="1592">
        <v>43962</v>
      </c>
      <c r="L1905" s="1593" t="s">
        <v>2301</v>
      </c>
      <c r="M1905" s="1594">
        <v>1.1344999999999999E-2</v>
      </c>
      <c r="N1905" s="1595">
        <v>1.5950710919550362</v>
      </c>
      <c r="O1905" s="1595"/>
    </row>
    <row r="1906" spans="11:15">
      <c r="K1906" s="1592">
        <v>43963</v>
      </c>
      <c r="L1906" s="1593" t="s">
        <v>2301</v>
      </c>
      <c r="M1906" s="1594">
        <v>1.1344999999999999E-2</v>
      </c>
      <c r="N1906" s="1595">
        <v>1.5952520527704184</v>
      </c>
      <c r="O1906" s="1595"/>
    </row>
    <row r="1907" spans="11:15">
      <c r="K1907" s="1592">
        <v>43964</v>
      </c>
      <c r="L1907" s="1593" t="s">
        <v>2301</v>
      </c>
      <c r="M1907" s="1594">
        <v>1.1344999999999999E-2</v>
      </c>
      <c r="N1907" s="1595">
        <v>1.5954330341158052</v>
      </c>
      <c r="O1907" s="1595"/>
    </row>
    <row r="1908" spans="11:15">
      <c r="K1908" s="1592">
        <v>43965</v>
      </c>
      <c r="L1908" s="1593" t="s">
        <v>2301</v>
      </c>
      <c r="M1908" s="1594">
        <v>1.1344999999999999E-2</v>
      </c>
      <c r="N1908" s="1595">
        <v>1.5956140359935256</v>
      </c>
      <c r="O1908" s="1595"/>
    </row>
    <row r="1909" spans="11:15">
      <c r="K1909" s="1592">
        <v>43966</v>
      </c>
      <c r="L1909" s="1593" t="s">
        <v>2301</v>
      </c>
      <c r="M1909" s="1594">
        <v>1.1344999999999999E-2</v>
      </c>
      <c r="N1909" s="1595">
        <v>1.5957950584059091</v>
      </c>
      <c r="O1909" s="1595"/>
    </row>
    <row r="1910" spans="11:15">
      <c r="K1910" s="1592">
        <v>43967</v>
      </c>
      <c r="L1910" s="1593"/>
      <c r="M1910" s="1594">
        <v>0</v>
      </c>
      <c r="N1910" s="1595">
        <v>1.5957950584059091</v>
      </c>
      <c r="O1910" s="1595"/>
    </row>
    <row r="1911" spans="11:15">
      <c r="K1911" s="1592">
        <v>43968</v>
      </c>
      <c r="L1911" s="1593"/>
      <c r="M1911" s="1594">
        <v>0</v>
      </c>
      <c r="N1911" s="1595">
        <v>1.5957950584059091</v>
      </c>
      <c r="O1911" s="1595"/>
    </row>
    <row r="1912" spans="11:15">
      <c r="K1912" s="1592">
        <v>43969</v>
      </c>
      <c r="L1912" s="1593" t="s">
        <v>2301</v>
      </c>
      <c r="M1912" s="1594">
        <v>1.1344999999999999E-2</v>
      </c>
      <c r="N1912" s="1595">
        <v>1.5959761013552851</v>
      </c>
      <c r="O1912" s="1595"/>
    </row>
    <row r="1913" spans="11:15">
      <c r="K1913" s="1592">
        <v>43970</v>
      </c>
      <c r="L1913" s="1593" t="s">
        <v>2301</v>
      </c>
      <c r="M1913" s="1594">
        <v>1.1344999999999999E-2</v>
      </c>
      <c r="N1913" s="1595">
        <v>1.5961571648439838</v>
      </c>
      <c r="O1913" s="1595"/>
    </row>
    <row r="1914" spans="11:15">
      <c r="K1914" s="1592">
        <v>43971</v>
      </c>
      <c r="L1914" s="1593" t="s">
        <v>2301</v>
      </c>
      <c r="M1914" s="1594">
        <v>1.1344999999999999E-2</v>
      </c>
      <c r="N1914" s="1595">
        <v>1.5963382488743354</v>
      </c>
      <c r="O1914" s="1595"/>
    </row>
    <row r="1915" spans="11:15">
      <c r="K1915" s="1592">
        <v>43972</v>
      </c>
      <c r="L1915" s="1593" t="s">
        <v>2301</v>
      </c>
      <c r="M1915" s="1594">
        <v>1.1344999999999999E-2</v>
      </c>
      <c r="N1915" s="1595">
        <v>1.5965193534486701</v>
      </c>
      <c r="O1915" s="1595"/>
    </row>
    <row r="1916" spans="11:15">
      <c r="K1916" s="1592">
        <v>43973</v>
      </c>
      <c r="L1916" s="1593" t="s">
        <v>2301</v>
      </c>
      <c r="M1916" s="1594">
        <v>1.1344999999999999E-2</v>
      </c>
      <c r="N1916" s="1595">
        <v>1.5967004785693188</v>
      </c>
      <c r="O1916" s="1595"/>
    </row>
    <row r="1917" spans="11:15">
      <c r="K1917" s="1592">
        <v>43974</v>
      </c>
      <c r="L1917" s="1593"/>
      <c r="M1917" s="1594">
        <v>0</v>
      </c>
      <c r="N1917" s="1595">
        <v>1.5967004785693188</v>
      </c>
      <c r="O1917" s="1595"/>
    </row>
    <row r="1918" spans="11:15">
      <c r="K1918" s="1592">
        <v>43975</v>
      </c>
      <c r="L1918" s="1593"/>
      <c r="M1918" s="1594">
        <v>0</v>
      </c>
      <c r="N1918" s="1595">
        <v>1.5967004785693188</v>
      </c>
      <c r="O1918" s="1595"/>
    </row>
    <row r="1919" spans="11:15">
      <c r="K1919" s="1592">
        <v>43976</v>
      </c>
      <c r="L1919" s="1593" t="s">
        <v>2301</v>
      </c>
      <c r="M1919" s="1594">
        <v>1.1344999999999999E-2</v>
      </c>
      <c r="N1919" s="1595">
        <v>1.5968816242386126</v>
      </c>
      <c r="O1919" s="1595"/>
    </row>
    <row r="1920" spans="11:15">
      <c r="K1920" s="1592">
        <v>43977</v>
      </c>
      <c r="L1920" s="1593" t="s">
        <v>2301</v>
      </c>
      <c r="M1920" s="1594">
        <v>1.1344999999999999E-2</v>
      </c>
      <c r="N1920" s="1595">
        <v>1.5970627904588823</v>
      </c>
      <c r="O1920" s="1595"/>
    </row>
    <row r="1921" spans="11:15">
      <c r="K1921" s="1592">
        <v>43978</v>
      </c>
      <c r="L1921" s="1593" t="s">
        <v>2301</v>
      </c>
      <c r="M1921" s="1594">
        <v>1.1344999999999999E-2</v>
      </c>
      <c r="N1921" s="1595">
        <v>1.5972439772324598</v>
      </c>
      <c r="O1921" s="1595"/>
    </row>
    <row r="1922" spans="11:15">
      <c r="K1922" s="1592">
        <v>43979</v>
      </c>
      <c r="L1922" s="1593" t="s">
        <v>2301</v>
      </c>
      <c r="M1922" s="1594">
        <v>1.1344999999999999E-2</v>
      </c>
      <c r="N1922" s="1595">
        <v>1.5974251845616767</v>
      </c>
      <c r="O1922" s="1595"/>
    </row>
    <row r="1923" spans="11:15">
      <c r="K1923" s="1592">
        <v>43980</v>
      </c>
      <c r="L1923" s="1593" t="s">
        <v>2301</v>
      </c>
      <c r="M1923" s="1594">
        <v>1.1344999999999999E-2</v>
      </c>
      <c r="N1923" s="1595">
        <v>1.5976064124488651</v>
      </c>
      <c r="O1923" s="1595"/>
    </row>
    <row r="1924" spans="11:15">
      <c r="K1924" s="1592">
        <v>43981</v>
      </c>
      <c r="L1924" s="1593"/>
      <c r="M1924" s="1594">
        <v>0</v>
      </c>
      <c r="N1924" s="1595">
        <v>1.5976064124488651</v>
      </c>
      <c r="O1924" s="1595"/>
    </row>
    <row r="1925" spans="11:15">
      <c r="K1925" s="1592">
        <v>43982</v>
      </c>
      <c r="L1925" s="1593"/>
      <c r="M1925" s="1594">
        <v>0</v>
      </c>
      <c r="N1925" s="1595">
        <v>1.5976064124488651</v>
      </c>
      <c r="O1925" s="1595"/>
    </row>
    <row r="1926" spans="11:15">
      <c r="K1926" s="1592">
        <v>43983</v>
      </c>
      <c r="L1926" s="1593" t="s">
        <v>2301</v>
      </c>
      <c r="M1926" s="1594">
        <v>1.1344999999999999E-2</v>
      </c>
      <c r="N1926" s="1595">
        <v>1.5977876608963575</v>
      </c>
      <c r="O1926" s="1595"/>
    </row>
    <row r="1927" spans="11:15">
      <c r="K1927" s="1592">
        <v>43984</v>
      </c>
      <c r="L1927" s="1593" t="s">
        <v>2301</v>
      </c>
      <c r="M1927" s="1594">
        <v>1.1344999999999999E-2</v>
      </c>
      <c r="N1927" s="1595">
        <v>1.5979689299064861</v>
      </c>
      <c r="O1927" s="1595"/>
    </row>
    <row r="1928" spans="11:15">
      <c r="K1928" s="1592">
        <v>43985</v>
      </c>
      <c r="L1928" s="1593" t="s">
        <v>2301</v>
      </c>
      <c r="M1928" s="1594">
        <v>1.1344999999999999E-2</v>
      </c>
      <c r="N1928" s="1595">
        <v>1.598150219481584</v>
      </c>
      <c r="O1928" s="1595"/>
    </row>
    <row r="1929" spans="11:15">
      <c r="K1929" s="1592">
        <v>43986</v>
      </c>
      <c r="L1929" s="1593" t="s">
        <v>2301</v>
      </c>
      <c r="M1929" s="1594">
        <v>1.1344999999999999E-2</v>
      </c>
      <c r="N1929" s="1595">
        <v>1.5983315296239842</v>
      </c>
      <c r="O1929" s="1595"/>
    </row>
    <row r="1930" spans="11:15">
      <c r="K1930" s="1592">
        <v>43987</v>
      </c>
      <c r="L1930" s="1593" t="s">
        <v>2301</v>
      </c>
      <c r="M1930" s="1594">
        <v>1.1344999999999999E-2</v>
      </c>
      <c r="N1930" s="1595">
        <v>1.5985128603360199</v>
      </c>
      <c r="O1930" s="1595"/>
    </row>
    <row r="1931" spans="11:15">
      <c r="K1931" s="1592">
        <v>43988</v>
      </c>
      <c r="L1931" s="1593"/>
      <c r="M1931" s="1594">
        <v>0</v>
      </c>
      <c r="N1931" s="1595">
        <v>1.5985128603360199</v>
      </c>
      <c r="O1931" s="1595"/>
    </row>
    <row r="1932" spans="11:15">
      <c r="K1932" s="1592">
        <v>43989</v>
      </c>
      <c r="L1932" s="1593"/>
      <c r="M1932" s="1594">
        <v>0</v>
      </c>
      <c r="N1932" s="1595">
        <v>1.5985128603360199</v>
      </c>
      <c r="O1932" s="1595"/>
    </row>
    <row r="1933" spans="11:15">
      <c r="K1933" s="1592">
        <v>43990</v>
      </c>
      <c r="L1933" s="1593" t="s">
        <v>2301</v>
      </c>
      <c r="M1933" s="1594">
        <v>1.1344999999999999E-2</v>
      </c>
      <c r="N1933" s="1595">
        <v>1.5986942116200249</v>
      </c>
      <c r="O1933" s="1595"/>
    </row>
    <row r="1934" spans="11:15">
      <c r="K1934" s="1592">
        <v>43991</v>
      </c>
      <c r="L1934" s="1593" t="s">
        <v>2301</v>
      </c>
      <c r="M1934" s="1594">
        <v>1.1344999999999999E-2</v>
      </c>
      <c r="N1934" s="1595">
        <v>1.598875583478333</v>
      </c>
      <c r="O1934" s="1595"/>
    </row>
    <row r="1935" spans="11:15">
      <c r="K1935" s="1592">
        <v>43992</v>
      </c>
      <c r="L1935" s="1593" t="s">
        <v>2301</v>
      </c>
      <c r="M1935" s="1594">
        <v>1.1344999999999999E-2</v>
      </c>
      <c r="N1935" s="1595">
        <v>1.5990569759132787</v>
      </c>
      <c r="O1935" s="1595"/>
    </row>
    <row r="1936" spans="11:15">
      <c r="K1936" s="1592">
        <v>43993</v>
      </c>
      <c r="L1936" s="1593"/>
      <c r="M1936" s="1594">
        <v>0</v>
      </c>
      <c r="N1936" s="1595">
        <v>1.5990569759132787</v>
      </c>
      <c r="O1936" s="1595"/>
    </row>
    <row r="1937" spans="11:15">
      <c r="K1937" s="1592">
        <v>43994</v>
      </c>
      <c r="L1937" s="1593" t="s">
        <v>2301</v>
      </c>
      <c r="M1937" s="1594">
        <v>1.1344999999999999E-2</v>
      </c>
      <c r="N1937" s="1595">
        <v>1.5992383889271959</v>
      </c>
      <c r="O1937" s="1595"/>
    </row>
    <row r="1938" spans="11:15">
      <c r="K1938" s="1592">
        <v>43995</v>
      </c>
      <c r="L1938" s="1593"/>
      <c r="M1938" s="1594">
        <v>0</v>
      </c>
      <c r="N1938" s="1595">
        <v>1.5992383889271959</v>
      </c>
      <c r="O1938" s="1595"/>
    </row>
    <row r="1939" spans="11:15">
      <c r="K1939" s="1592">
        <v>43996</v>
      </c>
      <c r="L1939" s="1593"/>
      <c r="M1939" s="1594">
        <v>0</v>
      </c>
      <c r="N1939" s="1595">
        <v>1.5992383889271959</v>
      </c>
      <c r="O1939" s="1595"/>
    </row>
    <row r="1940" spans="11:15">
      <c r="K1940" s="1592">
        <v>43997</v>
      </c>
      <c r="L1940" s="1593" t="s">
        <v>2301</v>
      </c>
      <c r="M1940" s="1594">
        <v>1.1344999999999999E-2</v>
      </c>
      <c r="N1940" s="1595">
        <v>1.5994198225224197</v>
      </c>
      <c r="O1940" s="1595"/>
    </row>
    <row r="1941" spans="11:15">
      <c r="K1941" s="1592">
        <v>43998</v>
      </c>
      <c r="L1941" s="1593" t="s">
        <v>2301</v>
      </c>
      <c r="M1941" s="1594">
        <v>1.1344999999999999E-2</v>
      </c>
      <c r="N1941" s="1595">
        <v>1.5996012767012848</v>
      </c>
      <c r="O1941" s="1595"/>
    </row>
    <row r="1942" spans="11:15">
      <c r="K1942" s="1592">
        <v>43999</v>
      </c>
      <c r="L1942" s="1593" t="s">
        <v>2301</v>
      </c>
      <c r="M1942" s="1594">
        <v>1.1344999999999999E-2</v>
      </c>
      <c r="N1942" s="1595">
        <v>1.5997827514661265</v>
      </c>
      <c r="O1942" s="1595"/>
    </row>
    <row r="1943" spans="11:15">
      <c r="K1943" s="1592">
        <v>44000</v>
      </c>
      <c r="L1943" s="1593" t="s">
        <v>2301</v>
      </c>
      <c r="M1943" s="1594">
        <v>8.4419999999999999E-3</v>
      </c>
      <c r="N1943" s="1595">
        <v>1.5999178051260055</v>
      </c>
      <c r="O1943" s="1595"/>
    </row>
    <row r="1944" spans="11:15">
      <c r="K1944" s="1592">
        <v>44001</v>
      </c>
      <c r="L1944" s="1593" t="s">
        <v>2301</v>
      </c>
      <c r="M1944" s="1594">
        <v>8.4419999999999999E-3</v>
      </c>
      <c r="N1944" s="1595">
        <v>1.6000528701871144</v>
      </c>
      <c r="O1944" s="1595"/>
    </row>
    <row r="1945" spans="11:15">
      <c r="K1945" s="1592">
        <v>44002</v>
      </c>
      <c r="L1945" s="1593"/>
      <c r="M1945" s="1594">
        <v>0</v>
      </c>
      <c r="N1945" s="1595">
        <v>1.6000528701871144</v>
      </c>
      <c r="O1945" s="1595"/>
    </row>
    <row r="1946" spans="11:15">
      <c r="K1946" s="1592">
        <v>44003</v>
      </c>
      <c r="L1946" s="1593"/>
      <c r="M1946" s="1594">
        <v>0</v>
      </c>
      <c r="N1946" s="1595">
        <v>1.6000528701871144</v>
      </c>
      <c r="O1946" s="1595"/>
    </row>
    <row r="1947" spans="11:15">
      <c r="K1947" s="1592">
        <v>44004</v>
      </c>
      <c r="L1947" s="1593" t="s">
        <v>2301</v>
      </c>
      <c r="M1947" s="1594">
        <v>8.4419999999999999E-3</v>
      </c>
      <c r="N1947" s="1595">
        <v>1.6001879466504156</v>
      </c>
      <c r="O1947" s="1595"/>
    </row>
    <row r="1948" spans="11:15">
      <c r="K1948" s="1592">
        <v>44005</v>
      </c>
      <c r="L1948" s="1593" t="s">
        <v>2301</v>
      </c>
      <c r="M1948" s="1594">
        <v>8.4419999999999999E-3</v>
      </c>
      <c r="N1948" s="1595">
        <v>1.600323034516872</v>
      </c>
      <c r="O1948" s="1595"/>
    </row>
    <row r="1949" spans="11:15">
      <c r="K1949" s="1592">
        <v>44006</v>
      </c>
      <c r="L1949" s="1593" t="s">
        <v>2301</v>
      </c>
      <c r="M1949" s="1594">
        <v>8.4419999999999999E-3</v>
      </c>
      <c r="N1949" s="1595">
        <v>1.6004581337874459</v>
      </c>
      <c r="O1949" s="1595"/>
    </row>
    <row r="1950" spans="11:15">
      <c r="K1950" s="1592">
        <v>44007</v>
      </c>
      <c r="L1950" s="1593" t="s">
        <v>2301</v>
      </c>
      <c r="M1950" s="1594">
        <v>8.4419999999999999E-3</v>
      </c>
      <c r="N1950" s="1595">
        <v>1.6005932444631004</v>
      </c>
      <c r="O1950" s="1595"/>
    </row>
    <row r="1951" spans="11:15">
      <c r="K1951" s="1592">
        <v>44008</v>
      </c>
      <c r="L1951" s="1593" t="s">
        <v>2301</v>
      </c>
      <c r="M1951" s="1594">
        <v>8.4419999999999999E-3</v>
      </c>
      <c r="N1951" s="1595">
        <v>1.600728366544798</v>
      </c>
      <c r="O1951" s="1595"/>
    </row>
    <row r="1952" spans="11:15">
      <c r="K1952" s="1592">
        <v>44009</v>
      </c>
      <c r="L1952" s="1593"/>
      <c r="M1952" s="1594">
        <v>0</v>
      </c>
      <c r="N1952" s="1595">
        <v>1.600728366544798</v>
      </c>
      <c r="O1952" s="1595"/>
    </row>
    <row r="1953" spans="11:15">
      <c r="K1953" s="1592">
        <v>44010</v>
      </c>
      <c r="L1953" s="1593"/>
      <c r="M1953" s="1594">
        <v>0</v>
      </c>
      <c r="N1953" s="1595">
        <v>1.600728366544798</v>
      </c>
      <c r="O1953" s="1595"/>
    </row>
    <row r="1954" spans="11:15">
      <c r="K1954" s="1592">
        <v>44011</v>
      </c>
      <c r="L1954" s="1593" t="s">
        <v>2301</v>
      </c>
      <c r="M1954" s="1594">
        <v>8.4419999999999999E-3</v>
      </c>
      <c r="N1954" s="1595">
        <v>1.6008635000335019</v>
      </c>
      <c r="O1954" s="1595"/>
    </row>
    <row r="1955" spans="11:15">
      <c r="K1955" s="1592">
        <v>44012</v>
      </c>
      <c r="L1955" s="1593" t="s">
        <v>2301</v>
      </c>
      <c r="M1955" s="1594">
        <v>8.4419999999999999E-3</v>
      </c>
      <c r="N1955" s="1595">
        <v>1.6009986449301747</v>
      </c>
      <c r="O1955" s="1595"/>
    </row>
    <row r="1956" spans="11:15">
      <c r="K1956" s="1592">
        <v>44013</v>
      </c>
      <c r="L1956" s="1593" t="s">
        <v>2301</v>
      </c>
      <c r="M1956" s="1594">
        <v>8.4419999999999999E-3</v>
      </c>
      <c r="N1956" s="1595">
        <v>1.6011338012357799</v>
      </c>
      <c r="O1956" s="1595"/>
    </row>
    <row r="1957" spans="11:15">
      <c r="K1957" s="1592">
        <v>44014</v>
      </c>
      <c r="L1957" s="1593" t="s">
        <v>2301</v>
      </c>
      <c r="M1957" s="1594">
        <v>8.4419999999999999E-3</v>
      </c>
      <c r="N1957" s="1595">
        <v>1.6012689689512802</v>
      </c>
      <c r="O1957" s="1595"/>
    </row>
    <row r="1958" spans="11:15">
      <c r="K1958" s="1592">
        <v>44015</v>
      </c>
      <c r="L1958" s="1593" t="s">
        <v>2301</v>
      </c>
      <c r="M1958" s="1594">
        <v>8.4419999999999999E-3</v>
      </c>
      <c r="N1958" s="1595">
        <v>1.6014041480776393</v>
      </c>
      <c r="O1958" s="1595"/>
    </row>
    <row r="1959" spans="11:15">
      <c r="K1959" s="1592">
        <v>44016</v>
      </c>
      <c r="L1959" s="1593"/>
      <c r="M1959" s="1594">
        <v>0</v>
      </c>
      <c r="N1959" s="1595">
        <v>1.6014041480776393</v>
      </c>
      <c r="O1959" s="1595"/>
    </row>
    <row r="1960" spans="11:15">
      <c r="K1960" s="1592">
        <v>44017</v>
      </c>
      <c r="L1960" s="1593"/>
      <c r="M1960" s="1594">
        <v>0</v>
      </c>
      <c r="N1960" s="1595">
        <v>1.6014041480776393</v>
      </c>
      <c r="O1960" s="1595"/>
    </row>
    <row r="1961" spans="11:15">
      <c r="K1961" s="1592">
        <v>44018</v>
      </c>
      <c r="L1961" s="1593" t="s">
        <v>2301</v>
      </c>
      <c r="M1961" s="1594">
        <v>8.4419999999999999E-3</v>
      </c>
      <c r="N1961" s="1595">
        <v>1.6015393386158201</v>
      </c>
      <c r="O1961" s="1595"/>
    </row>
    <row r="1962" spans="11:15">
      <c r="K1962" s="1592">
        <v>44019</v>
      </c>
      <c r="L1962" s="1593" t="s">
        <v>2301</v>
      </c>
      <c r="M1962" s="1594">
        <v>8.4419999999999999E-3</v>
      </c>
      <c r="N1962" s="1595">
        <v>1.6016745405667863</v>
      </c>
      <c r="O1962" s="1595"/>
    </row>
    <row r="1963" spans="11:15">
      <c r="K1963" s="1592">
        <v>44020</v>
      </c>
      <c r="L1963" s="1593" t="s">
        <v>2301</v>
      </c>
      <c r="M1963" s="1594">
        <v>8.4419999999999999E-3</v>
      </c>
      <c r="N1963" s="1595">
        <v>1.601809753931501</v>
      </c>
      <c r="O1963" s="1595"/>
    </row>
    <row r="1964" spans="11:15">
      <c r="K1964" s="1592">
        <v>44021</v>
      </c>
      <c r="L1964" s="1593" t="s">
        <v>2301</v>
      </c>
      <c r="M1964" s="1594">
        <v>8.4419999999999999E-3</v>
      </c>
      <c r="N1964" s="1595">
        <v>1.6019449787109281</v>
      </c>
      <c r="O1964" s="1595"/>
    </row>
    <row r="1965" spans="11:15">
      <c r="K1965" s="1592">
        <v>44022</v>
      </c>
      <c r="L1965" s="1593" t="s">
        <v>2301</v>
      </c>
      <c r="M1965" s="1594">
        <v>8.4419999999999999E-3</v>
      </c>
      <c r="N1965" s="1595">
        <v>1.6020802149060309</v>
      </c>
      <c r="O1965" s="1595"/>
    </row>
    <row r="1966" spans="11:15">
      <c r="K1966" s="1592">
        <v>44023</v>
      </c>
      <c r="L1966" s="1593"/>
      <c r="M1966" s="1594">
        <v>0</v>
      </c>
      <c r="N1966" s="1595">
        <v>1.6020802149060309</v>
      </c>
      <c r="O1966" s="1595"/>
    </row>
    <row r="1967" spans="11:15">
      <c r="K1967" s="1592">
        <v>44024</v>
      </c>
      <c r="L1967" s="1593"/>
      <c r="M1967" s="1594">
        <v>0</v>
      </c>
      <c r="N1967" s="1595">
        <v>1.6020802149060309</v>
      </c>
      <c r="O1967" s="1595"/>
    </row>
    <row r="1968" spans="11:15">
      <c r="K1968" s="1592">
        <v>44025</v>
      </c>
      <c r="L1968" s="1593" t="s">
        <v>2301</v>
      </c>
      <c r="M1968" s="1594">
        <v>8.4419999999999999E-3</v>
      </c>
      <c r="N1968" s="1595">
        <v>1.6022154625177734</v>
      </c>
      <c r="O1968" s="1595"/>
    </row>
    <row r="1969" spans="11:15">
      <c r="K1969" s="1592">
        <v>44026</v>
      </c>
      <c r="L1969" s="1593" t="s">
        <v>2301</v>
      </c>
      <c r="M1969" s="1594">
        <v>8.4419999999999999E-3</v>
      </c>
      <c r="N1969" s="1595">
        <v>1.6023507215471193</v>
      </c>
      <c r="O1969" s="1595"/>
    </row>
    <row r="1970" spans="11:15">
      <c r="K1970" s="1592">
        <v>44027</v>
      </c>
      <c r="L1970" s="1593" t="s">
        <v>2301</v>
      </c>
      <c r="M1970" s="1594">
        <v>8.4419999999999999E-3</v>
      </c>
      <c r="N1970" s="1595">
        <v>1.6024859919950325</v>
      </c>
      <c r="O1970" s="1595"/>
    </row>
    <row r="1971" spans="11:15">
      <c r="K1971" s="1592">
        <v>44028</v>
      </c>
      <c r="L1971" s="1593" t="s">
        <v>2301</v>
      </c>
      <c r="M1971" s="1594">
        <v>8.4419999999999999E-3</v>
      </c>
      <c r="N1971" s="1595">
        <v>1.6026212738624768</v>
      </c>
      <c r="O1971" s="1595"/>
    </row>
    <row r="1972" spans="11:15">
      <c r="K1972" s="1592">
        <v>44029</v>
      </c>
      <c r="L1972" s="1593" t="s">
        <v>2301</v>
      </c>
      <c r="M1972" s="1594">
        <v>8.4419999999999999E-3</v>
      </c>
      <c r="N1972" s="1595">
        <v>1.6027565671504165</v>
      </c>
      <c r="O1972" s="1595"/>
    </row>
    <row r="1973" spans="11:15">
      <c r="K1973" s="1592">
        <v>44030</v>
      </c>
      <c r="L1973" s="1593"/>
      <c r="M1973" s="1594">
        <v>0</v>
      </c>
      <c r="N1973" s="1595">
        <v>1.6027565671504165</v>
      </c>
      <c r="O1973" s="1595"/>
    </row>
    <row r="1974" spans="11:15">
      <c r="K1974" s="1592">
        <v>44031</v>
      </c>
      <c r="L1974" s="1593"/>
      <c r="M1974" s="1594">
        <v>0</v>
      </c>
      <c r="N1974" s="1595">
        <v>1.6027565671504165</v>
      </c>
      <c r="O1974" s="1595"/>
    </row>
    <row r="1975" spans="11:15">
      <c r="K1975" s="1592">
        <v>44032</v>
      </c>
      <c r="L1975" s="1593" t="s">
        <v>2301</v>
      </c>
      <c r="M1975" s="1594">
        <v>8.4419999999999999E-3</v>
      </c>
      <c r="N1975" s="1595">
        <v>1.6028918718598155</v>
      </c>
      <c r="O1975" s="1595"/>
    </row>
    <row r="1976" spans="11:15">
      <c r="K1976" s="1592">
        <v>44033</v>
      </c>
      <c r="L1976" s="1593" t="s">
        <v>2301</v>
      </c>
      <c r="M1976" s="1594">
        <v>8.4419999999999999E-3</v>
      </c>
      <c r="N1976" s="1595">
        <v>1.603027187991638</v>
      </c>
      <c r="O1976" s="1595"/>
    </row>
    <row r="1977" spans="11:15">
      <c r="K1977" s="1592">
        <v>44034</v>
      </c>
      <c r="L1977" s="1593" t="s">
        <v>2301</v>
      </c>
      <c r="M1977" s="1594">
        <v>8.4419999999999999E-3</v>
      </c>
      <c r="N1977" s="1595">
        <v>1.6031625155468483</v>
      </c>
      <c r="O1977" s="1595"/>
    </row>
    <row r="1978" spans="11:15">
      <c r="K1978" s="1592">
        <v>44035</v>
      </c>
      <c r="L1978" s="1593" t="s">
        <v>2301</v>
      </c>
      <c r="M1978" s="1594">
        <v>8.4419999999999999E-3</v>
      </c>
      <c r="N1978" s="1595">
        <v>1.6032978545264109</v>
      </c>
      <c r="O1978" s="1595"/>
    </row>
    <row r="1979" spans="11:15">
      <c r="K1979" s="1592">
        <v>44036</v>
      </c>
      <c r="L1979" s="1593" t="s">
        <v>2301</v>
      </c>
      <c r="M1979" s="1594">
        <v>8.4419999999999999E-3</v>
      </c>
      <c r="N1979" s="1595">
        <v>1.6034332049312903</v>
      </c>
      <c r="O1979" s="1595"/>
    </row>
    <row r="1980" spans="11:15">
      <c r="K1980" s="1592">
        <v>44037</v>
      </c>
      <c r="L1980" s="1593"/>
      <c r="M1980" s="1594">
        <v>0</v>
      </c>
      <c r="N1980" s="1595">
        <v>1.6034332049312903</v>
      </c>
      <c r="O1980" s="1595"/>
    </row>
    <row r="1981" spans="11:15">
      <c r="K1981" s="1592">
        <v>44038</v>
      </c>
      <c r="L1981" s="1593"/>
      <c r="M1981" s="1594">
        <v>0</v>
      </c>
      <c r="N1981" s="1595">
        <v>1.6034332049312903</v>
      </c>
      <c r="O1981" s="1595"/>
    </row>
    <row r="1982" spans="11:15">
      <c r="K1982" s="1592">
        <v>44039</v>
      </c>
      <c r="L1982" s="1593" t="s">
        <v>2301</v>
      </c>
      <c r="M1982" s="1594">
        <v>8.4419999999999999E-3</v>
      </c>
      <c r="N1982" s="1595">
        <v>1.6035685667624506</v>
      </c>
      <c r="O1982" s="1595"/>
    </row>
    <row r="1983" spans="11:15">
      <c r="K1983" s="1592">
        <v>44040</v>
      </c>
      <c r="L1983" s="1593" t="s">
        <v>2301</v>
      </c>
      <c r="M1983" s="1594">
        <v>8.4419999999999999E-3</v>
      </c>
      <c r="N1983" s="1595">
        <v>1.6037039400208568</v>
      </c>
      <c r="O1983" s="1595"/>
    </row>
    <row r="1984" spans="11:15">
      <c r="K1984" s="1592">
        <v>44041</v>
      </c>
      <c r="L1984" s="1593" t="s">
        <v>2301</v>
      </c>
      <c r="M1984" s="1594">
        <v>8.4419999999999999E-3</v>
      </c>
      <c r="N1984" s="1595">
        <v>1.6038393247074736</v>
      </c>
      <c r="O1984" s="1595"/>
    </row>
    <row r="1985" spans="11:15">
      <c r="K1985" s="1592">
        <v>44042</v>
      </c>
      <c r="L1985" s="1593" t="s">
        <v>2301</v>
      </c>
      <c r="M1985" s="1594">
        <v>8.4419999999999999E-3</v>
      </c>
      <c r="N1985" s="1595">
        <v>1.6039747208232655</v>
      </c>
      <c r="O1985" s="1595"/>
    </row>
    <row r="1986" spans="11:15">
      <c r="K1986" s="1592">
        <v>44043</v>
      </c>
      <c r="L1986" s="1593" t="s">
        <v>2301</v>
      </c>
      <c r="M1986" s="1594">
        <v>8.4419999999999999E-3</v>
      </c>
      <c r="N1986" s="1595">
        <v>1.6041101283691976</v>
      </c>
      <c r="O1986" s="1595"/>
    </row>
    <row r="1987" spans="11:15">
      <c r="K1987" s="1592">
        <v>44044</v>
      </c>
      <c r="L1987" s="1593"/>
      <c r="M1987" s="1594">
        <v>0</v>
      </c>
      <c r="N1987" s="1595">
        <v>1.6041101283691976</v>
      </c>
      <c r="O1987" s="1595"/>
    </row>
    <row r="1988" spans="11:15">
      <c r="K1988" s="1592">
        <v>44045</v>
      </c>
      <c r="L1988" s="1593"/>
      <c r="M1988" s="1594">
        <v>0</v>
      </c>
      <c r="N1988" s="1595">
        <v>1.6041101283691976</v>
      </c>
      <c r="O1988" s="1595"/>
    </row>
    <row r="1989" spans="11:15">
      <c r="K1989" s="1592">
        <v>44046</v>
      </c>
      <c r="L1989" s="1593" t="s">
        <v>2301</v>
      </c>
      <c r="M1989" s="1594">
        <v>8.4419999999999999E-3</v>
      </c>
      <c r="N1989" s="1595">
        <v>1.6042455473462347</v>
      </c>
      <c r="O1989" s="1595"/>
    </row>
    <row r="1990" spans="11:15">
      <c r="K1990" s="1592">
        <v>44047</v>
      </c>
      <c r="L1990" s="1593" t="s">
        <v>2301</v>
      </c>
      <c r="M1990" s="1594">
        <v>8.4419999999999999E-3</v>
      </c>
      <c r="N1990" s="1595">
        <v>1.6043809777553417</v>
      </c>
      <c r="O1990" s="1595"/>
    </row>
    <row r="1991" spans="11:15">
      <c r="K1991" s="1592">
        <v>44048</v>
      </c>
      <c r="L1991" s="1593" t="s">
        <v>2301</v>
      </c>
      <c r="M1991" s="1594">
        <v>8.4419999999999999E-3</v>
      </c>
      <c r="N1991" s="1595">
        <v>1.6045164195974839</v>
      </c>
      <c r="O1991" s="1595"/>
    </row>
    <row r="1992" spans="11:15">
      <c r="K1992" s="1592">
        <v>44049</v>
      </c>
      <c r="L1992" s="1593" t="s">
        <v>2301</v>
      </c>
      <c r="M1992" s="1594">
        <v>7.4689999999999999E-3</v>
      </c>
      <c r="N1992" s="1595">
        <v>1.6046362609288636</v>
      </c>
      <c r="O1992" s="1595"/>
    </row>
    <row r="1993" spans="11:15">
      <c r="K1993" s="1592">
        <v>44050</v>
      </c>
      <c r="L1993" s="1593" t="s">
        <v>2301</v>
      </c>
      <c r="M1993" s="1594">
        <v>7.4689999999999999E-3</v>
      </c>
      <c r="N1993" s="1595">
        <v>1.6047561112111923</v>
      </c>
      <c r="O1993" s="1595"/>
    </row>
    <row r="1994" spans="11:15">
      <c r="K1994" s="1592">
        <v>44051</v>
      </c>
      <c r="L1994" s="1593"/>
      <c r="M1994" s="1594">
        <v>0</v>
      </c>
      <c r="N1994" s="1595">
        <v>1.6047561112111923</v>
      </c>
      <c r="O1994" s="1595"/>
    </row>
    <row r="1995" spans="11:15">
      <c r="K1995" s="1592">
        <v>44052</v>
      </c>
      <c r="L1995" s="1593"/>
      <c r="M1995" s="1594">
        <v>0</v>
      </c>
      <c r="N1995" s="1595">
        <v>1.6047561112111923</v>
      </c>
      <c r="O1995" s="1595"/>
    </row>
    <row r="1996" spans="11:15">
      <c r="K1996" s="1592">
        <v>44053</v>
      </c>
      <c r="L1996" s="1593" t="s">
        <v>2301</v>
      </c>
      <c r="M1996" s="1594">
        <v>7.4689999999999999E-3</v>
      </c>
      <c r="N1996" s="1595">
        <v>1.6048759704451385</v>
      </c>
      <c r="O1996" s="1595"/>
    </row>
    <row r="1997" spans="11:15">
      <c r="K1997" s="1592">
        <v>44054</v>
      </c>
      <c r="L1997" s="1593" t="s">
        <v>2301</v>
      </c>
      <c r="M1997" s="1594">
        <v>7.4689999999999999E-3</v>
      </c>
      <c r="N1997" s="1595">
        <v>1.604995838631371</v>
      </c>
      <c r="O1997" s="1595"/>
    </row>
    <row r="1998" spans="11:15">
      <c r="K1998" s="1592">
        <v>44055</v>
      </c>
      <c r="L1998" s="1593" t="s">
        <v>2301</v>
      </c>
      <c r="M1998" s="1594">
        <v>7.4689999999999999E-3</v>
      </c>
      <c r="N1998" s="1595">
        <v>1.6051157157705582</v>
      </c>
      <c r="O1998" s="1595"/>
    </row>
    <row r="1999" spans="11:15">
      <c r="K1999" s="1592">
        <v>44056</v>
      </c>
      <c r="L1999" s="1593" t="s">
        <v>2301</v>
      </c>
      <c r="M1999" s="1594">
        <v>7.4689999999999999E-3</v>
      </c>
      <c r="N1999" s="1595">
        <v>1.6052356018633691</v>
      </c>
      <c r="O1999" s="1595"/>
    </row>
    <row r="2000" spans="11:15">
      <c r="K2000" s="1592">
        <v>44057</v>
      </c>
      <c r="L2000" s="1593" t="s">
        <v>2301</v>
      </c>
      <c r="M2000" s="1594">
        <v>7.4689999999999999E-3</v>
      </c>
      <c r="N2000" s="1595">
        <v>1.6053554969104722</v>
      </c>
      <c r="O2000" s="1595"/>
    </row>
    <row r="2001" spans="11:15">
      <c r="K2001" s="1592">
        <v>44058</v>
      </c>
      <c r="L2001" s="1593"/>
      <c r="M2001" s="1594">
        <v>0</v>
      </c>
      <c r="N2001" s="1595">
        <v>1.6053554969104722</v>
      </c>
      <c r="O2001" s="1595"/>
    </row>
    <row r="2002" spans="11:15">
      <c r="K2002" s="1592">
        <v>44059</v>
      </c>
      <c r="L2002" s="1593"/>
      <c r="M2002" s="1594">
        <v>0</v>
      </c>
      <c r="N2002" s="1595">
        <v>1.6053554969104722</v>
      </c>
      <c r="O2002" s="1595"/>
    </row>
    <row r="2003" spans="11:15">
      <c r="K2003" s="1592">
        <v>44060</v>
      </c>
      <c r="L2003" s="1593" t="s">
        <v>2301</v>
      </c>
      <c r="M2003" s="1594">
        <v>7.4689999999999999E-3</v>
      </c>
      <c r="N2003" s="1595">
        <v>1.6054754009125363</v>
      </c>
      <c r="O2003" s="1595"/>
    </row>
    <row r="2004" spans="11:15">
      <c r="K2004" s="1592">
        <v>44061</v>
      </c>
      <c r="L2004" s="1593" t="s">
        <v>2301</v>
      </c>
      <c r="M2004" s="1594">
        <v>7.4689999999999999E-3</v>
      </c>
      <c r="N2004" s="1595">
        <v>1.6055953138702304</v>
      </c>
      <c r="O2004" s="1595"/>
    </row>
    <row r="2005" spans="11:15">
      <c r="K2005" s="1592">
        <v>44062</v>
      </c>
      <c r="L2005" s="1593" t="s">
        <v>2301</v>
      </c>
      <c r="M2005" s="1594">
        <v>7.4689999999999999E-3</v>
      </c>
      <c r="N2005" s="1595">
        <v>1.6057152357842233</v>
      </c>
      <c r="O2005" s="1595"/>
    </row>
    <row r="2006" spans="11:15">
      <c r="K2006" s="1592">
        <v>44063</v>
      </c>
      <c r="L2006" s="1593" t="s">
        <v>2301</v>
      </c>
      <c r="M2006" s="1594">
        <v>7.4689999999999999E-3</v>
      </c>
      <c r="N2006" s="1595">
        <v>1.6058351666551838</v>
      </c>
      <c r="O2006" s="1595"/>
    </row>
    <row r="2007" spans="11:15">
      <c r="K2007" s="1592">
        <v>44064</v>
      </c>
      <c r="L2007" s="1593" t="s">
        <v>2301</v>
      </c>
      <c r="M2007" s="1594">
        <v>7.4689999999999999E-3</v>
      </c>
      <c r="N2007" s="1595">
        <v>1.6059551064837811</v>
      </c>
      <c r="O2007" s="1595"/>
    </row>
    <row r="2008" spans="11:15">
      <c r="K2008" s="1592">
        <v>44065</v>
      </c>
      <c r="L2008" s="1593"/>
      <c r="M2008" s="1594">
        <v>0</v>
      </c>
      <c r="N2008" s="1595">
        <v>1.6059551064837811</v>
      </c>
      <c r="O2008" s="1595"/>
    </row>
    <row r="2009" spans="11:15">
      <c r="K2009" s="1592">
        <v>44066</v>
      </c>
      <c r="L2009" s="1593"/>
      <c r="M2009" s="1594">
        <v>0</v>
      </c>
      <c r="N2009" s="1595">
        <v>1.6059551064837811</v>
      </c>
      <c r="O2009" s="1595"/>
    </row>
    <row r="2010" spans="11:15">
      <c r="K2010" s="1592">
        <v>44067</v>
      </c>
      <c r="L2010" s="1593" t="s">
        <v>2301</v>
      </c>
      <c r="M2010" s="1594">
        <v>7.4689999999999999E-3</v>
      </c>
      <c r="N2010" s="1595">
        <v>1.6060750552706844</v>
      </c>
      <c r="O2010" s="1595"/>
    </row>
    <row r="2011" spans="11:15">
      <c r="K2011" s="1592">
        <v>44068</v>
      </c>
      <c r="L2011" s="1593" t="s">
        <v>2301</v>
      </c>
      <c r="M2011" s="1594">
        <v>7.4689999999999999E-3</v>
      </c>
      <c r="N2011" s="1595">
        <v>1.6061950130165625</v>
      </c>
      <c r="O2011" s="1595"/>
    </row>
    <row r="2012" spans="11:15">
      <c r="K2012" s="1592">
        <v>44069</v>
      </c>
      <c r="L2012" s="1593" t="s">
        <v>2301</v>
      </c>
      <c r="M2012" s="1594">
        <v>7.4689999999999999E-3</v>
      </c>
      <c r="N2012" s="1595">
        <v>1.6063149797220846</v>
      </c>
      <c r="O2012" s="1595"/>
    </row>
    <row r="2013" spans="11:15">
      <c r="K2013" s="1592">
        <v>44070</v>
      </c>
      <c r="L2013" s="1593" t="s">
        <v>2301</v>
      </c>
      <c r="M2013" s="1594">
        <v>7.4689999999999999E-3</v>
      </c>
      <c r="N2013" s="1595">
        <v>1.60643495538792</v>
      </c>
      <c r="O2013" s="1595"/>
    </row>
    <row r="2014" spans="11:15">
      <c r="K2014" s="1592">
        <v>44071</v>
      </c>
      <c r="L2014" s="1593" t="s">
        <v>2301</v>
      </c>
      <c r="M2014" s="1594">
        <v>7.4689999999999999E-3</v>
      </c>
      <c r="N2014" s="1595">
        <v>1.6065549400147379</v>
      </c>
      <c r="O2014" s="1595"/>
    </row>
    <row r="2015" spans="11:15">
      <c r="K2015" s="1592">
        <v>44072</v>
      </c>
      <c r="L2015" s="1593"/>
      <c r="M2015" s="1594">
        <v>0</v>
      </c>
      <c r="N2015" s="1595">
        <v>1.6065549400147379</v>
      </c>
      <c r="O2015" s="1595"/>
    </row>
    <row r="2016" spans="11:15">
      <c r="K2016" s="1592">
        <v>44073</v>
      </c>
      <c r="L2016" s="1593"/>
      <c r="M2016" s="1594">
        <v>0</v>
      </c>
      <c r="N2016" s="1595">
        <v>1.6065549400147379</v>
      </c>
      <c r="O2016" s="1595"/>
    </row>
    <row r="2017" spans="11:15">
      <c r="K2017" s="1592">
        <v>44074</v>
      </c>
      <c r="L2017" s="1593" t="s">
        <v>2301</v>
      </c>
      <c r="M2017" s="1594">
        <v>7.4689999999999999E-3</v>
      </c>
      <c r="N2017" s="1595">
        <v>1.6066749336032076</v>
      </c>
      <c r="O2017" s="1595"/>
    </row>
    <row r="2018" spans="11:15">
      <c r="K2018" s="1592">
        <v>44075</v>
      </c>
      <c r="L2018" s="1593" t="s">
        <v>2301</v>
      </c>
      <c r="M2018" s="1594">
        <v>7.4689999999999999E-3</v>
      </c>
      <c r="N2018" s="1595">
        <v>1.6067949361539984</v>
      </c>
      <c r="O2018" s="1595"/>
    </row>
    <row r="2019" spans="11:15">
      <c r="K2019" s="1592">
        <v>44076</v>
      </c>
      <c r="L2019" s="1593" t="s">
        <v>2301</v>
      </c>
      <c r="M2019" s="1594">
        <v>7.4689999999999999E-3</v>
      </c>
      <c r="N2019" s="1595">
        <v>1.6069149476677795</v>
      </c>
      <c r="O2019" s="1595"/>
    </row>
    <row r="2020" spans="11:15">
      <c r="K2020" s="1592">
        <v>44077</v>
      </c>
      <c r="L2020" s="1593" t="s">
        <v>2301</v>
      </c>
      <c r="M2020" s="1594">
        <v>7.4689999999999999E-3</v>
      </c>
      <c r="N2020" s="1595">
        <v>1.6070349681452207</v>
      </c>
      <c r="O2020" s="1595"/>
    </row>
    <row r="2021" spans="11:15">
      <c r="K2021" s="1592">
        <v>44078</v>
      </c>
      <c r="L2021" s="1593" t="s">
        <v>2301</v>
      </c>
      <c r="M2021" s="1594">
        <v>7.4689999999999999E-3</v>
      </c>
      <c r="N2021" s="1595">
        <v>1.6071549975869914</v>
      </c>
      <c r="O2021" s="1595"/>
    </row>
    <row r="2022" spans="11:15">
      <c r="K2022" s="1592">
        <v>44079</v>
      </c>
      <c r="L2022" s="1593"/>
      <c r="M2022" s="1594">
        <v>0</v>
      </c>
      <c r="N2022" s="1595">
        <v>1.6071549975869914</v>
      </c>
      <c r="O2022" s="1595"/>
    </row>
    <row r="2023" spans="11:15">
      <c r="K2023" s="1592">
        <v>44080</v>
      </c>
      <c r="L2023" s="1593"/>
      <c r="M2023" s="1594">
        <v>0</v>
      </c>
      <c r="N2023" s="1595">
        <v>1.6071549975869914</v>
      </c>
      <c r="O2023" s="1595"/>
    </row>
    <row r="2024" spans="11:15">
      <c r="K2024" s="1592">
        <v>44081</v>
      </c>
      <c r="L2024" s="1593"/>
      <c r="M2024" s="1594">
        <v>0</v>
      </c>
      <c r="N2024" s="1595">
        <v>1.6071549975869914</v>
      </c>
      <c r="O2024" s="1595"/>
    </row>
    <row r="2025" spans="11:15">
      <c r="K2025" s="1592">
        <v>44082</v>
      </c>
      <c r="L2025" s="1593" t="s">
        <v>2301</v>
      </c>
      <c r="M2025" s="1594">
        <v>7.4689999999999999E-3</v>
      </c>
      <c r="N2025" s="1595">
        <v>1.6072750359937611</v>
      </c>
      <c r="O2025" s="1595"/>
    </row>
    <row r="2026" spans="11:15">
      <c r="K2026" s="1592">
        <v>44083</v>
      </c>
      <c r="L2026" s="1593" t="s">
        <v>2301</v>
      </c>
      <c r="M2026" s="1594">
        <v>7.4689999999999999E-3</v>
      </c>
      <c r="N2026" s="1595">
        <v>1.6073950833661994</v>
      </c>
      <c r="O2026" s="1595"/>
    </row>
    <row r="2027" spans="11:15">
      <c r="K2027" s="1592">
        <v>44084</v>
      </c>
      <c r="L2027" s="1593" t="s">
        <v>2301</v>
      </c>
      <c r="M2027" s="1594">
        <v>7.4689999999999999E-3</v>
      </c>
      <c r="N2027" s="1595">
        <v>1.6075151397049758</v>
      </c>
      <c r="O2027" s="1595"/>
    </row>
    <row r="2028" spans="11:15">
      <c r="K2028" s="1592">
        <v>44085</v>
      </c>
      <c r="L2028" s="1593" t="s">
        <v>2301</v>
      </c>
      <c r="M2028" s="1594">
        <v>7.4689999999999999E-3</v>
      </c>
      <c r="N2028" s="1595">
        <v>1.6076352050107603</v>
      </c>
      <c r="O2028" s="1595"/>
    </row>
    <row r="2029" spans="11:15">
      <c r="K2029" s="1592">
        <v>44086</v>
      </c>
      <c r="L2029" s="1593"/>
      <c r="M2029" s="1594">
        <v>0</v>
      </c>
      <c r="N2029" s="1595">
        <v>1.6076352050107603</v>
      </c>
      <c r="O2029" s="1595"/>
    </row>
    <row r="2030" spans="11:15">
      <c r="K2030" s="1592">
        <v>44087</v>
      </c>
      <c r="L2030" s="1593"/>
      <c r="M2030" s="1594">
        <v>0</v>
      </c>
      <c r="N2030" s="1595">
        <v>1.6076352050107603</v>
      </c>
      <c r="O2030" s="1595"/>
    </row>
    <row r="2031" spans="11:15">
      <c r="K2031" s="1592">
        <v>44088</v>
      </c>
      <c r="L2031" s="1593" t="s">
        <v>2301</v>
      </c>
      <c r="M2031" s="1594">
        <v>7.4689999999999999E-3</v>
      </c>
      <c r="N2031" s="1595">
        <v>1.6077552792842225</v>
      </c>
      <c r="O2031" s="1595"/>
    </row>
    <row r="2032" spans="11:15">
      <c r="K2032" s="1592">
        <v>44089</v>
      </c>
      <c r="L2032" s="1593" t="s">
        <v>2301</v>
      </c>
      <c r="M2032" s="1594">
        <v>7.4689999999999999E-3</v>
      </c>
      <c r="N2032" s="1595">
        <v>1.607875362526032</v>
      </c>
      <c r="O2032" s="1595"/>
    </row>
    <row r="2033" spans="11:15">
      <c r="K2033" s="1592">
        <v>44090</v>
      </c>
      <c r="L2033" s="1593" t="s">
        <v>2301</v>
      </c>
      <c r="M2033" s="1594">
        <v>7.4689999999999999E-3</v>
      </c>
      <c r="N2033" s="1595">
        <v>1.6079954547368589</v>
      </c>
      <c r="O2033" s="1595"/>
    </row>
    <row r="2034" spans="11:15">
      <c r="K2034" s="1592">
        <v>44091</v>
      </c>
      <c r="L2034" s="1593" t="s">
        <v>2301</v>
      </c>
      <c r="M2034" s="1594">
        <v>7.4689999999999999E-3</v>
      </c>
      <c r="N2034" s="1595">
        <v>1.608115555917373</v>
      </c>
      <c r="O2034" s="1595"/>
    </row>
    <row r="2035" spans="11:15">
      <c r="K2035" s="1592">
        <v>44092</v>
      </c>
      <c r="L2035" s="1593" t="s">
        <v>2301</v>
      </c>
      <c r="M2035" s="1594">
        <v>7.4689999999999999E-3</v>
      </c>
      <c r="N2035" s="1595">
        <v>1.6082356660682444</v>
      </c>
      <c r="O2035" s="1595"/>
    </row>
    <row r="2036" spans="11:15">
      <c r="K2036" s="1592">
        <v>44093</v>
      </c>
      <c r="L2036" s="1593"/>
      <c r="M2036" s="1594">
        <v>0</v>
      </c>
      <c r="N2036" s="1595">
        <v>1.6082356660682444</v>
      </c>
      <c r="O2036" s="1595"/>
    </row>
    <row r="2037" spans="11:15">
      <c r="K2037" s="1592">
        <v>44094</v>
      </c>
      <c r="L2037" s="1593"/>
      <c r="M2037" s="1594">
        <v>0</v>
      </c>
      <c r="N2037" s="1595">
        <v>1.6082356660682444</v>
      </c>
      <c r="O2037" s="1595"/>
    </row>
    <row r="2038" spans="11:15">
      <c r="K2038" s="1592">
        <v>44095</v>
      </c>
      <c r="L2038" s="1593" t="s">
        <v>2301</v>
      </c>
      <c r="M2038" s="1594">
        <v>7.4689999999999999E-3</v>
      </c>
      <c r="N2038" s="1595">
        <v>1.6083557851901429</v>
      </c>
      <c r="O2038" s="1595"/>
    </row>
    <row r="2039" spans="11:15">
      <c r="K2039" s="1592">
        <v>44096</v>
      </c>
      <c r="L2039" s="1593" t="s">
        <v>2301</v>
      </c>
      <c r="M2039" s="1594">
        <v>7.4689999999999999E-3</v>
      </c>
      <c r="N2039" s="1595">
        <v>1.6084759132837387</v>
      </c>
      <c r="O2039" s="1595"/>
    </row>
    <row r="2040" spans="11:15">
      <c r="K2040" s="1592">
        <v>44097</v>
      </c>
      <c r="L2040" s="1593" t="s">
        <v>2301</v>
      </c>
      <c r="M2040" s="1594">
        <v>7.4689999999999999E-3</v>
      </c>
      <c r="N2040" s="1595">
        <v>1.6085960503497019</v>
      </c>
      <c r="O2040" s="1595"/>
    </row>
    <row r="2041" spans="11:15">
      <c r="K2041" s="1592">
        <v>44098</v>
      </c>
      <c r="L2041" s="1593" t="s">
        <v>2301</v>
      </c>
      <c r="M2041" s="1594">
        <v>7.4689999999999999E-3</v>
      </c>
      <c r="N2041" s="1595">
        <v>1.6087161963887024</v>
      </c>
      <c r="O2041" s="1595"/>
    </row>
    <row r="2042" spans="11:15">
      <c r="K2042" s="1592">
        <v>44099</v>
      </c>
      <c r="L2042" s="1593" t="s">
        <v>2301</v>
      </c>
      <c r="M2042" s="1594">
        <v>7.4689999999999999E-3</v>
      </c>
      <c r="N2042" s="1595">
        <v>1.6088363514014106</v>
      </c>
      <c r="O2042" s="1595"/>
    </row>
    <row r="2043" spans="11:15">
      <c r="K2043" s="1592">
        <v>44100</v>
      </c>
      <c r="L2043" s="1593"/>
      <c r="M2043" s="1594">
        <v>0</v>
      </c>
      <c r="N2043" s="1595">
        <v>1.6088363514014106</v>
      </c>
      <c r="O2043" s="1595"/>
    </row>
    <row r="2044" spans="11:15">
      <c r="K2044" s="1592">
        <v>44101</v>
      </c>
      <c r="L2044" s="1593"/>
      <c r="M2044" s="1594">
        <v>0</v>
      </c>
      <c r="N2044" s="1595">
        <v>1.6088363514014106</v>
      </c>
      <c r="O2044" s="1595"/>
    </row>
    <row r="2045" spans="11:15">
      <c r="K2045" s="1592">
        <v>44102</v>
      </c>
      <c r="L2045" s="1593" t="s">
        <v>2301</v>
      </c>
      <c r="M2045" s="1594">
        <v>7.4689999999999999E-3</v>
      </c>
      <c r="N2045" s="1595">
        <v>1.6089565153884966</v>
      </c>
      <c r="O2045" s="1595"/>
    </row>
    <row r="2046" spans="11:15">
      <c r="K2046" s="1592">
        <v>44103</v>
      </c>
      <c r="L2046" s="1593" t="s">
        <v>2301</v>
      </c>
      <c r="M2046" s="1594">
        <v>7.4689999999999999E-3</v>
      </c>
      <c r="N2046" s="1595">
        <v>1.6090766883506309</v>
      </c>
      <c r="O2046" s="1595"/>
    </row>
    <row r="2047" spans="11:15">
      <c r="K2047" s="1592">
        <v>44104</v>
      </c>
      <c r="L2047" s="1593" t="s">
        <v>2301</v>
      </c>
      <c r="M2047" s="1594">
        <v>7.4689999999999999E-3</v>
      </c>
      <c r="N2047" s="1595">
        <v>1.6091968702884838</v>
      </c>
      <c r="O2047" s="1595"/>
    </row>
    <row r="2048" spans="11:15">
      <c r="K2048" s="1592">
        <v>44105</v>
      </c>
      <c r="L2048" s="1593" t="s">
        <v>2301</v>
      </c>
      <c r="M2048" s="1594">
        <v>7.4689999999999999E-3</v>
      </c>
      <c r="N2048" s="1595">
        <v>1.6093170612027254</v>
      </c>
      <c r="O2048" s="1595"/>
    </row>
    <row r="2049" spans="11:15">
      <c r="K2049" s="1592">
        <v>44106</v>
      </c>
      <c r="L2049" s="1593" t="s">
        <v>2301</v>
      </c>
      <c r="M2049" s="1594">
        <v>7.4689999999999999E-3</v>
      </c>
      <c r="N2049" s="1595">
        <v>1.6094372610940266</v>
      </c>
      <c r="O2049" s="1595"/>
    </row>
    <row r="2050" spans="11:15">
      <c r="K2050" s="1592">
        <v>44107</v>
      </c>
      <c r="L2050" s="1593"/>
      <c r="M2050" s="1594">
        <v>0</v>
      </c>
      <c r="N2050" s="1595">
        <v>1.6094372610940266</v>
      </c>
      <c r="O2050" s="1595"/>
    </row>
    <row r="2051" spans="11:15">
      <c r="K2051" s="1592">
        <v>44108</v>
      </c>
      <c r="L2051" s="1593"/>
      <c r="M2051" s="1594">
        <v>0</v>
      </c>
      <c r="N2051" s="1595">
        <v>1.6094372610940266</v>
      </c>
      <c r="O2051" s="1595"/>
    </row>
    <row r="2052" spans="11:15">
      <c r="K2052" s="1592">
        <v>44109</v>
      </c>
      <c r="L2052" s="1593" t="s">
        <v>2301</v>
      </c>
      <c r="M2052" s="1594">
        <v>7.4689999999999999E-3</v>
      </c>
      <c r="N2052" s="1595">
        <v>1.6095574699630577</v>
      </c>
      <c r="O2052" s="1595"/>
    </row>
    <row r="2053" spans="11:15">
      <c r="K2053" s="1592">
        <v>44110</v>
      </c>
      <c r="L2053" s="1593" t="s">
        <v>2301</v>
      </c>
      <c r="M2053" s="1594">
        <v>7.4689999999999999E-3</v>
      </c>
      <c r="N2053" s="1595">
        <v>1.609677687810489</v>
      </c>
      <c r="O2053" s="1595"/>
    </row>
    <row r="2054" spans="11:15">
      <c r="K2054" s="1592">
        <v>44111</v>
      </c>
      <c r="L2054" s="1593" t="s">
        <v>2301</v>
      </c>
      <c r="M2054" s="1594">
        <v>7.4689999999999999E-3</v>
      </c>
      <c r="N2054" s="1595">
        <v>1.6097979146369914</v>
      </c>
      <c r="O2054" s="1595"/>
    </row>
    <row r="2055" spans="11:15">
      <c r="K2055" s="1592">
        <v>44112</v>
      </c>
      <c r="L2055" s="1593" t="s">
        <v>2301</v>
      </c>
      <c r="M2055" s="1594">
        <v>7.4689999999999999E-3</v>
      </c>
      <c r="N2055" s="1595">
        <v>1.6099181504432356</v>
      </c>
      <c r="O2055" s="1595"/>
    </row>
    <row r="2056" spans="11:15">
      <c r="K2056" s="1592">
        <v>44113</v>
      </c>
      <c r="L2056" s="1593" t="s">
        <v>2301</v>
      </c>
      <c r="M2056" s="1594">
        <v>7.4689999999999999E-3</v>
      </c>
      <c r="N2056" s="1595">
        <v>1.610038395229892</v>
      </c>
      <c r="O2056" s="1595"/>
    </row>
    <row r="2057" spans="11:15">
      <c r="K2057" s="1592">
        <v>44114</v>
      </c>
      <c r="L2057" s="1593"/>
      <c r="M2057" s="1594">
        <v>0</v>
      </c>
      <c r="N2057" s="1595">
        <v>1.610038395229892</v>
      </c>
      <c r="O2057" s="1595"/>
    </row>
    <row r="2058" spans="11:15">
      <c r="K2058" s="1592">
        <v>44115</v>
      </c>
      <c r="L2058" s="1593"/>
      <c r="M2058" s="1594">
        <v>0</v>
      </c>
      <c r="N2058" s="1595">
        <v>1.610038395229892</v>
      </c>
      <c r="O2058" s="1595"/>
    </row>
    <row r="2059" spans="11:15">
      <c r="K2059" s="1592">
        <v>44116</v>
      </c>
      <c r="L2059" s="1593"/>
      <c r="M2059" s="1594">
        <v>0</v>
      </c>
      <c r="N2059" s="1595">
        <v>1.610038395229892</v>
      </c>
      <c r="O2059" s="1595"/>
    </row>
    <row r="2060" spans="11:15">
      <c r="K2060" s="1592">
        <v>44117</v>
      </c>
      <c r="L2060" s="1593" t="s">
        <v>2301</v>
      </c>
      <c r="M2060" s="1594">
        <v>7.4689999999999999E-3</v>
      </c>
      <c r="N2060" s="1595">
        <v>1.6101586489976316</v>
      </c>
      <c r="O2060" s="1595"/>
    </row>
    <row r="2061" spans="11:15">
      <c r="K2061" s="1592">
        <v>44118</v>
      </c>
      <c r="L2061" s="1593" t="s">
        <v>2301</v>
      </c>
      <c r="M2061" s="1594">
        <v>7.4689999999999999E-3</v>
      </c>
      <c r="N2061" s="1595">
        <v>1.6102789117471252</v>
      </c>
      <c r="O2061" s="1595"/>
    </row>
    <row r="2062" spans="11:15">
      <c r="K2062" s="1592">
        <v>44119</v>
      </c>
      <c r="L2062" s="1593" t="s">
        <v>2301</v>
      </c>
      <c r="M2062" s="1594">
        <v>7.4689999999999999E-3</v>
      </c>
      <c r="N2062" s="1595">
        <v>1.6103991834790434</v>
      </c>
      <c r="O2062" s="1595"/>
    </row>
    <row r="2063" spans="11:15">
      <c r="K2063" s="1592">
        <v>44120</v>
      </c>
      <c r="L2063" s="1593" t="s">
        <v>2301</v>
      </c>
      <c r="M2063" s="1594">
        <v>7.4689999999999999E-3</v>
      </c>
      <c r="N2063" s="1595">
        <v>1.6105194641940574</v>
      </c>
      <c r="O2063" s="1595"/>
    </row>
    <row r="2064" spans="11:15">
      <c r="K2064" s="1592">
        <v>44121</v>
      </c>
      <c r="L2064" s="1593"/>
      <c r="M2064" s="1594">
        <v>0</v>
      </c>
      <c r="N2064" s="1595">
        <v>1.6105194641940574</v>
      </c>
      <c r="O2064" s="1595"/>
    </row>
    <row r="2065" spans="11:15">
      <c r="K2065" s="1592">
        <v>44122</v>
      </c>
      <c r="L2065" s="1593"/>
      <c r="M2065" s="1594">
        <v>0</v>
      </c>
      <c r="N2065" s="1595">
        <v>1.6105194641940574</v>
      </c>
      <c r="O2065" s="1595"/>
    </row>
    <row r="2066" spans="11:15">
      <c r="K2066" s="1592">
        <v>44123</v>
      </c>
      <c r="L2066" s="1593" t="s">
        <v>2301</v>
      </c>
      <c r="M2066" s="1594">
        <v>7.4689999999999999E-3</v>
      </c>
      <c r="N2066" s="1595">
        <v>1.6106397538928381</v>
      </c>
      <c r="O2066" s="1595"/>
    </row>
    <row r="2067" spans="11:15">
      <c r="K2067" s="1592">
        <v>44124</v>
      </c>
      <c r="L2067" s="1593" t="s">
        <v>2301</v>
      </c>
      <c r="M2067" s="1594">
        <v>7.4689999999999999E-3</v>
      </c>
      <c r="N2067" s="1595">
        <v>1.6107600525760561</v>
      </c>
      <c r="O2067" s="1595"/>
    </row>
    <row r="2068" spans="11:15">
      <c r="K2068" s="1592">
        <v>44125</v>
      </c>
      <c r="L2068" s="1593" t="s">
        <v>2301</v>
      </c>
      <c r="M2068" s="1594">
        <v>7.4689999999999999E-3</v>
      </c>
      <c r="N2068" s="1595">
        <v>1.6108803602443829</v>
      </c>
      <c r="O2068" s="1595"/>
    </row>
    <row r="2069" spans="11:15">
      <c r="K2069" s="1592">
        <v>44126</v>
      </c>
      <c r="L2069" s="1593" t="s">
        <v>2301</v>
      </c>
      <c r="M2069" s="1594">
        <v>7.4689999999999999E-3</v>
      </c>
      <c r="N2069" s="1595">
        <v>1.6110006768984895</v>
      </c>
      <c r="O2069" s="1595"/>
    </row>
    <row r="2070" spans="11:15">
      <c r="K2070" s="1592">
        <v>44127</v>
      </c>
      <c r="L2070" s="1593" t="s">
        <v>2301</v>
      </c>
      <c r="M2070" s="1594">
        <v>7.4689999999999999E-3</v>
      </c>
      <c r="N2070" s="1595">
        <v>1.611121002539047</v>
      </c>
      <c r="O2070" s="1595"/>
    </row>
    <row r="2071" spans="11:15">
      <c r="K2071" s="1592">
        <v>44128</v>
      </c>
      <c r="L2071" s="1593"/>
      <c r="M2071" s="1594">
        <v>0</v>
      </c>
      <c r="N2071" s="1595">
        <v>1.611121002539047</v>
      </c>
      <c r="O2071" s="1595"/>
    </row>
    <row r="2072" spans="11:15">
      <c r="K2072" s="1592">
        <v>44129</v>
      </c>
      <c r="L2072" s="1593"/>
      <c r="M2072" s="1594">
        <v>0</v>
      </c>
      <c r="N2072" s="1595">
        <v>1.611121002539047</v>
      </c>
      <c r="O2072" s="1595"/>
    </row>
    <row r="2073" spans="11:15">
      <c r="K2073" s="1592">
        <v>44130</v>
      </c>
      <c r="L2073" s="1593" t="s">
        <v>2301</v>
      </c>
      <c r="M2073" s="1594">
        <v>7.4689999999999999E-3</v>
      </c>
      <c r="N2073" s="1595">
        <v>1.6112413371667265</v>
      </c>
      <c r="O2073" s="1595"/>
    </row>
    <row r="2074" spans="11:15">
      <c r="K2074" s="1592">
        <v>44131</v>
      </c>
      <c r="L2074" s="1593" t="s">
        <v>2301</v>
      </c>
      <c r="M2074" s="1594">
        <v>7.4689999999999999E-3</v>
      </c>
      <c r="N2074" s="1595">
        <v>1.6113616807821993</v>
      </c>
      <c r="O2074" s="1595"/>
    </row>
    <row r="2075" spans="11:15">
      <c r="K2075" s="1592">
        <v>44132</v>
      </c>
      <c r="L2075" s="1593" t="s">
        <v>2301</v>
      </c>
      <c r="M2075" s="1594">
        <v>7.4689999999999999E-3</v>
      </c>
      <c r="N2075" s="1595">
        <v>1.6114820333861368</v>
      </c>
      <c r="O2075" s="1595"/>
    </row>
    <row r="2076" spans="11:15">
      <c r="K2076" s="1592">
        <v>44133</v>
      </c>
      <c r="L2076" s="1593" t="s">
        <v>2301</v>
      </c>
      <c r="M2076" s="1594">
        <v>7.4689999999999999E-3</v>
      </c>
      <c r="N2076" s="1595">
        <v>1.6116023949792104</v>
      </c>
      <c r="O2076" s="1595"/>
    </row>
    <row r="2077" spans="11:15">
      <c r="K2077" s="1592">
        <v>44134</v>
      </c>
      <c r="L2077" s="1593" t="s">
        <v>2301</v>
      </c>
      <c r="M2077" s="1594">
        <v>7.4689999999999999E-3</v>
      </c>
      <c r="N2077" s="1595">
        <v>1.6117227655620914</v>
      </c>
      <c r="O2077" s="1595"/>
    </row>
    <row r="2078" spans="11:15">
      <c r="K2078" s="1592">
        <v>44135</v>
      </c>
      <c r="L2078" s="1593"/>
      <c r="M2078" s="1594">
        <v>0</v>
      </c>
      <c r="N2078" s="1595">
        <v>1.6117227655620914</v>
      </c>
      <c r="O2078" s="1595"/>
    </row>
    <row r="2079" spans="11:15">
      <c r="K2079" s="1592">
        <v>44136</v>
      </c>
      <c r="L2079" s="1593"/>
      <c r="M2079" s="1594">
        <v>0</v>
      </c>
      <c r="N2079" s="1595">
        <v>1.6117227655620914</v>
      </c>
      <c r="O2079" s="1595"/>
    </row>
    <row r="2080" spans="11:15">
      <c r="K2080" s="1592">
        <v>44137</v>
      </c>
      <c r="L2080" s="1593"/>
      <c r="M2080" s="1594">
        <v>0</v>
      </c>
      <c r="N2080" s="1595">
        <v>1.6117227655620914</v>
      </c>
      <c r="O2080" s="1595"/>
    </row>
    <row r="2081" spans="11:15">
      <c r="K2081" s="1592">
        <v>44138</v>
      </c>
      <c r="L2081" s="1593" t="s">
        <v>2301</v>
      </c>
      <c r="M2081" s="1594">
        <v>7.4689999999999999E-3</v>
      </c>
      <c r="N2081" s="1595">
        <v>1.6118431451354511</v>
      </c>
      <c r="O2081" s="1595"/>
    </row>
    <row r="2082" spans="11:15">
      <c r="K2082" s="1592">
        <v>44139</v>
      </c>
      <c r="L2082" s="1593" t="s">
        <v>2301</v>
      </c>
      <c r="M2082" s="1594">
        <v>7.4689999999999999E-3</v>
      </c>
      <c r="N2082" s="1595">
        <v>1.6119635336999611</v>
      </c>
      <c r="O2082" s="1595"/>
    </row>
    <row r="2083" spans="11:15">
      <c r="K2083" s="1592">
        <v>44140</v>
      </c>
      <c r="L2083" s="1593" t="s">
        <v>2301</v>
      </c>
      <c r="M2083" s="1594">
        <v>7.4689999999999999E-3</v>
      </c>
      <c r="N2083" s="1595">
        <v>1.6120839312562931</v>
      </c>
      <c r="O2083" s="1595"/>
    </row>
    <row r="2084" spans="11:15">
      <c r="K2084" s="1592">
        <v>44141</v>
      </c>
      <c r="L2084" s="1593" t="s">
        <v>2301</v>
      </c>
      <c r="M2084" s="1594">
        <v>7.4689999999999999E-3</v>
      </c>
      <c r="N2084" s="1595">
        <v>1.6122043378051185</v>
      </c>
      <c r="O2084" s="1595"/>
    </row>
    <row r="2085" spans="11:15">
      <c r="K2085" s="1592">
        <v>44142</v>
      </c>
      <c r="L2085" s="1593"/>
      <c r="M2085" s="1594">
        <v>0</v>
      </c>
      <c r="N2085" s="1595">
        <v>1.6122043378051185</v>
      </c>
      <c r="O2085" s="1595"/>
    </row>
    <row r="2086" spans="11:15">
      <c r="K2086" s="1592">
        <v>44143</v>
      </c>
      <c r="L2086" s="1593"/>
      <c r="M2086" s="1594">
        <v>0</v>
      </c>
      <c r="N2086" s="1595">
        <v>1.6122043378051185</v>
      </c>
      <c r="O2086" s="1595"/>
    </row>
    <row r="2087" spans="11:15">
      <c r="K2087" s="1592">
        <v>44144</v>
      </c>
      <c r="L2087" s="1593" t="s">
        <v>2301</v>
      </c>
      <c r="M2087" s="1594">
        <v>7.4689999999999999E-3</v>
      </c>
      <c r="N2087" s="1595">
        <v>1.612324753347109</v>
      </c>
      <c r="O2087" s="1595"/>
    </row>
    <row r="2088" spans="11:15">
      <c r="K2088" s="1592">
        <v>44145</v>
      </c>
      <c r="L2088" s="1593" t="s">
        <v>2301</v>
      </c>
      <c r="M2088" s="1594">
        <v>7.4689999999999999E-3</v>
      </c>
      <c r="N2088" s="1595">
        <v>1.6124451778829363</v>
      </c>
      <c r="O2088" s="1595"/>
    </row>
    <row r="2089" spans="11:15">
      <c r="K2089" s="1592">
        <v>44146</v>
      </c>
      <c r="L2089" s="1593" t="s">
        <v>2301</v>
      </c>
      <c r="M2089" s="1594">
        <v>7.4689999999999999E-3</v>
      </c>
      <c r="N2089" s="1595">
        <v>1.6125656114132723</v>
      </c>
      <c r="O2089" s="1595"/>
    </row>
    <row r="2090" spans="11:15">
      <c r="K2090" s="1592">
        <v>44147</v>
      </c>
      <c r="L2090" s="1593" t="s">
        <v>2301</v>
      </c>
      <c r="M2090" s="1594">
        <v>7.4689999999999999E-3</v>
      </c>
      <c r="N2090" s="1595">
        <v>1.6126860539387886</v>
      </c>
      <c r="O2090" s="1595"/>
    </row>
    <row r="2091" spans="11:15">
      <c r="K2091" s="1592">
        <v>44148</v>
      </c>
      <c r="L2091" s="1593" t="s">
        <v>2301</v>
      </c>
      <c r="M2091" s="1594">
        <v>7.4689999999999999E-3</v>
      </c>
      <c r="N2091" s="1595">
        <v>1.6128065054601572</v>
      </c>
      <c r="O2091" s="1595"/>
    </row>
    <row r="2092" spans="11:15">
      <c r="K2092" s="1592">
        <v>44149</v>
      </c>
      <c r="L2092" s="1593"/>
      <c r="M2092" s="1594">
        <v>0</v>
      </c>
      <c r="N2092" s="1595">
        <v>1.6128065054601572</v>
      </c>
      <c r="O2092" s="1595"/>
    </row>
    <row r="2093" spans="11:15">
      <c r="K2093" s="1592">
        <v>44150</v>
      </c>
      <c r="L2093" s="1593"/>
      <c r="M2093" s="1594">
        <v>0</v>
      </c>
      <c r="N2093" s="1595">
        <v>1.6128065054601572</v>
      </c>
      <c r="O2093" s="1595"/>
    </row>
    <row r="2094" spans="11:15">
      <c r="K2094" s="1592">
        <v>44151</v>
      </c>
      <c r="L2094" s="1593" t="s">
        <v>2301</v>
      </c>
      <c r="M2094" s="1594">
        <v>7.4689999999999999E-3</v>
      </c>
      <c r="N2094" s="1595">
        <v>1.6129269659780499</v>
      </c>
      <c r="O2094" s="1595"/>
    </row>
    <row r="2095" spans="11:15">
      <c r="K2095" s="1592">
        <v>44152</v>
      </c>
      <c r="L2095" s="1593" t="s">
        <v>2301</v>
      </c>
      <c r="M2095" s="1594">
        <v>7.4689999999999999E-3</v>
      </c>
      <c r="N2095" s="1595">
        <v>1.6130474354931386</v>
      </c>
      <c r="O2095" s="1595"/>
    </row>
    <row r="2096" spans="11:15">
      <c r="K2096" s="1592">
        <v>44153</v>
      </c>
      <c r="L2096" s="1593" t="s">
        <v>2301</v>
      </c>
      <c r="M2096" s="1594">
        <v>7.4689999999999999E-3</v>
      </c>
      <c r="N2096" s="1595">
        <v>1.6131679140060955</v>
      </c>
      <c r="O2096" s="1595"/>
    </row>
    <row r="2097" spans="11:15">
      <c r="K2097" s="1592">
        <v>44154</v>
      </c>
      <c r="L2097" s="1593" t="s">
        <v>2301</v>
      </c>
      <c r="M2097" s="1594">
        <v>7.4689999999999999E-3</v>
      </c>
      <c r="N2097" s="1595">
        <v>1.6132884015175926</v>
      </c>
      <c r="O2097" s="1595"/>
    </row>
    <row r="2098" spans="11:15">
      <c r="K2098" s="1592">
        <v>44155</v>
      </c>
      <c r="L2098" s="1593" t="s">
        <v>2301</v>
      </c>
      <c r="M2098" s="1594">
        <v>7.4689999999999999E-3</v>
      </c>
      <c r="N2098" s="1595">
        <v>1.6134088980283019</v>
      </c>
      <c r="O2098" s="1595"/>
    </row>
    <row r="2099" spans="11:15">
      <c r="K2099" s="1592">
        <v>44156</v>
      </c>
      <c r="L2099" s="1593"/>
      <c r="M2099" s="1594">
        <v>0</v>
      </c>
      <c r="N2099" s="1595">
        <v>1.6134088980283019</v>
      </c>
      <c r="O2099" s="1595"/>
    </row>
    <row r="2100" spans="11:15">
      <c r="K2100" s="1592">
        <v>44157</v>
      </c>
      <c r="L2100" s="1593"/>
      <c r="M2100" s="1594">
        <v>0</v>
      </c>
      <c r="N2100" s="1595">
        <v>1.6134088980283019</v>
      </c>
      <c r="O2100" s="1595"/>
    </row>
    <row r="2101" spans="11:15">
      <c r="K2101" s="1592">
        <v>44158</v>
      </c>
      <c r="L2101" s="1593" t="s">
        <v>2301</v>
      </c>
      <c r="M2101" s="1594">
        <v>7.4689999999999999E-3</v>
      </c>
      <c r="N2101" s="1595">
        <v>1.6135294035388956</v>
      </c>
      <c r="O2101" s="1595"/>
    </row>
    <row r="2102" spans="11:15">
      <c r="K2102" s="1592">
        <v>44159</v>
      </c>
      <c r="L2102" s="1593" t="s">
        <v>2301</v>
      </c>
      <c r="M2102" s="1594">
        <v>7.4689999999999999E-3</v>
      </c>
      <c r="N2102" s="1595">
        <v>1.6136499180500459</v>
      </c>
      <c r="O2102" s="1595"/>
    </row>
    <row r="2103" spans="11:15">
      <c r="K2103" s="1592">
        <v>44160</v>
      </c>
      <c r="L2103" s="1593" t="s">
        <v>2301</v>
      </c>
      <c r="M2103" s="1594">
        <v>7.4689999999999999E-3</v>
      </c>
      <c r="N2103" s="1595">
        <v>1.613770441562425</v>
      </c>
      <c r="O2103" s="1595"/>
    </row>
    <row r="2104" spans="11:15">
      <c r="K2104" s="1592">
        <v>44161</v>
      </c>
      <c r="L2104" s="1593" t="s">
        <v>2301</v>
      </c>
      <c r="M2104" s="1594">
        <v>7.4689999999999999E-3</v>
      </c>
      <c r="N2104" s="1595">
        <v>1.6138909740767051</v>
      </c>
      <c r="O2104" s="1595"/>
    </row>
    <row r="2105" spans="11:15">
      <c r="K2105" s="1592">
        <v>44162</v>
      </c>
      <c r="L2105" s="1593" t="s">
        <v>2301</v>
      </c>
      <c r="M2105" s="1594">
        <v>7.4689999999999999E-3</v>
      </c>
      <c r="N2105" s="1595">
        <v>1.6140115155935588</v>
      </c>
      <c r="O2105" s="1595"/>
    </row>
    <row r="2106" spans="11:15">
      <c r="K2106" s="1592">
        <v>44163</v>
      </c>
      <c r="L2106" s="1593"/>
      <c r="M2106" s="1594">
        <v>0</v>
      </c>
      <c r="N2106" s="1595">
        <v>1.6140115155935588</v>
      </c>
      <c r="O2106" s="1595"/>
    </row>
    <row r="2107" spans="11:15">
      <c r="K2107" s="1592">
        <v>44164</v>
      </c>
      <c r="L2107" s="1593"/>
      <c r="M2107" s="1594">
        <v>0</v>
      </c>
      <c r="N2107" s="1595">
        <v>1.6140115155935588</v>
      </c>
      <c r="O2107" s="1595"/>
    </row>
    <row r="2108" spans="11:15">
      <c r="K2108" s="1592">
        <v>44165</v>
      </c>
      <c r="L2108" s="1593" t="s">
        <v>2301</v>
      </c>
      <c r="M2108" s="1594">
        <v>7.4689999999999999E-3</v>
      </c>
      <c r="N2108" s="1595">
        <v>1.6141320661136584</v>
      </c>
      <c r="O2108" s="1595"/>
    </row>
    <row r="2109" spans="11:15">
      <c r="K2109" s="1592">
        <v>44166</v>
      </c>
      <c r="L2109" s="1593" t="s">
        <v>2301</v>
      </c>
      <c r="M2109" s="1594">
        <v>7.4689999999999999E-3</v>
      </c>
      <c r="N2109" s="1595">
        <v>1.6142526256376764</v>
      </c>
      <c r="O2109" s="1595"/>
    </row>
    <row r="2110" spans="11:15">
      <c r="K2110" s="1592">
        <v>44167</v>
      </c>
      <c r="L2110" s="1593" t="s">
        <v>2301</v>
      </c>
      <c r="M2110" s="1594">
        <v>7.4689999999999999E-3</v>
      </c>
      <c r="N2110" s="1595">
        <v>1.6143731941662851</v>
      </c>
      <c r="O2110" s="1595"/>
    </row>
    <row r="2111" spans="11:15">
      <c r="K2111" s="1592">
        <v>44168</v>
      </c>
      <c r="L2111" s="1593" t="s">
        <v>2301</v>
      </c>
      <c r="M2111" s="1594">
        <v>7.4689999999999999E-3</v>
      </c>
      <c r="N2111" s="1595">
        <v>1.6144937717001573</v>
      </c>
      <c r="O2111" s="1595"/>
    </row>
    <row r="2112" spans="11:15">
      <c r="K2112" s="1592">
        <v>44169</v>
      </c>
      <c r="L2112" s="1593" t="s">
        <v>2301</v>
      </c>
      <c r="M2112" s="1594">
        <v>7.4689999999999999E-3</v>
      </c>
      <c r="N2112" s="1595">
        <v>1.6146143582399655</v>
      </c>
      <c r="O2112" s="1595"/>
    </row>
    <row r="2113" spans="11:15">
      <c r="K2113" s="1592">
        <v>44170</v>
      </c>
      <c r="L2113" s="1593"/>
      <c r="M2113" s="1594">
        <v>0</v>
      </c>
      <c r="N2113" s="1595">
        <v>1.6146143582399655</v>
      </c>
      <c r="O2113" s="1595"/>
    </row>
    <row r="2114" spans="11:15">
      <c r="K2114" s="1592">
        <v>44171</v>
      </c>
      <c r="L2114" s="1593"/>
      <c r="M2114" s="1594">
        <v>0</v>
      </c>
      <c r="N2114" s="1595">
        <v>1.6146143582399655</v>
      </c>
      <c r="O2114" s="1595"/>
    </row>
    <row r="2115" spans="11:15">
      <c r="K2115" s="1592">
        <v>44172</v>
      </c>
      <c r="L2115" s="1593" t="s">
        <v>2301</v>
      </c>
      <c r="M2115" s="1594">
        <v>7.4689999999999999E-3</v>
      </c>
      <c r="N2115" s="1595">
        <v>1.6147349537863822</v>
      </c>
      <c r="O2115" s="1595"/>
    </row>
    <row r="2116" spans="11:15">
      <c r="K2116" s="1592">
        <v>44173</v>
      </c>
      <c r="L2116" s="1593" t="s">
        <v>2301</v>
      </c>
      <c r="M2116" s="1594">
        <v>7.4689999999999999E-3</v>
      </c>
      <c r="N2116" s="1595">
        <v>1.6148555583400803</v>
      </c>
      <c r="O2116" s="1595"/>
    </row>
    <row r="2117" spans="11:15">
      <c r="K2117" s="1592">
        <v>44174</v>
      </c>
      <c r="L2117" s="1593" t="s">
        <v>2301</v>
      </c>
      <c r="M2117" s="1594">
        <v>7.4689999999999999E-3</v>
      </c>
      <c r="N2117" s="1595">
        <v>1.6149761719017326</v>
      </c>
      <c r="O2117" s="1595"/>
    </row>
    <row r="2118" spans="11:15">
      <c r="K2118" s="1592">
        <v>44175</v>
      </c>
      <c r="L2118" s="1593" t="s">
        <v>2301</v>
      </c>
      <c r="M2118" s="1594">
        <v>7.4689999999999999E-3</v>
      </c>
      <c r="N2118" s="1595">
        <v>1.6150967944720118</v>
      </c>
      <c r="O2118" s="1595"/>
    </row>
    <row r="2119" spans="11:15">
      <c r="K2119" s="1592">
        <v>44176</v>
      </c>
      <c r="L2119" s="1593" t="s">
        <v>2301</v>
      </c>
      <c r="M2119" s="1594">
        <v>7.4689999999999999E-3</v>
      </c>
      <c r="N2119" s="1595">
        <v>1.6152174260515908</v>
      </c>
      <c r="O2119" s="1595"/>
    </row>
    <row r="2120" spans="11:15">
      <c r="K2120" s="1592">
        <v>44177</v>
      </c>
      <c r="L2120" s="1593"/>
      <c r="M2120" s="1594">
        <v>0</v>
      </c>
      <c r="N2120" s="1595">
        <v>1.6152174260515908</v>
      </c>
      <c r="O2120" s="1595"/>
    </row>
    <row r="2121" spans="11:15">
      <c r="K2121" s="1592">
        <v>44178</v>
      </c>
      <c r="L2121" s="1593"/>
      <c r="M2121" s="1594">
        <v>0</v>
      </c>
      <c r="N2121" s="1595">
        <v>1.6152174260515908</v>
      </c>
      <c r="O2121" s="1595"/>
    </row>
    <row r="2122" spans="11:15">
      <c r="K2122" s="1592">
        <v>44179</v>
      </c>
      <c r="L2122" s="1593" t="s">
        <v>2301</v>
      </c>
      <c r="M2122" s="1594">
        <v>7.4689999999999999E-3</v>
      </c>
      <c r="N2122" s="1595">
        <v>1.6153380666411425</v>
      </c>
      <c r="O2122" s="1595"/>
    </row>
    <row r="2123" spans="11:15">
      <c r="K2123" s="1592">
        <v>44180</v>
      </c>
      <c r="L2123" s="1593" t="s">
        <v>2301</v>
      </c>
      <c r="M2123" s="1594">
        <v>7.4689999999999999E-3</v>
      </c>
      <c r="N2123" s="1595">
        <v>1.6154587162413399</v>
      </c>
      <c r="O2123" s="1595"/>
    </row>
    <row r="2124" spans="11:15">
      <c r="K2124" s="1592">
        <v>44181</v>
      </c>
      <c r="L2124" s="1593" t="s">
        <v>2301</v>
      </c>
      <c r="M2124" s="1594">
        <v>7.4689999999999999E-3</v>
      </c>
      <c r="N2124" s="1595">
        <v>1.6155793748528557</v>
      </c>
      <c r="O2124" s="1595"/>
    </row>
    <row r="2125" spans="11:15">
      <c r="K2125" s="1592">
        <v>44182</v>
      </c>
      <c r="L2125" s="1593" t="s">
        <v>2301</v>
      </c>
      <c r="M2125" s="1594">
        <v>7.4689999999999999E-3</v>
      </c>
      <c r="N2125" s="1595">
        <v>1.6157000424763635</v>
      </c>
      <c r="O2125" s="1595"/>
    </row>
    <row r="2126" spans="11:15">
      <c r="K2126" s="1592">
        <v>44183</v>
      </c>
      <c r="L2126" s="1593" t="s">
        <v>2301</v>
      </c>
      <c r="M2126" s="1594">
        <v>7.4689999999999999E-3</v>
      </c>
      <c r="N2126" s="1595">
        <v>1.615820719112536</v>
      </c>
      <c r="O2126" s="1595"/>
    </row>
    <row r="2127" spans="11:15">
      <c r="K2127" s="1592">
        <v>44184</v>
      </c>
      <c r="L2127" s="1593"/>
      <c r="M2127" s="1594">
        <v>0</v>
      </c>
      <c r="N2127" s="1595">
        <v>1.615820719112536</v>
      </c>
      <c r="O2127" s="1595"/>
    </row>
    <row r="2128" spans="11:15">
      <c r="K2128" s="1592">
        <v>44185</v>
      </c>
      <c r="L2128" s="1593"/>
      <c r="M2128" s="1594">
        <v>0</v>
      </c>
      <c r="N2128" s="1595">
        <v>1.615820719112536</v>
      </c>
      <c r="O2128" s="1595"/>
    </row>
    <row r="2129" spans="11:15">
      <c r="K2129" s="1592">
        <v>44186</v>
      </c>
      <c r="L2129" s="1593" t="s">
        <v>2301</v>
      </c>
      <c r="M2129" s="1594">
        <v>7.4689999999999999E-3</v>
      </c>
      <c r="N2129" s="1595">
        <v>1.6159414047620464</v>
      </c>
      <c r="O2129" s="1595"/>
    </row>
    <row r="2130" spans="11:15">
      <c r="K2130" s="1592">
        <v>44187</v>
      </c>
      <c r="L2130" s="1593" t="s">
        <v>2301</v>
      </c>
      <c r="M2130" s="1594">
        <v>7.4689999999999999E-3</v>
      </c>
      <c r="N2130" s="1595">
        <v>1.6160620994255679</v>
      </c>
      <c r="O2130" s="1595"/>
    </row>
    <row r="2131" spans="11:15">
      <c r="K2131" s="1592">
        <v>44188</v>
      </c>
      <c r="L2131" s="1593" t="s">
        <v>2301</v>
      </c>
      <c r="M2131" s="1594">
        <v>7.4689999999999999E-3</v>
      </c>
      <c r="N2131" s="1595">
        <v>1.6161828031037739</v>
      </c>
      <c r="O2131" s="1595"/>
    </row>
    <row r="2132" spans="11:15">
      <c r="K2132" s="1592">
        <v>44189</v>
      </c>
      <c r="L2132" s="1593" t="s">
        <v>2301</v>
      </c>
      <c r="M2132" s="1594">
        <v>7.4689999999999999E-3</v>
      </c>
      <c r="N2132" s="1595">
        <v>1.6163035157973376</v>
      </c>
      <c r="O2132" s="1595"/>
    </row>
    <row r="2133" spans="11:15">
      <c r="K2133" s="1592">
        <v>44190</v>
      </c>
      <c r="L2133" s="1593"/>
      <c r="M2133" s="1594">
        <v>0</v>
      </c>
      <c r="N2133" s="1595">
        <v>1.6163035157973376</v>
      </c>
      <c r="O2133" s="1595"/>
    </row>
    <row r="2134" spans="11:15">
      <c r="K2134" s="1592">
        <v>44191</v>
      </c>
      <c r="L2134" s="1593"/>
      <c r="M2134" s="1594">
        <v>0</v>
      </c>
      <c r="N2134" s="1595">
        <v>1.6163035157973376</v>
      </c>
      <c r="O2134" s="1595"/>
    </row>
    <row r="2135" spans="11:15">
      <c r="K2135" s="1592">
        <v>44192</v>
      </c>
      <c r="L2135" s="1593"/>
      <c r="M2135" s="1594">
        <v>0</v>
      </c>
      <c r="N2135" s="1595">
        <v>1.6163035157973376</v>
      </c>
      <c r="O2135" s="1595"/>
    </row>
    <row r="2136" spans="11:15">
      <c r="K2136" s="1592">
        <v>44193</v>
      </c>
      <c r="L2136" s="1593" t="s">
        <v>2301</v>
      </c>
      <c r="M2136" s="1594">
        <v>7.4689999999999999E-3</v>
      </c>
      <c r="N2136" s="1595">
        <v>1.6164242375069324</v>
      </c>
      <c r="O2136" s="1595"/>
    </row>
    <row r="2137" spans="11:15">
      <c r="K2137" s="1592">
        <v>44194</v>
      </c>
      <c r="L2137" s="1593" t="s">
        <v>2301</v>
      </c>
      <c r="M2137" s="1594">
        <v>7.4689999999999999E-3</v>
      </c>
      <c r="N2137" s="1595">
        <v>1.6165449682332318</v>
      </c>
      <c r="O2137" s="1595"/>
    </row>
    <row r="2138" spans="11:15">
      <c r="K2138" s="1592">
        <v>44195</v>
      </c>
      <c r="L2138" s="1593" t="s">
        <v>2301</v>
      </c>
      <c r="M2138" s="1594">
        <v>7.4689999999999999E-3</v>
      </c>
      <c r="N2138" s="1595">
        <v>1.6166657079769091</v>
      </c>
      <c r="O2138" s="1595"/>
    </row>
    <row r="2139" spans="11:15">
      <c r="K2139" s="1592">
        <v>44196</v>
      </c>
      <c r="L2139" s="1593" t="s">
        <v>2301</v>
      </c>
      <c r="M2139" s="1594">
        <v>7.4689999999999999E-3</v>
      </c>
      <c r="N2139" s="1595">
        <v>1.6167864567386379</v>
      </c>
      <c r="O2139" s="1595"/>
    </row>
    <row r="2140" spans="11:15">
      <c r="K2140" s="1592">
        <v>44197</v>
      </c>
      <c r="L2140" s="1593"/>
      <c r="M2140" s="1594">
        <v>0</v>
      </c>
      <c r="N2140" s="1595">
        <v>1.6167864567386379</v>
      </c>
      <c r="O2140" s="1595"/>
    </row>
    <row r="2141" spans="11:15">
      <c r="K2141" s="1592">
        <v>44198</v>
      </c>
      <c r="L2141" s="1593"/>
      <c r="M2141" s="1594">
        <v>0</v>
      </c>
      <c r="N2141" s="1595">
        <v>1.6167864567386379</v>
      </c>
      <c r="O2141" s="1595"/>
    </row>
    <row r="2142" spans="11:15">
      <c r="K2142" s="1592">
        <v>44199</v>
      </c>
      <c r="L2142" s="1593"/>
      <c r="M2142" s="1594">
        <v>0</v>
      </c>
      <c r="N2142" s="1595">
        <v>1.6167864567386379</v>
      </c>
      <c r="O2142" s="1595"/>
    </row>
    <row r="2143" spans="11:15">
      <c r="K2143" s="1592">
        <v>44200</v>
      </c>
      <c r="L2143" s="1593" t="s">
        <v>2301</v>
      </c>
      <c r="M2143" s="1594">
        <v>7.4689999999999999E-3</v>
      </c>
      <c r="N2143" s="1595">
        <v>1.6169072145190915</v>
      </c>
      <c r="O2143" s="1595"/>
    </row>
    <row r="2144" spans="11:15">
      <c r="K2144" s="1592">
        <v>44201</v>
      </c>
      <c r="L2144" s="1593" t="s">
        <v>2301</v>
      </c>
      <c r="M2144" s="1594">
        <v>7.4689999999999999E-3</v>
      </c>
      <c r="N2144" s="1595">
        <v>1.6170279813189439</v>
      </c>
      <c r="O2144" s="1595"/>
    </row>
    <row r="2145" spans="11:15">
      <c r="K2145" s="1592">
        <v>44202</v>
      </c>
      <c r="L2145" s="1593" t="s">
        <v>2301</v>
      </c>
      <c r="M2145" s="1594">
        <v>7.4689999999999999E-3</v>
      </c>
      <c r="N2145" s="1595">
        <v>1.6171487571388685</v>
      </c>
      <c r="O2145" s="1595"/>
    </row>
    <row r="2146" spans="11:15">
      <c r="K2146" s="1592">
        <v>44203</v>
      </c>
      <c r="L2146" s="1593" t="s">
        <v>2301</v>
      </c>
      <c r="M2146" s="1594">
        <v>7.4689999999999999E-3</v>
      </c>
      <c r="N2146" s="1595">
        <v>1.6172695419795391</v>
      </c>
      <c r="O2146" s="1595"/>
    </row>
    <row r="2147" spans="11:15">
      <c r="K2147" s="1592">
        <v>44204</v>
      </c>
      <c r="L2147" s="1593" t="s">
        <v>2301</v>
      </c>
      <c r="M2147" s="1594">
        <v>7.4689999999999999E-3</v>
      </c>
      <c r="N2147" s="1595">
        <v>1.6173903358416295</v>
      </c>
      <c r="O2147" s="1595"/>
    </row>
    <row r="2148" spans="11:15">
      <c r="K2148" s="1592">
        <v>44205</v>
      </c>
      <c r="L2148" s="1593"/>
      <c r="M2148" s="1594">
        <v>0</v>
      </c>
      <c r="N2148" s="1595">
        <v>1.6173903358416295</v>
      </c>
      <c r="O2148" s="1595"/>
    </row>
    <row r="2149" spans="11:15">
      <c r="K2149" s="1592">
        <v>44206</v>
      </c>
      <c r="L2149" s="1593"/>
      <c r="M2149" s="1594">
        <v>0</v>
      </c>
      <c r="N2149" s="1595">
        <v>1.6173903358416295</v>
      </c>
      <c r="O2149" s="1595"/>
    </row>
    <row r="2150" spans="11:15">
      <c r="K2150" s="1592">
        <v>44207</v>
      </c>
      <c r="L2150" s="1593" t="s">
        <v>2301</v>
      </c>
      <c r="M2150" s="1594">
        <v>7.4689999999999999E-3</v>
      </c>
      <c r="N2150" s="1595">
        <v>1.6175111387258134</v>
      </c>
      <c r="O2150" s="1595"/>
    </row>
    <row r="2151" spans="11:15">
      <c r="K2151" s="1592">
        <v>44208</v>
      </c>
      <c r="L2151" s="1593" t="s">
        <v>2301</v>
      </c>
      <c r="M2151" s="1594">
        <v>7.4689999999999999E-3</v>
      </c>
      <c r="N2151" s="1595">
        <v>1.6176319506327648</v>
      </c>
      <c r="O2151" s="1595"/>
    </row>
    <row r="2152" spans="11:15">
      <c r="K2152" s="1592">
        <v>44209</v>
      </c>
      <c r="L2152" s="1593" t="s">
        <v>2301</v>
      </c>
      <c r="M2152" s="1594">
        <v>7.4689999999999999E-3</v>
      </c>
      <c r="N2152" s="1595">
        <v>1.6177527715631574</v>
      </c>
      <c r="O2152" s="1595"/>
    </row>
    <row r="2153" spans="11:15">
      <c r="K2153" s="1592">
        <v>44210</v>
      </c>
      <c r="L2153" s="1593" t="s">
        <v>2301</v>
      </c>
      <c r="M2153" s="1594">
        <v>7.4689999999999999E-3</v>
      </c>
      <c r="N2153" s="1595">
        <v>1.6178736015176653</v>
      </c>
      <c r="O2153" s="1595"/>
    </row>
    <row r="2154" spans="11:15">
      <c r="K2154" s="1592">
        <v>44211</v>
      </c>
      <c r="L2154" s="1593" t="s">
        <v>2301</v>
      </c>
      <c r="M2154" s="1594">
        <v>7.4689999999999999E-3</v>
      </c>
      <c r="N2154" s="1595">
        <v>1.6179944404969626</v>
      </c>
      <c r="O2154" s="1595"/>
    </row>
    <row r="2155" spans="11:15">
      <c r="K2155" s="1592">
        <v>44212</v>
      </c>
      <c r="L2155" s="1593"/>
      <c r="M2155" s="1594">
        <v>0</v>
      </c>
      <c r="N2155" s="1595">
        <v>1.6179944404969626</v>
      </c>
      <c r="O2155" s="1595"/>
    </row>
    <row r="2156" spans="11:15">
      <c r="K2156" s="1592">
        <v>44213</v>
      </c>
      <c r="L2156" s="1593"/>
      <c r="M2156" s="1594">
        <v>0</v>
      </c>
      <c r="N2156" s="1595">
        <v>1.6179944404969626</v>
      </c>
      <c r="O2156" s="1595"/>
    </row>
    <row r="2157" spans="11:15">
      <c r="K2157" s="1592">
        <v>44214</v>
      </c>
      <c r="L2157" s="1593" t="s">
        <v>2301</v>
      </c>
      <c r="M2157" s="1594">
        <v>7.4689999999999999E-3</v>
      </c>
      <c r="N2157" s="1595">
        <v>1.6181152885017231</v>
      </c>
      <c r="O2157" s="1595"/>
    </row>
    <row r="2158" spans="11:15">
      <c r="K2158" s="1592">
        <v>44215</v>
      </c>
      <c r="L2158" s="1593" t="s">
        <v>2301</v>
      </c>
      <c r="M2158" s="1594">
        <v>7.4689999999999999E-3</v>
      </c>
      <c r="N2158" s="1595">
        <v>1.6182361455326213</v>
      </c>
      <c r="O2158" s="1595"/>
    </row>
    <row r="2159" spans="11:15">
      <c r="K2159" s="1592">
        <v>44216</v>
      </c>
      <c r="L2159" s="1593" t="s">
        <v>2301</v>
      </c>
      <c r="M2159" s="1594">
        <v>7.4689999999999999E-3</v>
      </c>
      <c r="N2159" s="1595">
        <v>1.618357011590331</v>
      </c>
      <c r="O2159" s="1595"/>
    </row>
    <row r="2160" spans="11:15">
      <c r="K2160" s="1592">
        <v>44217</v>
      </c>
      <c r="L2160" s="1593" t="s">
        <v>2301</v>
      </c>
      <c r="M2160" s="1594">
        <v>7.4689999999999999E-3</v>
      </c>
      <c r="N2160" s="1595">
        <v>1.6184778866755265</v>
      </c>
      <c r="O2160" s="1595"/>
    </row>
    <row r="2161" spans="11:15">
      <c r="K2161" s="1592">
        <v>44218</v>
      </c>
      <c r="L2161" s="1593" t="s">
        <v>2301</v>
      </c>
      <c r="M2161" s="1594">
        <v>7.4689999999999999E-3</v>
      </c>
      <c r="N2161" s="1595">
        <v>1.6185987707888823</v>
      </c>
      <c r="O2161" s="1595"/>
    </row>
    <row r="2162" spans="11:15">
      <c r="K2162" s="1592">
        <v>44219</v>
      </c>
      <c r="L2162" s="1593"/>
      <c r="M2162" s="1594">
        <v>0</v>
      </c>
      <c r="N2162" s="1595">
        <v>1.6185987707888823</v>
      </c>
      <c r="O2162" s="1595"/>
    </row>
    <row r="2163" spans="11:15">
      <c r="K2163" s="1592">
        <v>44220</v>
      </c>
      <c r="L2163" s="1593"/>
      <c r="M2163" s="1594">
        <v>0</v>
      </c>
      <c r="N2163" s="1595">
        <v>1.6185987707888823</v>
      </c>
      <c r="O2163" s="1595"/>
    </row>
    <row r="2164" spans="11:15">
      <c r="K2164" s="1592">
        <v>44221</v>
      </c>
      <c r="L2164" s="1593" t="s">
        <v>2301</v>
      </c>
      <c r="M2164" s="1594">
        <v>7.4689999999999999E-3</v>
      </c>
      <c r="N2164" s="1595">
        <v>1.6187196639310724</v>
      </c>
      <c r="O2164" s="1595"/>
    </row>
    <row r="2165" spans="11:15">
      <c r="K2165" s="1592">
        <v>44222</v>
      </c>
      <c r="L2165" s="1593" t="s">
        <v>2301</v>
      </c>
      <c r="M2165" s="1594">
        <v>7.4689999999999999E-3</v>
      </c>
      <c r="N2165" s="1595">
        <v>1.6188405661027712</v>
      </c>
      <c r="O2165" s="1595"/>
    </row>
    <row r="2166" spans="11:15">
      <c r="K2166" s="1592">
        <v>44223</v>
      </c>
      <c r="L2166" s="1593" t="s">
        <v>2301</v>
      </c>
      <c r="M2166" s="1594">
        <v>7.4689999999999999E-3</v>
      </c>
      <c r="N2166" s="1595">
        <v>1.6189614773046532</v>
      </c>
      <c r="O2166" s="1595"/>
    </row>
    <row r="2167" spans="11:15">
      <c r="K2167" s="1592">
        <v>44224</v>
      </c>
      <c r="L2167" s="1593" t="s">
        <v>2301</v>
      </c>
      <c r="M2167" s="1594">
        <v>7.4689999999999999E-3</v>
      </c>
      <c r="N2167" s="1595">
        <v>1.6190823975373929</v>
      </c>
      <c r="O2167" s="1595"/>
    </row>
    <row r="2168" spans="11:15">
      <c r="K2168" s="1592">
        <v>44225</v>
      </c>
      <c r="L2168" s="1593" t="s">
        <v>2301</v>
      </c>
      <c r="M2168" s="1594">
        <v>7.4689999999999999E-3</v>
      </c>
      <c r="N2168" s="1595">
        <v>1.6192033268016648</v>
      </c>
      <c r="O2168" s="1595"/>
    </row>
    <row r="2169" spans="11:15">
      <c r="K2169" s="1592">
        <v>44226</v>
      </c>
      <c r="L2169" s="1593"/>
      <c r="M2169" s="1594">
        <v>0</v>
      </c>
      <c r="N2169" s="1595">
        <v>1.6192033268016648</v>
      </c>
      <c r="O2169" s="1595"/>
    </row>
    <row r="2170" spans="11:15">
      <c r="K2170" s="1592">
        <v>44227</v>
      </c>
      <c r="L2170" s="1593"/>
      <c r="M2170" s="1594">
        <v>0</v>
      </c>
      <c r="N2170" s="1595">
        <v>1.6192033268016648</v>
      </c>
      <c r="O2170" s="1595"/>
    </row>
    <row r="2171" spans="11:15">
      <c r="K2171" s="1592">
        <v>44228</v>
      </c>
      <c r="L2171" s="1593" t="s">
        <v>2301</v>
      </c>
      <c r="M2171" s="1594">
        <v>7.4689999999999999E-3</v>
      </c>
      <c r="N2171" s="1595">
        <v>1.6193242650981434</v>
      </c>
      <c r="O2171" s="1595"/>
    </row>
    <row r="2172" spans="11:15">
      <c r="K2172" s="1592">
        <v>44229</v>
      </c>
      <c r="L2172" s="1593" t="s">
        <v>2301</v>
      </c>
      <c r="M2172" s="1594">
        <v>7.4689999999999999E-3</v>
      </c>
      <c r="N2172" s="1595">
        <v>1.6194452124275034</v>
      </c>
      <c r="O2172" s="1595"/>
    </row>
    <row r="2173" spans="11:15">
      <c r="K2173" s="1592">
        <v>44230</v>
      </c>
      <c r="L2173" s="1593" t="s">
        <v>2301</v>
      </c>
      <c r="M2173" s="1594">
        <v>7.4689999999999999E-3</v>
      </c>
      <c r="N2173" s="1595">
        <v>1.6195661687904195</v>
      </c>
      <c r="O2173" s="1595"/>
    </row>
    <row r="2174" spans="11:15">
      <c r="K2174" s="1592">
        <v>44231</v>
      </c>
      <c r="L2174" s="1593" t="s">
        <v>2301</v>
      </c>
      <c r="M2174" s="1594">
        <v>7.4689999999999999E-3</v>
      </c>
      <c r="N2174" s="1595">
        <v>1.6196871341875663</v>
      </c>
      <c r="O2174" s="1595"/>
    </row>
    <row r="2175" spans="11:15">
      <c r="K2175" s="1592">
        <v>44232</v>
      </c>
      <c r="L2175" s="1593" t="s">
        <v>2301</v>
      </c>
      <c r="M2175" s="1594">
        <v>7.4689999999999999E-3</v>
      </c>
      <c r="N2175" s="1595">
        <v>1.6198081086196185</v>
      </c>
      <c r="O2175" s="1595"/>
    </row>
    <row r="2176" spans="11:15">
      <c r="K2176" s="1592">
        <v>44233</v>
      </c>
      <c r="L2176" s="1593"/>
      <c r="M2176" s="1594">
        <v>0</v>
      </c>
      <c r="N2176" s="1595">
        <v>1.6198081086196185</v>
      </c>
      <c r="O2176" s="1595"/>
    </row>
    <row r="2177" spans="11:15">
      <c r="K2177" s="1592">
        <v>44234</v>
      </c>
      <c r="L2177" s="1593"/>
      <c r="M2177" s="1594">
        <v>0</v>
      </c>
      <c r="N2177" s="1595">
        <v>1.6198081086196185</v>
      </c>
      <c r="O2177" s="1595"/>
    </row>
    <row r="2178" spans="11:15">
      <c r="K2178" s="1592">
        <v>44235</v>
      </c>
      <c r="L2178" s="1593" t="s">
        <v>2301</v>
      </c>
      <c r="M2178" s="1594">
        <v>7.4689999999999999E-3</v>
      </c>
      <c r="N2178" s="1595">
        <v>1.6199290920872513</v>
      </c>
      <c r="O2178" s="1595"/>
    </row>
    <row r="2179" spans="11:15">
      <c r="K2179" s="1592">
        <v>44236</v>
      </c>
      <c r="L2179" s="1593" t="s">
        <v>2301</v>
      </c>
      <c r="M2179" s="1594">
        <v>7.4689999999999999E-3</v>
      </c>
      <c r="N2179" s="1595">
        <v>1.6200500845911392</v>
      </c>
      <c r="O2179" s="1595"/>
    </row>
    <row r="2180" spans="11:15">
      <c r="K2180" s="1592">
        <v>44237</v>
      </c>
      <c r="L2180" s="1593" t="s">
        <v>2301</v>
      </c>
      <c r="M2180" s="1594">
        <v>7.4689999999999999E-3</v>
      </c>
      <c r="N2180" s="1595">
        <v>1.6201710861319571</v>
      </c>
      <c r="O2180" s="1595"/>
    </row>
    <row r="2181" spans="11:15">
      <c r="K2181" s="1592">
        <v>44238</v>
      </c>
      <c r="L2181" s="1593" t="s">
        <v>2301</v>
      </c>
      <c r="M2181" s="1594">
        <v>7.4689999999999999E-3</v>
      </c>
      <c r="N2181" s="1595">
        <v>1.6202920967103802</v>
      </c>
      <c r="O2181" s="1595"/>
    </row>
    <row r="2182" spans="11:15">
      <c r="K2182" s="1592">
        <v>44239</v>
      </c>
      <c r="L2182" s="1593" t="s">
        <v>2301</v>
      </c>
      <c r="M2182" s="1594">
        <v>7.4689999999999999E-3</v>
      </c>
      <c r="N2182" s="1595">
        <v>1.6204131163270834</v>
      </c>
      <c r="O2182" s="1595"/>
    </row>
    <row r="2183" spans="11:15">
      <c r="K2183" s="1592">
        <v>44240</v>
      </c>
      <c r="L2183" s="1593"/>
      <c r="M2183" s="1594">
        <v>0</v>
      </c>
      <c r="N2183" s="1595">
        <v>1.6204131163270834</v>
      </c>
      <c r="O2183" s="1595"/>
    </row>
    <row r="2184" spans="11:15">
      <c r="K2184" s="1592">
        <v>44241</v>
      </c>
      <c r="L2184" s="1593"/>
      <c r="M2184" s="1594">
        <v>0</v>
      </c>
      <c r="N2184" s="1595">
        <v>1.6204131163270834</v>
      </c>
      <c r="O2184" s="1595"/>
    </row>
    <row r="2185" spans="11:15">
      <c r="K2185" s="1592">
        <v>44242</v>
      </c>
      <c r="L2185" s="1593"/>
      <c r="M2185" s="1594">
        <v>0</v>
      </c>
      <c r="N2185" s="1595">
        <v>1.6204131163270834</v>
      </c>
      <c r="O2185" s="1595"/>
    </row>
    <row r="2186" spans="11:15">
      <c r="K2186" s="1592">
        <v>44243</v>
      </c>
      <c r="L2186" s="1593"/>
      <c r="M2186" s="1594">
        <v>0</v>
      </c>
      <c r="N2186" s="1595">
        <v>1.6204131163270834</v>
      </c>
      <c r="O2186" s="1595"/>
    </row>
    <row r="2187" spans="11:15">
      <c r="K2187" s="1592">
        <v>44244</v>
      </c>
      <c r="L2187" s="1593" t="s">
        <v>2301</v>
      </c>
      <c r="M2187" s="1594">
        <v>7.4689999999999999E-3</v>
      </c>
      <c r="N2187" s="1595">
        <v>1.6205341449827417</v>
      </c>
      <c r="O2187" s="1595"/>
    </row>
    <row r="2188" spans="11:15">
      <c r="K2188" s="1592">
        <v>44245</v>
      </c>
      <c r="L2188" s="1593" t="s">
        <v>2301</v>
      </c>
      <c r="M2188" s="1594">
        <v>7.4689999999999999E-3</v>
      </c>
      <c r="N2188" s="1595">
        <v>1.6206551826780304</v>
      </c>
      <c r="O2188" s="1595"/>
    </row>
    <row r="2189" spans="11:15">
      <c r="K2189" s="1592">
        <v>44246</v>
      </c>
      <c r="L2189" s="1593" t="s">
        <v>2301</v>
      </c>
      <c r="M2189" s="1594">
        <v>7.4689999999999999E-3</v>
      </c>
      <c r="N2189" s="1595">
        <v>1.6207762294136245</v>
      </c>
      <c r="O2189" s="1595"/>
    </row>
    <row r="2190" spans="11:15">
      <c r="K2190" s="1592">
        <v>44247</v>
      </c>
      <c r="L2190" s="1593"/>
      <c r="M2190" s="1594">
        <v>0</v>
      </c>
      <c r="N2190" s="1595">
        <v>1.6207762294136245</v>
      </c>
      <c r="O2190" s="1595"/>
    </row>
    <row r="2191" spans="11:15">
      <c r="K2191" s="1592">
        <v>44248</v>
      </c>
      <c r="L2191" s="1593"/>
      <c r="M2191" s="1594">
        <v>0</v>
      </c>
      <c r="N2191" s="1595">
        <v>1.6207762294136245</v>
      </c>
      <c r="O2191" s="1595"/>
    </row>
    <row r="2192" spans="11:15">
      <c r="K2192" s="1592">
        <v>44249</v>
      </c>
      <c r="L2192" s="1593" t="s">
        <v>2301</v>
      </c>
      <c r="M2192" s="1594">
        <v>7.4689999999999999E-3</v>
      </c>
      <c r="N2192" s="1595">
        <v>1.6208972851901993</v>
      </c>
      <c r="O2192" s="1595"/>
    </row>
    <row r="2193" spans="11:15">
      <c r="K2193" s="1592">
        <v>44250</v>
      </c>
      <c r="L2193" s="1593" t="s">
        <v>2301</v>
      </c>
      <c r="M2193" s="1594">
        <v>7.4689999999999999E-3</v>
      </c>
      <c r="N2193" s="1595">
        <v>1.6210183500084301</v>
      </c>
      <c r="O2193" s="1595"/>
    </row>
    <row r="2194" spans="11:15">
      <c r="K2194" s="1592">
        <v>44251</v>
      </c>
      <c r="L2194" s="1593" t="s">
        <v>2301</v>
      </c>
      <c r="M2194" s="1594">
        <v>7.4689999999999999E-3</v>
      </c>
      <c r="N2194" s="1595">
        <v>1.621139423868992</v>
      </c>
      <c r="O2194" s="1595"/>
    </row>
    <row r="2195" spans="11:15">
      <c r="K2195" s="1592">
        <v>44252</v>
      </c>
      <c r="L2195" s="1593" t="s">
        <v>2301</v>
      </c>
      <c r="M2195" s="1594">
        <v>7.4689999999999999E-3</v>
      </c>
      <c r="N2195" s="1595">
        <v>1.6212605067725607</v>
      </c>
      <c r="O2195" s="1595"/>
    </row>
    <row r="2196" spans="11:15">
      <c r="K2196" s="1592">
        <v>44253</v>
      </c>
      <c r="L2196" s="1593" t="s">
        <v>2301</v>
      </c>
      <c r="M2196" s="1594">
        <v>7.4689999999999999E-3</v>
      </c>
      <c r="N2196" s="1595">
        <v>1.6213815987198115</v>
      </c>
      <c r="O2196" s="1595"/>
    </row>
    <row r="2197" spans="11:15">
      <c r="K2197" s="1592">
        <v>44254</v>
      </c>
      <c r="L2197" s="1593"/>
      <c r="M2197" s="1594">
        <v>0</v>
      </c>
      <c r="N2197" s="1595">
        <v>1.6213815987198115</v>
      </c>
      <c r="O2197" s="1595"/>
    </row>
    <row r="2198" spans="11:15">
      <c r="K2198" s="1592">
        <v>44255</v>
      </c>
      <c r="L2198" s="1593"/>
      <c r="M2198" s="1594">
        <v>0</v>
      </c>
      <c r="N2198" s="1595">
        <v>1.6213815987198115</v>
      </c>
      <c r="O2198" s="1595"/>
    </row>
    <row r="2199" spans="11:15">
      <c r="K2199" s="1592">
        <v>44256</v>
      </c>
      <c r="L2199" s="1593" t="s">
        <v>2301</v>
      </c>
      <c r="M2199" s="1594">
        <v>7.4689999999999999E-3</v>
      </c>
      <c r="N2199" s="1595">
        <v>1.6215026997114197</v>
      </c>
      <c r="O2199" s="1595"/>
    </row>
    <row r="2200" spans="11:15">
      <c r="K2200" s="1592">
        <v>44257</v>
      </c>
      <c r="L2200" s="1593" t="s">
        <v>2301</v>
      </c>
      <c r="M2200" s="1594">
        <v>7.4689999999999999E-3</v>
      </c>
      <c r="N2200" s="1595">
        <v>1.6216238097480611</v>
      </c>
      <c r="O2200" s="1595"/>
    </row>
    <row r="2201" spans="11:15">
      <c r="K2201" s="1592">
        <v>44258</v>
      </c>
      <c r="L2201" s="1593" t="s">
        <v>2301</v>
      </c>
      <c r="M2201" s="1594">
        <v>7.4689999999999999E-3</v>
      </c>
      <c r="N2201" s="1595">
        <v>1.6217449288304111</v>
      </c>
      <c r="O2201" s="1595"/>
    </row>
    <row r="2202" spans="11:15">
      <c r="K2202" s="1592">
        <v>44259</v>
      </c>
      <c r="L2202" s="1593" t="s">
        <v>2301</v>
      </c>
      <c r="M2202" s="1594">
        <v>7.4689999999999999E-3</v>
      </c>
      <c r="N2202" s="1595">
        <v>1.6218660569591454</v>
      </c>
      <c r="O2202" s="1595"/>
    </row>
    <row r="2203" spans="11:15">
      <c r="K2203" s="1592">
        <v>44260</v>
      </c>
      <c r="L2203" s="1593" t="s">
        <v>2301</v>
      </c>
      <c r="M2203" s="1594">
        <v>7.4689999999999999E-3</v>
      </c>
      <c r="N2203" s="1595">
        <v>1.6219871941349395</v>
      </c>
      <c r="O2203" s="1595"/>
    </row>
    <row r="2204" spans="11:15">
      <c r="K2204" s="1592">
        <v>44261</v>
      </c>
      <c r="L2204" s="1593"/>
      <c r="M2204" s="1594">
        <v>0</v>
      </c>
      <c r="N2204" s="1595">
        <v>1.6219871941349395</v>
      </c>
      <c r="O2204" s="1595"/>
    </row>
    <row r="2205" spans="11:15">
      <c r="K2205" s="1592">
        <v>44262</v>
      </c>
      <c r="L2205" s="1593"/>
      <c r="M2205" s="1594">
        <v>0</v>
      </c>
      <c r="N2205" s="1595">
        <v>1.6219871941349395</v>
      </c>
      <c r="O2205" s="1595"/>
    </row>
    <row r="2206" spans="11:15">
      <c r="K2206" s="1592">
        <v>44263</v>
      </c>
      <c r="L2206" s="1593" t="s">
        <v>2301</v>
      </c>
      <c r="M2206" s="1594">
        <v>7.4689999999999999E-3</v>
      </c>
      <c r="N2206" s="1595">
        <v>1.6221083403584693</v>
      </c>
      <c r="O2206" s="1595"/>
    </row>
    <row r="2207" spans="11:15">
      <c r="K2207" s="1592">
        <v>44264</v>
      </c>
      <c r="L2207" s="1593" t="s">
        <v>2301</v>
      </c>
      <c r="M2207" s="1594">
        <v>7.4689999999999999E-3</v>
      </c>
      <c r="N2207" s="1595">
        <v>1.6222294956304106</v>
      </c>
      <c r="O2207" s="1595"/>
    </row>
    <row r="2208" spans="11:15">
      <c r="K2208" s="1592">
        <v>44265</v>
      </c>
      <c r="L2208" s="1593" t="s">
        <v>2301</v>
      </c>
      <c r="M2208" s="1594">
        <v>7.4689999999999999E-3</v>
      </c>
      <c r="N2208" s="1595">
        <v>1.6223506599514392</v>
      </c>
      <c r="O2208" s="1595"/>
    </row>
    <row r="2209" spans="11:15">
      <c r="K2209" s="1592">
        <v>44266</v>
      </c>
      <c r="L2209" s="1593" t="s">
        <v>2301</v>
      </c>
      <c r="M2209" s="1594">
        <v>7.4689999999999999E-3</v>
      </c>
      <c r="N2209" s="1595">
        <v>1.622471833322231</v>
      </c>
      <c r="O2209" s="1595"/>
    </row>
    <row r="2210" spans="11:15">
      <c r="K2210" s="1592">
        <v>44267</v>
      </c>
      <c r="L2210" s="1593" t="s">
        <v>2301</v>
      </c>
      <c r="M2210" s="1594">
        <v>7.4689999999999999E-3</v>
      </c>
      <c r="N2210" s="1595">
        <v>1.6225930157434618</v>
      </c>
      <c r="O2210" s="1595"/>
    </row>
    <row r="2211" spans="11:15">
      <c r="K2211" s="1592">
        <v>44268</v>
      </c>
      <c r="L2211" s="1593"/>
      <c r="M2211" s="1594">
        <v>0</v>
      </c>
      <c r="N2211" s="1595">
        <v>1.6225930157434618</v>
      </c>
      <c r="O2211" s="1595"/>
    </row>
    <row r="2212" spans="11:15">
      <c r="K2212" s="1592">
        <v>44269</v>
      </c>
      <c r="L2212" s="1593"/>
      <c r="M2212" s="1594">
        <v>0</v>
      </c>
      <c r="N2212" s="1595">
        <v>1.6225930157434618</v>
      </c>
      <c r="O2212" s="1595"/>
    </row>
    <row r="2213" spans="11:15">
      <c r="K2213" s="1592">
        <v>44270</v>
      </c>
      <c r="L2213" s="1593" t="s">
        <v>2301</v>
      </c>
      <c r="M2213" s="1594">
        <v>7.4689999999999999E-3</v>
      </c>
      <c r="N2213" s="1595">
        <v>1.6227142072158076</v>
      </c>
      <c r="O2213" s="1595"/>
    </row>
    <row r="2214" spans="11:15">
      <c r="K2214" s="1592">
        <v>44271</v>
      </c>
      <c r="L2214" s="1593" t="s">
        <v>2301</v>
      </c>
      <c r="M2214" s="1594">
        <v>7.4689999999999999E-3</v>
      </c>
      <c r="N2214" s="1595">
        <v>1.6228354077399445</v>
      </c>
      <c r="O2214" s="1595"/>
    </row>
    <row r="2215" spans="11:15">
      <c r="K2215" s="1592">
        <v>44272</v>
      </c>
      <c r="L2215" s="1593" t="s">
        <v>2301</v>
      </c>
      <c r="M2215" s="1594">
        <v>7.4689999999999999E-3</v>
      </c>
      <c r="N2215" s="1595">
        <v>1.6229566173165484</v>
      </c>
      <c r="O2215" s="1595"/>
    </row>
    <row r="2216" spans="11:15">
      <c r="K2216" s="1592">
        <v>44273</v>
      </c>
      <c r="L2216" s="1593" t="s">
        <v>2301</v>
      </c>
      <c r="M2216" s="1594">
        <v>1.0378999999999999E-2</v>
      </c>
      <c r="N2216" s="1595">
        <v>1.6231250639838597</v>
      </c>
      <c r="O2216" s="1595"/>
    </row>
    <row r="2217" spans="11:15">
      <c r="K2217" s="1592">
        <v>44274</v>
      </c>
      <c r="L2217" s="1593" t="s">
        <v>2301</v>
      </c>
      <c r="M2217" s="1594">
        <v>1.0378999999999999E-2</v>
      </c>
      <c r="N2217" s="1595">
        <v>1.6232935281342507</v>
      </c>
      <c r="O2217" s="1595"/>
    </row>
    <row r="2218" spans="11:15">
      <c r="K2218" s="1592">
        <v>44275</v>
      </c>
      <c r="L2218" s="1593"/>
      <c r="M2218" s="1594">
        <v>0</v>
      </c>
      <c r="N2218" s="1595">
        <v>1.6232935281342507</v>
      </c>
      <c r="O2218" s="1595"/>
    </row>
    <row r="2219" spans="11:15">
      <c r="K2219" s="1592">
        <v>44276</v>
      </c>
      <c r="L2219" s="1593"/>
      <c r="M2219" s="1594">
        <v>0</v>
      </c>
      <c r="N2219" s="1595">
        <v>1.6232935281342507</v>
      </c>
      <c r="O2219" s="1595"/>
    </row>
    <row r="2220" spans="11:15">
      <c r="K2220" s="1592">
        <v>44277</v>
      </c>
      <c r="L2220" s="1593" t="s">
        <v>2301</v>
      </c>
      <c r="M2220" s="1594">
        <v>1.0378999999999999E-2</v>
      </c>
      <c r="N2220" s="1595">
        <v>1.6234620097695358</v>
      </c>
      <c r="O2220" s="1595"/>
    </row>
    <row r="2221" spans="11:15">
      <c r="K2221" s="1592">
        <v>44278</v>
      </c>
      <c r="L2221" s="1593" t="s">
        <v>2301</v>
      </c>
      <c r="M2221" s="1594">
        <v>1.0378999999999999E-2</v>
      </c>
      <c r="N2221" s="1595">
        <v>1.6236305088915299</v>
      </c>
      <c r="O2221" s="1595"/>
    </row>
    <row r="2222" spans="11:15">
      <c r="K2222" s="1592">
        <v>44279</v>
      </c>
      <c r="L2222" s="1593" t="s">
        <v>2301</v>
      </c>
      <c r="M2222" s="1594">
        <v>1.0378999999999999E-2</v>
      </c>
      <c r="N2222" s="1595">
        <v>1.6237990255020478</v>
      </c>
      <c r="O2222" s="1595"/>
    </row>
    <row r="2223" spans="11:15">
      <c r="K2223" s="1592">
        <v>44280</v>
      </c>
      <c r="L2223" s="1593" t="s">
        <v>2301</v>
      </c>
      <c r="M2223" s="1594">
        <v>1.0378999999999999E-2</v>
      </c>
      <c r="N2223" s="1595">
        <v>1.6239675596029048</v>
      </c>
      <c r="O2223" s="1595"/>
    </row>
    <row r="2224" spans="11:15">
      <c r="K2224" s="1592">
        <v>44281</v>
      </c>
      <c r="L2224" s="1593" t="s">
        <v>2301</v>
      </c>
      <c r="M2224" s="1594">
        <v>1.0378999999999999E-2</v>
      </c>
      <c r="N2224" s="1595">
        <v>1.6241361111959161</v>
      </c>
      <c r="O2224" s="1595"/>
    </row>
    <row r="2225" spans="11:15">
      <c r="K2225" s="1592">
        <v>44282</v>
      </c>
      <c r="L2225" s="1593"/>
      <c r="M2225" s="1594">
        <v>0</v>
      </c>
      <c r="N2225" s="1595">
        <v>1.6241361111959161</v>
      </c>
      <c r="O2225" s="1595"/>
    </row>
    <row r="2226" spans="11:15">
      <c r="K2226" s="1592">
        <v>44283</v>
      </c>
      <c r="L2226" s="1593"/>
      <c r="M2226" s="1594">
        <v>0</v>
      </c>
      <c r="N2226" s="1595">
        <v>1.6241361111959161</v>
      </c>
      <c r="O2226" s="1595"/>
    </row>
    <row r="2227" spans="11:15">
      <c r="K2227" s="1592">
        <v>44284</v>
      </c>
      <c r="L2227" s="1593" t="s">
        <v>2301</v>
      </c>
      <c r="M2227" s="1594">
        <v>1.0378999999999999E-2</v>
      </c>
      <c r="N2227" s="1595">
        <v>1.6243046802828971</v>
      </c>
      <c r="O2227" s="1595"/>
    </row>
    <row r="2228" spans="11:15">
      <c r="K2228" s="1592">
        <v>44285</v>
      </c>
      <c r="L2228" s="1593" t="s">
        <v>2301</v>
      </c>
      <c r="M2228" s="1594">
        <v>1.0378999999999999E-2</v>
      </c>
      <c r="N2228" s="1595">
        <v>1.6244732668656638</v>
      </c>
      <c r="O2228" s="1595"/>
    </row>
    <row r="2229" spans="11:15">
      <c r="K2229" s="1592">
        <v>44286</v>
      </c>
      <c r="L2229" s="1593" t="s">
        <v>2301</v>
      </c>
      <c r="M2229" s="1594">
        <v>1.0378999999999999E-2</v>
      </c>
      <c r="N2229" s="1595">
        <v>1.624641870946032</v>
      </c>
      <c r="O2229" s="1595"/>
    </row>
    <row r="2230" spans="11:15">
      <c r="K2230" s="1592">
        <v>44287</v>
      </c>
      <c r="L2230" s="1593" t="s">
        <v>2301</v>
      </c>
      <c r="M2230" s="1594">
        <v>1.0378999999999999E-2</v>
      </c>
      <c r="N2230" s="1595">
        <v>1.6248104925258176</v>
      </c>
      <c r="O2230" s="1595"/>
    </row>
    <row r="2231" spans="11:15">
      <c r="K2231" s="1592">
        <v>44288</v>
      </c>
      <c r="L2231" s="1593"/>
      <c r="M2231" s="1594">
        <v>0</v>
      </c>
      <c r="N2231" s="1595">
        <v>1.6248104925258176</v>
      </c>
      <c r="O2231" s="1595"/>
    </row>
    <row r="2232" spans="11:15">
      <c r="K2232" s="1592">
        <v>44289</v>
      </c>
      <c r="L2232" s="1593"/>
      <c r="M2232" s="1594">
        <v>0</v>
      </c>
      <c r="N2232" s="1595">
        <v>1.6248104925258176</v>
      </c>
      <c r="O2232" s="1595"/>
    </row>
    <row r="2233" spans="11:15">
      <c r="K2233" s="1592">
        <v>44290</v>
      </c>
      <c r="L2233" s="1593"/>
      <c r="M2233" s="1594">
        <v>0</v>
      </c>
      <c r="N2233" s="1595">
        <v>1.6248104925258176</v>
      </c>
      <c r="O2233" s="1595"/>
    </row>
    <row r="2234" spans="11:15">
      <c r="K2234" s="1592">
        <v>44291</v>
      </c>
      <c r="L2234" s="1593" t="s">
        <v>2301</v>
      </c>
      <c r="M2234" s="1594">
        <v>1.0378999999999999E-2</v>
      </c>
      <c r="N2234" s="1595">
        <v>1.6249791316068369</v>
      </c>
      <c r="O2234" s="1595"/>
    </row>
    <row r="2235" spans="11:15">
      <c r="K2235" s="1592">
        <v>44292</v>
      </c>
      <c r="L2235" s="1593" t="s">
        <v>2301</v>
      </c>
      <c r="M2235" s="1594">
        <v>1.0378999999999999E-2</v>
      </c>
      <c r="N2235" s="1595">
        <v>1.6251477881909064</v>
      </c>
      <c r="O2235" s="1595"/>
    </row>
    <row r="2236" spans="11:15">
      <c r="K2236" s="1592">
        <v>44293</v>
      </c>
      <c r="L2236" s="1593" t="s">
        <v>2301</v>
      </c>
      <c r="M2236" s="1594">
        <v>1.0378999999999999E-2</v>
      </c>
      <c r="N2236" s="1595">
        <v>1.6253164622798428</v>
      </c>
      <c r="O2236" s="1595"/>
    </row>
    <row r="2237" spans="11:15">
      <c r="K2237" s="1592">
        <v>44294</v>
      </c>
      <c r="L2237" s="1593" t="s">
        <v>2301</v>
      </c>
      <c r="M2237" s="1594">
        <v>1.0378999999999999E-2</v>
      </c>
      <c r="N2237" s="1595">
        <v>1.6254851538754629</v>
      </c>
      <c r="O2237" s="1595"/>
    </row>
    <row r="2238" spans="11:15">
      <c r="K2238" s="1592">
        <v>44295</v>
      </c>
      <c r="L2238" s="1593" t="s">
        <v>2301</v>
      </c>
      <c r="M2238" s="1594">
        <v>1.0378999999999999E-2</v>
      </c>
      <c r="N2238" s="1595">
        <v>1.6256538629795838</v>
      </c>
      <c r="O2238" s="1595"/>
    </row>
    <row r="2239" spans="11:15">
      <c r="K2239" s="1592">
        <v>44296</v>
      </c>
      <c r="L2239" s="1593"/>
      <c r="M2239" s="1594">
        <v>0</v>
      </c>
      <c r="N2239" s="1595">
        <v>1.6256538629795838</v>
      </c>
      <c r="O2239" s="1595"/>
    </row>
    <row r="2240" spans="11:15">
      <c r="K2240" s="1592">
        <v>44297</v>
      </c>
      <c r="L2240" s="1593"/>
      <c r="M2240" s="1594">
        <v>0</v>
      </c>
      <c r="N2240" s="1595">
        <v>1.6256538629795838</v>
      </c>
      <c r="O2240" s="1595"/>
    </row>
    <row r="2241" spans="11:15">
      <c r="K2241" s="1592">
        <v>44298</v>
      </c>
      <c r="L2241" s="1593" t="s">
        <v>2301</v>
      </c>
      <c r="M2241" s="1594">
        <v>1.0378999999999999E-2</v>
      </c>
      <c r="N2241" s="1595">
        <v>1.6258225895940226</v>
      </c>
      <c r="O2241" s="1595"/>
    </row>
    <row r="2242" spans="11:15">
      <c r="K2242" s="1592">
        <v>44299</v>
      </c>
      <c r="L2242" s="1593" t="s">
        <v>2301</v>
      </c>
      <c r="M2242" s="1594">
        <v>1.0378999999999999E-2</v>
      </c>
      <c r="N2242" s="1595">
        <v>1.6259913337205967</v>
      </c>
      <c r="O2242" s="1595"/>
    </row>
    <row r="2243" spans="11:15">
      <c r="K2243" s="1592">
        <v>44300</v>
      </c>
      <c r="L2243" s="1593" t="s">
        <v>2301</v>
      </c>
      <c r="M2243" s="1594">
        <v>1.0378999999999999E-2</v>
      </c>
      <c r="N2243" s="1595">
        <v>1.6261600953611237</v>
      </c>
      <c r="O2243" s="1595"/>
    </row>
    <row r="2244" spans="11:15">
      <c r="K2244" s="1592">
        <v>44301</v>
      </c>
      <c r="L2244" s="1593" t="s">
        <v>2301</v>
      </c>
      <c r="M2244" s="1594">
        <v>1.0378999999999999E-2</v>
      </c>
      <c r="N2244" s="1595">
        <v>1.6263288745174214</v>
      </c>
      <c r="O2244" s="1595"/>
    </row>
    <row r="2245" spans="11:15">
      <c r="K2245" s="1592">
        <v>44302</v>
      </c>
      <c r="L2245" s="1593" t="s">
        <v>2301</v>
      </c>
      <c r="M2245" s="1594">
        <v>1.0378999999999999E-2</v>
      </c>
      <c r="N2245" s="1595">
        <v>1.6264976711913075</v>
      </c>
      <c r="O2245" s="1595"/>
    </row>
    <row r="2246" spans="11:15">
      <c r="K2246" s="1592">
        <v>44303</v>
      </c>
      <c r="L2246" s="1593"/>
      <c r="M2246" s="1594">
        <v>0</v>
      </c>
      <c r="N2246" s="1595">
        <v>1.6264976711913075</v>
      </c>
      <c r="O2246" s="1595"/>
    </row>
    <row r="2247" spans="11:15">
      <c r="K2247" s="1592">
        <v>44304</v>
      </c>
      <c r="L2247" s="1593"/>
      <c r="M2247" s="1594">
        <v>0</v>
      </c>
      <c r="N2247" s="1595">
        <v>1.6264976711913075</v>
      </c>
      <c r="O2247" s="1595"/>
    </row>
    <row r="2248" spans="11:15">
      <c r="K2248" s="1592">
        <v>44305</v>
      </c>
      <c r="L2248" s="1593" t="s">
        <v>2301</v>
      </c>
      <c r="M2248" s="1594">
        <v>1.0378999999999999E-2</v>
      </c>
      <c r="N2248" s="1595">
        <v>1.6266664853846005</v>
      </c>
      <c r="O2248" s="1595"/>
    </row>
    <row r="2249" spans="11:15">
      <c r="K2249" s="1592">
        <v>44306</v>
      </c>
      <c r="L2249" s="1593" t="s">
        <v>2301</v>
      </c>
      <c r="M2249" s="1594">
        <v>1.0378999999999999E-2</v>
      </c>
      <c r="N2249" s="1595">
        <v>1.6268353170991185</v>
      </c>
      <c r="O2249" s="1595"/>
    </row>
    <row r="2250" spans="11:15">
      <c r="K2250" s="1592">
        <v>44307</v>
      </c>
      <c r="L2250" s="1593"/>
      <c r="M2250" s="1594">
        <v>0</v>
      </c>
      <c r="N2250" s="1595">
        <v>1.6268353170991185</v>
      </c>
      <c r="O2250" s="1595"/>
    </row>
    <row r="2251" spans="11:15">
      <c r="K2251" s="1592">
        <v>44308</v>
      </c>
      <c r="L2251" s="1593" t="s">
        <v>2301</v>
      </c>
      <c r="M2251" s="1594">
        <v>1.0378999999999999E-2</v>
      </c>
      <c r="N2251" s="1595">
        <v>1.6270041663366803</v>
      </c>
      <c r="O2251" s="1595"/>
    </row>
    <row r="2252" spans="11:15">
      <c r="K2252" s="1592">
        <v>44309</v>
      </c>
      <c r="L2252" s="1593" t="s">
        <v>2301</v>
      </c>
      <c r="M2252" s="1594">
        <v>1.0378999999999999E-2</v>
      </c>
      <c r="N2252" s="1595">
        <v>1.6271730330991045</v>
      </c>
      <c r="O2252" s="1595"/>
    </row>
    <row r="2253" spans="11:15">
      <c r="K2253" s="1592">
        <v>44310</v>
      </c>
      <c r="L2253" s="1593"/>
      <c r="M2253" s="1594">
        <v>0</v>
      </c>
      <c r="N2253" s="1595">
        <v>1.6271730330991045</v>
      </c>
      <c r="O2253" s="1595"/>
    </row>
    <row r="2254" spans="11:15">
      <c r="K2254" s="1592">
        <v>44311</v>
      </c>
      <c r="L2254" s="1593"/>
      <c r="M2254" s="1594">
        <v>0</v>
      </c>
      <c r="N2254" s="1595">
        <v>1.6271730330991045</v>
      </c>
      <c r="O2254" s="1595"/>
    </row>
    <row r="2255" spans="11:15">
      <c r="K2255" s="1592">
        <v>44312</v>
      </c>
      <c r="L2255" s="1593" t="s">
        <v>2301</v>
      </c>
      <c r="M2255" s="1594">
        <v>1.0378999999999999E-2</v>
      </c>
      <c r="N2255" s="1595">
        <v>1.62734191738821</v>
      </c>
      <c r="O2255" s="1595"/>
    </row>
    <row r="2256" spans="11:15">
      <c r="K2256" s="1592">
        <v>44313</v>
      </c>
      <c r="L2256" s="1593" t="s">
        <v>2301</v>
      </c>
      <c r="M2256" s="1594">
        <v>1.0378999999999999E-2</v>
      </c>
      <c r="N2256" s="1595">
        <v>1.6275108192058159</v>
      </c>
      <c r="O2256" s="1595"/>
    </row>
    <row r="2257" spans="11:15">
      <c r="K2257" s="1592">
        <v>44314</v>
      </c>
      <c r="L2257" s="1593" t="s">
        <v>2301</v>
      </c>
      <c r="M2257" s="1594">
        <v>1.0378999999999999E-2</v>
      </c>
      <c r="N2257" s="1595">
        <v>1.6276797385537414</v>
      </c>
      <c r="O2257" s="1595"/>
    </row>
    <row r="2258" spans="11:15">
      <c r="K2258" s="1592">
        <v>44315</v>
      </c>
      <c r="L2258" s="1593" t="s">
        <v>2301</v>
      </c>
      <c r="M2258" s="1594">
        <v>1.0378999999999999E-2</v>
      </c>
      <c r="N2258" s="1595">
        <v>1.627848675433806</v>
      </c>
      <c r="O2258" s="1595"/>
    </row>
    <row r="2259" spans="11:15">
      <c r="K2259" s="1592">
        <v>44316</v>
      </c>
      <c r="L2259" s="1593" t="s">
        <v>2301</v>
      </c>
      <c r="M2259" s="1594">
        <v>1.0378999999999999E-2</v>
      </c>
      <c r="N2259" s="1595">
        <v>1.6280176298478293</v>
      </c>
      <c r="O2259" s="1595"/>
    </row>
    <row r="2260" spans="11:15">
      <c r="K2260" s="1592">
        <v>44317</v>
      </c>
      <c r="L2260" s="1593"/>
      <c r="M2260" s="1594">
        <v>0</v>
      </c>
      <c r="N2260" s="1595">
        <v>1.6280176298478293</v>
      </c>
      <c r="O2260" s="1595"/>
    </row>
    <row r="2261" spans="11:15">
      <c r="K2261" s="1592">
        <v>44318</v>
      </c>
      <c r="L2261" s="1593"/>
      <c r="M2261" s="1594">
        <v>0</v>
      </c>
      <c r="N2261" s="1595">
        <v>1.6280176298478293</v>
      </c>
      <c r="O2261" s="1595"/>
    </row>
    <row r="2262" spans="11:15">
      <c r="K2262" s="1592">
        <v>44319</v>
      </c>
      <c r="L2262" s="1593" t="s">
        <v>2301</v>
      </c>
      <c r="M2262" s="1594">
        <v>1.0378999999999999E-2</v>
      </c>
      <c r="N2262" s="1595">
        <v>1.6281866017976312</v>
      </c>
      <c r="O2262" s="1595"/>
    </row>
    <row r="2263" spans="11:15">
      <c r="K2263" s="1592">
        <v>44320</v>
      </c>
      <c r="L2263" s="1593" t="s">
        <v>2301</v>
      </c>
      <c r="M2263" s="1594">
        <v>1.0378999999999999E-2</v>
      </c>
      <c r="N2263" s="1595">
        <v>1.6283555912850318</v>
      </c>
      <c r="O2263" s="1595"/>
    </row>
    <row r="2264" spans="11:15">
      <c r="K2264" s="1592">
        <v>44321</v>
      </c>
      <c r="L2264" s="1593" t="s">
        <v>2301</v>
      </c>
      <c r="M2264" s="1594">
        <v>1.0378999999999999E-2</v>
      </c>
      <c r="N2264" s="1595">
        <v>1.6285245983118515</v>
      </c>
      <c r="O2264" s="1595"/>
    </row>
    <row r="2265" spans="11:15">
      <c r="K2265" s="1592">
        <v>44322</v>
      </c>
      <c r="L2265" s="1593" t="s">
        <v>2301</v>
      </c>
      <c r="M2265" s="1594">
        <v>1.3269E-2</v>
      </c>
      <c r="N2265" s="1595">
        <v>1.6287406872408015</v>
      </c>
      <c r="O2265" s="1595"/>
    </row>
    <row r="2266" spans="11:15">
      <c r="K2266" s="1592">
        <v>44323</v>
      </c>
      <c r="L2266" s="1593" t="s">
        <v>2301</v>
      </c>
      <c r="M2266" s="1594">
        <v>1.3269E-2</v>
      </c>
      <c r="N2266" s="1595">
        <v>1.6289568048425915</v>
      </c>
      <c r="O2266" s="1595"/>
    </row>
    <row r="2267" spans="11:15">
      <c r="K2267" s="1592">
        <v>44324</v>
      </c>
      <c r="L2267" s="1593"/>
      <c r="M2267" s="1594">
        <v>0</v>
      </c>
      <c r="N2267" s="1595">
        <v>1.6289568048425915</v>
      </c>
      <c r="O2267" s="1595"/>
    </row>
    <row r="2268" spans="11:15">
      <c r="K2268" s="1592">
        <v>44325</v>
      </c>
      <c r="L2268" s="1593"/>
      <c r="M2268" s="1594">
        <v>0</v>
      </c>
      <c r="N2268" s="1595">
        <v>1.6289568048425915</v>
      </c>
      <c r="O2268" s="1595"/>
    </row>
    <row r="2269" spans="11:15">
      <c r="K2269" s="1592">
        <v>44326</v>
      </c>
      <c r="L2269" s="1593" t="s">
        <v>2301</v>
      </c>
      <c r="M2269" s="1594">
        <v>1.3269E-2</v>
      </c>
      <c r="N2269" s="1595">
        <v>1.6291729511210262</v>
      </c>
      <c r="O2269" s="1595"/>
    </row>
    <row r="2270" spans="11:15">
      <c r="K2270" s="1592">
        <v>44327</v>
      </c>
      <c r="L2270" s="1593" t="s">
        <v>2301</v>
      </c>
      <c r="M2270" s="1594">
        <v>1.3269E-2</v>
      </c>
      <c r="N2270" s="1595">
        <v>1.6293891260799105</v>
      </c>
      <c r="O2270" s="1595"/>
    </row>
    <row r="2271" spans="11:15">
      <c r="K2271" s="1592">
        <v>44328</v>
      </c>
      <c r="L2271" s="1593" t="s">
        <v>2301</v>
      </c>
      <c r="M2271" s="1594">
        <v>1.3269E-2</v>
      </c>
      <c r="N2271" s="1595">
        <v>1.6296053297230502</v>
      </c>
      <c r="O2271" s="1595"/>
    </row>
    <row r="2272" spans="11:15">
      <c r="K2272" s="1592">
        <v>44329</v>
      </c>
      <c r="L2272" s="1593" t="s">
        <v>2301</v>
      </c>
      <c r="M2272" s="1594">
        <v>1.3269E-2</v>
      </c>
      <c r="N2272" s="1595">
        <v>1.6298215620542511</v>
      </c>
      <c r="O2272" s="1595"/>
    </row>
    <row r="2273" spans="11:15">
      <c r="K2273" s="1592">
        <v>44330</v>
      </c>
      <c r="L2273" s="1593" t="s">
        <v>2301</v>
      </c>
      <c r="M2273" s="1594">
        <v>1.3269E-2</v>
      </c>
      <c r="N2273" s="1595">
        <v>1.6300378230773203</v>
      </c>
      <c r="O2273" s="1595"/>
    </row>
    <row r="2274" spans="11:15">
      <c r="K2274" s="1592">
        <v>44331</v>
      </c>
      <c r="L2274" s="1593"/>
      <c r="M2274" s="1594">
        <v>0</v>
      </c>
      <c r="N2274" s="1595">
        <v>1.6300378230773203</v>
      </c>
      <c r="O2274" s="1595"/>
    </row>
    <row r="2275" spans="11:15">
      <c r="K2275" s="1592">
        <v>44332</v>
      </c>
      <c r="L2275" s="1593"/>
      <c r="M2275" s="1594">
        <v>0</v>
      </c>
      <c r="N2275" s="1595">
        <v>1.6300378230773203</v>
      </c>
      <c r="O2275" s="1595"/>
    </row>
    <row r="2276" spans="11:15">
      <c r="K2276" s="1592">
        <v>44333</v>
      </c>
      <c r="L2276" s="1593" t="s">
        <v>2301</v>
      </c>
      <c r="M2276" s="1594">
        <v>1.3269E-2</v>
      </c>
      <c r="N2276" s="1595">
        <v>1.6302541127960644</v>
      </c>
      <c r="O2276" s="1595"/>
    </row>
    <row r="2277" spans="11:15">
      <c r="K2277" s="1592">
        <v>44334</v>
      </c>
      <c r="L2277" s="1593" t="s">
        <v>2301</v>
      </c>
      <c r="M2277" s="1594">
        <v>1.3269E-2</v>
      </c>
      <c r="N2277" s="1595">
        <v>1.6304704312142912</v>
      </c>
      <c r="O2277" s="1595"/>
    </row>
    <row r="2278" spans="11:15">
      <c r="K2278" s="1592">
        <v>44335</v>
      </c>
      <c r="L2278" s="1593" t="s">
        <v>2301</v>
      </c>
      <c r="M2278" s="1594">
        <v>1.3269E-2</v>
      </c>
      <c r="N2278" s="1595">
        <v>1.6306867783358092</v>
      </c>
      <c r="O2278" s="1595"/>
    </row>
    <row r="2279" spans="11:15">
      <c r="K2279" s="1592">
        <v>44336</v>
      </c>
      <c r="L2279" s="1593" t="s">
        <v>2301</v>
      </c>
      <c r="M2279" s="1594">
        <v>1.3269E-2</v>
      </c>
      <c r="N2279" s="1595">
        <v>1.6309031541644268</v>
      </c>
      <c r="O2279" s="1595"/>
    </row>
    <row r="2280" spans="11:15">
      <c r="K2280" s="1592">
        <v>44337</v>
      </c>
      <c r="L2280" s="1593" t="s">
        <v>2301</v>
      </c>
      <c r="M2280" s="1594">
        <v>1.3269E-2</v>
      </c>
      <c r="N2280" s="1595">
        <v>1.6311195587039529</v>
      </c>
      <c r="O2280" s="1595"/>
    </row>
    <row r="2281" spans="11:15">
      <c r="K2281" s="1592">
        <v>44338</v>
      </c>
      <c r="L2281" s="1593"/>
      <c r="M2281" s="1594">
        <v>0</v>
      </c>
      <c r="N2281" s="1595">
        <v>1.6311195587039529</v>
      </c>
      <c r="O2281" s="1595"/>
    </row>
    <row r="2282" spans="11:15">
      <c r="K2282" s="1592">
        <v>44339</v>
      </c>
      <c r="L2282" s="1593"/>
      <c r="M2282" s="1594">
        <v>0</v>
      </c>
      <c r="N2282" s="1595">
        <v>1.6311195587039529</v>
      </c>
      <c r="O2282" s="1595"/>
    </row>
    <row r="2283" spans="11:15">
      <c r="K2283" s="1592">
        <v>44340</v>
      </c>
      <c r="L2283" s="1593" t="s">
        <v>2301</v>
      </c>
      <c r="M2283" s="1594">
        <v>1.3269E-2</v>
      </c>
      <c r="N2283" s="1595">
        <v>1.6313359919581973</v>
      </c>
      <c r="O2283" s="1595"/>
    </row>
    <row r="2284" spans="11:15">
      <c r="K2284" s="1592">
        <v>44341</v>
      </c>
      <c r="L2284" s="1593" t="s">
        <v>2301</v>
      </c>
      <c r="M2284" s="1594">
        <v>1.3269E-2</v>
      </c>
      <c r="N2284" s="1595">
        <v>1.6315524539309703</v>
      </c>
      <c r="O2284" s="1595"/>
    </row>
    <row r="2285" spans="11:15">
      <c r="K2285" s="1592">
        <v>44342</v>
      </c>
      <c r="L2285" s="1593" t="s">
        <v>2301</v>
      </c>
      <c r="M2285" s="1594">
        <v>1.3269E-2</v>
      </c>
      <c r="N2285" s="1595">
        <v>1.6317689446260824</v>
      </c>
      <c r="O2285" s="1595"/>
    </row>
    <row r="2286" spans="11:15">
      <c r="K2286" s="1592">
        <v>44343</v>
      </c>
      <c r="L2286" s="1593" t="s">
        <v>2301</v>
      </c>
      <c r="M2286" s="1594">
        <v>1.3269E-2</v>
      </c>
      <c r="N2286" s="1595">
        <v>1.6319854640473448</v>
      </c>
      <c r="O2286" s="1595"/>
    </row>
    <row r="2287" spans="11:15">
      <c r="K2287" s="1592">
        <v>44344</v>
      </c>
      <c r="L2287" s="1593" t="s">
        <v>2301</v>
      </c>
      <c r="M2287" s="1594">
        <v>1.3269E-2</v>
      </c>
      <c r="N2287" s="1595">
        <v>1.6322020121985694</v>
      </c>
      <c r="O2287" s="1595"/>
    </row>
    <row r="2288" spans="11:15">
      <c r="K2288" s="1592">
        <v>44345</v>
      </c>
      <c r="L2288" s="1593"/>
      <c r="M2288" s="1594">
        <v>0</v>
      </c>
      <c r="N2288" s="1595">
        <v>1.6322020121985694</v>
      </c>
      <c r="O2288" s="1595"/>
    </row>
    <row r="2289" spans="11:15">
      <c r="K2289" s="1592">
        <v>44346</v>
      </c>
      <c r="L2289" s="1593"/>
      <c r="M2289" s="1594">
        <v>0</v>
      </c>
      <c r="N2289" s="1595">
        <v>1.6322020121985694</v>
      </c>
      <c r="O2289" s="1595"/>
    </row>
    <row r="2290" spans="11:15">
      <c r="K2290" s="1592">
        <v>44347</v>
      </c>
      <c r="L2290" s="1593" t="s">
        <v>2301</v>
      </c>
      <c r="M2290" s="1594">
        <v>1.3269E-2</v>
      </c>
      <c r="N2290" s="1595">
        <v>1.6324185890835681</v>
      </c>
      <c r="O2290" s="1595"/>
    </row>
    <row r="2291" spans="11:15">
      <c r="K2291" s="1592">
        <v>44348</v>
      </c>
      <c r="L2291" s="1593" t="s">
        <v>2301</v>
      </c>
      <c r="M2291" s="1594">
        <v>1.3269E-2</v>
      </c>
      <c r="N2291" s="1595">
        <v>1.6326351947061537</v>
      </c>
      <c r="O2291" s="1595"/>
    </row>
    <row r="2292" spans="11:15">
      <c r="K2292" s="1592">
        <v>44349</v>
      </c>
      <c r="L2292" s="1593" t="s">
        <v>2301</v>
      </c>
      <c r="M2292" s="1594">
        <v>1.3269E-2</v>
      </c>
      <c r="N2292" s="1595">
        <v>1.6328518290701393</v>
      </c>
      <c r="O2292" s="1595"/>
    </row>
    <row r="2293" spans="11:15">
      <c r="K2293" s="1592">
        <v>44350</v>
      </c>
      <c r="L2293" s="1593"/>
      <c r="M2293" s="1594">
        <v>0</v>
      </c>
      <c r="N2293" s="1595">
        <v>1.6328518290701393</v>
      </c>
      <c r="O2293" s="1595"/>
    </row>
    <row r="2294" spans="11:15">
      <c r="K2294" s="1592">
        <v>44351</v>
      </c>
      <c r="L2294" s="1593" t="s">
        <v>2301</v>
      </c>
      <c r="M2294" s="1594">
        <v>1.3269E-2</v>
      </c>
      <c r="N2294" s="1595">
        <v>1.6330684921793386</v>
      </c>
      <c r="O2294" s="1595"/>
    </row>
    <row r="2295" spans="11:15">
      <c r="K2295" s="1592">
        <v>44352</v>
      </c>
      <c r="L2295" s="1593"/>
      <c r="M2295" s="1594">
        <v>0</v>
      </c>
      <c r="N2295" s="1595">
        <v>1.6330684921793386</v>
      </c>
      <c r="O2295" s="1595"/>
    </row>
    <row r="2296" spans="11:15">
      <c r="K2296" s="1592">
        <v>44353</v>
      </c>
      <c r="L2296" s="1593"/>
      <c r="M2296" s="1594">
        <v>0</v>
      </c>
      <c r="N2296" s="1595">
        <v>1.6330684921793386</v>
      </c>
      <c r="O2296" s="1595"/>
    </row>
    <row r="2297" spans="11:15">
      <c r="K2297" s="1592">
        <v>44354</v>
      </c>
      <c r="L2297" s="1593" t="s">
        <v>2301</v>
      </c>
      <c r="M2297" s="1594">
        <v>1.3269E-2</v>
      </c>
      <c r="N2297" s="1595">
        <v>1.633285184037566</v>
      </c>
      <c r="O2297" s="1595"/>
    </row>
    <row r="2298" spans="11:15">
      <c r="K2298" s="1592">
        <v>44355</v>
      </c>
      <c r="L2298" s="1593" t="s">
        <v>2301</v>
      </c>
      <c r="M2298" s="1594">
        <v>1.3269E-2</v>
      </c>
      <c r="N2298" s="1595">
        <v>1.6335019046486359</v>
      </c>
      <c r="O2298" s="1595"/>
    </row>
    <row r="2299" spans="11:15">
      <c r="K2299" s="1592">
        <v>44356</v>
      </c>
      <c r="L2299" s="1593" t="s">
        <v>2301</v>
      </c>
      <c r="M2299" s="1594">
        <v>1.3269E-2</v>
      </c>
      <c r="N2299" s="1595">
        <v>1.6337186540163637</v>
      </c>
      <c r="O2299" s="1595"/>
    </row>
    <row r="2300" spans="11:15">
      <c r="K2300" s="1592">
        <v>44357</v>
      </c>
      <c r="L2300" s="1593" t="s">
        <v>2301</v>
      </c>
      <c r="M2300" s="1594">
        <v>1.3269E-2</v>
      </c>
      <c r="N2300" s="1595">
        <v>1.6339354321445652</v>
      </c>
      <c r="O2300" s="1595"/>
    </row>
    <row r="2301" spans="11:15">
      <c r="K2301" s="1592">
        <v>44358</v>
      </c>
      <c r="L2301" s="1593" t="s">
        <v>2301</v>
      </c>
      <c r="M2301" s="1594">
        <v>1.3269E-2</v>
      </c>
      <c r="N2301" s="1595">
        <v>1.6341522390370564</v>
      </c>
      <c r="O2301" s="1595"/>
    </row>
    <row r="2302" spans="11:15">
      <c r="K2302" s="1592">
        <v>44359</v>
      </c>
      <c r="L2302" s="1593"/>
      <c r="M2302" s="1594">
        <v>0</v>
      </c>
      <c r="N2302" s="1595">
        <v>1.6341522390370564</v>
      </c>
      <c r="O2302" s="1595"/>
    </row>
    <row r="2303" spans="11:15">
      <c r="K2303" s="1592">
        <v>44360</v>
      </c>
      <c r="L2303" s="1593"/>
      <c r="M2303" s="1594">
        <v>0</v>
      </c>
      <c r="N2303" s="1595">
        <v>1.6341522390370564</v>
      </c>
      <c r="O2303" s="1595"/>
    </row>
    <row r="2304" spans="11:15">
      <c r="K2304" s="1592">
        <v>44361</v>
      </c>
      <c r="L2304" s="1593" t="s">
        <v>2301</v>
      </c>
      <c r="M2304" s="1594">
        <v>1.3269E-2</v>
      </c>
      <c r="N2304" s="1595">
        <v>1.6343690746976542</v>
      </c>
      <c r="O2304" s="1595"/>
    </row>
    <row r="2305" spans="11:15">
      <c r="K2305" s="1592">
        <v>44362</v>
      </c>
      <c r="L2305" s="1593" t="s">
        <v>2301</v>
      </c>
      <c r="M2305" s="1594">
        <v>1.3269E-2</v>
      </c>
      <c r="N2305" s="1595">
        <v>1.634585939130176</v>
      </c>
      <c r="O2305" s="1595"/>
    </row>
    <row r="2306" spans="11:15">
      <c r="K2306" s="1592">
        <v>44363</v>
      </c>
      <c r="L2306" s="1593" t="s">
        <v>2301</v>
      </c>
      <c r="M2306" s="1594">
        <v>1.3269E-2</v>
      </c>
      <c r="N2306" s="1595">
        <v>1.6348028323384394</v>
      </c>
      <c r="O2306" s="1595"/>
    </row>
    <row r="2307" spans="11:15">
      <c r="K2307" s="1592">
        <v>44364</v>
      </c>
      <c r="L2307" s="1593" t="s">
        <v>2301</v>
      </c>
      <c r="M2307" s="1594">
        <v>1.6136999999999999E-2</v>
      </c>
      <c r="N2307" s="1595">
        <v>1.635066640471494</v>
      </c>
      <c r="O2307" s="1595"/>
    </row>
    <row r="2308" spans="11:15">
      <c r="K2308" s="1592">
        <v>44365</v>
      </c>
      <c r="L2308" s="1593" t="s">
        <v>2301</v>
      </c>
      <c r="M2308" s="1594">
        <v>1.6136999999999999E-2</v>
      </c>
      <c r="N2308" s="1595">
        <v>1.6353304911752669</v>
      </c>
      <c r="O2308" s="1595"/>
    </row>
    <row r="2309" spans="11:15">
      <c r="K2309" s="1592">
        <v>44366</v>
      </c>
      <c r="L2309" s="1593"/>
      <c r="M2309" s="1594">
        <v>0</v>
      </c>
      <c r="N2309" s="1595">
        <v>1.6353304911752669</v>
      </c>
      <c r="O2309" s="1595"/>
    </row>
    <row r="2310" spans="11:15">
      <c r="K2310" s="1592">
        <v>44367</v>
      </c>
      <c r="L2310" s="1593"/>
      <c r="M2310" s="1594">
        <v>0</v>
      </c>
      <c r="N2310" s="1595">
        <v>1.6353304911752669</v>
      </c>
      <c r="O2310" s="1595"/>
    </row>
    <row r="2311" spans="11:15">
      <c r="K2311" s="1592">
        <v>44368</v>
      </c>
      <c r="L2311" s="1593" t="s">
        <v>2301</v>
      </c>
      <c r="M2311" s="1594">
        <v>1.6136999999999999E-2</v>
      </c>
      <c r="N2311" s="1595">
        <v>1.6355943844566279</v>
      </c>
      <c r="O2311" s="1595"/>
    </row>
    <row r="2312" spans="11:15">
      <c r="K2312" s="1592">
        <v>44369</v>
      </c>
      <c r="L2312" s="1593" t="s">
        <v>2301</v>
      </c>
      <c r="M2312" s="1594">
        <v>1.6136999999999999E-2</v>
      </c>
      <c r="N2312" s="1595">
        <v>1.6358583203224477</v>
      </c>
      <c r="O2312" s="1595"/>
    </row>
    <row r="2313" spans="11:15">
      <c r="K2313" s="1592">
        <v>44370</v>
      </c>
      <c r="L2313" s="1593" t="s">
        <v>2301</v>
      </c>
      <c r="M2313" s="1594">
        <v>1.6136999999999999E-2</v>
      </c>
      <c r="N2313" s="1595">
        <v>1.6361222987795982</v>
      </c>
      <c r="O2313" s="1595"/>
    </row>
    <row r="2314" spans="11:15">
      <c r="K2314" s="1592">
        <v>44371</v>
      </c>
      <c r="L2314" s="1593" t="s">
        <v>2301</v>
      </c>
      <c r="M2314" s="1594">
        <v>1.6136999999999999E-2</v>
      </c>
      <c r="N2314" s="1595">
        <v>1.6363863198349524</v>
      </c>
      <c r="O2314" s="1595"/>
    </row>
    <row r="2315" spans="11:15">
      <c r="K2315" s="1592">
        <v>44372</v>
      </c>
      <c r="L2315" s="1593" t="s">
        <v>2301</v>
      </c>
      <c r="M2315" s="1594">
        <v>1.6136999999999999E-2</v>
      </c>
      <c r="N2315" s="1595">
        <v>1.6366503834953843</v>
      </c>
      <c r="O2315" s="1595"/>
    </row>
    <row r="2316" spans="11:15">
      <c r="K2316" s="1592">
        <v>44373</v>
      </c>
      <c r="L2316" s="1593"/>
      <c r="M2316" s="1594">
        <v>0</v>
      </c>
      <c r="N2316" s="1595">
        <v>1.6366503834953843</v>
      </c>
      <c r="O2316" s="1595"/>
    </row>
    <row r="2317" spans="11:15">
      <c r="K2317" s="1592">
        <v>44374</v>
      </c>
      <c r="L2317" s="1593"/>
      <c r="M2317" s="1594">
        <v>0</v>
      </c>
      <c r="N2317" s="1595">
        <v>1.6366503834953843</v>
      </c>
      <c r="O2317" s="1595"/>
    </row>
    <row r="2318" spans="11:15">
      <c r="K2318" s="1592">
        <v>44375</v>
      </c>
      <c r="L2318" s="1593" t="s">
        <v>2301</v>
      </c>
      <c r="M2318" s="1594">
        <v>1.6136999999999999E-2</v>
      </c>
      <c r="N2318" s="1595">
        <v>1.636914489767769</v>
      </c>
      <c r="O2318" s="1595"/>
    </row>
    <row r="2319" spans="11:15">
      <c r="K2319" s="1592">
        <v>44376</v>
      </c>
      <c r="L2319" s="1593" t="s">
        <v>2301</v>
      </c>
      <c r="M2319" s="1594">
        <v>1.6136999999999999E-2</v>
      </c>
      <c r="N2319" s="1595">
        <v>1.6371786386589828</v>
      </c>
      <c r="O2319" s="1595"/>
    </row>
    <row r="2320" spans="11:15">
      <c r="K2320" s="1592">
        <v>44377</v>
      </c>
      <c r="L2320" s="1593" t="s">
        <v>2301</v>
      </c>
      <c r="M2320" s="1594">
        <v>1.6136999999999999E-2</v>
      </c>
      <c r="N2320" s="1595">
        <v>1.6374428301759034</v>
      </c>
      <c r="O2320" s="1595"/>
    </row>
    <row r="2321" spans="11:15">
      <c r="K2321" s="1592">
        <v>44378</v>
      </c>
      <c r="L2321" s="1593" t="s">
        <v>2301</v>
      </c>
      <c r="M2321" s="1594">
        <v>1.6136999999999999E-2</v>
      </c>
      <c r="N2321" s="1595">
        <v>1.637707064325409</v>
      </c>
      <c r="O2321" s="1595"/>
    </row>
    <row r="2322" spans="11:15">
      <c r="K2322" s="1592">
        <v>44379</v>
      </c>
      <c r="L2322" s="1593" t="s">
        <v>2301</v>
      </c>
      <c r="M2322" s="1594">
        <v>1.6136999999999999E-2</v>
      </c>
      <c r="N2322" s="1595">
        <v>1.6379713411143793</v>
      </c>
      <c r="O2322" s="1595"/>
    </row>
    <row r="2323" spans="11:15">
      <c r="K2323" s="1592">
        <v>44380</v>
      </c>
      <c r="L2323" s="1593"/>
      <c r="M2323" s="1594">
        <v>0</v>
      </c>
      <c r="N2323" s="1595">
        <v>1.6379713411143793</v>
      </c>
      <c r="O2323" s="1595"/>
    </row>
    <row r="2324" spans="11:15">
      <c r="K2324" s="1592">
        <v>44381</v>
      </c>
      <c r="L2324" s="1593"/>
      <c r="M2324" s="1594">
        <v>0</v>
      </c>
      <c r="N2324" s="1595">
        <v>1.6379713411143793</v>
      </c>
      <c r="O2324" s="1595"/>
    </row>
    <row r="2325" spans="11:15">
      <c r="K2325" s="1592">
        <v>44382</v>
      </c>
      <c r="L2325" s="1593" t="s">
        <v>2301</v>
      </c>
      <c r="M2325" s="1594">
        <v>1.6136999999999999E-2</v>
      </c>
      <c r="N2325" s="1595">
        <v>1.638235660549695</v>
      </c>
      <c r="O2325" s="1595"/>
    </row>
    <row r="2326" spans="11:15">
      <c r="K2326" s="1592">
        <v>44383</v>
      </c>
      <c r="L2326" s="1593" t="s">
        <v>2301</v>
      </c>
      <c r="M2326" s="1594">
        <v>1.6136999999999999E-2</v>
      </c>
      <c r="N2326" s="1595">
        <v>1.638500022638238</v>
      </c>
      <c r="O2326" s="1595"/>
    </row>
    <row r="2327" spans="11:15">
      <c r="K2327" s="1592">
        <v>44384</v>
      </c>
      <c r="L2327" s="1593" t="s">
        <v>2301</v>
      </c>
      <c r="M2327" s="1594">
        <v>1.6136999999999999E-2</v>
      </c>
      <c r="N2327" s="1595">
        <v>1.6387644273868913</v>
      </c>
      <c r="O2327" s="1595"/>
    </row>
    <row r="2328" spans="11:15">
      <c r="K2328" s="1592">
        <v>44385</v>
      </c>
      <c r="L2328" s="1593" t="s">
        <v>2301</v>
      </c>
      <c r="M2328" s="1594">
        <v>1.6136999999999999E-2</v>
      </c>
      <c r="N2328" s="1595">
        <v>1.6390288748025388</v>
      </c>
      <c r="O2328" s="1595"/>
    </row>
    <row r="2329" spans="11:15">
      <c r="K2329" s="1592">
        <v>44386</v>
      </c>
      <c r="L2329" s="1593" t="s">
        <v>2301</v>
      </c>
      <c r="M2329" s="1594">
        <v>1.6136999999999999E-2</v>
      </c>
      <c r="N2329" s="1595">
        <v>1.6392933648920658</v>
      </c>
      <c r="O2329" s="1595"/>
    </row>
    <row r="2330" spans="11:15">
      <c r="K2330" s="1592">
        <v>44387</v>
      </c>
      <c r="L2330" s="1593"/>
      <c r="M2330" s="1594">
        <v>0</v>
      </c>
      <c r="N2330" s="1595">
        <v>1.6392933648920658</v>
      </c>
      <c r="O2330" s="1595"/>
    </row>
    <row r="2331" spans="11:15">
      <c r="K2331" s="1592">
        <v>44388</v>
      </c>
      <c r="L2331" s="1593"/>
      <c r="M2331" s="1594">
        <v>0</v>
      </c>
      <c r="N2331" s="1595">
        <v>1.6392933648920658</v>
      </c>
      <c r="O2331" s="1595"/>
    </row>
    <row r="2332" spans="11:15">
      <c r="K2332" s="1592">
        <v>44389</v>
      </c>
      <c r="L2332" s="1593" t="s">
        <v>2301</v>
      </c>
      <c r="M2332" s="1594">
        <v>1.6136999999999999E-2</v>
      </c>
      <c r="N2332" s="1595">
        <v>1.6395578976623586</v>
      </c>
      <c r="O2332" s="1595"/>
    </row>
    <row r="2333" spans="11:15">
      <c r="K2333" s="1592">
        <v>44390</v>
      </c>
      <c r="L2333" s="1593" t="s">
        <v>2301</v>
      </c>
      <c r="M2333" s="1594">
        <v>1.6136999999999999E-2</v>
      </c>
      <c r="N2333" s="1595">
        <v>1.6398224731203044</v>
      </c>
      <c r="O2333" s="1595"/>
    </row>
    <row r="2334" spans="11:15">
      <c r="K2334" s="1592">
        <v>44391</v>
      </c>
      <c r="L2334" s="1593" t="s">
        <v>2301</v>
      </c>
      <c r="M2334" s="1594">
        <v>1.6136999999999999E-2</v>
      </c>
      <c r="N2334" s="1595">
        <v>1.6400870912727918</v>
      </c>
      <c r="O2334" s="1595"/>
    </row>
    <row r="2335" spans="11:15">
      <c r="K2335" s="1592">
        <v>44392</v>
      </c>
      <c r="L2335" s="1593" t="s">
        <v>2301</v>
      </c>
      <c r="M2335" s="1594">
        <v>1.6136999999999999E-2</v>
      </c>
      <c r="N2335" s="1595">
        <v>1.6403517521267106</v>
      </c>
      <c r="O2335" s="1595"/>
    </row>
    <row r="2336" spans="11:15">
      <c r="K2336" s="1592">
        <v>44393</v>
      </c>
      <c r="L2336" s="1593" t="s">
        <v>2301</v>
      </c>
      <c r="M2336" s="1594">
        <v>1.6136999999999999E-2</v>
      </c>
      <c r="N2336" s="1595">
        <v>1.6406164556889513</v>
      </c>
      <c r="O2336" s="1595"/>
    </row>
    <row r="2337" spans="11:15">
      <c r="K2337" s="1592">
        <v>44394</v>
      </c>
      <c r="L2337" s="1593"/>
      <c r="M2337" s="1594">
        <v>0</v>
      </c>
      <c r="N2337" s="1595">
        <v>1.6406164556889513</v>
      </c>
      <c r="O2337" s="1595"/>
    </row>
    <row r="2338" spans="11:15">
      <c r="K2338" s="1592">
        <v>44395</v>
      </c>
      <c r="L2338" s="1593"/>
      <c r="M2338" s="1594">
        <v>0</v>
      </c>
      <c r="N2338" s="1595">
        <v>1.6406164556889513</v>
      </c>
      <c r="O2338" s="1595"/>
    </row>
    <row r="2339" spans="11:15">
      <c r="K2339" s="1592">
        <v>44396</v>
      </c>
      <c r="L2339" s="1593" t="s">
        <v>2301</v>
      </c>
      <c r="M2339" s="1594">
        <v>1.6136999999999999E-2</v>
      </c>
      <c r="N2339" s="1595">
        <v>1.6408812019664059</v>
      </c>
      <c r="O2339" s="1595"/>
    </row>
    <row r="2340" spans="11:15">
      <c r="K2340" s="1592">
        <v>44397</v>
      </c>
      <c r="L2340" s="1593" t="s">
        <v>2301</v>
      </c>
      <c r="M2340" s="1594">
        <v>1.6136999999999999E-2</v>
      </c>
      <c r="N2340" s="1595">
        <v>1.6411459909659674</v>
      </c>
      <c r="O2340" s="1595"/>
    </row>
    <row r="2341" spans="11:15">
      <c r="K2341" s="1592">
        <v>44398</v>
      </c>
      <c r="L2341" s="1593" t="s">
        <v>2301</v>
      </c>
      <c r="M2341" s="1594">
        <v>1.6136999999999999E-2</v>
      </c>
      <c r="N2341" s="1595">
        <v>1.6414108226945296</v>
      </c>
      <c r="O2341" s="1595"/>
    </row>
    <row r="2342" spans="11:15">
      <c r="K2342" s="1592">
        <v>44399</v>
      </c>
      <c r="L2342" s="1593" t="s">
        <v>2301</v>
      </c>
      <c r="M2342" s="1594">
        <v>1.6136999999999999E-2</v>
      </c>
      <c r="N2342" s="1595">
        <v>1.6416756971589879</v>
      </c>
      <c r="O2342" s="1595"/>
    </row>
    <row r="2343" spans="11:15">
      <c r="K2343" s="1592">
        <v>44400</v>
      </c>
      <c r="L2343" s="1593" t="s">
        <v>2301</v>
      </c>
      <c r="M2343" s="1594">
        <v>1.6136999999999999E-2</v>
      </c>
      <c r="N2343" s="1595">
        <v>1.6419406143662385</v>
      </c>
      <c r="O2343" s="1595"/>
    </row>
    <row r="2344" spans="11:15">
      <c r="K2344" s="1592">
        <v>44401</v>
      </c>
      <c r="L2344" s="1593"/>
      <c r="M2344" s="1594">
        <v>0</v>
      </c>
      <c r="N2344" s="1595">
        <v>1.6419406143662385</v>
      </c>
      <c r="O2344" s="1595"/>
    </row>
    <row r="2345" spans="11:15">
      <c r="K2345" s="1592">
        <v>44402</v>
      </c>
      <c r="L2345" s="1593"/>
      <c r="M2345" s="1594">
        <v>0</v>
      </c>
      <c r="N2345" s="1595">
        <v>1.6419406143662385</v>
      </c>
      <c r="O2345" s="1595"/>
    </row>
    <row r="2346" spans="11:15">
      <c r="K2346" s="1592">
        <v>44403</v>
      </c>
      <c r="L2346" s="1593" t="s">
        <v>2301</v>
      </c>
      <c r="M2346" s="1594">
        <v>1.6136999999999999E-2</v>
      </c>
      <c r="N2346" s="1595">
        <v>1.6422055743231789</v>
      </c>
      <c r="O2346" s="1595"/>
    </row>
    <row r="2347" spans="11:15">
      <c r="K2347" s="1592">
        <v>44404</v>
      </c>
      <c r="L2347" s="1593" t="s">
        <v>2301</v>
      </c>
      <c r="M2347" s="1594">
        <v>1.6136999999999999E-2</v>
      </c>
      <c r="N2347" s="1595">
        <v>1.6424705770367076</v>
      </c>
      <c r="O2347" s="1595"/>
    </row>
    <row r="2348" spans="11:15">
      <c r="K2348" s="1592">
        <v>44405</v>
      </c>
      <c r="L2348" s="1593" t="s">
        <v>2301</v>
      </c>
      <c r="M2348" s="1594">
        <v>1.6136999999999999E-2</v>
      </c>
      <c r="N2348" s="1595">
        <v>1.6427356225137242</v>
      </c>
      <c r="O2348" s="1595"/>
    </row>
    <row r="2349" spans="11:15">
      <c r="K2349" s="1592">
        <v>44406</v>
      </c>
      <c r="L2349" s="1593" t="s">
        <v>2301</v>
      </c>
      <c r="M2349" s="1594">
        <v>1.6136999999999999E-2</v>
      </c>
      <c r="N2349" s="1595">
        <v>1.6430007107611293</v>
      </c>
      <c r="O2349" s="1595"/>
    </row>
    <row r="2350" spans="11:15">
      <c r="K2350" s="1592">
        <v>44407</v>
      </c>
      <c r="L2350" s="1593" t="s">
        <v>2301</v>
      </c>
      <c r="M2350" s="1594">
        <v>1.6136999999999999E-2</v>
      </c>
      <c r="N2350" s="1595">
        <v>1.6432658417858248</v>
      </c>
      <c r="O2350" s="1595"/>
    </row>
    <row r="2351" spans="11:15">
      <c r="K2351" s="1592">
        <v>44408</v>
      </c>
      <c r="L2351" s="1593"/>
      <c r="M2351" s="1594">
        <v>0</v>
      </c>
      <c r="N2351" s="1595">
        <v>1.6432658417858248</v>
      </c>
      <c r="O2351" s="1595"/>
    </row>
    <row r="2352" spans="11:15">
      <c r="K2352" s="1592">
        <v>44409</v>
      </c>
      <c r="L2352" s="1593"/>
      <c r="M2352" s="1594">
        <v>0</v>
      </c>
      <c r="N2352" s="1595">
        <v>1.6432658417858248</v>
      </c>
      <c r="O2352" s="1595"/>
    </row>
    <row r="2353" spans="11:15">
      <c r="K2353" s="1592">
        <v>44410</v>
      </c>
      <c r="L2353" s="1593" t="s">
        <v>2301</v>
      </c>
      <c r="M2353" s="1594">
        <v>1.6136999999999999E-2</v>
      </c>
      <c r="N2353" s="1595">
        <v>1.6435310155947138</v>
      </c>
      <c r="O2353" s="1595"/>
    </row>
    <row r="2354" spans="11:15">
      <c r="K2354" s="1592">
        <v>44411</v>
      </c>
      <c r="L2354" s="1593" t="s">
        <v>2301</v>
      </c>
      <c r="M2354" s="1594">
        <v>1.6136999999999999E-2</v>
      </c>
      <c r="N2354" s="1595">
        <v>1.6437962321947004</v>
      </c>
      <c r="O2354" s="1595"/>
    </row>
    <row r="2355" spans="11:15">
      <c r="K2355" s="1592">
        <v>44412</v>
      </c>
      <c r="L2355" s="1593" t="s">
        <v>2301</v>
      </c>
      <c r="M2355" s="1594">
        <v>1.6136999999999999E-2</v>
      </c>
      <c r="N2355" s="1595">
        <v>1.6440614915926897</v>
      </c>
      <c r="O2355" s="1595"/>
    </row>
    <row r="2356" spans="11:15">
      <c r="K2356" s="1592">
        <v>44413</v>
      </c>
      <c r="L2356" s="1593" t="s">
        <v>2301</v>
      </c>
      <c r="M2356" s="1594">
        <v>1.993E-2</v>
      </c>
      <c r="N2356" s="1595">
        <v>1.6443891530479642</v>
      </c>
      <c r="O2356" s="1595"/>
    </row>
    <row r="2357" spans="11:15">
      <c r="K2357" s="1592">
        <v>44414</v>
      </c>
      <c r="L2357" s="1593" t="s">
        <v>2301</v>
      </c>
      <c r="M2357" s="1594">
        <v>1.993E-2</v>
      </c>
      <c r="N2357" s="1595">
        <v>1.6447168798061667</v>
      </c>
      <c r="O2357" s="1595"/>
    </row>
    <row r="2358" spans="11:15">
      <c r="K2358" s="1592">
        <v>44415</v>
      </c>
      <c r="L2358" s="1593"/>
      <c r="M2358" s="1594">
        <v>0</v>
      </c>
      <c r="N2358" s="1595">
        <v>1.6447168798061667</v>
      </c>
      <c r="O2358" s="1595"/>
    </row>
    <row r="2359" spans="11:15">
      <c r="K2359" s="1592">
        <v>44416</v>
      </c>
      <c r="L2359" s="1593"/>
      <c r="M2359" s="1594">
        <v>0</v>
      </c>
      <c r="N2359" s="1595">
        <v>1.6447168798061667</v>
      </c>
      <c r="O2359" s="1595"/>
    </row>
    <row r="2360" spans="11:15">
      <c r="K2360" s="1592">
        <v>44417</v>
      </c>
      <c r="L2360" s="1593" t="s">
        <v>2301</v>
      </c>
      <c r="M2360" s="1594">
        <v>1.993E-2</v>
      </c>
      <c r="N2360" s="1595">
        <v>1.645044671880312</v>
      </c>
      <c r="O2360" s="1595"/>
    </row>
    <row r="2361" spans="11:15">
      <c r="K2361" s="1592">
        <v>44418</v>
      </c>
      <c r="L2361" s="1593" t="s">
        <v>2301</v>
      </c>
      <c r="M2361" s="1594">
        <v>1.993E-2</v>
      </c>
      <c r="N2361" s="1595">
        <v>1.6453725292834178</v>
      </c>
      <c r="O2361" s="1595"/>
    </row>
    <row r="2362" spans="11:15">
      <c r="K2362" s="1592">
        <v>44419</v>
      </c>
      <c r="L2362" s="1593" t="s">
        <v>2301</v>
      </c>
      <c r="M2362" s="1594">
        <v>1.993E-2</v>
      </c>
      <c r="N2362" s="1595">
        <v>1.6457004520285041</v>
      </c>
      <c r="O2362" s="1595"/>
    </row>
    <row r="2363" spans="11:15">
      <c r="K2363" s="1592">
        <v>44420</v>
      </c>
      <c r="L2363" s="1593" t="s">
        <v>2301</v>
      </c>
      <c r="M2363" s="1594">
        <v>1.993E-2</v>
      </c>
      <c r="N2363" s="1595">
        <v>1.6460284401285934</v>
      </c>
      <c r="O2363" s="1595"/>
    </row>
    <row r="2364" spans="11:15">
      <c r="K2364" s="1592">
        <v>44421</v>
      </c>
      <c r="L2364" s="1593" t="s">
        <v>2301</v>
      </c>
      <c r="M2364" s="1594">
        <v>1.993E-2</v>
      </c>
      <c r="N2364" s="1595">
        <v>1.646356493596711</v>
      </c>
      <c r="O2364" s="1595"/>
    </row>
    <row r="2365" spans="11:15">
      <c r="K2365" s="1592">
        <v>44422</v>
      </c>
      <c r="L2365" s="1593"/>
      <c r="M2365" s="1594">
        <v>0</v>
      </c>
      <c r="N2365" s="1595">
        <v>1.646356493596711</v>
      </c>
      <c r="O2365" s="1595"/>
    </row>
    <row r="2366" spans="11:15">
      <c r="K2366" s="1592">
        <v>44423</v>
      </c>
      <c r="L2366" s="1593"/>
      <c r="M2366" s="1594">
        <v>0</v>
      </c>
      <c r="N2366" s="1595">
        <v>1.646356493596711</v>
      </c>
      <c r="O2366" s="1595"/>
    </row>
    <row r="2367" spans="11:15">
      <c r="K2367" s="1592">
        <v>44424</v>
      </c>
      <c r="L2367" s="1593" t="s">
        <v>2301</v>
      </c>
      <c r="M2367" s="1594">
        <v>1.993E-2</v>
      </c>
      <c r="N2367" s="1595">
        <v>1.6466846124458849</v>
      </c>
      <c r="O2367" s="1595"/>
    </row>
    <row r="2368" spans="11:15">
      <c r="K2368" s="1592">
        <v>44425</v>
      </c>
      <c r="L2368" s="1593" t="s">
        <v>2301</v>
      </c>
      <c r="M2368" s="1594">
        <v>1.993E-2</v>
      </c>
      <c r="N2368" s="1595">
        <v>1.6470127966891455</v>
      </c>
      <c r="O2368" s="1595"/>
    </row>
    <row r="2369" spans="11:15">
      <c r="K2369" s="1592">
        <v>44426</v>
      </c>
      <c r="L2369" s="1593" t="s">
        <v>2301</v>
      </c>
      <c r="M2369" s="1594">
        <v>1.993E-2</v>
      </c>
      <c r="N2369" s="1595">
        <v>1.6473410463395257</v>
      </c>
      <c r="O2369" s="1595"/>
    </row>
    <row r="2370" spans="11:15">
      <c r="K2370" s="1592">
        <v>44427</v>
      </c>
      <c r="L2370" s="1593" t="s">
        <v>2301</v>
      </c>
      <c r="M2370" s="1594">
        <v>1.993E-2</v>
      </c>
      <c r="N2370" s="1595">
        <v>1.6476693614100613</v>
      </c>
      <c r="O2370" s="1595"/>
    </row>
    <row r="2371" spans="11:15">
      <c r="K2371" s="1592">
        <v>44428</v>
      </c>
      <c r="L2371" s="1593" t="s">
        <v>2301</v>
      </c>
      <c r="M2371" s="1594">
        <v>1.993E-2</v>
      </c>
      <c r="N2371" s="1595">
        <v>1.6479977419137903</v>
      </c>
      <c r="O2371" s="1595"/>
    </row>
    <row r="2372" spans="11:15">
      <c r="K2372" s="1592">
        <v>44429</v>
      </c>
      <c r="L2372" s="1593"/>
      <c r="M2372" s="1594">
        <v>0</v>
      </c>
      <c r="N2372" s="1595">
        <v>1.6479977419137903</v>
      </c>
      <c r="O2372" s="1595"/>
    </row>
    <row r="2373" spans="11:15">
      <c r="K2373" s="1592">
        <v>44430</v>
      </c>
      <c r="L2373" s="1593"/>
      <c r="M2373" s="1594">
        <v>0</v>
      </c>
      <c r="N2373" s="1595">
        <v>1.6479977419137903</v>
      </c>
      <c r="O2373" s="1595"/>
    </row>
    <row r="2374" spans="11:15">
      <c r="K2374" s="1592">
        <v>44431</v>
      </c>
      <c r="L2374" s="1593" t="s">
        <v>2301</v>
      </c>
      <c r="M2374" s="1594">
        <v>1.993E-2</v>
      </c>
      <c r="N2374" s="1595">
        <v>1.6483261878637538</v>
      </c>
      <c r="O2374" s="1595"/>
    </row>
    <row r="2375" spans="11:15">
      <c r="K2375" s="1592">
        <v>44432</v>
      </c>
      <c r="L2375" s="1593" t="s">
        <v>2301</v>
      </c>
      <c r="M2375" s="1594">
        <v>1.993E-2</v>
      </c>
      <c r="N2375" s="1595">
        <v>1.6486546992729951</v>
      </c>
      <c r="O2375" s="1595"/>
    </row>
    <row r="2376" spans="11:15">
      <c r="K2376" s="1592">
        <v>44433</v>
      </c>
      <c r="L2376" s="1593" t="s">
        <v>2301</v>
      </c>
      <c r="M2376" s="1594">
        <v>1.993E-2</v>
      </c>
      <c r="N2376" s="1595">
        <v>1.6489832761545602</v>
      </c>
      <c r="O2376" s="1595"/>
    </row>
    <row r="2377" spans="11:15">
      <c r="K2377" s="1592">
        <v>44434</v>
      </c>
      <c r="L2377" s="1593" t="s">
        <v>2301</v>
      </c>
      <c r="M2377" s="1594">
        <v>1.993E-2</v>
      </c>
      <c r="N2377" s="1595">
        <v>1.6493119185214977</v>
      </c>
      <c r="O2377" s="1595"/>
    </row>
    <row r="2378" spans="11:15">
      <c r="K2378" s="1592">
        <v>44435</v>
      </c>
      <c r="L2378" s="1593" t="s">
        <v>2301</v>
      </c>
      <c r="M2378" s="1594">
        <v>1.993E-2</v>
      </c>
      <c r="N2378" s="1595">
        <v>1.649640626386859</v>
      </c>
      <c r="O2378" s="1595"/>
    </row>
    <row r="2379" spans="11:15">
      <c r="K2379" s="1592">
        <v>44436</v>
      </c>
      <c r="L2379" s="1593"/>
      <c r="M2379" s="1594">
        <v>0</v>
      </c>
      <c r="N2379" s="1595">
        <v>1.649640626386859</v>
      </c>
      <c r="O2379" s="1595"/>
    </row>
    <row r="2380" spans="11:15">
      <c r="K2380" s="1592">
        <v>44437</v>
      </c>
      <c r="L2380" s="1593"/>
      <c r="M2380" s="1594">
        <v>0</v>
      </c>
      <c r="N2380" s="1595">
        <v>1.649640626386859</v>
      </c>
      <c r="O2380" s="1595"/>
    </row>
    <row r="2381" spans="11:15">
      <c r="K2381" s="1592">
        <v>44438</v>
      </c>
      <c r="L2381" s="1593" t="s">
        <v>2301</v>
      </c>
      <c r="M2381" s="1594">
        <v>1.993E-2</v>
      </c>
      <c r="N2381" s="1595">
        <v>1.6499693997636979</v>
      </c>
      <c r="O2381" s="1595"/>
    </row>
    <row r="2382" spans="11:15">
      <c r="K2382" s="1592">
        <v>44439</v>
      </c>
      <c r="L2382" s="1593" t="s">
        <v>2301</v>
      </c>
      <c r="M2382" s="1594">
        <v>1.993E-2</v>
      </c>
      <c r="N2382" s="1595">
        <v>1.6502982386650709</v>
      </c>
      <c r="O2382" s="1595"/>
    </row>
    <row r="2383" spans="11:15">
      <c r="K2383" s="1592">
        <v>44440</v>
      </c>
      <c r="L2383" s="1593" t="s">
        <v>2301</v>
      </c>
      <c r="M2383" s="1594">
        <v>1.993E-2</v>
      </c>
      <c r="N2383" s="1595">
        <v>1.6506271431040369</v>
      </c>
      <c r="O2383" s="1595"/>
    </row>
    <row r="2384" spans="11:15">
      <c r="K2384" s="1592">
        <v>44441</v>
      </c>
      <c r="L2384" s="1593" t="s">
        <v>2301</v>
      </c>
      <c r="M2384" s="1594">
        <v>1.993E-2</v>
      </c>
      <c r="N2384" s="1595">
        <v>1.6509561130936576</v>
      </c>
      <c r="O2384" s="1595"/>
    </row>
    <row r="2385" spans="11:15">
      <c r="K2385" s="1592">
        <v>44442</v>
      </c>
      <c r="L2385" s="1593" t="s">
        <v>2301</v>
      </c>
      <c r="M2385" s="1594">
        <v>1.993E-2</v>
      </c>
      <c r="N2385" s="1595">
        <v>1.6512851486469973</v>
      </c>
      <c r="O2385" s="1595"/>
    </row>
    <row r="2386" spans="11:15">
      <c r="K2386" s="1592">
        <v>44443</v>
      </c>
      <c r="L2386" s="1593"/>
      <c r="M2386" s="1594">
        <v>0</v>
      </c>
      <c r="N2386" s="1595">
        <v>1.6512851486469973</v>
      </c>
      <c r="O2386" s="1595"/>
    </row>
    <row r="2387" spans="11:15">
      <c r="K2387" s="1592">
        <v>44444</v>
      </c>
      <c r="L2387" s="1593"/>
      <c r="M2387" s="1594">
        <v>0</v>
      </c>
      <c r="N2387" s="1595">
        <v>1.6512851486469973</v>
      </c>
      <c r="O2387" s="1595"/>
    </row>
    <row r="2388" spans="11:15">
      <c r="K2388" s="1592">
        <v>44445</v>
      </c>
      <c r="L2388" s="1593" t="s">
        <v>2301</v>
      </c>
      <c r="M2388" s="1594">
        <v>1.993E-2</v>
      </c>
      <c r="N2388" s="1595">
        <v>1.6516142497771227</v>
      </c>
      <c r="O2388" s="1595"/>
    </row>
    <row r="2389" spans="11:15">
      <c r="K2389" s="1592">
        <v>44446</v>
      </c>
      <c r="L2389" s="1593"/>
      <c r="M2389" s="1594">
        <v>0</v>
      </c>
      <c r="N2389" s="1595">
        <v>1.6516142497771227</v>
      </c>
      <c r="O2389" s="1595"/>
    </row>
    <row r="2390" spans="11:15">
      <c r="K2390" s="1592">
        <v>44447</v>
      </c>
      <c r="L2390" s="1593" t="s">
        <v>2301</v>
      </c>
      <c r="M2390" s="1594">
        <v>1.993E-2</v>
      </c>
      <c r="N2390" s="1595">
        <v>1.6519434164971032</v>
      </c>
      <c r="O2390" s="1595"/>
    </row>
    <row r="2391" spans="11:15">
      <c r="K2391" s="1592">
        <v>44448</v>
      </c>
      <c r="L2391" s="1593" t="s">
        <v>2301</v>
      </c>
      <c r="M2391" s="1594">
        <v>1.993E-2</v>
      </c>
      <c r="N2391" s="1595">
        <v>1.652272648820011</v>
      </c>
      <c r="O2391" s="1595"/>
    </row>
    <row r="2392" spans="11:15">
      <c r="K2392" s="1592">
        <v>44449</v>
      </c>
      <c r="L2392" s="1593" t="s">
        <v>2301</v>
      </c>
      <c r="M2392" s="1594">
        <v>1.993E-2</v>
      </c>
      <c r="N2392" s="1595">
        <v>1.6526019467589208</v>
      </c>
      <c r="O2392" s="1595"/>
    </row>
    <row r="2393" spans="11:15">
      <c r="K2393" s="1592">
        <v>44450</v>
      </c>
      <c r="L2393" s="1593"/>
      <c r="M2393" s="1594">
        <v>0</v>
      </c>
      <c r="N2393" s="1595">
        <v>1.6526019467589208</v>
      </c>
      <c r="O2393" s="1595"/>
    </row>
    <row r="2394" spans="11:15">
      <c r="K2394" s="1592">
        <v>44451</v>
      </c>
      <c r="L2394" s="1593"/>
      <c r="M2394" s="1594">
        <v>0</v>
      </c>
      <c r="N2394" s="1595">
        <v>1.6526019467589208</v>
      </c>
      <c r="O2394" s="1595"/>
    </row>
    <row r="2395" spans="11:15">
      <c r="K2395" s="1592">
        <v>44452</v>
      </c>
      <c r="L2395" s="1593" t="s">
        <v>2301</v>
      </c>
      <c r="M2395" s="1594">
        <v>1.993E-2</v>
      </c>
      <c r="N2395" s="1595">
        <v>1.6529313103269099</v>
      </c>
      <c r="O2395" s="1595"/>
    </row>
    <row r="2396" spans="11:15">
      <c r="K2396" s="1592">
        <v>44453</v>
      </c>
      <c r="L2396" s="1593" t="s">
        <v>2301</v>
      </c>
      <c r="M2396" s="1594">
        <v>1.993E-2</v>
      </c>
      <c r="N2396" s="1595">
        <v>1.653260739537058</v>
      </c>
      <c r="O2396" s="1595"/>
    </row>
    <row r="2397" spans="11:15">
      <c r="K2397" s="1592">
        <v>44454</v>
      </c>
      <c r="L2397" s="1593" t="s">
        <v>2301</v>
      </c>
      <c r="M2397" s="1594">
        <v>1.993E-2</v>
      </c>
      <c r="N2397" s="1595">
        <v>1.6535902344024478</v>
      </c>
      <c r="O2397" s="1595"/>
    </row>
    <row r="2398" spans="11:15">
      <c r="K2398" s="1592">
        <v>44455</v>
      </c>
      <c r="L2398" s="1593" t="s">
        <v>2301</v>
      </c>
      <c r="M2398" s="1594">
        <v>1.993E-2</v>
      </c>
      <c r="N2398" s="1595">
        <v>1.6539197949361641</v>
      </c>
      <c r="O2398" s="1595"/>
    </row>
    <row r="2399" spans="11:15">
      <c r="K2399" s="1592">
        <v>44456</v>
      </c>
      <c r="L2399" s="1593" t="s">
        <v>2301</v>
      </c>
      <c r="M2399" s="1594">
        <v>1.993E-2</v>
      </c>
      <c r="N2399" s="1595">
        <v>1.654249421151295</v>
      </c>
      <c r="O2399" s="1595"/>
    </row>
    <row r="2400" spans="11:15">
      <c r="K2400" s="1592">
        <v>44457</v>
      </c>
      <c r="L2400" s="1593"/>
      <c r="M2400" s="1594">
        <v>0</v>
      </c>
      <c r="N2400" s="1595">
        <v>1.654249421151295</v>
      </c>
      <c r="O2400" s="1595"/>
    </row>
    <row r="2401" spans="11:15">
      <c r="K2401" s="1592">
        <v>44458</v>
      </c>
      <c r="L2401" s="1593"/>
      <c r="M2401" s="1594">
        <v>0</v>
      </c>
      <c r="N2401" s="1595">
        <v>1.654249421151295</v>
      </c>
      <c r="O2401" s="1595"/>
    </row>
    <row r="2402" spans="11:15">
      <c r="K2402" s="1592">
        <v>44459</v>
      </c>
      <c r="L2402" s="1593" t="s">
        <v>2301</v>
      </c>
      <c r="M2402" s="1594">
        <v>1.993E-2</v>
      </c>
      <c r="N2402" s="1595">
        <v>1.6545791130609304</v>
      </c>
      <c r="O2402" s="1595"/>
    </row>
    <row r="2403" spans="11:15">
      <c r="K2403" s="1592">
        <v>44460</v>
      </c>
      <c r="L2403" s="1593" t="s">
        <v>2301</v>
      </c>
      <c r="M2403" s="1594">
        <v>1.993E-2</v>
      </c>
      <c r="N2403" s="1595">
        <v>1.6549088706781634</v>
      </c>
      <c r="O2403" s="1595"/>
    </row>
    <row r="2404" spans="11:15">
      <c r="K2404" s="1592">
        <v>44461</v>
      </c>
      <c r="L2404" s="1593" t="s">
        <v>2301</v>
      </c>
      <c r="M2404" s="1594">
        <v>1.993E-2</v>
      </c>
      <c r="N2404" s="1595">
        <v>1.6552386940160895</v>
      </c>
      <c r="O2404" s="1595"/>
    </row>
    <row r="2405" spans="11:15">
      <c r="K2405" s="1592">
        <v>44462</v>
      </c>
      <c r="L2405" s="1593" t="s">
        <v>2301</v>
      </c>
      <c r="M2405" s="1594">
        <v>2.3687E-2</v>
      </c>
      <c r="N2405" s="1595">
        <v>1.6556307704055411</v>
      </c>
      <c r="O2405" s="1595"/>
    </row>
    <row r="2406" spans="11:15">
      <c r="K2406" s="1592">
        <v>44463</v>
      </c>
      <c r="L2406" s="1593" t="s">
        <v>2301</v>
      </c>
      <c r="M2406" s="1594">
        <v>2.3687E-2</v>
      </c>
      <c r="N2406" s="1595">
        <v>1.656022939666127</v>
      </c>
      <c r="O2406" s="1595"/>
    </row>
    <row r="2407" spans="11:15">
      <c r="K2407" s="1592">
        <v>44464</v>
      </c>
      <c r="L2407" s="1593"/>
      <c r="M2407" s="1594">
        <v>0</v>
      </c>
      <c r="N2407" s="1595">
        <v>1.656022939666127</v>
      </c>
      <c r="O2407" s="1595"/>
    </row>
    <row r="2408" spans="11:15">
      <c r="K2408" s="1592">
        <v>44465</v>
      </c>
      <c r="L2408" s="1593"/>
      <c r="M2408" s="1594">
        <v>0</v>
      </c>
      <c r="N2408" s="1595">
        <v>1.656022939666127</v>
      </c>
      <c r="O2408" s="1595"/>
    </row>
    <row r="2409" spans="11:15">
      <c r="K2409" s="1592">
        <v>44466</v>
      </c>
      <c r="L2409" s="1593" t="s">
        <v>2301</v>
      </c>
      <c r="M2409" s="1594">
        <v>2.3687E-2</v>
      </c>
      <c r="N2409" s="1595">
        <v>1.6564152018198457</v>
      </c>
      <c r="O2409" s="1595"/>
    </row>
    <row r="2410" spans="11:15">
      <c r="K2410" s="1592">
        <v>44467</v>
      </c>
      <c r="L2410" s="1593" t="s">
        <v>2301</v>
      </c>
      <c r="M2410" s="1594">
        <v>2.3687E-2</v>
      </c>
      <c r="N2410" s="1595">
        <v>1.6568075568887006</v>
      </c>
      <c r="O2410" s="1595"/>
    </row>
    <row r="2411" spans="11:15">
      <c r="K2411" s="1592">
        <v>44468</v>
      </c>
      <c r="L2411" s="1593" t="s">
        <v>2301</v>
      </c>
      <c r="M2411" s="1594">
        <v>2.3687E-2</v>
      </c>
      <c r="N2411" s="1595">
        <v>1.6572000048947009</v>
      </c>
      <c r="O2411" s="1595"/>
    </row>
    <row r="2412" spans="11:15">
      <c r="K2412" s="1592">
        <v>44469</v>
      </c>
      <c r="L2412" s="1593" t="s">
        <v>2301</v>
      </c>
      <c r="M2412" s="1594">
        <v>2.3687E-2</v>
      </c>
      <c r="N2412" s="1595">
        <v>1.6575925458598602</v>
      </c>
      <c r="O2412" s="1595"/>
    </row>
    <row r="2413" spans="11:15">
      <c r="K2413" s="1592">
        <v>44470</v>
      </c>
      <c r="L2413" s="1593" t="s">
        <v>2301</v>
      </c>
      <c r="M2413" s="1594">
        <v>2.3687E-2</v>
      </c>
      <c r="N2413" s="1595">
        <v>1.657985179806198</v>
      </c>
      <c r="O2413" s="1595"/>
    </row>
    <row r="2414" spans="11:15">
      <c r="K2414" s="1592">
        <v>44471</v>
      </c>
      <c r="L2414" s="1593"/>
      <c r="M2414" s="1594">
        <v>0</v>
      </c>
      <c r="N2414" s="1595">
        <v>1.657985179806198</v>
      </c>
      <c r="O2414" s="1595"/>
    </row>
    <row r="2415" spans="11:15">
      <c r="K2415" s="1592">
        <v>44472</v>
      </c>
      <c r="L2415" s="1593"/>
      <c r="M2415" s="1594">
        <v>0</v>
      </c>
      <c r="N2415" s="1595">
        <v>1.657985179806198</v>
      </c>
      <c r="O2415" s="1595"/>
    </row>
    <row r="2416" spans="11:15">
      <c r="K2416" s="1592">
        <v>44473</v>
      </c>
      <c r="L2416" s="1593" t="s">
        <v>2301</v>
      </c>
      <c r="M2416" s="1594">
        <v>2.3687E-2</v>
      </c>
      <c r="N2416" s="1595">
        <v>1.6583779067557385</v>
      </c>
      <c r="O2416" s="1595"/>
    </row>
    <row r="2417" spans="11:15">
      <c r="K2417" s="1592">
        <v>44474</v>
      </c>
      <c r="L2417" s="1593" t="s">
        <v>2301</v>
      </c>
      <c r="M2417" s="1594">
        <v>2.3687E-2</v>
      </c>
      <c r="N2417" s="1595">
        <v>1.6587707267305116</v>
      </c>
      <c r="O2417" s="1595"/>
    </row>
    <row r="2418" spans="11:15">
      <c r="K2418" s="1592">
        <v>44475</v>
      </c>
      <c r="L2418" s="1593" t="s">
        <v>2301</v>
      </c>
      <c r="M2418" s="1594">
        <v>2.3687E-2</v>
      </c>
      <c r="N2418" s="1595">
        <v>1.6591636397525522</v>
      </c>
      <c r="O2418" s="1595"/>
    </row>
    <row r="2419" spans="11:15">
      <c r="K2419" s="1592">
        <v>44476</v>
      </c>
      <c r="L2419" s="1593" t="s">
        <v>2301</v>
      </c>
      <c r="M2419" s="1594">
        <v>2.3687E-2</v>
      </c>
      <c r="N2419" s="1595">
        <v>1.6595566458439004</v>
      </c>
      <c r="O2419" s="1595"/>
    </row>
    <row r="2420" spans="11:15">
      <c r="K2420" s="1592">
        <v>44477</v>
      </c>
      <c r="L2420" s="1593" t="s">
        <v>2301</v>
      </c>
      <c r="M2420" s="1594">
        <v>2.3687E-2</v>
      </c>
      <c r="N2420" s="1595">
        <v>1.6599497450266014</v>
      </c>
      <c r="O2420" s="1595"/>
    </row>
    <row r="2421" spans="11:15">
      <c r="K2421" s="1592">
        <v>44478</v>
      </c>
      <c r="L2421" s="1593"/>
      <c r="M2421" s="1594">
        <v>0</v>
      </c>
      <c r="N2421" s="1595">
        <v>1.6599497450266014</v>
      </c>
      <c r="O2421" s="1595"/>
    </row>
    <row r="2422" spans="11:15">
      <c r="K2422" s="1592">
        <v>44479</v>
      </c>
      <c r="L2422" s="1593"/>
      <c r="M2422" s="1594">
        <v>0</v>
      </c>
      <c r="N2422" s="1595">
        <v>1.6599497450266014</v>
      </c>
      <c r="O2422" s="1595"/>
    </row>
    <row r="2423" spans="11:15">
      <c r="K2423" s="1592">
        <v>44480</v>
      </c>
      <c r="L2423" s="1593" t="s">
        <v>2301</v>
      </c>
      <c r="M2423" s="1594">
        <v>2.3687E-2</v>
      </c>
      <c r="N2423" s="1595">
        <v>1.6603429373227059</v>
      </c>
      <c r="O2423" s="1595"/>
    </row>
    <row r="2424" spans="11:15">
      <c r="K2424" s="1592">
        <v>44481</v>
      </c>
      <c r="L2424" s="1593"/>
      <c r="M2424" s="1594">
        <v>0</v>
      </c>
      <c r="N2424" s="1595">
        <v>1.6603429373227059</v>
      </c>
      <c r="O2424" s="1595"/>
    </row>
    <row r="2425" spans="11:15">
      <c r="K2425" s="1592">
        <v>44482</v>
      </c>
      <c r="L2425" s="1593" t="s">
        <v>2301</v>
      </c>
      <c r="M2425" s="1594">
        <v>2.3687E-2</v>
      </c>
      <c r="N2425" s="1595">
        <v>1.6607362227542695</v>
      </c>
      <c r="O2425" s="1595"/>
    </row>
    <row r="2426" spans="11:15">
      <c r="K2426" s="1592">
        <v>44483</v>
      </c>
      <c r="L2426" s="1593" t="s">
        <v>2301</v>
      </c>
      <c r="M2426" s="1594">
        <v>2.3687E-2</v>
      </c>
      <c r="N2426" s="1595">
        <v>1.6611296013433532</v>
      </c>
      <c r="O2426" s="1595"/>
    </row>
    <row r="2427" spans="11:15">
      <c r="K2427" s="1592">
        <v>44484</v>
      </c>
      <c r="L2427" s="1593" t="s">
        <v>2301</v>
      </c>
      <c r="M2427" s="1594">
        <v>2.3687E-2</v>
      </c>
      <c r="N2427" s="1595">
        <v>1.6615230731120234</v>
      </c>
      <c r="O2427" s="1595"/>
    </row>
    <row r="2428" spans="11:15">
      <c r="K2428" s="1592">
        <v>44485</v>
      </c>
      <c r="L2428" s="1593"/>
      <c r="M2428" s="1594">
        <v>0</v>
      </c>
      <c r="N2428" s="1595">
        <v>1.6615230731120234</v>
      </c>
      <c r="O2428" s="1595"/>
    </row>
    <row r="2429" spans="11:15">
      <c r="K2429" s="1592">
        <v>44486</v>
      </c>
      <c r="L2429" s="1593"/>
      <c r="M2429" s="1594">
        <v>0</v>
      </c>
      <c r="N2429" s="1595">
        <v>1.6615230731120234</v>
      </c>
      <c r="O2429" s="1595"/>
    </row>
    <row r="2430" spans="11:15">
      <c r="K2430" s="1592">
        <v>44487</v>
      </c>
      <c r="L2430" s="1593" t="s">
        <v>2301</v>
      </c>
      <c r="M2430" s="1594">
        <v>2.3687E-2</v>
      </c>
      <c r="N2430" s="1595">
        <v>1.6619166380823513</v>
      </c>
      <c r="O2430" s="1595"/>
    </row>
    <row r="2431" spans="11:15">
      <c r="K2431" s="1592">
        <v>44488</v>
      </c>
      <c r="L2431" s="1593" t="s">
        <v>2301</v>
      </c>
      <c r="M2431" s="1594">
        <v>2.3687E-2</v>
      </c>
      <c r="N2431" s="1595">
        <v>1.6623102962764138</v>
      </c>
      <c r="O2431" s="1595"/>
    </row>
    <row r="2432" spans="11:15">
      <c r="K2432" s="1592">
        <v>44489</v>
      </c>
      <c r="L2432" s="1593" t="s">
        <v>2301</v>
      </c>
      <c r="M2432" s="1594">
        <v>2.3687E-2</v>
      </c>
      <c r="N2432" s="1595">
        <v>1.6627040477162927</v>
      </c>
      <c r="O2432" s="1595"/>
    </row>
    <row r="2433" spans="11:15">
      <c r="K2433" s="1592">
        <v>44490</v>
      </c>
      <c r="L2433" s="1593" t="s">
        <v>2301</v>
      </c>
      <c r="M2433" s="1594">
        <v>2.3687E-2</v>
      </c>
      <c r="N2433" s="1595">
        <v>1.6630978924240751</v>
      </c>
      <c r="O2433" s="1595"/>
    </row>
    <row r="2434" spans="11:15">
      <c r="K2434" s="1592">
        <v>44491</v>
      </c>
      <c r="L2434" s="1593" t="s">
        <v>2301</v>
      </c>
      <c r="M2434" s="1594">
        <v>2.3687E-2</v>
      </c>
      <c r="N2434" s="1595">
        <v>1.6634918304218536</v>
      </c>
      <c r="O2434" s="1595"/>
    </row>
    <row r="2435" spans="11:15">
      <c r="K2435" s="1592">
        <v>44492</v>
      </c>
      <c r="L2435" s="1593"/>
      <c r="M2435" s="1594">
        <v>0</v>
      </c>
      <c r="N2435" s="1595">
        <v>1.6634918304218536</v>
      </c>
      <c r="O2435" s="1595"/>
    </row>
    <row r="2436" spans="11:15">
      <c r="K2436" s="1592">
        <v>44493</v>
      </c>
      <c r="L2436" s="1593"/>
      <c r="M2436" s="1594">
        <v>0</v>
      </c>
      <c r="N2436" s="1595">
        <v>1.6634918304218536</v>
      </c>
      <c r="O2436" s="1595"/>
    </row>
    <row r="2437" spans="11:15">
      <c r="K2437" s="1592">
        <v>44494</v>
      </c>
      <c r="L2437" s="1593" t="s">
        <v>2301</v>
      </c>
      <c r="M2437" s="1594">
        <v>2.3687E-2</v>
      </c>
      <c r="N2437" s="1595">
        <v>1.6638858617317256</v>
      </c>
      <c r="O2437" s="1595"/>
    </row>
    <row r="2438" spans="11:15">
      <c r="K2438" s="1592">
        <v>44495</v>
      </c>
      <c r="L2438" s="1593" t="s">
        <v>2301</v>
      </c>
      <c r="M2438" s="1594">
        <v>2.3687E-2</v>
      </c>
      <c r="N2438" s="1595">
        <v>1.664279986375794</v>
      </c>
      <c r="O2438" s="1595"/>
    </row>
    <row r="2439" spans="11:15">
      <c r="K2439" s="1592">
        <v>44496</v>
      </c>
      <c r="L2439" s="1593" t="s">
        <v>2301</v>
      </c>
      <c r="M2439" s="1594">
        <v>2.3687E-2</v>
      </c>
      <c r="N2439" s="1595">
        <v>1.6646742043761666</v>
      </c>
      <c r="O2439" s="1595"/>
    </row>
    <row r="2440" spans="11:15">
      <c r="K2440" s="1592">
        <v>44497</v>
      </c>
      <c r="L2440" s="1593" t="s">
        <v>2301</v>
      </c>
      <c r="M2440" s="1594">
        <v>2.9256000000000001E-2</v>
      </c>
      <c r="N2440" s="1595">
        <v>1.6651612214613991</v>
      </c>
      <c r="O2440" s="1595"/>
    </row>
    <row r="2441" spans="11:15">
      <c r="K2441" s="1592">
        <v>44498</v>
      </c>
      <c r="L2441" s="1593" t="s">
        <v>2301</v>
      </c>
      <c r="M2441" s="1594">
        <v>2.9256000000000001E-2</v>
      </c>
      <c r="N2441" s="1595">
        <v>1.66564838102835</v>
      </c>
      <c r="O2441" s="1595"/>
    </row>
    <row r="2442" spans="11:15">
      <c r="K2442" s="1592">
        <v>44499</v>
      </c>
      <c r="L2442" s="1593"/>
      <c r="M2442" s="1594">
        <v>0</v>
      </c>
      <c r="N2442" s="1595">
        <v>1.66564838102835</v>
      </c>
      <c r="O2442" s="1595"/>
    </row>
    <row r="2443" spans="11:15">
      <c r="K2443" s="1592">
        <v>44500</v>
      </c>
      <c r="L2443" s="1593"/>
      <c r="M2443" s="1594">
        <v>0</v>
      </c>
      <c r="N2443" s="1595">
        <v>1.66564838102835</v>
      </c>
      <c r="O2443" s="1595"/>
    </row>
    <row r="2444" spans="11:15">
      <c r="K2444" s="1592">
        <v>44501</v>
      </c>
      <c r="L2444" s="1593" t="s">
        <v>2301</v>
      </c>
      <c r="M2444" s="1594">
        <v>2.9256000000000001E-2</v>
      </c>
      <c r="N2444" s="1595">
        <v>1.6661356831187037</v>
      </c>
      <c r="O2444" s="1595"/>
    </row>
    <row r="2445" spans="11:15">
      <c r="K2445" s="1592">
        <v>44502</v>
      </c>
      <c r="L2445" s="1593"/>
      <c r="M2445" s="1594">
        <v>0</v>
      </c>
      <c r="N2445" s="1595">
        <v>1.6661356831187037</v>
      </c>
      <c r="O2445" s="1595"/>
    </row>
    <row r="2446" spans="11:15">
      <c r="K2446" s="1592">
        <v>44503</v>
      </c>
      <c r="L2446" s="1593" t="s">
        <v>2301</v>
      </c>
      <c r="M2446" s="1594">
        <v>2.9256000000000001E-2</v>
      </c>
      <c r="N2446" s="1595">
        <v>1.6666231277741572</v>
      </c>
      <c r="O2446" s="1595"/>
    </row>
    <row r="2447" spans="11:15">
      <c r="K2447" s="1592">
        <v>44504</v>
      </c>
      <c r="L2447" s="1593" t="s">
        <v>2301</v>
      </c>
      <c r="M2447" s="1594">
        <v>2.9256000000000001E-2</v>
      </c>
      <c r="N2447" s="1595">
        <v>1.6671107150364191</v>
      </c>
      <c r="O2447" s="1595"/>
    </row>
    <row r="2448" spans="11:15">
      <c r="K2448" s="1592">
        <v>44505</v>
      </c>
      <c r="L2448" s="1593" t="s">
        <v>2301</v>
      </c>
      <c r="M2448" s="1594">
        <v>2.9256000000000001E-2</v>
      </c>
      <c r="N2448" s="1595">
        <v>1.6675984449472103</v>
      </c>
      <c r="O2448" s="1595"/>
    </row>
    <row r="2449" spans="11:15">
      <c r="K2449" s="1592">
        <v>44506</v>
      </c>
      <c r="L2449" s="1593"/>
      <c r="M2449" s="1594">
        <v>0</v>
      </c>
      <c r="N2449" s="1595">
        <v>1.6675984449472103</v>
      </c>
      <c r="O2449" s="1595"/>
    </row>
    <row r="2450" spans="11:15">
      <c r="K2450" s="1592">
        <v>44507</v>
      </c>
      <c r="L2450" s="1593"/>
      <c r="M2450" s="1594">
        <v>0</v>
      </c>
      <c r="N2450" s="1595">
        <v>1.6675984449472103</v>
      </c>
      <c r="O2450" s="1595"/>
    </row>
    <row r="2451" spans="11:15">
      <c r="K2451" s="1592">
        <v>44508</v>
      </c>
      <c r="L2451" s="1593" t="s">
        <v>2301</v>
      </c>
      <c r="M2451" s="1594">
        <v>2.9256000000000001E-2</v>
      </c>
      <c r="N2451" s="1595">
        <v>1.6680863175482643</v>
      </c>
      <c r="O2451" s="1595"/>
    </row>
    <row r="2452" spans="11:15">
      <c r="K2452" s="1592">
        <v>44509</v>
      </c>
      <c r="L2452" s="1593" t="s">
        <v>2301</v>
      </c>
      <c r="M2452" s="1594">
        <v>2.9256000000000001E-2</v>
      </c>
      <c r="N2452" s="1595">
        <v>1.6685743328813265</v>
      </c>
      <c r="O2452" s="1595"/>
    </row>
    <row r="2453" spans="11:15">
      <c r="K2453" s="1592">
        <v>44510</v>
      </c>
      <c r="L2453" s="1593" t="s">
        <v>2301</v>
      </c>
      <c r="M2453" s="1594">
        <v>2.9256000000000001E-2</v>
      </c>
      <c r="N2453" s="1595">
        <v>1.6690624909881544</v>
      </c>
      <c r="O2453" s="1595"/>
    </row>
    <row r="2454" spans="11:15">
      <c r="K2454" s="1592">
        <v>44511</v>
      </c>
      <c r="L2454" s="1593" t="s">
        <v>2301</v>
      </c>
      <c r="M2454" s="1594">
        <v>2.9256000000000001E-2</v>
      </c>
      <c r="N2454" s="1595">
        <v>1.6695507919105181</v>
      </c>
      <c r="O2454" s="1595"/>
    </row>
    <row r="2455" spans="11:15">
      <c r="K2455" s="1592">
        <v>44512</v>
      </c>
      <c r="L2455" s="1593" t="s">
        <v>2301</v>
      </c>
      <c r="M2455" s="1594">
        <v>2.9256000000000001E-2</v>
      </c>
      <c r="N2455" s="1595">
        <v>1.6700392356901996</v>
      </c>
      <c r="O2455" s="1595"/>
    </row>
    <row r="2456" spans="11:15">
      <c r="K2456" s="1592">
        <v>44513</v>
      </c>
      <c r="L2456" s="1593"/>
      <c r="M2456" s="1594">
        <v>0</v>
      </c>
      <c r="N2456" s="1595">
        <v>1.6700392356901996</v>
      </c>
      <c r="O2456" s="1595"/>
    </row>
    <row r="2457" spans="11:15">
      <c r="K2457" s="1592">
        <v>44514</v>
      </c>
      <c r="L2457" s="1593"/>
      <c r="M2457" s="1594">
        <v>0</v>
      </c>
      <c r="N2457" s="1595">
        <v>1.6700392356901996</v>
      </c>
      <c r="O2457" s="1595"/>
    </row>
    <row r="2458" spans="11:15">
      <c r="K2458" s="1592">
        <v>44515</v>
      </c>
      <c r="L2458" s="1593"/>
      <c r="M2458" s="1594">
        <v>0</v>
      </c>
      <c r="N2458" s="1595">
        <v>1.6700392356901996</v>
      </c>
      <c r="O2458" s="1595"/>
    </row>
    <row r="2459" spans="11:15">
      <c r="K2459" s="1592">
        <v>44516</v>
      </c>
      <c r="L2459" s="1593" t="s">
        <v>2301</v>
      </c>
      <c r="M2459" s="1594">
        <v>2.9256000000000001E-2</v>
      </c>
      <c r="N2459" s="1595">
        <v>1.6705278223689934</v>
      </c>
      <c r="O2459" s="1595"/>
    </row>
    <row r="2460" spans="11:15">
      <c r="K2460" s="1592">
        <v>44517</v>
      </c>
      <c r="L2460" s="1593" t="s">
        <v>2301</v>
      </c>
      <c r="M2460" s="1594">
        <v>2.9256000000000001E-2</v>
      </c>
      <c r="N2460" s="1595">
        <v>1.6710165519887059</v>
      </c>
      <c r="O2460" s="1595"/>
    </row>
    <row r="2461" spans="11:15">
      <c r="K2461" s="1592">
        <v>44518</v>
      </c>
      <c r="L2461" s="1593" t="s">
        <v>2301</v>
      </c>
      <c r="M2461" s="1594">
        <v>2.9256000000000001E-2</v>
      </c>
      <c r="N2461" s="1595">
        <v>1.6715054245911558</v>
      </c>
      <c r="O2461" s="1595"/>
    </row>
    <row r="2462" spans="11:15">
      <c r="K2462" s="1592">
        <v>44519</v>
      </c>
      <c r="L2462" s="1593" t="s">
        <v>2301</v>
      </c>
      <c r="M2462" s="1594">
        <v>2.9256000000000001E-2</v>
      </c>
      <c r="N2462" s="1595">
        <v>1.6719944402181743</v>
      </c>
      <c r="O2462" s="1595"/>
    </row>
    <row r="2463" spans="11:15">
      <c r="K2463" s="1592">
        <v>44520</v>
      </c>
      <c r="L2463" s="1593"/>
      <c r="M2463" s="1594">
        <v>0</v>
      </c>
      <c r="N2463" s="1595">
        <v>1.6719944402181743</v>
      </c>
      <c r="O2463" s="1595"/>
    </row>
    <row r="2464" spans="11:15">
      <c r="K2464" s="1592">
        <v>44521</v>
      </c>
      <c r="L2464" s="1593"/>
      <c r="M2464" s="1594">
        <v>0</v>
      </c>
      <c r="N2464" s="1595">
        <v>1.6719944402181743</v>
      </c>
      <c r="O2464" s="1595"/>
    </row>
    <row r="2465" spans="11:15">
      <c r="K2465" s="1592">
        <v>44522</v>
      </c>
      <c r="L2465" s="1593" t="s">
        <v>2301</v>
      </c>
      <c r="M2465" s="1594">
        <v>2.9256000000000001E-2</v>
      </c>
      <c r="N2465" s="1595">
        <v>1.6724835989116047</v>
      </c>
      <c r="O2465" s="1595"/>
    </row>
    <row r="2466" spans="11:15">
      <c r="K2466" s="1592">
        <v>44523</v>
      </c>
      <c r="L2466" s="1593" t="s">
        <v>2301</v>
      </c>
      <c r="M2466" s="1594">
        <v>2.9256000000000001E-2</v>
      </c>
      <c r="N2466" s="1595">
        <v>1.6729729007133025</v>
      </c>
      <c r="O2466" s="1595"/>
    </row>
    <row r="2467" spans="11:15">
      <c r="K2467" s="1592">
        <v>44524</v>
      </c>
      <c r="L2467" s="1593" t="s">
        <v>2301</v>
      </c>
      <c r="M2467" s="1594">
        <v>2.9256000000000001E-2</v>
      </c>
      <c r="N2467" s="1595">
        <v>1.6734623456651354</v>
      </c>
      <c r="O2467" s="1595"/>
    </row>
    <row r="2468" spans="11:15">
      <c r="K2468" s="1592">
        <v>44525</v>
      </c>
      <c r="L2468" s="1593" t="s">
        <v>2301</v>
      </c>
      <c r="M2468" s="1594">
        <v>2.9256000000000001E-2</v>
      </c>
      <c r="N2468" s="1595">
        <v>1.6739519338089834</v>
      </c>
      <c r="O2468" s="1595"/>
    </row>
    <row r="2469" spans="11:15">
      <c r="K2469" s="1592">
        <v>44526</v>
      </c>
      <c r="L2469" s="1593" t="s">
        <v>2301</v>
      </c>
      <c r="M2469" s="1594">
        <v>2.9256000000000001E-2</v>
      </c>
      <c r="N2469" s="1595">
        <v>1.6744416651867389</v>
      </c>
      <c r="O2469" s="1595"/>
    </row>
    <row r="2470" spans="11:15">
      <c r="K2470" s="1592">
        <v>44527</v>
      </c>
      <c r="L2470" s="1593"/>
      <c r="M2470" s="1594">
        <v>0</v>
      </c>
      <c r="N2470" s="1595">
        <v>1.6744416651867389</v>
      </c>
      <c r="O2470" s="1595"/>
    </row>
    <row r="2471" spans="11:15">
      <c r="K2471" s="1592">
        <v>44528</v>
      </c>
      <c r="L2471" s="1593"/>
      <c r="M2471" s="1594">
        <v>0</v>
      </c>
      <c r="N2471" s="1595">
        <v>1.6744416651867389</v>
      </c>
      <c r="O2471" s="1595"/>
    </row>
    <row r="2472" spans="11:15">
      <c r="K2472" s="1592">
        <v>44529</v>
      </c>
      <c r="L2472" s="1593" t="s">
        <v>2301</v>
      </c>
      <c r="M2472" s="1594">
        <v>2.9256000000000001E-2</v>
      </c>
      <c r="N2472" s="1595">
        <v>1.6749315398403062</v>
      </c>
      <c r="O2472" s="1595"/>
    </row>
    <row r="2473" spans="11:15">
      <c r="K2473" s="1592">
        <v>44530</v>
      </c>
      <c r="L2473" s="1593" t="s">
        <v>2301</v>
      </c>
      <c r="M2473" s="1594">
        <v>2.9256000000000001E-2</v>
      </c>
      <c r="N2473" s="1595">
        <v>1.6754215578116021</v>
      </c>
      <c r="O2473" s="1595"/>
    </row>
    <row r="2474" spans="11:15">
      <c r="K2474" s="1592">
        <v>44531</v>
      </c>
      <c r="L2474" s="1593" t="s">
        <v>2301</v>
      </c>
      <c r="M2474" s="1594">
        <v>2.9256000000000001E-2</v>
      </c>
      <c r="N2474" s="1595">
        <v>1.6759117191425557</v>
      </c>
      <c r="O2474" s="1595"/>
    </row>
    <row r="2475" spans="11:15">
      <c r="K2475" s="1592">
        <v>44532</v>
      </c>
      <c r="L2475" s="1593" t="s">
        <v>2301</v>
      </c>
      <c r="M2475" s="1594">
        <v>2.9256000000000001E-2</v>
      </c>
      <c r="N2475" s="1595">
        <v>1.6764020238751083</v>
      </c>
      <c r="O2475" s="1595"/>
    </row>
    <row r="2476" spans="11:15">
      <c r="K2476" s="1592">
        <v>44533</v>
      </c>
      <c r="L2476" s="1593" t="s">
        <v>2301</v>
      </c>
      <c r="M2476" s="1594">
        <v>2.9256000000000001E-2</v>
      </c>
      <c r="N2476" s="1595">
        <v>1.6768924720512133</v>
      </c>
      <c r="O2476" s="1595"/>
    </row>
    <row r="2477" spans="11:15">
      <c r="K2477" s="1592">
        <v>44534</v>
      </c>
      <c r="L2477" s="1593"/>
      <c r="M2477" s="1594">
        <v>0</v>
      </c>
      <c r="N2477" s="1595">
        <v>1.6768924720512133</v>
      </c>
      <c r="O2477" s="1595"/>
    </row>
    <row r="2478" spans="11:15">
      <c r="K2478" s="1592">
        <v>44535</v>
      </c>
      <c r="L2478" s="1593"/>
      <c r="M2478" s="1594">
        <v>0</v>
      </c>
      <c r="N2478" s="1595">
        <v>1.6768924720512133</v>
      </c>
      <c r="O2478" s="1595"/>
    </row>
    <row r="2479" spans="11:15">
      <c r="K2479" s="1592">
        <v>44536</v>
      </c>
      <c r="L2479" s="1593" t="s">
        <v>2301</v>
      </c>
      <c r="M2479" s="1594">
        <v>2.9256000000000001E-2</v>
      </c>
      <c r="N2479" s="1595">
        <v>1.6773830637128369</v>
      </c>
      <c r="O2479" s="1595"/>
    </row>
    <row r="2480" spans="11:15">
      <c r="K2480" s="1592">
        <v>44537</v>
      </c>
      <c r="L2480" s="1593" t="s">
        <v>2301</v>
      </c>
      <c r="M2480" s="1594">
        <v>2.9256000000000001E-2</v>
      </c>
      <c r="N2480" s="1595">
        <v>1.6778737989019568</v>
      </c>
      <c r="O2480" s="1595"/>
    </row>
    <row r="2481" spans="11:15">
      <c r="K2481" s="1592">
        <v>44538</v>
      </c>
      <c r="L2481" s="1593" t="s">
        <v>2301</v>
      </c>
      <c r="M2481" s="1594">
        <v>2.9256000000000001E-2</v>
      </c>
      <c r="N2481" s="1595">
        <v>1.6783646776605636</v>
      </c>
      <c r="O2481" s="1595"/>
    </row>
    <row r="2482" spans="11:15">
      <c r="K2482" s="1592">
        <v>44539</v>
      </c>
      <c r="L2482" s="1593" t="s">
        <v>2301</v>
      </c>
      <c r="M2482" s="1594">
        <v>3.4749000000000002E-2</v>
      </c>
      <c r="N2482" s="1595">
        <v>1.678947892602404</v>
      </c>
      <c r="O2482" s="1595"/>
    </row>
    <row r="2483" spans="11:15">
      <c r="K2483" s="1592">
        <v>44540</v>
      </c>
      <c r="L2483" s="1593" t="s">
        <v>2301</v>
      </c>
      <c r="M2483" s="1594">
        <v>3.4749000000000002E-2</v>
      </c>
      <c r="N2483" s="1595">
        <v>1.6795313102056044</v>
      </c>
      <c r="O2483" s="1595"/>
    </row>
    <row r="2484" spans="11:15">
      <c r="K2484" s="1592">
        <v>44541</v>
      </c>
      <c r="L2484" s="1593"/>
      <c r="M2484" s="1594">
        <v>0</v>
      </c>
      <c r="N2484" s="1595">
        <v>1.6795313102056044</v>
      </c>
      <c r="O2484" s="1595"/>
    </row>
    <row r="2485" spans="11:15">
      <c r="K2485" s="1592">
        <v>44542</v>
      </c>
      <c r="L2485" s="1593"/>
      <c r="M2485" s="1594">
        <v>0</v>
      </c>
      <c r="N2485" s="1595">
        <v>1.6795313102056044</v>
      </c>
      <c r="O2485" s="1595"/>
    </row>
    <row r="2486" spans="11:15">
      <c r="K2486" s="1592">
        <v>44543</v>
      </c>
      <c r="L2486" s="1593" t="s">
        <v>2301</v>
      </c>
      <c r="M2486" s="1594">
        <v>3.4749000000000002E-2</v>
      </c>
      <c r="N2486" s="1595">
        <v>1.6801149305405878</v>
      </c>
      <c r="O2486" s="1595"/>
    </row>
    <row r="2487" spans="11:15">
      <c r="K2487" s="1592">
        <v>44544</v>
      </c>
      <c r="L2487" s="1593" t="s">
        <v>2301</v>
      </c>
      <c r="M2487" s="1594">
        <v>3.4749000000000002E-2</v>
      </c>
      <c r="N2487" s="1595">
        <v>1.6806987536778013</v>
      </c>
      <c r="O2487" s="1595"/>
    </row>
    <row r="2488" spans="11:15">
      <c r="K2488" s="1592">
        <v>44545</v>
      </c>
      <c r="L2488" s="1593" t="s">
        <v>2301</v>
      </c>
      <c r="M2488" s="1594">
        <v>3.4749000000000002E-2</v>
      </c>
      <c r="N2488" s="1595">
        <v>1.6812827796877168</v>
      </c>
      <c r="O2488" s="1595"/>
    </row>
    <row r="2489" spans="11:15">
      <c r="K2489" s="1592">
        <v>44546</v>
      </c>
      <c r="L2489" s="1593" t="s">
        <v>2301</v>
      </c>
      <c r="M2489" s="1594">
        <v>3.4749000000000002E-2</v>
      </c>
      <c r="N2489" s="1595">
        <v>1.6818670086408305</v>
      </c>
      <c r="O2489" s="1595"/>
    </row>
    <row r="2490" spans="11:15">
      <c r="K2490" s="1592">
        <v>44547</v>
      </c>
      <c r="L2490" s="1593" t="s">
        <v>2301</v>
      </c>
      <c r="M2490" s="1594">
        <v>3.4749000000000002E-2</v>
      </c>
      <c r="N2490" s="1595">
        <v>1.6824514406076632</v>
      </c>
      <c r="O2490" s="1595"/>
    </row>
    <row r="2491" spans="11:15">
      <c r="K2491" s="1592">
        <v>44548</v>
      </c>
      <c r="L2491" s="1593"/>
      <c r="M2491" s="1594">
        <v>0</v>
      </c>
      <c r="N2491" s="1595">
        <v>1.6824514406076632</v>
      </c>
      <c r="O2491" s="1595"/>
    </row>
    <row r="2492" spans="11:15">
      <c r="K2492" s="1592">
        <v>44549</v>
      </c>
      <c r="L2492" s="1593"/>
      <c r="M2492" s="1594">
        <v>0</v>
      </c>
      <c r="N2492" s="1595">
        <v>1.6824514406076632</v>
      </c>
      <c r="O2492" s="1595"/>
    </row>
    <row r="2493" spans="11:15">
      <c r="K2493" s="1592">
        <v>44550</v>
      </c>
      <c r="L2493" s="1593" t="s">
        <v>2301</v>
      </c>
      <c r="M2493" s="1594">
        <v>3.4749000000000002E-2</v>
      </c>
      <c r="N2493" s="1595">
        <v>1.6830360756587599</v>
      </c>
      <c r="O2493" s="1595"/>
    </row>
    <row r="2494" spans="11:15">
      <c r="K2494" s="1592">
        <v>44551</v>
      </c>
      <c r="L2494" s="1593" t="s">
        <v>2301</v>
      </c>
      <c r="M2494" s="1594">
        <v>3.4749000000000002E-2</v>
      </c>
      <c r="N2494" s="1595">
        <v>1.6836209138646905</v>
      </c>
      <c r="O2494" s="1595"/>
    </row>
    <row r="2495" spans="11:15">
      <c r="K2495" s="1592">
        <v>44552</v>
      </c>
      <c r="L2495" s="1593" t="s">
        <v>2301</v>
      </c>
      <c r="M2495" s="1594">
        <v>3.4749000000000002E-2</v>
      </c>
      <c r="N2495" s="1595">
        <v>1.6842059552960493</v>
      </c>
      <c r="O2495" s="1595"/>
    </row>
    <row r="2496" spans="11:15">
      <c r="K2496" s="1592">
        <v>44553</v>
      </c>
      <c r="L2496" s="1593" t="s">
        <v>2301</v>
      </c>
      <c r="M2496" s="1594">
        <v>3.4749000000000002E-2</v>
      </c>
      <c r="N2496" s="1595">
        <v>1.6847912000234551</v>
      </c>
      <c r="O2496" s="1595"/>
    </row>
    <row r="2497" spans="11:15">
      <c r="K2497" s="1592">
        <v>44554</v>
      </c>
      <c r="L2497" s="1593" t="s">
        <v>2301</v>
      </c>
      <c r="M2497" s="1594">
        <v>3.4749000000000002E-2</v>
      </c>
      <c r="N2497" s="1595">
        <v>1.6853766481175512</v>
      </c>
      <c r="O2497" s="1595"/>
    </row>
    <row r="2498" spans="11:15">
      <c r="K2498" s="1592">
        <v>44555</v>
      </c>
      <c r="L2498" s="1593"/>
      <c r="M2498" s="1594">
        <v>0</v>
      </c>
      <c r="N2498" s="1595">
        <v>1.6853766481175512</v>
      </c>
      <c r="O2498" s="1595"/>
    </row>
    <row r="2499" spans="11:15">
      <c r="K2499" s="1592">
        <v>44556</v>
      </c>
      <c r="L2499" s="1593"/>
      <c r="M2499" s="1594">
        <v>0</v>
      </c>
      <c r="N2499" s="1595">
        <v>1.6853766481175512</v>
      </c>
      <c r="O2499" s="1595"/>
    </row>
    <row r="2500" spans="11:15">
      <c r="K2500" s="1592">
        <v>44557</v>
      </c>
      <c r="L2500" s="1593" t="s">
        <v>2301</v>
      </c>
      <c r="M2500" s="1594">
        <v>3.4749000000000002E-2</v>
      </c>
      <c r="N2500" s="1595">
        <v>1.6859622996490056</v>
      </c>
      <c r="O2500" s="1595"/>
    </row>
    <row r="2501" spans="11:15">
      <c r="K2501" s="1592">
        <v>44558</v>
      </c>
      <c r="L2501" s="1593" t="s">
        <v>2301</v>
      </c>
      <c r="M2501" s="1594">
        <v>3.4749000000000002E-2</v>
      </c>
      <c r="N2501" s="1595">
        <v>1.6865481546885106</v>
      </c>
      <c r="O2501" s="1595"/>
    </row>
    <row r="2502" spans="11:15">
      <c r="K2502" s="1592">
        <v>44559</v>
      </c>
      <c r="L2502" s="1593" t="s">
        <v>2301</v>
      </c>
      <c r="M2502" s="1594">
        <v>3.4749000000000002E-2</v>
      </c>
      <c r="N2502" s="1595">
        <v>1.6871342133067833</v>
      </c>
      <c r="O2502" s="1595"/>
    </row>
    <row r="2503" spans="11:15">
      <c r="K2503" s="1592">
        <v>44560</v>
      </c>
      <c r="L2503" s="1593" t="s">
        <v>2301</v>
      </c>
      <c r="M2503" s="1594">
        <v>3.4749000000000002E-2</v>
      </c>
      <c r="N2503" s="1595">
        <v>1.6877204755745652</v>
      </c>
      <c r="O2503" s="1595"/>
    </row>
    <row r="2504" spans="11:15">
      <c r="K2504" s="1592">
        <v>44561</v>
      </c>
      <c r="L2504" s="1593" t="s">
        <v>2301</v>
      </c>
      <c r="M2504" s="1594">
        <v>3.4749000000000002E-2</v>
      </c>
      <c r="N2504" s="1595">
        <v>1.6883069415626226</v>
      </c>
      <c r="O2504" s="1595"/>
    </row>
    <row r="2505" spans="11:15">
      <c r="K2505" s="1592">
        <v>44562</v>
      </c>
      <c r="L2505" s="1593"/>
      <c r="M2505" s="1594">
        <v>0</v>
      </c>
      <c r="N2505" s="1595">
        <v>1.6883069415626226</v>
      </c>
      <c r="O2505" s="1595"/>
    </row>
    <row r="2506" spans="11:15">
      <c r="K2506" s="1592">
        <v>44563</v>
      </c>
      <c r="L2506" s="1593"/>
      <c r="M2506" s="1594">
        <v>0</v>
      </c>
      <c r="N2506" s="1595">
        <v>1.6883069415626226</v>
      </c>
      <c r="O2506" s="1595"/>
    </row>
    <row r="2507" spans="11:15">
      <c r="K2507" s="1592">
        <v>44564</v>
      </c>
      <c r="L2507" s="1593" t="s">
        <v>2301</v>
      </c>
      <c r="M2507" s="1594">
        <v>3.4749000000000002E-2</v>
      </c>
      <c r="N2507" s="1595">
        <v>1.6888936113417463</v>
      </c>
      <c r="O2507" s="1595"/>
    </row>
    <row r="2508" spans="11:15">
      <c r="K2508" s="1592">
        <v>44565</v>
      </c>
      <c r="L2508" s="1593" t="s">
        <v>2301</v>
      </c>
      <c r="M2508" s="1594">
        <v>3.4749000000000002E-2</v>
      </c>
      <c r="N2508" s="1595">
        <v>1.6894804849827514</v>
      </c>
      <c r="O2508" s="1595"/>
    </row>
    <row r="2509" spans="11:15">
      <c r="K2509" s="1592">
        <v>44566</v>
      </c>
      <c r="L2509" s="1593" t="s">
        <v>2301</v>
      </c>
      <c r="M2509" s="1594">
        <v>3.4749000000000002E-2</v>
      </c>
      <c r="N2509" s="1595">
        <v>1.6900675625564781</v>
      </c>
      <c r="O2509" s="1595"/>
    </row>
    <row r="2510" spans="11:15">
      <c r="K2510" s="1592">
        <v>44567</v>
      </c>
      <c r="L2510" s="1593" t="s">
        <v>2301</v>
      </c>
      <c r="M2510" s="1594">
        <v>3.4749000000000002E-2</v>
      </c>
      <c r="N2510" s="1595">
        <v>1.6906548441337907</v>
      </c>
      <c r="O2510" s="1595"/>
    </row>
    <row r="2511" spans="11:15">
      <c r="K2511" s="1592">
        <v>44568</v>
      </c>
      <c r="L2511" s="1593" t="s">
        <v>2301</v>
      </c>
      <c r="M2511" s="1594">
        <v>3.4749000000000002E-2</v>
      </c>
      <c r="N2511" s="1595">
        <v>1.6912423297855788</v>
      </c>
      <c r="O2511" s="1595"/>
    </row>
    <row r="2512" spans="11:15">
      <c r="K2512" s="1592">
        <v>44569</v>
      </c>
      <c r="L2512" s="1593"/>
      <c r="M2512" s="1594">
        <v>0</v>
      </c>
      <c r="N2512" s="1595">
        <v>1.6912423297855788</v>
      </c>
      <c r="O2512" s="1595"/>
    </row>
    <row r="2513" spans="11:15">
      <c r="K2513" s="1592">
        <v>44570</v>
      </c>
      <c r="L2513" s="1593"/>
      <c r="M2513" s="1594">
        <v>0</v>
      </c>
      <c r="N2513" s="1595">
        <v>1.6912423297855788</v>
      </c>
      <c r="O2513" s="1595"/>
    </row>
    <row r="2514" spans="11:15">
      <c r="K2514" s="1592">
        <v>44571</v>
      </c>
      <c r="L2514" s="1593" t="s">
        <v>2301</v>
      </c>
      <c r="M2514" s="1594">
        <v>3.4749000000000002E-2</v>
      </c>
      <c r="N2514" s="1595">
        <v>1.691830019582756</v>
      </c>
      <c r="O2514" s="1595"/>
    </row>
    <row r="2515" spans="11:15">
      <c r="K2515" s="1592">
        <v>44572</v>
      </c>
      <c r="L2515" s="1593" t="s">
        <v>2301</v>
      </c>
      <c r="M2515" s="1594">
        <v>3.4749000000000002E-2</v>
      </c>
      <c r="N2515" s="1595">
        <v>1.6924179135962609</v>
      </c>
      <c r="O2515" s="1595"/>
    </row>
    <row r="2516" spans="11:15">
      <c r="K2516" s="1592">
        <v>44573</v>
      </c>
      <c r="L2516" s="1593" t="s">
        <v>2301</v>
      </c>
      <c r="M2516" s="1594">
        <v>3.4749000000000002E-2</v>
      </c>
      <c r="N2516" s="1595">
        <v>1.6930060118970565</v>
      </c>
      <c r="O2516" s="1595"/>
    </row>
    <row r="2517" spans="11:15">
      <c r="K2517" s="1592">
        <v>44574</v>
      </c>
      <c r="L2517" s="1593" t="s">
        <v>2301</v>
      </c>
      <c r="M2517" s="1594">
        <v>3.4749000000000002E-2</v>
      </c>
      <c r="N2517" s="1595">
        <v>1.6935943145561305</v>
      </c>
      <c r="O2517" s="1595"/>
    </row>
    <row r="2518" spans="11:15">
      <c r="K2518" s="1592">
        <v>44575</v>
      </c>
      <c r="L2518" s="1593" t="s">
        <v>2301</v>
      </c>
      <c r="M2518" s="1594">
        <v>3.4749000000000002E-2</v>
      </c>
      <c r="N2518" s="1595">
        <v>1.6941828216444956</v>
      </c>
      <c r="O2518" s="1595"/>
    </row>
    <row r="2519" spans="11:15">
      <c r="K2519" s="1592">
        <v>44576</v>
      </c>
      <c r="L2519" s="1593"/>
      <c r="M2519" s="1594">
        <v>0</v>
      </c>
      <c r="N2519" s="1595">
        <v>1.6941828216444956</v>
      </c>
      <c r="O2519" s="1595"/>
    </row>
    <row r="2520" spans="11:15">
      <c r="K2520" s="1592">
        <v>44577</v>
      </c>
      <c r="L2520" s="1593"/>
      <c r="M2520" s="1594">
        <v>0</v>
      </c>
      <c r="N2520" s="1595">
        <v>1.6941828216444956</v>
      </c>
      <c r="O2520" s="1595"/>
    </row>
    <row r="2521" spans="11:15">
      <c r="K2521" s="1592">
        <v>44578</v>
      </c>
      <c r="L2521" s="1593" t="s">
        <v>2301</v>
      </c>
      <c r="M2521" s="1594">
        <v>3.4749000000000002E-2</v>
      </c>
      <c r="N2521" s="1595">
        <v>1.694771533233189</v>
      </c>
      <c r="O2521" s="1595"/>
    </row>
    <row r="2522" spans="11:15">
      <c r="K2522" s="1592">
        <v>44579</v>
      </c>
      <c r="L2522" s="1593" t="s">
        <v>2301</v>
      </c>
      <c r="M2522" s="1594">
        <v>3.4749000000000002E-2</v>
      </c>
      <c r="N2522" s="1595">
        <v>1.6953604493932721</v>
      </c>
      <c r="O2522" s="1595"/>
    </row>
    <row r="2523" spans="11:15">
      <c r="K2523" s="1592">
        <v>44580</v>
      </c>
      <c r="L2523" s="1593" t="s">
        <v>2301</v>
      </c>
      <c r="M2523" s="1594">
        <v>3.4749000000000002E-2</v>
      </c>
      <c r="N2523" s="1595">
        <v>1.6959495701958318</v>
      </c>
      <c r="O2523" s="1595"/>
    </row>
    <row r="2524" spans="11:15">
      <c r="K2524" s="1592">
        <v>44581</v>
      </c>
      <c r="L2524" s="1593" t="s">
        <v>2301</v>
      </c>
      <c r="M2524" s="1594">
        <v>3.4749000000000002E-2</v>
      </c>
      <c r="N2524" s="1595">
        <v>1.6965388957119791</v>
      </c>
      <c r="O2524" s="1595"/>
    </row>
    <row r="2525" spans="11:15">
      <c r="K2525" s="1592">
        <v>44582</v>
      </c>
      <c r="L2525" s="1593" t="s">
        <v>2301</v>
      </c>
      <c r="M2525" s="1594">
        <v>3.4749000000000002E-2</v>
      </c>
      <c r="N2525" s="1595">
        <v>1.6971284260128501</v>
      </c>
      <c r="O2525" s="1595"/>
    </row>
    <row r="2526" spans="11:15">
      <c r="K2526" s="1592">
        <v>44583</v>
      </c>
      <c r="L2526" s="1593"/>
      <c r="M2526" s="1594">
        <v>0</v>
      </c>
      <c r="N2526" s="1595">
        <v>1.6971284260128501</v>
      </c>
      <c r="O2526" s="1595"/>
    </row>
    <row r="2527" spans="11:15">
      <c r="K2527" s="1592">
        <v>44584</v>
      </c>
      <c r="L2527" s="1593"/>
      <c r="M2527" s="1594">
        <v>0</v>
      </c>
      <c r="N2527" s="1595">
        <v>1.6971284260128501</v>
      </c>
      <c r="O2527" s="1595"/>
    </row>
    <row r="2528" spans="11:15">
      <c r="K2528" s="1592">
        <v>44585</v>
      </c>
      <c r="L2528" s="1593" t="s">
        <v>2301</v>
      </c>
      <c r="M2528" s="1594">
        <v>3.4749000000000002E-2</v>
      </c>
      <c r="N2528" s="1595">
        <v>1.6977181611696053</v>
      </c>
      <c r="O2528" s="1595"/>
    </row>
    <row r="2529" spans="11:15">
      <c r="K2529" s="1592">
        <v>44586</v>
      </c>
      <c r="L2529" s="1593" t="s">
        <v>2301</v>
      </c>
      <c r="M2529" s="1594">
        <v>3.4749000000000002E-2</v>
      </c>
      <c r="N2529" s="1595">
        <v>1.69830810125343</v>
      </c>
      <c r="O2529" s="1595"/>
    </row>
    <row r="2530" spans="11:15">
      <c r="K2530" s="1592">
        <v>44587</v>
      </c>
      <c r="L2530" s="1593" t="s">
        <v>2301</v>
      </c>
      <c r="M2530" s="1594">
        <v>3.4749000000000002E-2</v>
      </c>
      <c r="N2530" s="1595">
        <v>1.6988982463355347</v>
      </c>
      <c r="O2530" s="1595"/>
    </row>
    <row r="2531" spans="11:15">
      <c r="K2531" s="1592">
        <v>44588</v>
      </c>
      <c r="L2531" s="1593" t="s">
        <v>2301</v>
      </c>
      <c r="M2531" s="1594">
        <v>3.4749000000000002E-2</v>
      </c>
      <c r="N2531" s="1595">
        <v>1.6994885964871538</v>
      </c>
      <c r="O2531" s="1595"/>
    </row>
    <row r="2532" spans="11:15">
      <c r="K2532" s="1592">
        <v>44589</v>
      </c>
      <c r="L2532" s="1593" t="s">
        <v>2301</v>
      </c>
      <c r="M2532" s="1594">
        <v>3.4749000000000002E-2</v>
      </c>
      <c r="N2532" s="1595">
        <v>1.700079151779547</v>
      </c>
      <c r="O2532" s="1595"/>
    </row>
    <row r="2533" spans="11:15">
      <c r="K2533" s="1592">
        <v>44590</v>
      </c>
      <c r="L2533" s="1593"/>
      <c r="M2533" s="1594">
        <v>0</v>
      </c>
      <c r="N2533" s="1595">
        <v>1.700079151779547</v>
      </c>
      <c r="O2533" s="1595"/>
    </row>
    <row r="2534" spans="11:15">
      <c r="K2534" s="1592">
        <v>44591</v>
      </c>
      <c r="L2534" s="1593"/>
      <c r="M2534" s="1594">
        <v>0</v>
      </c>
      <c r="N2534" s="1595">
        <v>1.700079151779547</v>
      </c>
      <c r="O2534" s="1595"/>
    </row>
    <row r="2535" spans="11:15">
      <c r="K2535" s="1592">
        <v>44592</v>
      </c>
      <c r="L2535" s="1593" t="s">
        <v>2301</v>
      </c>
      <c r="M2535" s="1594">
        <v>3.4749000000000002E-2</v>
      </c>
      <c r="N2535" s="1595">
        <v>1.700669912283999</v>
      </c>
      <c r="O2535" s="1595"/>
    </row>
    <row r="2536" spans="11:15">
      <c r="K2536" s="1592">
        <v>44593</v>
      </c>
      <c r="L2536" s="1593" t="s">
        <v>2301</v>
      </c>
      <c r="M2536" s="1594">
        <v>3.4749000000000002E-2</v>
      </c>
      <c r="N2536" s="1595">
        <v>1.7012608780718186</v>
      </c>
      <c r="O2536" s="1595"/>
    </row>
    <row r="2537" spans="11:15">
      <c r="K2537" s="1592">
        <v>44594</v>
      </c>
      <c r="L2537" s="1593" t="s">
        <v>2301</v>
      </c>
      <c r="M2537" s="1594">
        <v>3.4749000000000002E-2</v>
      </c>
      <c r="N2537" s="1595">
        <v>1.7018520492143399</v>
      </c>
      <c r="O2537" s="1595"/>
    </row>
    <row r="2538" spans="11:15">
      <c r="K2538" s="1592">
        <v>44595</v>
      </c>
      <c r="L2538" s="1593" t="s">
        <v>2301</v>
      </c>
      <c r="M2538" s="1594">
        <v>4.0168000000000002E-2</v>
      </c>
      <c r="N2538" s="1595">
        <v>1.7025356491454682</v>
      </c>
      <c r="O2538" s="1595"/>
    </row>
    <row r="2539" spans="11:15">
      <c r="K2539" s="1592">
        <v>44596</v>
      </c>
      <c r="L2539" s="1593" t="s">
        <v>2301</v>
      </c>
      <c r="M2539" s="1594">
        <v>4.0168000000000002E-2</v>
      </c>
      <c r="N2539" s="1595">
        <v>1.7032195236650169</v>
      </c>
      <c r="O2539" s="1595"/>
    </row>
    <row r="2540" spans="11:15">
      <c r="K2540" s="1592">
        <v>44597</v>
      </c>
      <c r="L2540" s="1593"/>
      <c r="M2540" s="1594">
        <v>0</v>
      </c>
      <c r="N2540" s="1595">
        <v>1.7032195236650169</v>
      </c>
      <c r="O2540" s="1595"/>
    </row>
    <row r="2541" spans="11:15">
      <c r="K2541" s="1592">
        <v>44598</v>
      </c>
      <c r="L2541" s="1593"/>
      <c r="M2541" s="1594">
        <v>0</v>
      </c>
      <c r="N2541" s="1595">
        <v>1.7032195236650169</v>
      </c>
      <c r="O2541" s="1595"/>
    </row>
    <row r="2542" spans="11:15">
      <c r="K2542" s="1592">
        <v>44599</v>
      </c>
      <c r="L2542" s="1593" t="s">
        <v>2301</v>
      </c>
      <c r="M2542" s="1594">
        <v>4.0168000000000002E-2</v>
      </c>
      <c r="N2542" s="1595">
        <v>1.7039036728832826</v>
      </c>
      <c r="O2542" s="1595"/>
    </row>
    <row r="2543" spans="11:15">
      <c r="K2543" s="1592">
        <v>44600</v>
      </c>
      <c r="L2543" s="1593" t="s">
        <v>2301</v>
      </c>
      <c r="M2543" s="1594">
        <v>4.0168000000000002E-2</v>
      </c>
      <c r="N2543" s="1595">
        <v>1.7045880969106062</v>
      </c>
      <c r="O2543" s="1595"/>
    </row>
    <row r="2544" spans="11:15">
      <c r="K2544" s="1592">
        <v>44601</v>
      </c>
      <c r="L2544" s="1593" t="s">
        <v>2301</v>
      </c>
      <c r="M2544" s="1594">
        <v>4.0168000000000002E-2</v>
      </c>
      <c r="N2544" s="1595">
        <v>1.7052727958573732</v>
      </c>
      <c r="O2544" s="1595"/>
    </row>
    <row r="2545" spans="11:15">
      <c r="K2545" s="1592">
        <v>44602</v>
      </c>
      <c r="L2545" s="1593" t="s">
        <v>2301</v>
      </c>
      <c r="M2545" s="1594">
        <v>4.0168000000000002E-2</v>
      </c>
      <c r="N2545" s="1595">
        <v>1.7059577698340131</v>
      </c>
      <c r="O2545" s="1595"/>
    </row>
    <row r="2546" spans="11:15">
      <c r="K2546" s="1592">
        <v>44603</v>
      </c>
      <c r="L2546" s="1593" t="s">
        <v>2301</v>
      </c>
      <c r="M2546" s="1594">
        <v>4.0168000000000002E-2</v>
      </c>
      <c r="N2546" s="1595">
        <v>1.706643018951</v>
      </c>
      <c r="O2546" s="1595"/>
    </row>
    <row r="2547" spans="11:15">
      <c r="K2547" s="1592">
        <v>44604</v>
      </c>
      <c r="L2547" s="1593"/>
      <c r="M2547" s="1594">
        <v>0</v>
      </c>
      <c r="N2547" s="1595">
        <v>1.706643018951</v>
      </c>
      <c r="O2547" s="1595"/>
    </row>
    <row r="2548" spans="11:15">
      <c r="K2548" s="1592">
        <v>44605</v>
      </c>
      <c r="L2548" s="1593"/>
      <c r="M2548" s="1594">
        <v>0</v>
      </c>
      <c r="N2548" s="1595">
        <v>1.706643018951</v>
      </c>
      <c r="O2548" s="1595"/>
    </row>
    <row r="2549" spans="11:15">
      <c r="K2549" s="1592">
        <v>44606</v>
      </c>
      <c r="L2549" s="1593" t="s">
        <v>2301</v>
      </c>
      <c r="M2549" s="1594">
        <v>4.0168000000000002E-2</v>
      </c>
      <c r="N2549" s="1595">
        <v>1.7073285433188521</v>
      </c>
      <c r="O2549" s="1595"/>
    </row>
    <row r="2550" spans="11:15">
      <c r="K2550" s="1592">
        <v>44607</v>
      </c>
      <c r="L2550" s="1593" t="s">
        <v>2301</v>
      </c>
      <c r="M2550" s="1594">
        <v>4.0168000000000002E-2</v>
      </c>
      <c r="N2550" s="1595">
        <v>1.7080143430481323</v>
      </c>
      <c r="O2550" s="1595"/>
    </row>
    <row r="2551" spans="11:15">
      <c r="K2551" s="1592">
        <v>44608</v>
      </c>
      <c r="L2551" s="1593" t="s">
        <v>2301</v>
      </c>
      <c r="M2551" s="1594">
        <v>4.0168000000000002E-2</v>
      </c>
      <c r="N2551" s="1595">
        <v>1.7087004182494478</v>
      </c>
      <c r="O2551" s="1595"/>
    </row>
    <row r="2552" spans="11:15">
      <c r="K2552" s="1592">
        <v>44609</v>
      </c>
      <c r="L2552" s="1593" t="s">
        <v>2301</v>
      </c>
      <c r="M2552" s="1594">
        <v>4.0168000000000002E-2</v>
      </c>
      <c r="N2552" s="1595">
        <v>1.7093867690334503</v>
      </c>
      <c r="O2552" s="1595"/>
    </row>
    <row r="2553" spans="11:15">
      <c r="K2553" s="1592">
        <v>44610</v>
      </c>
      <c r="L2553" s="1593" t="s">
        <v>2301</v>
      </c>
      <c r="M2553" s="1594">
        <v>4.0168000000000002E-2</v>
      </c>
      <c r="N2553" s="1595">
        <v>1.7100733955108356</v>
      </c>
      <c r="O2553" s="1595"/>
    </row>
    <row r="2554" spans="11:15">
      <c r="K2554" s="1592">
        <v>44611</v>
      </c>
      <c r="L2554" s="1593"/>
      <c r="M2554" s="1594">
        <v>0</v>
      </c>
      <c r="N2554" s="1595">
        <v>1.7100733955108356</v>
      </c>
      <c r="O2554" s="1595"/>
    </row>
    <row r="2555" spans="11:15">
      <c r="K2555" s="1592">
        <v>44612</v>
      </c>
      <c r="L2555" s="1593"/>
      <c r="M2555" s="1594">
        <v>0</v>
      </c>
      <c r="N2555" s="1595">
        <v>1.7100733955108356</v>
      </c>
      <c r="O2555" s="1595"/>
    </row>
    <row r="2556" spans="11:15">
      <c r="K2556" s="1592">
        <v>44613</v>
      </c>
      <c r="L2556" s="1593" t="s">
        <v>2301</v>
      </c>
      <c r="M2556" s="1594">
        <v>4.0168000000000002E-2</v>
      </c>
      <c r="N2556" s="1595">
        <v>1.7107602977923444</v>
      </c>
      <c r="O2556" s="1595"/>
    </row>
    <row r="2557" spans="11:15">
      <c r="K2557" s="1592">
        <v>44614</v>
      </c>
      <c r="L2557" s="1593" t="s">
        <v>2301</v>
      </c>
      <c r="M2557" s="1594">
        <v>4.0168000000000002E-2</v>
      </c>
      <c r="N2557" s="1595">
        <v>1.7114474759887615</v>
      </c>
      <c r="O2557" s="1595"/>
    </row>
    <row r="2558" spans="11:15">
      <c r="K2558" s="1592">
        <v>44615</v>
      </c>
      <c r="L2558" s="1593" t="s">
        <v>2301</v>
      </c>
      <c r="M2558" s="1594">
        <v>4.0168000000000002E-2</v>
      </c>
      <c r="N2558" s="1595">
        <v>1.7121349302109166</v>
      </c>
      <c r="O2558" s="1595"/>
    </row>
    <row r="2559" spans="11:15">
      <c r="K2559" s="1592">
        <v>44616</v>
      </c>
      <c r="L2559" s="1593" t="s">
        <v>2301</v>
      </c>
      <c r="M2559" s="1594">
        <v>4.0168000000000002E-2</v>
      </c>
      <c r="N2559" s="1595">
        <v>1.7128226605696837</v>
      </c>
      <c r="O2559" s="1595"/>
    </row>
    <row r="2560" spans="11:15">
      <c r="K2560" s="1592">
        <v>44617</v>
      </c>
      <c r="L2560" s="1593" t="s">
        <v>2301</v>
      </c>
      <c r="M2560" s="1594">
        <v>4.0168000000000002E-2</v>
      </c>
      <c r="N2560" s="1595">
        <v>1.7135106671759812</v>
      </c>
      <c r="O2560" s="1595"/>
    </row>
    <row r="2561" spans="11:15">
      <c r="K2561" s="1592">
        <v>44618</v>
      </c>
      <c r="L2561" s="1593"/>
      <c r="M2561" s="1594">
        <v>0</v>
      </c>
      <c r="N2561" s="1595">
        <v>1.7135106671759812</v>
      </c>
      <c r="O2561" s="1595"/>
    </row>
    <row r="2562" spans="11:15">
      <c r="K2562" s="1592">
        <v>44619</v>
      </c>
      <c r="L2562" s="1593"/>
      <c r="M2562" s="1594">
        <v>0</v>
      </c>
      <c r="N2562" s="1595">
        <v>1.7135106671759812</v>
      </c>
      <c r="O2562" s="1595"/>
    </row>
    <row r="2563" spans="11:15">
      <c r="K2563" s="1592">
        <v>44620</v>
      </c>
      <c r="L2563" s="1593"/>
      <c r="M2563" s="1594">
        <v>0</v>
      </c>
      <c r="N2563" s="1595">
        <v>1.7135106671759812</v>
      </c>
      <c r="O2563" s="1595"/>
    </row>
    <row r="2564" spans="11:15">
      <c r="K2564" s="1592">
        <v>44621</v>
      </c>
      <c r="L2564" s="1593"/>
      <c r="M2564" s="1594">
        <v>0</v>
      </c>
      <c r="N2564" s="1595">
        <v>1.7135106671759812</v>
      </c>
      <c r="O2564" s="1595"/>
    </row>
    <row r="2565" spans="11:15">
      <c r="K2565" s="1592">
        <v>44622</v>
      </c>
      <c r="L2565" s="1593" t="s">
        <v>2301</v>
      </c>
      <c r="M2565" s="1594">
        <v>4.0168000000000002E-2</v>
      </c>
      <c r="N2565" s="1595">
        <v>1.7141989501407724</v>
      </c>
      <c r="O2565" s="1595"/>
    </row>
    <row r="2566" spans="11:15">
      <c r="K2566" s="1592">
        <v>44623</v>
      </c>
      <c r="L2566" s="1593" t="s">
        <v>2301</v>
      </c>
      <c r="M2566" s="1594">
        <v>4.0168000000000002E-2</v>
      </c>
      <c r="N2566" s="1595">
        <v>1.7148875095750649</v>
      </c>
      <c r="O2566" s="1595"/>
    </row>
    <row r="2567" spans="11:15">
      <c r="K2567" s="1592">
        <v>44624</v>
      </c>
      <c r="L2567" s="1593" t="s">
        <v>2301</v>
      </c>
      <c r="M2567" s="1594">
        <v>4.0168000000000002E-2</v>
      </c>
      <c r="N2567" s="1595">
        <v>1.7155763455899109</v>
      </c>
      <c r="O2567" s="1595"/>
    </row>
    <row r="2568" spans="11:15">
      <c r="K2568" s="1592">
        <v>44625</v>
      </c>
      <c r="L2568" s="1593"/>
      <c r="M2568" s="1594">
        <v>0</v>
      </c>
      <c r="N2568" s="1595">
        <v>1.7155763455899109</v>
      </c>
      <c r="O2568" s="1595"/>
    </row>
    <row r="2569" spans="11:15">
      <c r="K2569" s="1592">
        <v>44626</v>
      </c>
      <c r="L2569" s="1593"/>
      <c r="M2569" s="1594">
        <v>0</v>
      </c>
      <c r="N2569" s="1595">
        <v>1.7155763455899109</v>
      </c>
      <c r="O2569" s="1595"/>
    </row>
    <row r="2570" spans="11:15">
      <c r="K2570" s="1592">
        <v>44627</v>
      </c>
      <c r="L2570" s="1593" t="s">
        <v>2301</v>
      </c>
      <c r="M2570" s="1594">
        <v>4.0168000000000002E-2</v>
      </c>
      <c r="N2570" s="1595">
        <v>1.7162654582964074</v>
      </c>
      <c r="O2570" s="1595"/>
    </row>
    <row r="2571" spans="11:15">
      <c r="K2571" s="1592">
        <v>44628</v>
      </c>
      <c r="L2571" s="1593" t="s">
        <v>2301</v>
      </c>
      <c r="M2571" s="1594">
        <v>4.0168000000000002E-2</v>
      </c>
      <c r="N2571" s="1595">
        <v>1.716954847805696</v>
      </c>
      <c r="O2571" s="1595"/>
    </row>
    <row r="2572" spans="11:15">
      <c r="K2572" s="1592">
        <v>44629</v>
      </c>
      <c r="L2572" s="1593" t="s">
        <v>2301</v>
      </c>
      <c r="M2572" s="1594">
        <v>4.0168000000000002E-2</v>
      </c>
      <c r="N2572" s="1595">
        <v>1.7176445142289625</v>
      </c>
      <c r="O2572" s="1595"/>
    </row>
    <row r="2573" spans="11:15">
      <c r="K2573" s="1592">
        <v>44630</v>
      </c>
      <c r="L2573" s="1593" t="s">
        <v>2301</v>
      </c>
      <c r="M2573" s="1594">
        <v>4.0168000000000002E-2</v>
      </c>
      <c r="N2573" s="1595">
        <v>1.718334457677438</v>
      </c>
      <c r="O2573" s="1595"/>
    </row>
    <row r="2574" spans="11:15">
      <c r="K2574" s="1592">
        <v>44631</v>
      </c>
      <c r="L2574" s="1593" t="s">
        <v>2301</v>
      </c>
      <c r="M2574" s="1594">
        <v>4.0168000000000002E-2</v>
      </c>
      <c r="N2574" s="1595">
        <v>1.7190246782623977</v>
      </c>
      <c r="O2574" s="1595"/>
    </row>
    <row r="2575" spans="11:15">
      <c r="K2575" s="1592">
        <v>44632</v>
      </c>
      <c r="L2575" s="1593"/>
      <c r="M2575" s="1594">
        <v>0</v>
      </c>
      <c r="N2575" s="1595">
        <v>1.7190246782623977</v>
      </c>
      <c r="O2575" s="1595"/>
    </row>
    <row r="2576" spans="11:15">
      <c r="K2576" s="1592">
        <v>44633</v>
      </c>
      <c r="L2576" s="1593"/>
      <c r="M2576" s="1594">
        <v>0</v>
      </c>
      <c r="N2576" s="1595">
        <v>1.7190246782623977</v>
      </c>
      <c r="O2576" s="1595"/>
    </row>
    <row r="2577" spans="11:15">
      <c r="K2577" s="1592">
        <v>44634</v>
      </c>
      <c r="L2577" s="1593" t="s">
        <v>2301</v>
      </c>
      <c r="M2577" s="1594">
        <v>4.0168000000000002E-2</v>
      </c>
      <c r="N2577" s="1595">
        <v>1.7197151760951621</v>
      </c>
      <c r="O2577" s="1595"/>
    </row>
    <row r="2578" spans="11:15">
      <c r="K2578" s="1592">
        <v>44635</v>
      </c>
      <c r="L2578" s="1593" t="s">
        <v>2301</v>
      </c>
      <c r="M2578" s="1594">
        <v>4.0168000000000002E-2</v>
      </c>
      <c r="N2578" s="1595">
        <v>1.7204059512870959</v>
      </c>
      <c r="O2578" s="1595"/>
    </row>
    <row r="2579" spans="11:15">
      <c r="K2579" s="1592">
        <v>44636</v>
      </c>
      <c r="L2579" s="1593" t="s">
        <v>2301</v>
      </c>
      <c r="M2579" s="1594">
        <v>4.0168000000000002E-2</v>
      </c>
      <c r="N2579" s="1595">
        <v>1.721097003949609</v>
      </c>
      <c r="O2579" s="1595"/>
    </row>
    <row r="2580" spans="11:15">
      <c r="K2580" s="1592">
        <v>44637</v>
      </c>
      <c r="L2580" s="1593" t="s">
        <v>2301</v>
      </c>
      <c r="M2580" s="1594">
        <v>4.3739E-2</v>
      </c>
      <c r="N2580" s="1595">
        <v>1.7218497945681666</v>
      </c>
      <c r="O2580" s="1595"/>
    </row>
    <row r="2581" spans="11:15">
      <c r="K2581" s="1592">
        <v>44638</v>
      </c>
      <c r="L2581" s="1593" t="s">
        <v>2301</v>
      </c>
      <c r="M2581" s="1594">
        <v>4.3739E-2</v>
      </c>
      <c r="N2581" s="1595">
        <v>1.7226029144498129</v>
      </c>
      <c r="O2581" s="1595"/>
    </row>
    <row r="2582" spans="11:15">
      <c r="K2582" s="1592">
        <v>44639</v>
      </c>
      <c r="L2582" s="1593"/>
      <c r="M2582" s="1594">
        <v>0</v>
      </c>
      <c r="N2582" s="1595">
        <v>1.7226029144498129</v>
      </c>
      <c r="O2582" s="1595"/>
    </row>
    <row r="2583" spans="11:15">
      <c r="K2583" s="1592">
        <v>44640</v>
      </c>
      <c r="L2583" s="1593"/>
      <c r="M2583" s="1594">
        <v>0</v>
      </c>
      <c r="N2583" s="1595">
        <v>1.7226029144498129</v>
      </c>
      <c r="O2583" s="1595"/>
    </row>
    <row r="2584" spans="11:15">
      <c r="K2584" s="1592">
        <v>44641</v>
      </c>
      <c r="L2584" s="1593" t="s">
        <v>2301</v>
      </c>
      <c r="M2584" s="1594">
        <v>4.3739E-2</v>
      </c>
      <c r="N2584" s="1595">
        <v>1.7233563637385643</v>
      </c>
      <c r="O2584" s="1595"/>
    </row>
    <row r="2585" spans="11:15">
      <c r="K2585" s="1592">
        <v>44642</v>
      </c>
      <c r="L2585" s="1593" t="s">
        <v>2301</v>
      </c>
      <c r="M2585" s="1594">
        <v>4.3739E-2</v>
      </c>
      <c r="N2585" s="1595">
        <v>1.7241101425785001</v>
      </c>
      <c r="O2585" s="1595"/>
    </row>
    <row r="2586" spans="11:15">
      <c r="K2586" s="1592">
        <v>44643</v>
      </c>
      <c r="L2586" s="1593" t="s">
        <v>2301</v>
      </c>
      <c r="M2586" s="1594">
        <v>4.3739E-2</v>
      </c>
      <c r="N2586" s="1595">
        <v>1.7248642511137626</v>
      </c>
      <c r="O2586" s="1595"/>
    </row>
    <row r="2587" spans="11:15">
      <c r="K2587" s="1592">
        <v>44644</v>
      </c>
      <c r="L2587" s="1593" t="s">
        <v>2301</v>
      </c>
      <c r="M2587" s="1594">
        <v>4.3739E-2</v>
      </c>
      <c r="N2587" s="1595">
        <v>1.7256186894885575</v>
      </c>
      <c r="O2587" s="1595"/>
    </row>
    <row r="2588" spans="11:15">
      <c r="K2588" s="1592">
        <v>44645</v>
      </c>
      <c r="L2588" s="1593" t="s">
        <v>2301</v>
      </c>
      <c r="M2588" s="1594">
        <v>4.3739E-2</v>
      </c>
      <c r="N2588" s="1595">
        <v>1.726373457847153</v>
      </c>
      <c r="O2588" s="1595"/>
    </row>
    <row r="2589" spans="11:15">
      <c r="K2589" s="1592">
        <v>44646</v>
      </c>
      <c r="L2589" s="1593"/>
      <c r="M2589" s="1594">
        <v>0</v>
      </c>
      <c r="N2589" s="1595">
        <v>1.726373457847153</v>
      </c>
      <c r="O2589" s="1595"/>
    </row>
    <row r="2590" spans="11:15">
      <c r="K2590" s="1592">
        <v>44647</v>
      </c>
      <c r="L2590" s="1593"/>
      <c r="M2590" s="1594">
        <v>0</v>
      </c>
      <c r="N2590" s="1595">
        <v>1.726373457847153</v>
      </c>
      <c r="O2590" s="1595"/>
    </row>
    <row r="2591" spans="11:15">
      <c r="K2591" s="1592">
        <v>44648</v>
      </c>
      <c r="L2591" s="1593" t="s">
        <v>2301</v>
      </c>
      <c r="M2591" s="1594">
        <v>4.3739E-2</v>
      </c>
      <c r="N2591" s="1595">
        <v>1.727128556333881</v>
      </c>
      <c r="O2591" s="1595"/>
    </row>
    <row r="2592" spans="11:15">
      <c r="K2592" s="1592">
        <v>44649</v>
      </c>
      <c r="L2592" s="1593" t="s">
        <v>2301</v>
      </c>
      <c r="M2592" s="1594">
        <v>4.3739E-2</v>
      </c>
      <c r="N2592" s="1595">
        <v>1.727883985093136</v>
      </c>
      <c r="O2592" s="1595"/>
    </row>
    <row r="2593" spans="11:15">
      <c r="K2593" s="1592">
        <v>44650</v>
      </c>
      <c r="L2593" s="1593" t="s">
        <v>2301</v>
      </c>
      <c r="M2593" s="1594">
        <v>4.3739E-2</v>
      </c>
      <c r="N2593" s="1595">
        <v>1.7286397442693762</v>
      </c>
      <c r="O2593" s="1595"/>
    </row>
    <row r="2594" spans="11:15">
      <c r="K2594" s="1592">
        <v>44651</v>
      </c>
      <c r="L2594" s="1593" t="s">
        <v>2301</v>
      </c>
      <c r="M2594" s="1594">
        <v>4.3739E-2</v>
      </c>
      <c r="N2594" s="1595">
        <v>1.7293958340071223</v>
      </c>
      <c r="O2594" s="1595"/>
    </row>
    <row r="2595" spans="11:15">
      <c r="K2595" s="1592">
        <v>44652</v>
      </c>
      <c r="L2595" s="1593" t="s">
        <v>2301</v>
      </c>
      <c r="M2595" s="1594">
        <v>4.3739E-2</v>
      </c>
      <c r="N2595" s="1595">
        <v>1.7301522544509589</v>
      </c>
      <c r="O2595" s="1595"/>
    </row>
    <row r="2596" spans="11:15">
      <c r="K2596" s="1592">
        <v>44653</v>
      </c>
      <c r="L2596" s="1593"/>
      <c r="M2596" s="1594">
        <v>0</v>
      </c>
      <c r="N2596" s="1595">
        <v>1.7301522544509589</v>
      </c>
      <c r="O2596" s="1595"/>
    </row>
    <row r="2597" spans="11:15">
      <c r="K2597" s="1592">
        <v>44654</v>
      </c>
      <c r="L2597" s="1593"/>
      <c r="M2597" s="1594">
        <v>0</v>
      </c>
      <c r="N2597" s="1595">
        <v>1.7301522544509589</v>
      </c>
      <c r="O2597" s="1595"/>
    </row>
    <row r="2598" spans="11:15">
      <c r="K2598" s="1592">
        <v>44655</v>
      </c>
      <c r="L2598" s="1593" t="s">
        <v>2301</v>
      </c>
      <c r="M2598" s="1594">
        <v>4.3739E-2</v>
      </c>
      <c r="N2598" s="1595">
        <v>1.7309090057455334</v>
      </c>
      <c r="O2598" s="1595"/>
    </row>
    <row r="2599" spans="11:15">
      <c r="K2599" s="1592">
        <v>44656</v>
      </c>
      <c r="L2599" s="1593" t="s">
        <v>2301</v>
      </c>
      <c r="M2599" s="1594">
        <v>4.3739E-2</v>
      </c>
      <c r="N2599" s="1595">
        <v>1.7316660880355565</v>
      </c>
      <c r="O2599" s="1595"/>
    </row>
    <row r="2600" spans="11:15">
      <c r="K2600" s="1592">
        <v>44657</v>
      </c>
      <c r="L2600" s="1593" t="s">
        <v>2301</v>
      </c>
      <c r="M2600" s="1594">
        <v>4.3739E-2</v>
      </c>
      <c r="N2600" s="1595">
        <v>1.7324235014658025</v>
      </c>
      <c r="O2600" s="1595"/>
    </row>
    <row r="2601" spans="11:15">
      <c r="K2601" s="1592">
        <v>44658</v>
      </c>
      <c r="L2601" s="1593" t="s">
        <v>2301</v>
      </c>
      <c r="M2601" s="1594">
        <v>4.3739E-2</v>
      </c>
      <c r="N2601" s="1595">
        <v>1.7331812461811087</v>
      </c>
      <c r="O2601" s="1595"/>
    </row>
    <row r="2602" spans="11:15">
      <c r="K2602" s="1592">
        <v>44659</v>
      </c>
      <c r="L2602" s="1593" t="s">
        <v>2301</v>
      </c>
      <c r="M2602" s="1594">
        <v>4.3739E-2</v>
      </c>
      <c r="N2602" s="1595">
        <v>1.7339393223263759</v>
      </c>
      <c r="O2602" s="1595"/>
    </row>
    <row r="2603" spans="11:15">
      <c r="K2603" s="1592">
        <v>44660</v>
      </c>
      <c r="L2603" s="1593"/>
      <c r="M2603" s="1594">
        <v>0</v>
      </c>
      <c r="N2603" s="1595">
        <v>1.7339393223263759</v>
      </c>
      <c r="O2603" s="1595"/>
    </row>
    <row r="2604" spans="11:15">
      <c r="K2604" s="1592">
        <v>44661</v>
      </c>
      <c r="L2604" s="1593"/>
      <c r="M2604" s="1594">
        <v>0</v>
      </c>
      <c r="N2604" s="1595">
        <v>1.7339393223263759</v>
      </c>
      <c r="O2604" s="1595"/>
    </row>
    <row r="2605" spans="11:15">
      <c r="K2605" s="1592">
        <v>44662</v>
      </c>
      <c r="L2605" s="1593" t="s">
        <v>2301</v>
      </c>
      <c r="M2605" s="1594">
        <v>4.3739E-2</v>
      </c>
      <c r="N2605" s="1595">
        <v>1.7346977300465685</v>
      </c>
      <c r="O2605" s="1595"/>
    </row>
    <row r="2606" spans="11:15">
      <c r="K2606" s="1592">
        <v>44663</v>
      </c>
      <c r="L2606" s="1593" t="s">
        <v>2301</v>
      </c>
      <c r="M2606" s="1594">
        <v>4.3739E-2</v>
      </c>
      <c r="N2606" s="1595">
        <v>1.7354564694867136</v>
      </c>
      <c r="O2606" s="1595"/>
    </row>
    <row r="2607" spans="11:15">
      <c r="K2607" s="1592">
        <v>44664</v>
      </c>
      <c r="L2607" s="1593" t="s">
        <v>2301</v>
      </c>
      <c r="M2607" s="1594">
        <v>4.3739E-2</v>
      </c>
      <c r="N2607" s="1595">
        <v>1.7362155407919027</v>
      </c>
      <c r="O2607" s="1595"/>
    </row>
    <row r="2608" spans="11:15">
      <c r="K2608" s="1592">
        <v>44665</v>
      </c>
      <c r="L2608" s="1593" t="s">
        <v>2301</v>
      </c>
      <c r="M2608" s="1594">
        <v>4.3739E-2</v>
      </c>
      <c r="N2608" s="1595">
        <v>1.7369749441072897</v>
      </c>
      <c r="O2608" s="1595"/>
    </row>
    <row r="2609" spans="11:15">
      <c r="K2609" s="1592">
        <v>44666</v>
      </c>
      <c r="L2609" s="1593"/>
      <c r="M2609" s="1594">
        <v>0</v>
      </c>
      <c r="N2609" s="1595">
        <v>1.7369749441072897</v>
      </c>
      <c r="O2609" s="1595"/>
    </row>
    <row r="2610" spans="11:15">
      <c r="K2610" s="1592">
        <v>44667</v>
      </c>
      <c r="L2610" s="1593"/>
      <c r="M2610" s="1594">
        <v>0</v>
      </c>
      <c r="N2610" s="1595">
        <v>1.7369749441072897</v>
      </c>
      <c r="O2610" s="1595"/>
    </row>
    <row r="2611" spans="11:15">
      <c r="K2611" s="1592">
        <v>44668</v>
      </c>
      <c r="L2611" s="1593"/>
      <c r="M2611" s="1594">
        <v>0</v>
      </c>
      <c r="N2611" s="1595">
        <v>1.7369749441072897</v>
      </c>
      <c r="O2611" s="1595"/>
    </row>
    <row r="2612" spans="11:15">
      <c r="K2612" s="1592">
        <v>44669</v>
      </c>
      <c r="L2612" s="1593" t="s">
        <v>2301</v>
      </c>
      <c r="M2612" s="1594">
        <v>4.3739E-2</v>
      </c>
      <c r="N2612" s="1595">
        <v>1.737734679578093</v>
      </c>
      <c r="O2612" s="1595"/>
    </row>
    <row r="2613" spans="11:15">
      <c r="K2613" s="1592">
        <v>44670</v>
      </c>
      <c r="L2613" s="1593" t="s">
        <v>2301</v>
      </c>
      <c r="M2613" s="1594">
        <v>4.3739E-2</v>
      </c>
      <c r="N2613" s="1595">
        <v>1.7384947473495937</v>
      </c>
      <c r="O2613" s="1595"/>
    </row>
    <row r="2614" spans="11:15">
      <c r="K2614" s="1592">
        <v>44671</v>
      </c>
      <c r="L2614" s="1593" t="s">
        <v>2301</v>
      </c>
      <c r="M2614" s="1594">
        <v>4.3739E-2</v>
      </c>
      <c r="N2614" s="1595">
        <v>1.7392551475671372</v>
      </c>
      <c r="O2614" s="1595"/>
    </row>
    <row r="2615" spans="11:15">
      <c r="K2615" s="1592">
        <v>44672</v>
      </c>
      <c r="L2615" s="1593"/>
      <c r="M2615" s="1594">
        <v>0</v>
      </c>
      <c r="N2615" s="1595">
        <v>1.7392551475671372</v>
      </c>
      <c r="O2615" s="1595"/>
    </row>
    <row r="2616" spans="11:15">
      <c r="K2616" s="1592">
        <v>44673</v>
      </c>
      <c r="L2616" s="1593" t="s">
        <v>2301</v>
      </c>
      <c r="M2616" s="1594">
        <v>4.3739E-2</v>
      </c>
      <c r="N2616" s="1595">
        <v>1.7400158803761316</v>
      </c>
      <c r="O2616" s="1595"/>
    </row>
    <row r="2617" spans="11:15">
      <c r="K2617" s="1592">
        <v>44674</v>
      </c>
      <c r="L2617" s="1593"/>
      <c r="M2617" s="1594">
        <v>0</v>
      </c>
      <c r="N2617" s="1595">
        <v>1.7400158803761316</v>
      </c>
      <c r="O2617" s="1595"/>
    </row>
    <row r="2618" spans="11:15">
      <c r="K2618" s="1592">
        <v>44675</v>
      </c>
      <c r="L2618" s="1593"/>
      <c r="M2618" s="1594">
        <v>0</v>
      </c>
      <c r="N2618" s="1595">
        <v>1.7400158803761316</v>
      </c>
      <c r="O2618" s="1595"/>
    </row>
    <row r="2619" spans="11:15">
      <c r="K2619" s="1592">
        <v>44676</v>
      </c>
      <c r="L2619" s="1593" t="s">
        <v>2301</v>
      </c>
      <c r="M2619" s="1594">
        <v>4.3739E-2</v>
      </c>
      <c r="N2619" s="1595">
        <v>1.7407769459220495</v>
      </c>
      <c r="O2619" s="1595"/>
    </row>
    <row r="2620" spans="11:15">
      <c r="K2620" s="1592">
        <v>44677</v>
      </c>
      <c r="L2620" s="1593" t="s">
        <v>2301</v>
      </c>
      <c r="M2620" s="1594">
        <v>4.3739E-2</v>
      </c>
      <c r="N2620" s="1595">
        <v>1.7415383443504264</v>
      </c>
      <c r="O2620" s="1595"/>
    </row>
    <row r="2621" spans="11:15">
      <c r="K2621" s="1592">
        <v>44678</v>
      </c>
      <c r="L2621" s="1593" t="s">
        <v>2301</v>
      </c>
      <c r="M2621" s="1594">
        <v>4.3739E-2</v>
      </c>
      <c r="N2621" s="1595">
        <v>1.7423000758068621</v>
      </c>
      <c r="O2621" s="1595"/>
    </row>
    <row r="2622" spans="11:15">
      <c r="K2622" s="1592">
        <v>44679</v>
      </c>
      <c r="L2622" s="1593" t="s">
        <v>2301</v>
      </c>
      <c r="M2622" s="1594">
        <v>4.3739E-2</v>
      </c>
      <c r="N2622" s="1595">
        <v>1.7430621404370195</v>
      </c>
      <c r="O2622" s="1595"/>
    </row>
    <row r="2623" spans="11:15">
      <c r="K2623" s="1592">
        <v>44680</v>
      </c>
      <c r="L2623" s="1593" t="s">
        <v>2301</v>
      </c>
      <c r="M2623" s="1594">
        <v>4.3739E-2</v>
      </c>
      <c r="N2623" s="1595">
        <v>1.7438245383866253</v>
      </c>
      <c r="O2623" s="1595"/>
    </row>
    <row r="2624" spans="11:15">
      <c r="K2624" s="1592">
        <v>44681</v>
      </c>
      <c r="L2624" s="1593"/>
      <c r="M2624" s="1594">
        <v>0</v>
      </c>
      <c r="N2624" s="1595">
        <v>1.7438245383866253</v>
      </c>
      <c r="O2624" s="1595"/>
    </row>
    <row r="2625" spans="11:15">
      <c r="K2625" s="1592">
        <v>44682</v>
      </c>
      <c r="L2625" s="1593"/>
      <c r="M2625" s="1594">
        <v>0</v>
      </c>
      <c r="N2625" s="1595">
        <v>1.7438245383866253</v>
      </c>
      <c r="O2625" s="1595"/>
    </row>
    <row r="2626" spans="11:15">
      <c r="K2626" s="1592">
        <v>44683</v>
      </c>
      <c r="L2626" s="1593" t="s">
        <v>2301</v>
      </c>
      <c r="M2626" s="1594">
        <v>4.3739E-2</v>
      </c>
      <c r="N2626" s="1595">
        <v>1.7445872698014704</v>
      </c>
      <c r="O2626" s="1595"/>
    </row>
    <row r="2627" spans="11:15">
      <c r="K2627" s="1592">
        <v>44684</v>
      </c>
      <c r="L2627" s="1593" t="s">
        <v>2301</v>
      </c>
      <c r="M2627" s="1594">
        <v>4.3739E-2</v>
      </c>
      <c r="N2627" s="1595">
        <v>1.7453503348274091</v>
      </c>
      <c r="O2627" s="1595"/>
    </row>
    <row r="2628" spans="11:15">
      <c r="K2628" s="1592">
        <v>44685</v>
      </c>
      <c r="L2628" s="1593" t="s">
        <v>2301</v>
      </c>
      <c r="M2628" s="1594">
        <v>4.3739E-2</v>
      </c>
      <c r="N2628" s="1595">
        <v>1.7461137336103594</v>
      </c>
      <c r="O2628" s="1595"/>
    </row>
    <row r="2629" spans="11:15">
      <c r="K2629" s="1592">
        <v>44686</v>
      </c>
      <c r="L2629" s="1593" t="s">
        <v>2301</v>
      </c>
      <c r="M2629" s="1594">
        <v>4.7279000000000002E-2</v>
      </c>
      <c r="N2629" s="1595">
        <v>1.7469392787224729</v>
      </c>
      <c r="O2629" s="1595"/>
    </row>
    <row r="2630" spans="11:15">
      <c r="K2630" s="1592">
        <v>44687</v>
      </c>
      <c r="L2630" s="1593" t="s">
        <v>2301</v>
      </c>
      <c r="M2630" s="1594">
        <v>4.7279000000000002E-2</v>
      </c>
      <c r="N2630" s="1595">
        <v>1.7477652141440598</v>
      </c>
      <c r="O2630" s="1595"/>
    </row>
    <row r="2631" spans="11:15">
      <c r="K2631" s="1592">
        <v>44688</v>
      </c>
      <c r="L2631" s="1593"/>
      <c r="M2631" s="1594">
        <v>0</v>
      </c>
      <c r="N2631" s="1595">
        <v>1.7477652141440598</v>
      </c>
      <c r="O2631" s="1595"/>
    </row>
    <row r="2632" spans="11:15">
      <c r="K2632" s="1592">
        <v>44689</v>
      </c>
      <c r="L2632" s="1593"/>
      <c r="M2632" s="1594">
        <v>0</v>
      </c>
      <c r="N2632" s="1595">
        <v>1.7477652141440598</v>
      </c>
      <c r="O2632" s="1595"/>
    </row>
    <row r="2633" spans="11:15">
      <c r="K2633" s="1592">
        <v>44690</v>
      </c>
      <c r="L2633" s="1593" t="s">
        <v>2301</v>
      </c>
      <c r="M2633" s="1594">
        <v>4.7279000000000002E-2</v>
      </c>
      <c r="N2633" s="1595">
        <v>1.7485915400596548</v>
      </c>
      <c r="O2633" s="1595"/>
    </row>
    <row r="2634" spans="11:15">
      <c r="K2634" s="1592">
        <v>44691</v>
      </c>
      <c r="L2634" s="1593" t="s">
        <v>2301</v>
      </c>
      <c r="M2634" s="1594">
        <v>4.7279000000000002E-2</v>
      </c>
      <c r="N2634" s="1595">
        <v>1.7494182566538794</v>
      </c>
      <c r="O2634" s="1595"/>
    </row>
    <row r="2635" spans="11:15">
      <c r="K2635" s="1592">
        <v>44692</v>
      </c>
      <c r="L2635" s="1593" t="s">
        <v>2301</v>
      </c>
      <c r="M2635" s="1594">
        <v>4.7279000000000002E-2</v>
      </c>
      <c r="N2635" s="1595">
        <v>1.7502453641114426</v>
      </c>
      <c r="O2635" s="1595"/>
    </row>
    <row r="2636" spans="11:15">
      <c r="K2636" s="1592">
        <v>44693</v>
      </c>
      <c r="L2636" s="1593" t="s">
        <v>2301</v>
      </c>
      <c r="M2636" s="1594">
        <v>4.7279000000000002E-2</v>
      </c>
      <c r="N2636" s="1595">
        <v>1.7510728626171406</v>
      </c>
      <c r="O2636" s="1595"/>
    </row>
    <row r="2637" spans="11:15">
      <c r="K2637" s="1592">
        <v>44694</v>
      </c>
      <c r="L2637" s="1593" t="s">
        <v>2301</v>
      </c>
      <c r="M2637" s="1594">
        <v>4.7279000000000002E-2</v>
      </c>
      <c r="N2637" s="1595">
        <v>1.7519007523558572</v>
      </c>
      <c r="O2637" s="1595"/>
    </row>
    <row r="2638" spans="11:15">
      <c r="K2638" s="1592">
        <v>44695</v>
      </c>
      <c r="L2638" s="1593"/>
      <c r="M2638" s="1594">
        <v>0</v>
      </c>
      <c r="N2638" s="1595">
        <v>1.7519007523558572</v>
      </c>
      <c r="O2638" s="1595"/>
    </row>
    <row r="2639" spans="11:15">
      <c r="K2639" s="1592">
        <v>44696</v>
      </c>
      <c r="L2639" s="1593"/>
      <c r="M2639" s="1594">
        <v>0</v>
      </c>
      <c r="N2639" s="1595">
        <v>1.7519007523558572</v>
      </c>
      <c r="O2639" s="1595"/>
    </row>
    <row r="2640" spans="11:15">
      <c r="K2640" s="1592">
        <v>44697</v>
      </c>
      <c r="L2640" s="1593" t="s">
        <v>2301</v>
      </c>
      <c r="M2640" s="1594">
        <v>4.7279000000000002E-2</v>
      </c>
      <c r="N2640" s="1595">
        <v>1.7527290335125634</v>
      </c>
      <c r="O2640" s="1595"/>
    </row>
    <row r="2641" spans="11:15">
      <c r="K2641" s="1592">
        <v>44698</v>
      </c>
      <c r="L2641" s="1593" t="s">
        <v>2301</v>
      </c>
      <c r="M2641" s="1594">
        <v>4.7279000000000002E-2</v>
      </c>
      <c r="N2641" s="1595">
        <v>1.7535577062723176</v>
      </c>
      <c r="O2641" s="1595"/>
    </row>
    <row r="2642" spans="11:15">
      <c r="K2642" s="1592">
        <v>44699</v>
      </c>
      <c r="L2642" s="1593" t="s">
        <v>2301</v>
      </c>
      <c r="M2642" s="1594">
        <v>4.7279000000000002E-2</v>
      </c>
      <c r="N2642" s="1595">
        <v>1.7543867708202658</v>
      </c>
      <c r="O2642" s="1595"/>
    </row>
    <row r="2643" spans="11:15">
      <c r="K2643" s="1592">
        <v>44700</v>
      </c>
      <c r="L2643" s="1593" t="s">
        <v>2301</v>
      </c>
      <c r="M2643" s="1594">
        <v>4.7279000000000002E-2</v>
      </c>
      <c r="N2643" s="1595">
        <v>1.7552162273416418</v>
      </c>
      <c r="O2643" s="1595"/>
    </row>
    <row r="2644" spans="11:15">
      <c r="K2644" s="1592">
        <v>44701</v>
      </c>
      <c r="L2644" s="1593" t="s">
        <v>2301</v>
      </c>
      <c r="M2644" s="1594">
        <v>4.7279000000000002E-2</v>
      </c>
      <c r="N2644" s="1595">
        <v>1.7560460760217664</v>
      </c>
      <c r="O2644" s="1595"/>
    </row>
    <row r="2645" spans="11:15">
      <c r="K2645" s="1592">
        <v>44702</v>
      </c>
      <c r="L2645" s="1593"/>
      <c r="M2645" s="1594">
        <v>0</v>
      </c>
      <c r="N2645" s="1595">
        <v>1.7560460760217664</v>
      </c>
      <c r="O2645" s="1595"/>
    </row>
    <row r="2646" spans="11:15">
      <c r="K2646" s="1592">
        <v>44703</v>
      </c>
      <c r="L2646" s="1593"/>
      <c r="M2646" s="1594">
        <v>0</v>
      </c>
      <c r="N2646" s="1595">
        <v>1.7560460760217664</v>
      </c>
      <c r="O2646" s="1595"/>
    </row>
    <row r="2647" spans="11:15">
      <c r="K2647" s="1592">
        <v>44704</v>
      </c>
      <c r="L2647" s="1593" t="s">
        <v>2301</v>
      </c>
      <c r="M2647" s="1594">
        <v>4.7279000000000002E-2</v>
      </c>
      <c r="N2647" s="1595">
        <v>1.7568763170460486</v>
      </c>
      <c r="O2647" s="1595"/>
    </row>
    <row r="2648" spans="11:15">
      <c r="K2648" s="1592">
        <v>44705</v>
      </c>
      <c r="L2648" s="1593" t="s">
        <v>2301</v>
      </c>
      <c r="M2648" s="1594">
        <v>4.7279000000000002E-2</v>
      </c>
      <c r="N2648" s="1595">
        <v>1.7577069505999847</v>
      </c>
      <c r="O2648" s="1595"/>
    </row>
    <row r="2649" spans="11:15">
      <c r="K2649" s="1592">
        <v>44706</v>
      </c>
      <c r="L2649" s="1593" t="s">
        <v>2301</v>
      </c>
      <c r="M2649" s="1594">
        <v>4.7279000000000002E-2</v>
      </c>
      <c r="N2649" s="1595">
        <v>1.7585379768691587</v>
      </c>
      <c r="O2649" s="1595"/>
    </row>
    <row r="2650" spans="11:15">
      <c r="K2650" s="1592">
        <v>44707</v>
      </c>
      <c r="L2650" s="1593" t="s">
        <v>2301</v>
      </c>
      <c r="M2650" s="1594">
        <v>4.7279000000000002E-2</v>
      </c>
      <c r="N2650" s="1595">
        <v>1.7593693960392425</v>
      </c>
      <c r="O2650" s="1595"/>
    </row>
    <row r="2651" spans="11:15">
      <c r="K2651" s="1592">
        <v>44708</v>
      </c>
      <c r="L2651" s="1593" t="s">
        <v>2301</v>
      </c>
      <c r="M2651" s="1594">
        <v>4.7279000000000002E-2</v>
      </c>
      <c r="N2651" s="1595">
        <v>1.7602012082959957</v>
      </c>
      <c r="O2651" s="1595"/>
    </row>
    <row r="2652" spans="11:15">
      <c r="K2652" s="1592">
        <v>44709</v>
      </c>
      <c r="L2652" s="1593"/>
      <c r="M2652" s="1594">
        <v>0</v>
      </c>
      <c r="N2652" s="1595">
        <v>1.7602012082959957</v>
      </c>
      <c r="O2652" s="1595"/>
    </row>
    <row r="2653" spans="11:15">
      <c r="K2653" s="1592">
        <v>44710</v>
      </c>
      <c r="L2653" s="1593"/>
      <c r="M2653" s="1594">
        <v>0</v>
      </c>
      <c r="N2653" s="1595">
        <v>1.7602012082959957</v>
      </c>
      <c r="O2653" s="1595"/>
    </row>
    <row r="2654" spans="11:15">
      <c r="K2654" s="1592">
        <v>44711</v>
      </c>
      <c r="L2654" s="1593" t="s">
        <v>2301</v>
      </c>
      <c r="M2654" s="1594">
        <v>4.7279000000000002E-2</v>
      </c>
      <c r="N2654" s="1595">
        <v>1.7610334138252657</v>
      </c>
      <c r="O2654" s="1595"/>
    </row>
    <row r="2655" spans="11:15">
      <c r="K2655" s="1592">
        <v>44712</v>
      </c>
      <c r="L2655" s="1593" t="s">
        <v>2301</v>
      </c>
      <c r="M2655" s="1594">
        <v>4.7279000000000002E-2</v>
      </c>
      <c r="N2655" s="1595">
        <v>1.7618660128129879</v>
      </c>
      <c r="O2655" s="1595"/>
    </row>
    <row r="2656" spans="11:15">
      <c r="K2656" s="1592">
        <v>44713</v>
      </c>
      <c r="L2656" s="1593" t="s">
        <v>2301</v>
      </c>
      <c r="M2656" s="1594">
        <v>4.7279000000000002E-2</v>
      </c>
      <c r="N2656" s="1595">
        <v>1.7626990054451857</v>
      </c>
      <c r="O2656" s="1595"/>
    </row>
    <row r="2657" spans="11:15">
      <c r="K2657" s="1592">
        <v>44714</v>
      </c>
      <c r="L2657" s="1593" t="s">
        <v>2301</v>
      </c>
      <c r="M2657" s="1594">
        <v>4.7279000000000002E-2</v>
      </c>
      <c r="N2657" s="1595">
        <v>1.76353239190797</v>
      </c>
      <c r="O2657" s="1595"/>
    </row>
    <row r="2658" spans="11:15">
      <c r="K2658" s="1592">
        <v>44715</v>
      </c>
      <c r="L2658" s="1593" t="s">
        <v>2301</v>
      </c>
      <c r="M2658" s="1594">
        <v>4.7279000000000002E-2</v>
      </c>
      <c r="N2658" s="1595">
        <v>1.7643661723875399</v>
      </c>
      <c r="O2658" s="1595"/>
    </row>
    <row r="2659" spans="11:15">
      <c r="K2659" s="1592">
        <v>44716</v>
      </c>
      <c r="L2659" s="1593"/>
      <c r="M2659" s="1594">
        <v>0</v>
      </c>
      <c r="N2659" s="1595">
        <v>1.7643661723875399</v>
      </c>
      <c r="O2659" s="1595"/>
    </row>
    <row r="2660" spans="11:15">
      <c r="K2660" s="1592">
        <v>44717</v>
      </c>
      <c r="L2660" s="1593"/>
      <c r="M2660" s="1594">
        <v>0</v>
      </c>
      <c r="N2660" s="1595">
        <v>1.7643661723875399</v>
      </c>
      <c r="O2660" s="1595"/>
    </row>
    <row r="2661" spans="11:15">
      <c r="K2661" s="1592">
        <v>44718</v>
      </c>
      <c r="L2661" s="1593" t="s">
        <v>2301</v>
      </c>
      <c r="M2661" s="1594">
        <v>4.7279000000000002E-2</v>
      </c>
      <c r="N2661" s="1595">
        <v>1.7652003470701829</v>
      </c>
      <c r="O2661" s="1595"/>
    </row>
    <row r="2662" spans="11:15">
      <c r="K2662" s="1592">
        <v>44719</v>
      </c>
      <c r="L2662" s="1593" t="s">
        <v>2301</v>
      </c>
      <c r="M2662" s="1594">
        <v>4.7279000000000002E-2</v>
      </c>
      <c r="N2662" s="1595">
        <v>1.7660349161422739</v>
      </c>
      <c r="O2662" s="1595"/>
    </row>
    <row r="2663" spans="11:15">
      <c r="K2663" s="1592">
        <v>44720</v>
      </c>
      <c r="L2663" s="1593" t="s">
        <v>2301</v>
      </c>
      <c r="M2663" s="1594">
        <v>4.7279000000000002E-2</v>
      </c>
      <c r="N2663" s="1595">
        <v>1.7668698797902767</v>
      </c>
      <c r="O2663" s="1595"/>
    </row>
    <row r="2664" spans="11:15">
      <c r="K2664" s="1592">
        <v>44721</v>
      </c>
      <c r="L2664" s="1593" t="s">
        <v>2301</v>
      </c>
      <c r="M2664" s="1594">
        <v>4.7279000000000002E-2</v>
      </c>
      <c r="N2664" s="1595">
        <v>1.7677052382007425</v>
      </c>
      <c r="O2664" s="1595"/>
    </row>
    <row r="2665" spans="11:15">
      <c r="K2665" s="1592">
        <v>44722</v>
      </c>
      <c r="L2665" s="1593" t="s">
        <v>2301</v>
      </c>
      <c r="M2665" s="1594">
        <v>4.7279000000000002E-2</v>
      </c>
      <c r="N2665" s="1595">
        <v>1.7685409915603112</v>
      </c>
      <c r="O2665" s="1595"/>
    </row>
    <row r="2666" spans="11:15">
      <c r="K2666" s="1592">
        <v>44723</v>
      </c>
      <c r="L2666" s="1593"/>
      <c r="M2666" s="1594">
        <v>0</v>
      </c>
      <c r="N2666" s="1595">
        <v>1.7685409915603112</v>
      </c>
      <c r="O2666" s="1595"/>
    </row>
    <row r="2667" spans="11:15">
      <c r="K2667" s="1592">
        <v>44724</v>
      </c>
      <c r="L2667" s="1593"/>
      <c r="M2667" s="1594">
        <v>0</v>
      </c>
      <c r="N2667" s="1595">
        <v>1.7685409915603112</v>
      </c>
      <c r="O2667" s="1595"/>
    </row>
    <row r="2668" spans="11:15">
      <c r="K2668" s="1592">
        <v>44725</v>
      </c>
      <c r="L2668" s="1593" t="s">
        <v>2301</v>
      </c>
      <c r="M2668" s="1594">
        <v>4.7279000000000002E-2</v>
      </c>
      <c r="N2668" s="1595">
        <v>1.7693771400557108</v>
      </c>
      <c r="O2668" s="1595"/>
    </row>
    <row r="2669" spans="11:15">
      <c r="K2669" s="1592">
        <v>44726</v>
      </c>
      <c r="L2669" s="1593" t="s">
        <v>2301</v>
      </c>
      <c r="M2669" s="1594">
        <v>4.7279000000000002E-2</v>
      </c>
      <c r="N2669" s="1595">
        <v>1.7702136838737574</v>
      </c>
      <c r="O2669" s="1595"/>
    </row>
    <row r="2670" spans="11:15">
      <c r="K2670" s="1592">
        <v>44727</v>
      </c>
      <c r="L2670" s="1593" t="s">
        <v>2301</v>
      </c>
      <c r="M2670" s="1594">
        <v>4.7279000000000002E-2</v>
      </c>
      <c r="N2670" s="1595">
        <v>1.7710506232013559</v>
      </c>
      <c r="O2670" s="1595"/>
    </row>
    <row r="2671" spans="11:15">
      <c r="K2671" s="1592">
        <v>44728</v>
      </c>
      <c r="L2671" s="1593"/>
      <c r="M2671" s="1594">
        <v>0</v>
      </c>
      <c r="N2671" s="1595">
        <v>1.7710506232013559</v>
      </c>
      <c r="O2671" s="1595"/>
    </row>
    <row r="2672" spans="11:15">
      <c r="K2672" s="1592">
        <v>44729</v>
      </c>
      <c r="L2672" s="1593" t="s">
        <v>2301</v>
      </c>
      <c r="M2672" s="1594">
        <v>4.9036999999999997E-2</v>
      </c>
      <c r="N2672" s="1595">
        <v>1.7719190932954552</v>
      </c>
      <c r="O2672" s="1595"/>
    </row>
    <row r="2673" spans="11:15">
      <c r="K2673" s="1592">
        <v>44730</v>
      </c>
      <c r="L2673" s="1593"/>
      <c r="M2673" s="1594">
        <v>0</v>
      </c>
      <c r="N2673" s="1595">
        <v>1.7719190932954552</v>
      </c>
      <c r="O2673" s="1595"/>
    </row>
    <row r="2674" spans="11:15">
      <c r="K2674" s="1592">
        <v>44731</v>
      </c>
      <c r="L2674" s="1593"/>
      <c r="M2674" s="1594">
        <v>0</v>
      </c>
      <c r="N2674" s="1595">
        <v>1.7719190932954552</v>
      </c>
      <c r="O2674" s="1595"/>
    </row>
    <row r="2675" spans="11:15">
      <c r="K2675" s="1592">
        <v>44732</v>
      </c>
      <c r="L2675" s="1593" t="s">
        <v>2301</v>
      </c>
      <c r="M2675" s="1594">
        <v>4.9036999999999997E-2</v>
      </c>
      <c r="N2675" s="1595">
        <v>1.7727879892612346</v>
      </c>
      <c r="O2675" s="1595"/>
    </row>
    <row r="2676" spans="11:15">
      <c r="K2676" s="1592">
        <v>44733</v>
      </c>
      <c r="L2676" s="1593" t="s">
        <v>2301</v>
      </c>
      <c r="M2676" s="1594">
        <v>4.9036999999999997E-2</v>
      </c>
      <c r="N2676" s="1595">
        <v>1.7736573113075287</v>
      </c>
      <c r="O2676" s="1595"/>
    </row>
    <row r="2677" spans="11:15">
      <c r="K2677" s="1592">
        <v>44734</v>
      </c>
      <c r="L2677" s="1593" t="s">
        <v>2301</v>
      </c>
      <c r="M2677" s="1594">
        <v>4.9036999999999997E-2</v>
      </c>
      <c r="N2677" s="1595">
        <v>1.7745270596432747</v>
      </c>
      <c r="O2677" s="1595"/>
    </row>
    <row r="2678" spans="11:15">
      <c r="K2678" s="1592">
        <v>44735</v>
      </c>
      <c r="L2678" s="1593" t="s">
        <v>2301</v>
      </c>
      <c r="M2678" s="1594">
        <v>4.9036999999999997E-2</v>
      </c>
      <c r="N2678" s="1595">
        <v>1.7753972344775122</v>
      </c>
      <c r="O2678" s="1595"/>
    </row>
    <row r="2679" spans="11:15">
      <c r="K2679" s="1592">
        <v>44736</v>
      </c>
      <c r="L2679" s="1593" t="s">
        <v>2301</v>
      </c>
      <c r="M2679" s="1594">
        <v>4.9036999999999997E-2</v>
      </c>
      <c r="N2679" s="1595">
        <v>1.7762678360193831</v>
      </c>
      <c r="O2679" s="1595"/>
    </row>
    <row r="2680" spans="11:15">
      <c r="K2680" s="1592">
        <v>44737</v>
      </c>
      <c r="L2680" s="1593"/>
      <c r="M2680" s="1594">
        <v>0</v>
      </c>
      <c r="N2680" s="1595">
        <v>1.7762678360193831</v>
      </c>
      <c r="O2680" s="1595"/>
    </row>
    <row r="2681" spans="11:15">
      <c r="K2681" s="1592">
        <v>44738</v>
      </c>
      <c r="L2681" s="1593"/>
      <c r="M2681" s="1594">
        <v>0</v>
      </c>
      <c r="N2681" s="1595">
        <v>1.7762678360193831</v>
      </c>
      <c r="O2681" s="1595"/>
    </row>
    <row r="2682" spans="11:15">
      <c r="K2682" s="1592">
        <v>44739</v>
      </c>
      <c r="L2682" s="1593" t="s">
        <v>2301</v>
      </c>
      <c r="M2682" s="1594">
        <v>4.9036999999999997E-2</v>
      </c>
      <c r="N2682" s="1595">
        <v>1.7771388644781321</v>
      </c>
      <c r="O2682" s="1595"/>
    </row>
    <row r="2683" spans="11:15">
      <c r="K2683" s="1592">
        <v>44740</v>
      </c>
      <c r="L2683" s="1593" t="s">
        <v>2301</v>
      </c>
      <c r="M2683" s="1594">
        <v>4.9036999999999997E-2</v>
      </c>
      <c r="N2683" s="1595">
        <v>1.7780103200631063</v>
      </c>
      <c r="O2683" s="1595"/>
    </row>
    <row r="2684" spans="11:15">
      <c r="K2684" s="1592">
        <v>44741</v>
      </c>
      <c r="L2684" s="1593" t="s">
        <v>2301</v>
      </c>
      <c r="M2684" s="1594">
        <v>4.9036999999999997E-2</v>
      </c>
      <c r="N2684" s="1595">
        <v>1.7788822029837559</v>
      </c>
      <c r="O2684" s="1595"/>
    </row>
    <row r="2685" spans="11:15">
      <c r="K2685" s="1592">
        <v>44742</v>
      </c>
      <c r="L2685" s="1593" t="s">
        <v>2301</v>
      </c>
      <c r="M2685" s="1594">
        <v>4.9036999999999997E-2</v>
      </c>
      <c r="N2685" s="1595">
        <v>1.7797545134496331</v>
      </c>
      <c r="O2685" s="1595"/>
    </row>
    <row r="2686" spans="11:15">
      <c r="K2686" s="1592">
        <v>44743</v>
      </c>
      <c r="L2686" s="1593" t="s">
        <v>2301</v>
      </c>
      <c r="M2686" s="1594">
        <v>4.9036999999999997E-2</v>
      </c>
      <c r="N2686" s="1595">
        <v>1.7806272516703936</v>
      </c>
      <c r="O2686" s="1595"/>
    </row>
    <row r="2687" spans="11:15">
      <c r="K2687" s="1592">
        <v>44744</v>
      </c>
      <c r="L2687" s="1593"/>
      <c r="M2687" s="1594">
        <v>0</v>
      </c>
      <c r="N2687" s="1595">
        <v>1.7806272516703936</v>
      </c>
      <c r="O2687" s="1595"/>
    </row>
    <row r="2688" spans="11:15">
      <c r="K2688" s="1592">
        <v>44745</v>
      </c>
      <c r="L2688" s="1593"/>
      <c r="M2688" s="1594">
        <v>0</v>
      </c>
      <c r="N2688" s="1595">
        <v>1.7806272516703936</v>
      </c>
      <c r="O2688" s="1595"/>
    </row>
    <row r="2689" spans="11:15">
      <c r="K2689" s="1592">
        <v>44746</v>
      </c>
      <c r="L2689" s="1593" t="s">
        <v>2301</v>
      </c>
      <c r="M2689" s="1594">
        <v>4.9036999999999997E-2</v>
      </c>
      <c r="N2689" s="1595">
        <v>1.7815004178557954</v>
      </c>
      <c r="O2689" s="1595"/>
    </row>
    <row r="2690" spans="11:15">
      <c r="K2690" s="1592">
        <v>44747</v>
      </c>
      <c r="L2690" s="1593" t="s">
        <v>2301</v>
      </c>
      <c r="M2690" s="1594">
        <v>4.9036999999999997E-2</v>
      </c>
      <c r="N2690" s="1595">
        <v>1.7823740122156995</v>
      </c>
      <c r="O2690" s="1595"/>
    </row>
    <row r="2691" spans="11:15">
      <c r="K2691" s="1592">
        <v>44748</v>
      </c>
      <c r="L2691" s="1593" t="s">
        <v>2301</v>
      </c>
      <c r="M2691" s="1594">
        <v>4.9036999999999997E-2</v>
      </c>
      <c r="N2691" s="1595">
        <v>1.7832480349600699</v>
      </c>
      <c r="O2691" s="1595"/>
    </row>
    <row r="2692" spans="11:15">
      <c r="K2692" s="1592">
        <v>44749</v>
      </c>
      <c r="L2692" s="1593" t="s">
        <v>2301</v>
      </c>
      <c r="M2692" s="1594">
        <v>4.9036999999999997E-2</v>
      </c>
      <c r="N2692" s="1595">
        <v>1.7841224862989733</v>
      </c>
      <c r="O2692" s="1595"/>
    </row>
    <row r="2693" spans="11:15">
      <c r="K2693" s="1592">
        <v>44750</v>
      </c>
      <c r="L2693" s="1593" t="s">
        <v>2301</v>
      </c>
      <c r="M2693" s="1594">
        <v>4.9036999999999997E-2</v>
      </c>
      <c r="N2693" s="1595">
        <v>1.7849973664425798</v>
      </c>
      <c r="O2693" s="1595"/>
    </row>
    <row r="2694" spans="11:15">
      <c r="K2694" s="1592">
        <v>44751</v>
      </c>
      <c r="L2694" s="1593"/>
      <c r="M2694" s="1594">
        <v>0</v>
      </c>
      <c r="N2694" s="1595">
        <v>1.7849973664425798</v>
      </c>
      <c r="O2694" s="1595"/>
    </row>
    <row r="2695" spans="11:15">
      <c r="K2695" s="1592">
        <v>44752</v>
      </c>
      <c r="L2695" s="1593"/>
      <c r="M2695" s="1594">
        <v>0</v>
      </c>
      <c r="N2695" s="1595">
        <v>1.7849973664425798</v>
      </c>
      <c r="O2695" s="1595"/>
    </row>
    <row r="2696" spans="11:15">
      <c r="K2696" s="1592">
        <v>44753</v>
      </c>
      <c r="L2696" s="1593" t="s">
        <v>2301</v>
      </c>
      <c r="M2696" s="1594">
        <v>4.9036999999999997E-2</v>
      </c>
      <c r="N2696" s="1595">
        <v>1.7858726756011623</v>
      </c>
      <c r="O2696" s="1595"/>
    </row>
    <row r="2697" spans="11:15">
      <c r="K2697" s="1592">
        <v>44754</v>
      </c>
      <c r="L2697" s="1593" t="s">
        <v>2301</v>
      </c>
      <c r="M2697" s="1594">
        <v>4.9036999999999997E-2</v>
      </c>
      <c r="N2697" s="1595">
        <v>1.7867484139850969</v>
      </c>
      <c r="O2697" s="1595"/>
    </row>
    <row r="2698" spans="11:15">
      <c r="K2698" s="1592">
        <v>44755</v>
      </c>
      <c r="L2698" s="1593" t="s">
        <v>2301</v>
      </c>
      <c r="M2698" s="1594">
        <v>4.9036999999999997E-2</v>
      </c>
      <c r="N2698" s="1595">
        <v>1.7876245818048628</v>
      </c>
      <c r="O2698" s="1595"/>
    </row>
    <row r="2699" spans="11:15">
      <c r="K2699" s="1592">
        <v>44756</v>
      </c>
      <c r="L2699" s="1593" t="s">
        <v>2301</v>
      </c>
      <c r="M2699" s="1594">
        <v>4.9036999999999997E-2</v>
      </c>
      <c r="N2699" s="1595">
        <v>1.7885011792710426</v>
      </c>
      <c r="O2699" s="1595"/>
    </row>
    <row r="2700" spans="11:15">
      <c r="K2700" s="1592">
        <v>44757</v>
      </c>
      <c r="L2700" s="1593" t="s">
        <v>2301</v>
      </c>
      <c r="M2700" s="1594">
        <v>4.9036999999999997E-2</v>
      </c>
      <c r="N2700" s="1595">
        <v>1.7893782065943218</v>
      </c>
      <c r="O2700" s="1595"/>
    </row>
    <row r="2701" spans="11:15">
      <c r="K2701" s="1592">
        <v>44758</v>
      </c>
      <c r="L2701" s="1593"/>
      <c r="M2701" s="1594">
        <v>0</v>
      </c>
      <c r="N2701" s="1595">
        <v>1.7893782065943218</v>
      </c>
      <c r="O2701" s="1595"/>
    </row>
    <row r="2702" spans="11:15">
      <c r="K2702" s="1592">
        <v>44759</v>
      </c>
      <c r="L2702" s="1593"/>
      <c r="M2702" s="1594">
        <v>0</v>
      </c>
      <c r="N2702" s="1595">
        <v>1.7893782065943218</v>
      </c>
      <c r="O2702" s="1595"/>
    </row>
    <row r="2703" spans="11:15">
      <c r="K2703" s="1592">
        <v>44760</v>
      </c>
      <c r="L2703" s="1593" t="s">
        <v>2301</v>
      </c>
      <c r="M2703" s="1594">
        <v>4.9036999999999997E-2</v>
      </c>
      <c r="N2703" s="1595">
        <v>1.7902556639854896</v>
      </c>
      <c r="O2703" s="1595"/>
    </row>
    <row r="2704" spans="11:15">
      <c r="K2704" s="1592">
        <v>44761</v>
      </c>
      <c r="L2704" s="1593" t="s">
        <v>2301</v>
      </c>
      <c r="M2704" s="1594">
        <v>4.9036999999999997E-2</v>
      </c>
      <c r="N2704" s="1595">
        <v>1.7911335516554383</v>
      </c>
      <c r="O2704" s="1595"/>
    </row>
    <row r="2705" spans="11:15">
      <c r="K2705" s="1592">
        <v>44762</v>
      </c>
      <c r="L2705" s="1593" t="s">
        <v>2301</v>
      </c>
      <c r="M2705" s="1594">
        <v>4.9036999999999997E-2</v>
      </c>
      <c r="N2705" s="1595">
        <v>1.7920118698151637</v>
      </c>
      <c r="O2705" s="1595"/>
    </row>
    <row r="2706" spans="11:15">
      <c r="K2706" s="1592">
        <v>44763</v>
      </c>
      <c r="L2706" s="1593" t="s">
        <v>2301</v>
      </c>
      <c r="M2706" s="1594">
        <v>4.9036999999999997E-2</v>
      </c>
      <c r="N2706" s="1595">
        <v>1.7928906186757652</v>
      </c>
      <c r="O2706" s="1595"/>
    </row>
    <row r="2707" spans="11:15">
      <c r="K2707" s="1592">
        <v>44764</v>
      </c>
      <c r="L2707" s="1593" t="s">
        <v>2301</v>
      </c>
      <c r="M2707" s="1594">
        <v>4.9036999999999997E-2</v>
      </c>
      <c r="N2707" s="1595">
        <v>1.7937697984484453</v>
      </c>
      <c r="O2707" s="1595"/>
    </row>
    <row r="2708" spans="11:15">
      <c r="K2708" s="1592">
        <v>44765</v>
      </c>
      <c r="L2708" s="1593"/>
      <c r="M2708" s="1594">
        <v>0</v>
      </c>
      <c r="N2708" s="1595">
        <v>1.7937697984484453</v>
      </c>
      <c r="O2708" s="1595"/>
    </row>
    <row r="2709" spans="11:15">
      <c r="K2709" s="1592">
        <v>44766</v>
      </c>
      <c r="L2709" s="1593"/>
      <c r="M2709" s="1594">
        <v>0</v>
      </c>
      <c r="N2709" s="1595">
        <v>1.7937697984484453</v>
      </c>
      <c r="O2709" s="1595"/>
    </row>
    <row r="2710" spans="11:15">
      <c r="K2710" s="1592">
        <v>44767</v>
      </c>
      <c r="L2710" s="1593" t="s">
        <v>2301</v>
      </c>
      <c r="M2710" s="1594">
        <v>4.9036999999999997E-2</v>
      </c>
      <c r="N2710" s="1595">
        <v>1.7946494093445107</v>
      </c>
      <c r="O2710" s="1595"/>
    </row>
    <row r="2711" spans="11:15">
      <c r="K2711" s="1592">
        <v>44768</v>
      </c>
      <c r="L2711" s="1593" t="s">
        <v>2301</v>
      </c>
      <c r="M2711" s="1594">
        <v>4.9036999999999997E-2</v>
      </c>
      <c r="N2711" s="1595">
        <v>1.795529451575371</v>
      </c>
      <c r="O2711" s="1595"/>
    </row>
    <row r="2712" spans="11:15">
      <c r="K2712" s="1592">
        <v>44769</v>
      </c>
      <c r="L2712" s="1593" t="s">
        <v>2301</v>
      </c>
      <c r="M2712" s="1594">
        <v>4.9036999999999997E-2</v>
      </c>
      <c r="N2712" s="1595">
        <v>1.7964099253525401</v>
      </c>
      <c r="O2712" s="1595"/>
    </row>
    <row r="2713" spans="11:15">
      <c r="K2713" s="1592">
        <v>44770</v>
      </c>
      <c r="L2713" s="1593" t="s">
        <v>2301</v>
      </c>
      <c r="M2713" s="1594">
        <v>4.9036999999999997E-2</v>
      </c>
      <c r="N2713" s="1595">
        <v>1.7972908308876354</v>
      </c>
      <c r="O2713" s="1595"/>
    </row>
    <row r="2714" spans="11:15">
      <c r="K2714" s="1592">
        <v>44771</v>
      </c>
      <c r="L2714" s="1593" t="s">
        <v>2301</v>
      </c>
      <c r="M2714" s="1594">
        <v>4.9036999999999997E-2</v>
      </c>
      <c r="N2714" s="1595">
        <v>1.7981721683923779</v>
      </c>
      <c r="O2714" s="1595"/>
    </row>
    <row r="2715" spans="11:15">
      <c r="K2715" s="1592">
        <v>44772</v>
      </c>
      <c r="L2715" s="1593"/>
      <c r="M2715" s="1594">
        <v>0</v>
      </c>
      <c r="N2715" s="1595">
        <v>1.7981721683923779</v>
      </c>
      <c r="O2715" s="1595"/>
    </row>
    <row r="2716" spans="11:15">
      <c r="K2716" s="1592">
        <v>44773</v>
      </c>
      <c r="L2716" s="1593"/>
      <c r="M2716" s="1594">
        <v>0</v>
      </c>
      <c r="N2716" s="1595">
        <v>1.7981721683923779</v>
      </c>
      <c r="O2716" s="1595"/>
    </row>
    <row r="2717" spans="11:15">
      <c r="K2717" s="1592">
        <v>44774</v>
      </c>
      <c r="L2717" s="1593" t="s">
        <v>2301</v>
      </c>
      <c r="M2717" s="1594">
        <v>4.9036999999999997E-2</v>
      </c>
      <c r="N2717" s="1595">
        <v>1.7990539380785926</v>
      </c>
      <c r="O2717" s="1595"/>
    </row>
    <row r="2718" spans="11:15">
      <c r="K2718" s="1592">
        <v>44775</v>
      </c>
      <c r="L2718" s="1593" t="s">
        <v>2301</v>
      </c>
      <c r="M2718" s="1594">
        <v>4.9036999999999997E-2</v>
      </c>
      <c r="N2718" s="1595">
        <v>1.7999361401582084</v>
      </c>
      <c r="O2718" s="1595"/>
    </row>
    <row r="2719" spans="11:15">
      <c r="K2719" s="1592">
        <v>44776</v>
      </c>
      <c r="L2719" s="1593" t="s">
        <v>2301</v>
      </c>
      <c r="M2719" s="1594">
        <v>4.9036999999999997E-2</v>
      </c>
      <c r="N2719" s="1595">
        <v>1.8008187748432578</v>
      </c>
      <c r="O2719" s="1595"/>
    </row>
    <row r="2720" spans="11:15">
      <c r="K2720" s="1592">
        <v>44777</v>
      </c>
      <c r="L2720" s="1593" t="s">
        <v>2301</v>
      </c>
      <c r="M2720" s="1594">
        <v>4.9036999999999997E-2</v>
      </c>
      <c r="N2720" s="1595">
        <v>1.8017018423458779</v>
      </c>
      <c r="O2720" s="1595"/>
    </row>
    <row r="2721" spans="11:15">
      <c r="K2721" s="1592">
        <v>44778</v>
      </c>
      <c r="L2721" s="1593" t="s">
        <v>2301</v>
      </c>
      <c r="M2721" s="1594">
        <v>4.9036999999999997E-2</v>
      </c>
      <c r="N2721" s="1595">
        <v>1.8025853428783092</v>
      </c>
      <c r="O2721" s="1595"/>
    </row>
    <row r="2722" spans="11:15">
      <c r="K2722" s="1592">
        <v>44779</v>
      </c>
      <c r="L2722" s="1593"/>
      <c r="M2722" s="1594">
        <v>0</v>
      </c>
      <c r="N2722" s="1595">
        <v>1.8025853428783092</v>
      </c>
      <c r="O2722" s="1595"/>
    </row>
    <row r="2723" spans="11:15">
      <c r="K2723" s="1592">
        <v>44780</v>
      </c>
      <c r="L2723" s="1593"/>
      <c r="M2723" s="1594">
        <v>0</v>
      </c>
      <c r="N2723" s="1595">
        <v>1.8025853428783092</v>
      </c>
      <c r="O2723" s="1595"/>
    </row>
    <row r="2724" spans="11:15">
      <c r="K2724" s="1592">
        <v>44781</v>
      </c>
      <c r="L2724" s="1593" t="s">
        <v>2301</v>
      </c>
      <c r="M2724" s="1594">
        <v>4.9036999999999997E-2</v>
      </c>
      <c r="N2724" s="1595">
        <v>1.8034692766528966</v>
      </c>
      <c r="O2724" s="1595"/>
    </row>
    <row r="2725" spans="11:15">
      <c r="K2725" s="1592">
        <v>44782</v>
      </c>
      <c r="L2725" s="1593" t="s">
        <v>2301</v>
      </c>
      <c r="M2725" s="1594">
        <v>4.9036999999999997E-2</v>
      </c>
      <c r="N2725" s="1595">
        <v>1.8043536438820891</v>
      </c>
      <c r="O2725" s="1595"/>
    </row>
    <row r="2726" spans="11:15">
      <c r="K2726" s="1592">
        <v>44783</v>
      </c>
      <c r="L2726" s="1593" t="s">
        <v>2301</v>
      </c>
      <c r="M2726" s="1594">
        <v>4.9036999999999997E-2</v>
      </c>
      <c r="N2726" s="1595">
        <v>1.8052384447784398</v>
      </c>
      <c r="O2726" s="1595"/>
    </row>
    <row r="2727" spans="11:15">
      <c r="K2727" s="1592">
        <v>44784</v>
      </c>
      <c r="L2727" s="1593" t="s">
        <v>2301</v>
      </c>
      <c r="M2727" s="1594">
        <v>4.9036999999999997E-2</v>
      </c>
      <c r="N2727" s="1595">
        <v>1.8061236795546058</v>
      </c>
      <c r="O2727" s="1595"/>
    </row>
    <row r="2728" spans="11:15">
      <c r="K2728" s="1592">
        <v>44785</v>
      </c>
      <c r="L2728" s="1593" t="s">
        <v>2301</v>
      </c>
      <c r="M2728" s="1594">
        <v>4.9036999999999997E-2</v>
      </c>
      <c r="N2728" s="1595">
        <v>1.8070093484233491</v>
      </c>
      <c r="O2728" s="1595"/>
    </row>
    <row r="2729" spans="11:15">
      <c r="K2729" s="1592">
        <v>44786</v>
      </c>
      <c r="L2729" s="1593"/>
      <c r="M2729" s="1594">
        <v>0</v>
      </c>
      <c r="N2729" s="1595">
        <v>1.8070093484233491</v>
      </c>
      <c r="O2729" s="1595"/>
    </row>
    <row r="2730" spans="11:15">
      <c r="K2730" s="1592">
        <v>44787</v>
      </c>
      <c r="L2730" s="1593"/>
      <c r="M2730" s="1594">
        <v>0</v>
      </c>
      <c r="N2730" s="1595">
        <v>1.8070093484233491</v>
      </c>
      <c r="O2730" s="1595"/>
    </row>
    <row r="2731" spans="11:15">
      <c r="K2731" s="1592">
        <v>44788</v>
      </c>
      <c r="L2731" s="1593" t="s">
        <v>2301</v>
      </c>
      <c r="M2731" s="1594">
        <v>4.9036999999999997E-2</v>
      </c>
      <c r="N2731" s="1595">
        <v>1.8078954515975356</v>
      </c>
      <c r="O2731" s="1595"/>
    </row>
    <row r="2732" spans="11:15">
      <c r="K2732" s="1592">
        <v>44789</v>
      </c>
      <c r="L2732" s="1593" t="s">
        <v>2301</v>
      </c>
      <c r="M2732" s="1594">
        <v>4.9036999999999997E-2</v>
      </c>
      <c r="N2732" s="1595">
        <v>1.8087819892901356</v>
      </c>
      <c r="O2732" s="1595"/>
    </row>
    <row r="2733" spans="11:15">
      <c r="K2733" s="1592">
        <v>44790</v>
      </c>
      <c r="L2733" s="1593" t="s">
        <v>2301</v>
      </c>
      <c r="M2733" s="1594">
        <v>4.9036999999999997E-2</v>
      </c>
      <c r="N2733" s="1595">
        <v>1.8096689617142239</v>
      </c>
      <c r="O2733" s="1595"/>
    </row>
    <row r="2734" spans="11:15">
      <c r="K2734" s="1592">
        <v>44791</v>
      </c>
      <c r="L2734" s="1593" t="s">
        <v>2301</v>
      </c>
      <c r="M2734" s="1594">
        <v>4.9036999999999997E-2</v>
      </c>
      <c r="N2734" s="1595">
        <v>1.8105563690829798</v>
      </c>
      <c r="O2734" s="1595"/>
    </row>
    <row r="2735" spans="11:15">
      <c r="K2735" s="1592">
        <v>44792</v>
      </c>
      <c r="L2735" s="1593" t="s">
        <v>2301</v>
      </c>
      <c r="M2735" s="1594">
        <v>4.9036999999999997E-2</v>
      </c>
      <c r="N2735" s="1595">
        <v>1.8114442116096872</v>
      </c>
      <c r="O2735" s="1595"/>
    </row>
    <row r="2736" spans="11:15">
      <c r="K2736" s="1592">
        <v>44793</v>
      </c>
      <c r="L2736" s="1593"/>
      <c r="M2736" s="1594">
        <v>0</v>
      </c>
      <c r="N2736" s="1595">
        <v>1.8114442116096872</v>
      </c>
      <c r="O2736" s="1595"/>
    </row>
    <row r="2737" spans="11:15">
      <c r="K2737" s="1592">
        <v>44794</v>
      </c>
      <c r="L2737" s="1593"/>
      <c r="M2737" s="1594">
        <v>0</v>
      </c>
      <c r="N2737" s="1595">
        <v>1.8114442116096872</v>
      </c>
      <c r="O2737" s="1595"/>
    </row>
    <row r="2738" spans="11:15">
      <c r="K2738" s="1592">
        <v>44795</v>
      </c>
      <c r="L2738" s="1593" t="s">
        <v>2301</v>
      </c>
      <c r="M2738" s="1594">
        <v>4.9036999999999997E-2</v>
      </c>
      <c r="N2738" s="1595">
        <v>1.8123324895077344</v>
      </c>
      <c r="O2738" s="1595"/>
    </row>
    <row r="2739" spans="11:15">
      <c r="K2739" s="1592">
        <v>44796</v>
      </c>
      <c r="L2739" s="1593" t="s">
        <v>2301</v>
      </c>
      <c r="M2739" s="1594">
        <v>4.9036999999999997E-2</v>
      </c>
      <c r="N2739" s="1595">
        <v>1.8132212029906145</v>
      </c>
      <c r="O2739" s="1595"/>
    </row>
    <row r="2740" spans="11:15">
      <c r="K2740" s="1592">
        <v>44797</v>
      </c>
      <c r="L2740" s="1593" t="s">
        <v>2301</v>
      </c>
      <c r="M2740" s="1594">
        <v>4.9036999999999997E-2</v>
      </c>
      <c r="N2740" s="1595">
        <v>1.8141103522719251</v>
      </c>
      <c r="O2740" s="1595"/>
    </row>
    <row r="2741" spans="11:15">
      <c r="K2741" s="1592">
        <v>44798</v>
      </c>
      <c r="L2741" s="1593" t="s">
        <v>2301</v>
      </c>
      <c r="M2741" s="1594">
        <v>4.9036999999999997E-2</v>
      </c>
      <c r="N2741" s="1595">
        <v>1.8149999375653687</v>
      </c>
      <c r="O2741" s="1595"/>
    </row>
    <row r="2742" spans="11:15">
      <c r="K2742" s="1592">
        <v>44799</v>
      </c>
      <c r="L2742" s="1593" t="s">
        <v>2301</v>
      </c>
      <c r="M2742" s="1594">
        <v>4.9036999999999997E-2</v>
      </c>
      <c r="N2742" s="1595">
        <v>1.8158899590847528</v>
      </c>
      <c r="O2742" s="1595"/>
    </row>
    <row r="2743" spans="11:15">
      <c r="K2743" s="1592">
        <v>44800</v>
      </c>
      <c r="L2743" s="1593"/>
      <c r="M2743" s="1594">
        <v>0</v>
      </c>
      <c r="N2743" s="1595">
        <v>1.8158899590847528</v>
      </c>
      <c r="O2743" s="1595"/>
    </row>
    <row r="2744" spans="11:15">
      <c r="K2744" s="1592">
        <v>44801</v>
      </c>
      <c r="L2744" s="1593"/>
      <c r="M2744" s="1594">
        <v>0</v>
      </c>
      <c r="N2744" s="1595">
        <v>1.8158899590847528</v>
      </c>
      <c r="O2744" s="1595"/>
    </row>
    <row r="2745" spans="11:15">
      <c r="K2745" s="1592">
        <v>44802</v>
      </c>
      <c r="L2745" s="1593" t="s">
        <v>2301</v>
      </c>
      <c r="M2745" s="1594">
        <v>4.9036999999999997E-2</v>
      </c>
      <c r="N2745" s="1595">
        <v>1.8167804170439894</v>
      </c>
      <c r="O2745" s="1595"/>
    </row>
    <row r="2746" spans="11:15">
      <c r="K2746" s="1592">
        <v>44803</v>
      </c>
      <c r="L2746" s="1593" t="s">
        <v>2301</v>
      </c>
      <c r="M2746" s="1594">
        <v>4.9036999999999997E-2</v>
      </c>
      <c r="N2746" s="1595">
        <v>1.8176713116570955</v>
      </c>
      <c r="O2746" s="1595"/>
    </row>
    <row r="2747" spans="11:15">
      <c r="K2747" s="1592">
        <v>44804</v>
      </c>
      <c r="L2747" s="1593" t="s">
        <v>2301</v>
      </c>
      <c r="M2747" s="1594">
        <v>4.9036999999999997E-2</v>
      </c>
      <c r="N2747" s="1595">
        <v>1.8185626431381929</v>
      </c>
      <c r="O2747" s="1595"/>
    </row>
    <row r="2748" spans="11:15">
      <c r="K2748" s="1592">
        <v>44805</v>
      </c>
      <c r="L2748" s="1593" t="s">
        <v>2301</v>
      </c>
      <c r="M2748" s="1594">
        <v>4.9036999999999997E-2</v>
      </c>
      <c r="N2748" s="1595">
        <v>1.8194544117015088</v>
      </c>
      <c r="O2748" s="1595"/>
    </row>
    <row r="2749" spans="11:15">
      <c r="K2749" s="1592">
        <v>44806</v>
      </c>
      <c r="L2749" s="1593" t="s">
        <v>2301</v>
      </c>
      <c r="M2749" s="1594">
        <v>4.9036999999999997E-2</v>
      </c>
      <c r="N2749" s="1595">
        <v>1.8203466175613749</v>
      </c>
      <c r="O2749" s="1595"/>
    </row>
    <row r="2750" spans="11:15">
      <c r="K2750" s="1592">
        <v>44807</v>
      </c>
      <c r="L2750" s="1593"/>
      <c r="M2750" s="1594">
        <v>0</v>
      </c>
      <c r="N2750" s="1595">
        <v>1.8203466175613749</v>
      </c>
      <c r="O2750" s="1595"/>
    </row>
    <row r="2751" spans="11:15">
      <c r="K2751" s="1592">
        <v>44808</v>
      </c>
      <c r="L2751" s="1593"/>
      <c r="M2751" s="1594">
        <v>0</v>
      </c>
      <c r="N2751" s="1595">
        <v>1.8203466175613749</v>
      </c>
      <c r="O2751" s="1595"/>
    </row>
    <row r="2752" spans="11:15">
      <c r="K2752" s="1592">
        <v>44809</v>
      </c>
      <c r="L2752" s="1593" t="s">
        <v>2301</v>
      </c>
      <c r="M2752" s="1594">
        <v>4.9036999999999997E-2</v>
      </c>
      <c r="N2752" s="1595">
        <v>1.8212392609322285</v>
      </c>
      <c r="O2752" s="1595"/>
    </row>
    <row r="2753" spans="11:15">
      <c r="K2753" s="1592">
        <v>44810</v>
      </c>
      <c r="L2753" s="1593" t="s">
        <v>2301</v>
      </c>
      <c r="M2753" s="1594">
        <v>4.9036999999999997E-2</v>
      </c>
      <c r="N2753" s="1595">
        <v>1.822132342028612</v>
      </c>
      <c r="O2753" s="1595"/>
    </row>
    <row r="2754" spans="11:15">
      <c r="K2754" s="1592">
        <v>44811</v>
      </c>
      <c r="L2754" s="1593"/>
      <c r="M2754" s="1594">
        <v>0</v>
      </c>
      <c r="N2754" s="1595">
        <v>1.822132342028612</v>
      </c>
      <c r="O2754" s="1595"/>
    </row>
    <row r="2755" spans="11:15">
      <c r="K2755" s="1592">
        <v>44812</v>
      </c>
      <c r="L2755" s="1593" t="s">
        <v>2301</v>
      </c>
      <c r="M2755" s="1594">
        <v>4.9036999999999997E-2</v>
      </c>
      <c r="N2755" s="1595">
        <v>1.8230258610651726</v>
      </c>
      <c r="O2755" s="1595"/>
    </row>
    <row r="2756" spans="11:15">
      <c r="K2756" s="1592">
        <v>44813</v>
      </c>
      <c r="L2756" s="1593" t="s">
        <v>2301</v>
      </c>
      <c r="M2756" s="1594">
        <v>4.9036999999999997E-2</v>
      </c>
      <c r="N2756" s="1595">
        <v>1.8239198182566634</v>
      </c>
      <c r="O2756" s="1595"/>
    </row>
    <row r="2757" spans="11:15">
      <c r="K2757" s="1592">
        <v>44814</v>
      </c>
      <c r="L2757" s="1593"/>
      <c r="M2757" s="1594">
        <v>0</v>
      </c>
      <c r="N2757" s="1595">
        <v>1.8239198182566634</v>
      </c>
      <c r="O2757" s="1595"/>
    </row>
    <row r="2758" spans="11:15">
      <c r="K2758" s="1592">
        <v>44815</v>
      </c>
      <c r="L2758" s="1593"/>
      <c r="M2758" s="1594">
        <v>0</v>
      </c>
      <c r="N2758" s="1595">
        <v>1.8239198182566634</v>
      </c>
      <c r="O2758" s="1595"/>
    </row>
    <row r="2759" spans="11:15">
      <c r="K2759" s="1592">
        <v>44816</v>
      </c>
      <c r="L2759" s="1593" t="s">
        <v>2301</v>
      </c>
      <c r="M2759" s="1594">
        <v>4.9036999999999997E-2</v>
      </c>
      <c r="N2759" s="1595">
        <v>1.824814213817942</v>
      </c>
      <c r="O2759" s="1595"/>
    </row>
    <row r="2760" spans="11:15">
      <c r="K2760" s="1592">
        <v>44817</v>
      </c>
      <c r="L2760" s="1593" t="s">
        <v>2301</v>
      </c>
      <c r="M2760" s="1594">
        <v>4.9036999999999997E-2</v>
      </c>
      <c r="N2760" s="1595">
        <v>1.8257090479639719</v>
      </c>
      <c r="O2760" s="1595"/>
    </row>
    <row r="2761" spans="11:15">
      <c r="K2761" s="1592">
        <v>44818</v>
      </c>
      <c r="L2761" s="1593" t="s">
        <v>2301</v>
      </c>
      <c r="M2761" s="1594">
        <v>4.9036999999999997E-2</v>
      </c>
      <c r="N2761" s="1595">
        <v>1.8266043209098222</v>
      </c>
      <c r="O2761" s="1595"/>
    </row>
    <row r="2762" spans="11:15">
      <c r="K2762" s="1592">
        <v>44819</v>
      </c>
      <c r="L2762" s="1593" t="s">
        <v>2301</v>
      </c>
      <c r="M2762" s="1594">
        <v>4.9036999999999997E-2</v>
      </c>
      <c r="N2762" s="1595">
        <v>1.8275000328706668</v>
      </c>
      <c r="O2762" s="1595"/>
    </row>
    <row r="2763" spans="11:15">
      <c r="K2763" s="1592">
        <v>44820</v>
      </c>
      <c r="L2763" s="1593" t="s">
        <v>2301</v>
      </c>
      <c r="M2763" s="1594">
        <v>4.9036999999999997E-2</v>
      </c>
      <c r="N2763" s="1595">
        <v>1.8283961840617857</v>
      </c>
      <c r="O2763" s="1595"/>
    </row>
    <row r="2764" spans="11:15">
      <c r="K2764" s="1592">
        <v>44821</v>
      </c>
      <c r="L2764" s="1593"/>
      <c r="M2764" s="1594">
        <v>0</v>
      </c>
      <c r="N2764" s="1595">
        <v>1.8283961840617857</v>
      </c>
      <c r="O2764" s="1595"/>
    </row>
    <row r="2765" spans="11:15">
      <c r="K2765" s="1592">
        <v>44822</v>
      </c>
      <c r="L2765" s="1593"/>
      <c r="M2765" s="1594">
        <v>0</v>
      </c>
      <c r="N2765" s="1595">
        <v>1.8283961840617857</v>
      </c>
      <c r="O2765" s="1595"/>
    </row>
    <row r="2766" spans="11:15">
      <c r="K2766" s="1592">
        <v>44823</v>
      </c>
      <c r="L2766" s="1593" t="s">
        <v>2301</v>
      </c>
      <c r="M2766" s="1594">
        <v>4.9036999999999997E-2</v>
      </c>
      <c r="N2766" s="1595">
        <v>1.8292927746985643</v>
      </c>
      <c r="O2766" s="1595"/>
    </row>
    <row r="2767" spans="11:15">
      <c r="K2767" s="1592">
        <v>44824</v>
      </c>
      <c r="L2767" s="1593" t="s">
        <v>2301</v>
      </c>
      <c r="M2767" s="1594">
        <v>4.9036999999999997E-2</v>
      </c>
      <c r="N2767" s="1595">
        <v>1.8301898049964933</v>
      </c>
      <c r="O2767" s="1595"/>
    </row>
    <row r="2768" spans="11:15">
      <c r="K2768" s="1592">
        <v>44825</v>
      </c>
      <c r="L2768" s="1593" t="s">
        <v>2301</v>
      </c>
      <c r="M2768" s="1594">
        <v>4.9036999999999997E-2</v>
      </c>
      <c r="N2768" s="1595">
        <v>1.8310872751711695</v>
      </c>
      <c r="O2768" s="1595"/>
    </row>
    <row r="2769" spans="11:15">
      <c r="K2769" s="1592">
        <v>44826</v>
      </c>
      <c r="L2769" s="1593" t="s">
        <v>2301</v>
      </c>
      <c r="M2769" s="1594">
        <v>4.9036999999999997E-2</v>
      </c>
      <c r="N2769" s="1595">
        <v>1.8319851854382954</v>
      </c>
      <c r="O2769" s="1595"/>
    </row>
    <row r="2770" spans="11:15">
      <c r="K2770" s="1592">
        <v>44827</v>
      </c>
      <c r="L2770" s="1593" t="s">
        <v>2301</v>
      </c>
      <c r="M2770" s="1594">
        <v>4.9036999999999997E-2</v>
      </c>
      <c r="N2770" s="1595">
        <v>1.8328835360136788</v>
      </c>
      <c r="O2770" s="1595"/>
    </row>
    <row r="2771" spans="11:15">
      <c r="K2771" s="1592">
        <v>44828</v>
      </c>
      <c r="L2771" s="1593"/>
      <c r="M2771" s="1594">
        <v>0</v>
      </c>
      <c r="N2771" s="1595">
        <v>1.8328835360136788</v>
      </c>
      <c r="O2771" s="1595"/>
    </row>
    <row r="2772" spans="11:15">
      <c r="K2772" s="1592">
        <v>44829</v>
      </c>
      <c r="L2772" s="1593"/>
      <c r="M2772" s="1594">
        <v>0</v>
      </c>
      <c r="N2772" s="1595">
        <v>1.8328835360136788</v>
      </c>
      <c r="O2772" s="1595"/>
    </row>
    <row r="2773" spans="11:15">
      <c r="K2773" s="1592">
        <v>44830</v>
      </c>
      <c r="L2773" s="1593" t="s">
        <v>2301</v>
      </c>
      <c r="M2773" s="1594">
        <v>4.9036999999999997E-2</v>
      </c>
      <c r="N2773" s="1595">
        <v>1.8337823271132341</v>
      </c>
      <c r="O2773" s="1595"/>
    </row>
    <row r="2774" spans="11:15">
      <c r="K2774" s="1592">
        <v>44831</v>
      </c>
      <c r="L2774" s="1593" t="s">
        <v>2301</v>
      </c>
      <c r="M2774" s="1594">
        <v>4.9036999999999997E-2</v>
      </c>
      <c r="N2774" s="1595">
        <v>1.8346815589529808</v>
      </c>
      <c r="O2774" s="1595"/>
    </row>
    <row r="2775" spans="11:15">
      <c r="K2775" s="1592">
        <v>44832</v>
      </c>
      <c r="L2775" s="1593" t="s">
        <v>2301</v>
      </c>
      <c r="M2775" s="1594">
        <v>4.9036999999999997E-2</v>
      </c>
      <c r="N2775" s="1595">
        <v>1.8355812317490448</v>
      </c>
      <c r="O2775" s="1595"/>
    </row>
    <row r="2776" spans="11:15">
      <c r="K2776" s="1592">
        <v>44833</v>
      </c>
      <c r="L2776" s="1593" t="s">
        <v>2301</v>
      </c>
      <c r="M2776" s="1594">
        <v>4.9036999999999997E-2</v>
      </c>
      <c r="N2776" s="1595">
        <v>1.8364813457176576</v>
      </c>
      <c r="O2776" s="1595"/>
    </row>
    <row r="2777" spans="11:15">
      <c r="K2777" s="1592">
        <v>44834</v>
      </c>
      <c r="L2777" s="1593" t="s">
        <v>2301</v>
      </c>
      <c r="M2777" s="1594">
        <v>4.9036999999999997E-2</v>
      </c>
      <c r="N2777" s="1595">
        <v>1.8373819010751573</v>
      </c>
      <c r="O2777" s="1595"/>
    </row>
    <row r="2778" spans="11:15">
      <c r="K2778" s="1592">
        <v>44835</v>
      </c>
      <c r="L2778" s="1593"/>
      <c r="M2778" s="1594">
        <v>0</v>
      </c>
      <c r="N2778" s="1595">
        <v>1.8373819010751573</v>
      </c>
      <c r="O2778" s="1595"/>
    </row>
    <row r="2779" spans="11:15">
      <c r="K2779" s="1592">
        <v>44836</v>
      </c>
      <c r="L2779" s="1593"/>
      <c r="M2779" s="1594">
        <v>0</v>
      </c>
      <c r="N2779" s="1595">
        <v>1.8373819010751573</v>
      </c>
      <c r="O2779" s="1595"/>
    </row>
    <row r="2780" spans="11:15">
      <c r="K2780" s="1592">
        <v>44837</v>
      </c>
      <c r="L2780" s="1593" t="s">
        <v>2301</v>
      </c>
      <c r="M2780" s="1594">
        <v>4.9036999999999997E-2</v>
      </c>
      <c r="N2780" s="1595">
        <v>1.8382828980379877</v>
      </c>
      <c r="O2780" s="1595"/>
    </row>
    <row r="2781" spans="11:15">
      <c r="K2781" s="1592">
        <v>44838</v>
      </c>
      <c r="L2781" s="1593" t="s">
        <v>2301</v>
      </c>
      <c r="M2781" s="1594">
        <v>4.9036999999999997E-2</v>
      </c>
      <c r="N2781" s="1595">
        <v>1.8391843368226988</v>
      </c>
      <c r="O2781" s="1595"/>
    </row>
    <row r="2782" spans="11:15">
      <c r="K2782" s="1592">
        <v>44839</v>
      </c>
      <c r="L2782" s="1593" t="s">
        <v>2301</v>
      </c>
      <c r="M2782" s="1594">
        <v>4.9036999999999997E-2</v>
      </c>
      <c r="N2782" s="1595">
        <v>1.8400862176459467</v>
      </c>
      <c r="O2782" s="1595"/>
    </row>
    <row r="2783" spans="11:15">
      <c r="K2783" s="1592">
        <v>44840</v>
      </c>
      <c r="L2783" s="1593" t="s">
        <v>2301</v>
      </c>
      <c r="M2783" s="1594">
        <v>4.9036999999999997E-2</v>
      </c>
      <c r="N2783" s="1595">
        <v>1.8409885407244939</v>
      </c>
      <c r="O2783" s="1595"/>
    </row>
    <row r="2784" spans="11:15">
      <c r="K2784" s="1592">
        <v>44841</v>
      </c>
      <c r="L2784" s="1593" t="s">
        <v>2301</v>
      </c>
      <c r="M2784" s="1594">
        <v>4.9036999999999997E-2</v>
      </c>
      <c r="N2784" s="1595">
        <v>1.8418913062752091</v>
      </c>
      <c r="O2784" s="1595"/>
    </row>
    <row r="2785" spans="11:15">
      <c r="K2785" s="1592">
        <v>44842</v>
      </c>
      <c r="L2785" s="1593"/>
      <c r="M2785" s="1594">
        <v>0</v>
      </c>
      <c r="N2785" s="1595">
        <v>1.8418913062752091</v>
      </c>
      <c r="O2785" s="1595"/>
    </row>
    <row r="2786" spans="11:15">
      <c r="K2786" s="1592">
        <v>44843</v>
      </c>
      <c r="L2786" s="1593"/>
      <c r="M2786" s="1594">
        <v>0</v>
      </c>
      <c r="N2786" s="1595">
        <v>1.8418913062752091</v>
      </c>
      <c r="O2786" s="1595"/>
    </row>
    <row r="2787" spans="11:15">
      <c r="K2787" s="1592">
        <v>44844</v>
      </c>
      <c r="L2787" s="1593" t="s">
        <v>2301</v>
      </c>
      <c r="M2787" s="1594">
        <v>4.9036999999999997E-2</v>
      </c>
      <c r="N2787" s="1595">
        <v>1.8427945145150675</v>
      </c>
      <c r="O2787" s="1595"/>
    </row>
    <row r="2788" spans="11:15">
      <c r="K2788" s="1592">
        <v>44845</v>
      </c>
      <c r="L2788" s="1593" t="s">
        <v>2301</v>
      </c>
      <c r="M2788" s="1594">
        <v>4.9036999999999997E-2</v>
      </c>
      <c r="N2788" s="1595">
        <v>1.8436981656611504</v>
      </c>
      <c r="O2788" s="1595"/>
    </row>
    <row r="2789" spans="11:15">
      <c r="K2789" s="1592">
        <v>44846</v>
      </c>
      <c r="L2789" s="1593"/>
      <c r="M2789" s="1594">
        <v>0</v>
      </c>
      <c r="N2789" s="1595">
        <v>1.8436981656611504</v>
      </c>
      <c r="O2789" s="1595"/>
    </row>
    <row r="2790" spans="11:15">
      <c r="K2790" s="1592">
        <v>44847</v>
      </c>
      <c r="L2790" s="1593" t="s">
        <v>2301</v>
      </c>
      <c r="M2790" s="1594">
        <v>4.9036999999999997E-2</v>
      </c>
      <c r="N2790" s="1595">
        <v>1.8446022599306457</v>
      </c>
      <c r="O2790" s="1595"/>
    </row>
    <row r="2791" spans="11:15">
      <c r="K2791" s="1592">
        <v>44848</v>
      </c>
      <c r="L2791" s="1593" t="s">
        <v>2301</v>
      </c>
      <c r="M2791" s="1594">
        <v>4.9036999999999997E-2</v>
      </c>
      <c r="N2791" s="1595">
        <v>1.8455067975408481</v>
      </c>
      <c r="O2791" s="1595"/>
    </row>
    <row r="2792" spans="11:15">
      <c r="K2792" s="1592">
        <v>44849</v>
      </c>
      <c r="L2792" s="1593"/>
      <c r="M2792" s="1594">
        <v>0</v>
      </c>
      <c r="N2792" s="1595">
        <v>1.8455067975408481</v>
      </c>
      <c r="O2792" s="1595"/>
    </row>
    <row r="2793" spans="11:15">
      <c r="K2793" s="1592">
        <v>44850</v>
      </c>
      <c r="L2793" s="1593"/>
      <c r="M2793" s="1594">
        <v>0</v>
      </c>
      <c r="N2793" s="1595">
        <v>1.8455067975408481</v>
      </c>
      <c r="O2793" s="1595"/>
    </row>
    <row r="2794" spans="11:15">
      <c r="K2794" s="1592">
        <v>44851</v>
      </c>
      <c r="L2794" s="1593" t="s">
        <v>2301</v>
      </c>
      <c r="M2794" s="1594">
        <v>4.9036999999999997E-2</v>
      </c>
      <c r="N2794" s="1595">
        <v>1.8464117787091583</v>
      </c>
      <c r="O2794" s="1595"/>
    </row>
    <row r="2795" spans="11:15">
      <c r="K2795" s="1592">
        <v>44852</v>
      </c>
      <c r="L2795" s="1593" t="s">
        <v>2301</v>
      </c>
      <c r="M2795" s="1594">
        <v>4.9036999999999997E-2</v>
      </c>
      <c r="N2795" s="1595">
        <v>1.8473172036530841</v>
      </c>
      <c r="O2795" s="1595"/>
    </row>
    <row r="2796" spans="11:15">
      <c r="K2796" s="1592">
        <v>44853</v>
      </c>
      <c r="L2796" s="1593" t="s">
        <v>2301</v>
      </c>
      <c r="M2796" s="1594">
        <v>4.9036999999999997E-2</v>
      </c>
      <c r="N2796" s="1595">
        <v>1.8482230725902395</v>
      </c>
      <c r="O2796" s="1595"/>
    </row>
    <row r="2797" spans="11:15">
      <c r="K2797" s="1592">
        <v>44854</v>
      </c>
      <c r="L2797" s="1593" t="s">
        <v>2301</v>
      </c>
      <c r="M2797" s="1594">
        <v>4.9036999999999997E-2</v>
      </c>
      <c r="N2797" s="1595">
        <v>1.8491293857383457</v>
      </c>
      <c r="O2797" s="1595"/>
    </row>
    <row r="2798" spans="11:15">
      <c r="K2798" s="1592">
        <v>44855</v>
      </c>
      <c r="L2798" s="1593" t="s">
        <v>2301</v>
      </c>
      <c r="M2798" s="1594">
        <v>4.9036999999999997E-2</v>
      </c>
      <c r="N2798" s="1595">
        <v>1.8500361433152304</v>
      </c>
      <c r="O2798" s="1595"/>
    </row>
    <row r="2799" spans="11:15">
      <c r="K2799" s="1592">
        <v>44856</v>
      </c>
      <c r="L2799" s="1593"/>
      <c r="M2799" s="1594">
        <v>0</v>
      </c>
      <c r="N2799" s="1595">
        <v>1.8500361433152304</v>
      </c>
      <c r="O2799" s="1595"/>
    </row>
    <row r="2800" spans="11:15">
      <c r="K2800" s="1592">
        <v>44857</v>
      </c>
      <c r="L2800" s="1593"/>
      <c r="M2800" s="1594">
        <v>0</v>
      </c>
      <c r="N2800" s="1595">
        <v>1.8500361433152304</v>
      </c>
      <c r="O2800" s="1595"/>
    </row>
    <row r="2801" spans="11:15">
      <c r="K2801" s="1592">
        <v>44858</v>
      </c>
      <c r="L2801" s="1593" t="s">
        <v>2301</v>
      </c>
      <c r="M2801" s="1594">
        <v>4.9036999999999997E-2</v>
      </c>
      <c r="N2801" s="1595">
        <v>1.850943345538828</v>
      </c>
      <c r="O2801" s="1595"/>
    </row>
    <row r="2802" spans="11:15">
      <c r="K2802" s="1592">
        <v>44859</v>
      </c>
      <c r="L2802" s="1593" t="s">
        <v>2301</v>
      </c>
      <c r="M2802" s="1594">
        <v>4.9036999999999997E-2</v>
      </c>
      <c r="N2802" s="1595">
        <v>1.85185099262718</v>
      </c>
      <c r="O2802" s="1595"/>
    </row>
    <row r="2803" spans="11:15">
      <c r="K2803" s="1592">
        <v>44860</v>
      </c>
      <c r="L2803" s="1593" t="s">
        <v>2301</v>
      </c>
      <c r="M2803" s="1594">
        <v>4.9036999999999997E-2</v>
      </c>
      <c r="N2803" s="1595">
        <v>1.8527590847984348</v>
      </c>
      <c r="O2803" s="1595"/>
    </row>
    <row r="2804" spans="11:15">
      <c r="K2804" s="1592">
        <v>44861</v>
      </c>
      <c r="L2804" s="1593" t="s">
        <v>2301</v>
      </c>
      <c r="M2804" s="1594">
        <v>4.9036999999999997E-2</v>
      </c>
      <c r="N2804" s="1595">
        <v>1.8536676222708475</v>
      </c>
      <c r="O2804" s="1595"/>
    </row>
    <row r="2805" spans="11:15">
      <c r="K2805" s="1592">
        <v>44862</v>
      </c>
      <c r="L2805" s="1593" t="s">
        <v>2301</v>
      </c>
      <c r="M2805" s="1594">
        <v>4.9036999999999997E-2</v>
      </c>
      <c r="N2805" s="1595">
        <v>1.8545766052627806</v>
      </c>
      <c r="O2805" s="1595"/>
    </row>
    <row r="2806" spans="11:15">
      <c r="K2806" s="1592">
        <v>44863</v>
      </c>
      <c r="L2806" s="1593"/>
      <c r="M2806" s="1594">
        <v>0</v>
      </c>
      <c r="N2806" s="1595">
        <v>1.8545766052627806</v>
      </c>
      <c r="O2806" s="1595"/>
    </row>
    <row r="2807" spans="11:15">
      <c r="K2807" s="1592">
        <v>44864</v>
      </c>
      <c r="L2807" s="1593"/>
      <c r="M2807" s="1594">
        <v>0</v>
      </c>
      <c r="N2807" s="1595">
        <v>1.8545766052627806</v>
      </c>
      <c r="O2807" s="1595"/>
    </row>
    <row r="2808" spans="11:15">
      <c r="K2808" s="1592">
        <v>44865</v>
      </c>
      <c r="L2808" s="1593" t="s">
        <v>2301</v>
      </c>
      <c r="M2808" s="1594">
        <v>4.9036999999999997E-2</v>
      </c>
      <c r="N2808" s="1595">
        <v>1.8554860339927035</v>
      </c>
      <c r="O2808" s="1595"/>
    </row>
    <row r="2809" spans="11:15">
      <c r="K2809" s="1592">
        <v>44866</v>
      </c>
      <c r="L2809" s="1593" t="s">
        <v>2301</v>
      </c>
      <c r="M2809" s="1594">
        <v>4.9036999999999997E-2</v>
      </c>
      <c r="N2809" s="1595">
        <v>1.8563959086791926</v>
      </c>
      <c r="O2809" s="1595"/>
    </row>
    <row r="2810" spans="11:15">
      <c r="K2810" s="1592">
        <v>44867</v>
      </c>
      <c r="L2810" s="1593"/>
      <c r="M2810" s="1594">
        <v>0</v>
      </c>
      <c r="N2810" s="1595">
        <v>1.8563959086791926</v>
      </c>
      <c r="O2810" s="1595"/>
    </row>
    <row r="2811" spans="11:15">
      <c r="K2811" s="1592">
        <v>44868</v>
      </c>
      <c r="L2811" s="1593" t="s">
        <v>2301</v>
      </c>
      <c r="M2811" s="1594">
        <v>4.9036999999999997E-2</v>
      </c>
      <c r="N2811" s="1595">
        <v>1.8573062295409317</v>
      </c>
      <c r="O2811" s="1595"/>
    </row>
    <row r="2812" spans="11:15">
      <c r="K2812" s="1592">
        <v>44869</v>
      </c>
      <c r="L2812" s="1593" t="s">
        <v>2301</v>
      </c>
      <c r="M2812" s="1594">
        <v>4.9036999999999997E-2</v>
      </c>
      <c r="N2812" s="1595">
        <v>1.8582169967967119</v>
      </c>
      <c r="O2812" s="1595"/>
    </row>
    <row r="2813" spans="11:15">
      <c r="K2813" s="1592">
        <v>44870</v>
      </c>
      <c r="L2813" s="1593"/>
      <c r="M2813" s="1594">
        <v>0</v>
      </c>
      <c r="N2813" s="1595">
        <v>1.8582169967967119</v>
      </c>
      <c r="O2813" s="1595"/>
    </row>
    <row r="2814" spans="11:15">
      <c r="K2814" s="1592">
        <v>44871</v>
      </c>
      <c r="L2814" s="1593"/>
      <c r="M2814" s="1594">
        <v>0</v>
      </c>
      <c r="N2814" s="1595">
        <v>1.8582169967967119</v>
      </c>
      <c r="O2814" s="1595"/>
    </row>
    <row r="2815" spans="11:15">
      <c r="K2815" s="1592">
        <v>44872</v>
      </c>
      <c r="L2815" s="1593" t="s">
        <v>2301</v>
      </c>
      <c r="M2815" s="1594">
        <v>4.9036999999999997E-2</v>
      </c>
      <c r="N2815" s="1595">
        <v>1.8591282106654312</v>
      </c>
      <c r="O2815" s="1595"/>
    </row>
    <row r="2816" spans="11:15">
      <c r="K2816" s="1592">
        <v>44873</v>
      </c>
      <c r="L2816" s="1593" t="s">
        <v>2301</v>
      </c>
      <c r="M2816" s="1594">
        <v>4.9036999999999997E-2</v>
      </c>
      <c r="N2816" s="1595">
        <v>1.8600398713660953</v>
      </c>
      <c r="O2816" s="1595"/>
    </row>
    <row r="2817" spans="11:15">
      <c r="K2817" s="1592">
        <v>44874</v>
      </c>
      <c r="L2817" s="1593" t="s">
        <v>2301</v>
      </c>
      <c r="M2817" s="1594">
        <v>4.9036999999999997E-2</v>
      </c>
      <c r="N2817" s="1595">
        <v>1.8609519791178173</v>
      </c>
      <c r="O2817" s="1595"/>
    </row>
    <row r="2818" spans="11:15">
      <c r="K2818" s="1592">
        <v>44875</v>
      </c>
      <c r="L2818" s="1593" t="s">
        <v>2301</v>
      </c>
      <c r="M2818" s="1594">
        <v>4.9036999999999997E-2</v>
      </c>
      <c r="N2818" s="1595">
        <v>1.8618645341398175</v>
      </c>
      <c r="O2818" s="1595"/>
    </row>
    <row r="2819" spans="11:15">
      <c r="K2819" s="1592">
        <v>44876</v>
      </c>
      <c r="L2819" s="1593" t="s">
        <v>2301</v>
      </c>
      <c r="M2819" s="1594">
        <v>4.9036999999999997E-2</v>
      </c>
      <c r="N2819" s="1595">
        <v>1.8627775366514236</v>
      </c>
      <c r="O2819" s="1595"/>
    </row>
    <row r="2820" spans="11:15">
      <c r="K2820" s="1592">
        <v>44877</v>
      </c>
      <c r="L2820" s="1593"/>
      <c r="M2820" s="1594">
        <v>0</v>
      </c>
      <c r="N2820" s="1595">
        <v>1.8627775366514236</v>
      </c>
      <c r="O2820" s="1595"/>
    </row>
    <row r="2821" spans="11:15">
      <c r="K2821" s="1592">
        <v>44878</v>
      </c>
      <c r="L2821" s="1593"/>
      <c r="M2821" s="1594">
        <v>0</v>
      </c>
      <c r="N2821" s="1595">
        <v>1.8627775366514236</v>
      </c>
      <c r="O2821" s="1595"/>
    </row>
    <row r="2822" spans="11:15">
      <c r="K2822" s="1592">
        <v>44879</v>
      </c>
      <c r="L2822" s="1593" t="s">
        <v>2301</v>
      </c>
      <c r="M2822" s="1594">
        <v>4.9036999999999997E-2</v>
      </c>
      <c r="N2822" s="1595">
        <v>1.8636909868720715</v>
      </c>
      <c r="O2822" s="1595"/>
    </row>
    <row r="2823" spans="11:15">
      <c r="K2823" s="1592">
        <v>44880</v>
      </c>
      <c r="L2823" s="1593"/>
      <c r="M2823" s="1594">
        <v>0</v>
      </c>
      <c r="N2823" s="1595">
        <v>1.8636909868720715</v>
      </c>
      <c r="O2823" s="1595"/>
    </row>
    <row r="2824" spans="11:15">
      <c r="K2824" s="1592">
        <v>44881</v>
      </c>
      <c r="L2824" s="1593" t="s">
        <v>2301</v>
      </c>
      <c r="M2824" s="1594">
        <v>4.9036999999999997E-2</v>
      </c>
      <c r="N2824" s="1595">
        <v>1.8646048850213039</v>
      </c>
      <c r="O2824" s="1595"/>
    </row>
    <row r="2825" spans="11:15">
      <c r="K2825" s="1592">
        <v>44882</v>
      </c>
      <c r="L2825" s="1593" t="s">
        <v>2301</v>
      </c>
      <c r="M2825" s="1594">
        <v>4.9036999999999997E-2</v>
      </c>
      <c r="N2825" s="1595">
        <v>1.8655192313187721</v>
      </c>
      <c r="O2825" s="1595"/>
    </row>
    <row r="2826" spans="11:15">
      <c r="K2826" s="1592">
        <v>44883</v>
      </c>
      <c r="L2826" s="1593" t="s">
        <v>2301</v>
      </c>
      <c r="M2826" s="1594">
        <v>4.9036999999999997E-2</v>
      </c>
      <c r="N2826" s="1595">
        <v>1.866434025984234</v>
      </c>
      <c r="O2826" s="1595"/>
    </row>
    <row r="2827" spans="11:15">
      <c r="K2827" s="1592">
        <v>44884</v>
      </c>
      <c r="L2827" s="1593"/>
      <c r="M2827" s="1594">
        <v>0</v>
      </c>
      <c r="N2827" s="1595">
        <v>1.866434025984234</v>
      </c>
      <c r="O2827" s="1595"/>
    </row>
    <row r="2828" spans="11:15">
      <c r="K2828" s="1592">
        <v>44885</v>
      </c>
      <c r="L2828" s="1593"/>
      <c r="M2828" s="1594">
        <v>0</v>
      </c>
      <c r="N2828" s="1595">
        <v>1.866434025984234</v>
      </c>
      <c r="O2828" s="1595"/>
    </row>
    <row r="2829" spans="11:15">
      <c r="K2829" s="1592">
        <v>44886</v>
      </c>
      <c r="L2829" s="1593" t="s">
        <v>2301</v>
      </c>
      <c r="M2829" s="1594">
        <v>4.9036999999999997E-2</v>
      </c>
      <c r="N2829" s="1595">
        <v>1.867349269237556</v>
      </c>
      <c r="O2829" s="1595"/>
    </row>
    <row r="2830" spans="11:15">
      <c r="K2830" s="1592">
        <v>44887</v>
      </c>
      <c r="L2830" s="1593" t="s">
        <v>2301</v>
      </c>
      <c r="M2830" s="1594">
        <v>4.9036999999999997E-2</v>
      </c>
      <c r="N2830" s="1595">
        <v>1.8682649612987121</v>
      </c>
      <c r="O2830" s="1595"/>
    </row>
    <row r="2831" spans="11:15">
      <c r="K2831" s="1592">
        <v>44888</v>
      </c>
      <c r="L2831" s="1593" t="s">
        <v>2301</v>
      </c>
      <c r="M2831" s="1594">
        <v>4.9036999999999997E-2</v>
      </c>
      <c r="N2831" s="1595">
        <v>1.8691811023877842</v>
      </c>
      <c r="O2831" s="1595"/>
    </row>
    <row r="2832" spans="11:15">
      <c r="K2832" s="1592">
        <v>44889</v>
      </c>
      <c r="L2832" s="1593" t="s">
        <v>2301</v>
      </c>
      <c r="M2832" s="1594">
        <v>4.9036999999999997E-2</v>
      </c>
      <c r="N2832" s="1595">
        <v>1.8700976927249622</v>
      </c>
      <c r="O2832" s="1595"/>
    </row>
    <row r="2833" spans="11:15">
      <c r="K2833" s="1592">
        <v>44890</v>
      </c>
      <c r="L2833" s="1593" t="s">
        <v>2301</v>
      </c>
      <c r="M2833" s="1594">
        <v>4.9036999999999997E-2</v>
      </c>
      <c r="N2833" s="1595">
        <v>1.871014732530544</v>
      </c>
      <c r="O2833" s="1595"/>
    </row>
    <row r="2834" spans="11:15">
      <c r="K2834" s="1592">
        <v>44891</v>
      </c>
      <c r="L2834" s="1593"/>
      <c r="M2834" s="1594">
        <v>0</v>
      </c>
      <c r="N2834" s="1595">
        <v>1.871014732530544</v>
      </c>
      <c r="O2834" s="1595"/>
    </row>
    <row r="2835" spans="11:15">
      <c r="K2835" s="1592">
        <v>44892</v>
      </c>
      <c r="L2835" s="1593"/>
      <c r="M2835" s="1594">
        <v>0</v>
      </c>
      <c r="N2835" s="1595">
        <v>1.871014732530544</v>
      </c>
      <c r="O2835" s="1595"/>
    </row>
    <row r="2836" spans="11:15">
      <c r="K2836" s="1592">
        <v>44893</v>
      </c>
      <c r="L2836" s="1593" t="s">
        <v>2301</v>
      </c>
      <c r="M2836" s="1594">
        <v>4.9036999999999997E-2</v>
      </c>
      <c r="N2836" s="1595">
        <v>1.871932222024935</v>
      </c>
      <c r="O2836" s="1595"/>
    </row>
    <row r="2837" spans="11:15">
      <c r="K2837" s="1592">
        <v>44894</v>
      </c>
      <c r="L2837" s="1593" t="s">
        <v>2301</v>
      </c>
      <c r="M2837" s="1594">
        <v>4.9036999999999997E-2</v>
      </c>
      <c r="N2837" s="1595">
        <v>1.8728501614286495</v>
      </c>
      <c r="O2837" s="1595"/>
    </row>
    <row r="2838" spans="11:15">
      <c r="K2838" s="1592">
        <v>44895</v>
      </c>
      <c r="L2838" s="1593" t="s">
        <v>2301</v>
      </c>
      <c r="M2838" s="1594">
        <v>4.9036999999999997E-2</v>
      </c>
      <c r="N2838" s="1595">
        <v>1.8737685509623094</v>
      </c>
      <c r="O2838" s="1595"/>
    </row>
    <row r="2839" spans="11:15">
      <c r="K2839" s="1592">
        <v>44896</v>
      </c>
      <c r="L2839" s="1593" t="s">
        <v>2301</v>
      </c>
      <c r="M2839" s="1594">
        <v>4.9036999999999997E-2</v>
      </c>
      <c r="N2839" s="1595">
        <v>1.874687390846645</v>
      </c>
      <c r="O2839" s="1595"/>
    </row>
    <row r="2840" spans="11:15">
      <c r="K2840" s="1592">
        <v>44897</v>
      </c>
      <c r="L2840" s="1593" t="s">
        <v>2301</v>
      </c>
      <c r="M2840" s="1594">
        <v>4.9036999999999997E-2</v>
      </c>
      <c r="N2840" s="1595">
        <v>1.8756066813024947</v>
      </c>
      <c r="O2840" s="1595"/>
    </row>
    <row r="2841" spans="11:15">
      <c r="K2841" s="1592">
        <v>44898</v>
      </c>
      <c r="L2841" s="1593"/>
      <c r="M2841" s="1594">
        <v>0</v>
      </c>
      <c r="N2841" s="1595">
        <v>1.8756066813024947</v>
      </c>
      <c r="O2841" s="1595"/>
    </row>
    <row r="2842" spans="11:15">
      <c r="K2842" s="1592">
        <v>44899</v>
      </c>
      <c r="L2842" s="1593"/>
      <c r="M2842" s="1594">
        <v>0</v>
      </c>
      <c r="N2842" s="1595">
        <v>1.8756066813024947</v>
      </c>
      <c r="O2842" s="1595"/>
    </row>
    <row r="2843" spans="11:15">
      <c r="K2843" s="1592">
        <v>44900</v>
      </c>
      <c r="L2843" s="1593" t="s">
        <v>2301</v>
      </c>
      <c r="M2843" s="1594">
        <v>4.9036999999999997E-2</v>
      </c>
      <c r="N2843" s="1595">
        <v>1.8765264225508052</v>
      </c>
      <c r="O2843" s="1595"/>
    </row>
    <row r="2844" spans="11:15">
      <c r="K2844" s="1592">
        <v>44901</v>
      </c>
      <c r="L2844" s="1593" t="s">
        <v>2301</v>
      </c>
      <c r="M2844" s="1594">
        <v>4.9036999999999997E-2</v>
      </c>
      <c r="N2844" s="1595">
        <v>1.8774466148126314</v>
      </c>
      <c r="O2844" s="1595"/>
    </row>
    <row r="2845" spans="11:15">
      <c r="K2845" s="1592">
        <v>44902</v>
      </c>
      <c r="L2845" s="1593" t="s">
        <v>2301</v>
      </c>
      <c r="M2845" s="1594">
        <v>4.9036999999999997E-2</v>
      </c>
      <c r="N2845" s="1595">
        <v>1.8783672583091373</v>
      </c>
      <c r="O2845" s="1595"/>
    </row>
    <row r="2846" spans="11:15">
      <c r="K2846" s="1592">
        <v>44903</v>
      </c>
      <c r="L2846" s="1593" t="s">
        <v>2301</v>
      </c>
      <c r="M2846" s="1594">
        <v>4.9036999999999997E-2</v>
      </c>
      <c r="N2846" s="1595">
        <v>1.8792883532615945</v>
      </c>
      <c r="O2846" s="1595"/>
    </row>
    <row r="2847" spans="11:15">
      <c r="K2847" s="1592">
        <v>44904</v>
      </c>
      <c r="L2847" s="1593" t="s">
        <v>2301</v>
      </c>
      <c r="M2847" s="1594">
        <v>4.9036999999999997E-2</v>
      </c>
      <c r="N2847" s="1595">
        <v>1.8802098998913834</v>
      </c>
      <c r="O2847" s="1595"/>
    </row>
    <row r="2848" spans="11:15">
      <c r="K2848" s="1592">
        <v>44905</v>
      </c>
      <c r="L2848" s="1593"/>
      <c r="M2848" s="1594">
        <v>0</v>
      </c>
      <c r="N2848" s="1595">
        <v>1.8802098998913834</v>
      </c>
      <c r="O2848" s="1595"/>
    </row>
    <row r="2849" spans="11:15">
      <c r="K2849" s="1592">
        <v>44906</v>
      </c>
      <c r="L2849" s="1593"/>
      <c r="M2849" s="1594">
        <v>0</v>
      </c>
      <c r="N2849" s="1595">
        <v>1.8802098998913834</v>
      </c>
      <c r="O2849" s="1595"/>
    </row>
    <row r="2850" spans="11:15">
      <c r="K2850" s="1592">
        <v>44907</v>
      </c>
      <c r="L2850" s="1593" t="s">
        <v>2301</v>
      </c>
      <c r="M2850" s="1594">
        <v>4.9036999999999997E-2</v>
      </c>
      <c r="N2850" s="1595">
        <v>1.8811318984199934</v>
      </c>
      <c r="O2850" s="1595"/>
    </row>
    <row r="2851" spans="11:15">
      <c r="K2851" s="1592">
        <v>44908</v>
      </c>
      <c r="L2851" s="1593" t="s">
        <v>2301</v>
      </c>
      <c r="M2851" s="1594">
        <v>4.9036999999999997E-2</v>
      </c>
      <c r="N2851" s="1595">
        <v>1.8820543490690218</v>
      </c>
      <c r="O2851" s="1595"/>
    </row>
    <row r="2852" spans="11:15">
      <c r="K2852" s="1592">
        <v>44909</v>
      </c>
      <c r="L2852" s="1593" t="s">
        <v>2301</v>
      </c>
      <c r="M2852" s="1594">
        <v>4.9036999999999997E-2</v>
      </c>
      <c r="N2852" s="1595">
        <v>1.8829772520601749</v>
      </c>
      <c r="O2852" s="1595"/>
    </row>
    <row r="2853" spans="11:15">
      <c r="K2853" s="1592">
        <v>44910</v>
      </c>
      <c r="L2853" s="1593" t="s">
        <v>2301</v>
      </c>
      <c r="M2853" s="1594">
        <v>4.9036999999999997E-2</v>
      </c>
      <c r="N2853" s="1595">
        <v>1.8839006076152678</v>
      </c>
      <c r="O2853" s="1595"/>
    </row>
    <row r="2854" spans="11:15">
      <c r="K2854" s="1592">
        <v>44911</v>
      </c>
      <c r="L2854" s="1593" t="s">
        <v>2301</v>
      </c>
      <c r="M2854" s="1594">
        <v>4.9036999999999997E-2</v>
      </c>
      <c r="N2854" s="1595">
        <v>1.8848244159562242</v>
      </c>
      <c r="O2854" s="1595"/>
    </row>
    <row r="2855" spans="11:15">
      <c r="K2855" s="1592">
        <v>44912</v>
      </c>
      <c r="L2855" s="1593"/>
      <c r="M2855" s="1594">
        <v>0</v>
      </c>
      <c r="N2855" s="1595">
        <v>1.8848244159562242</v>
      </c>
      <c r="O2855" s="1595"/>
    </row>
    <row r="2856" spans="11:15">
      <c r="K2856" s="1592">
        <v>44913</v>
      </c>
      <c r="L2856" s="1593"/>
      <c r="M2856" s="1594">
        <v>0</v>
      </c>
      <c r="N2856" s="1595">
        <v>1.8848244159562242</v>
      </c>
      <c r="O2856" s="1595"/>
    </row>
    <row r="2857" spans="11:15">
      <c r="K2857" s="1592">
        <v>44914</v>
      </c>
      <c r="L2857" s="1593" t="s">
        <v>2301</v>
      </c>
      <c r="M2857" s="1594">
        <v>4.9036999999999997E-2</v>
      </c>
      <c r="N2857" s="1595">
        <v>1.8857486773050767</v>
      </c>
      <c r="O2857" s="1595"/>
    </row>
    <row r="2858" spans="11:15">
      <c r="K2858" s="1592">
        <v>44915</v>
      </c>
      <c r="L2858" s="1593" t="s">
        <v>2301</v>
      </c>
      <c r="M2858" s="1594">
        <v>4.9036999999999997E-2</v>
      </c>
      <c r="N2858" s="1595">
        <v>1.8866733918839669</v>
      </c>
      <c r="O2858" s="1595"/>
    </row>
    <row r="2859" spans="11:15">
      <c r="K2859" s="1592">
        <v>44916</v>
      </c>
      <c r="L2859" s="1593" t="s">
        <v>2301</v>
      </c>
      <c r="M2859" s="1594">
        <v>4.9036999999999997E-2</v>
      </c>
      <c r="N2859" s="1595">
        <v>1.8875985599151452</v>
      </c>
      <c r="O2859" s="1595"/>
    </row>
    <row r="2860" spans="11:15">
      <c r="K2860" s="1592">
        <v>44917</v>
      </c>
      <c r="L2860" s="1593" t="s">
        <v>2301</v>
      </c>
      <c r="M2860" s="1594">
        <v>4.9036999999999997E-2</v>
      </c>
      <c r="N2860" s="1595">
        <v>1.888524181620971</v>
      </c>
      <c r="O2860" s="1595"/>
    </row>
    <row r="2861" spans="11:15">
      <c r="K2861" s="1592">
        <v>44918</v>
      </c>
      <c r="L2861" s="1593" t="s">
        <v>2301</v>
      </c>
      <c r="M2861" s="1594">
        <v>4.9036999999999997E-2</v>
      </c>
      <c r="N2861" s="1595">
        <v>1.8894502572239127</v>
      </c>
      <c r="O2861" s="1595"/>
    </row>
    <row r="2862" spans="11:15">
      <c r="K2862" s="1592">
        <v>44919</v>
      </c>
      <c r="L2862" s="1593"/>
      <c r="M2862" s="1594">
        <v>0</v>
      </c>
      <c r="N2862" s="1595">
        <v>1.8894502572239127</v>
      </c>
      <c r="O2862" s="1595"/>
    </row>
    <row r="2863" spans="11:15">
      <c r="K2863" s="1592">
        <v>44920</v>
      </c>
      <c r="L2863" s="1593"/>
      <c r="M2863" s="1594">
        <v>0</v>
      </c>
      <c r="N2863" s="1595">
        <v>1.8894502572239127</v>
      </c>
      <c r="O2863" s="1595"/>
    </row>
    <row r="2864" spans="11:15">
      <c r="K2864" s="1592">
        <v>44921</v>
      </c>
      <c r="L2864" s="1593" t="s">
        <v>2301</v>
      </c>
      <c r="M2864" s="1594">
        <v>4.9036999999999997E-2</v>
      </c>
      <c r="N2864" s="1595">
        <v>1.8903767869465478</v>
      </c>
      <c r="O2864" s="1595"/>
    </row>
    <row r="2865" spans="11:15">
      <c r="K2865" s="1592">
        <v>44922</v>
      </c>
      <c r="L2865" s="1593" t="s">
        <v>2301</v>
      </c>
      <c r="M2865" s="1594">
        <v>4.9036999999999997E-2</v>
      </c>
      <c r="N2865" s="1595">
        <v>1.8913037710115628</v>
      </c>
      <c r="O2865" s="1595"/>
    </row>
    <row r="2866" spans="11:15">
      <c r="K2866" s="1592">
        <v>44923</v>
      </c>
      <c r="L2866" s="1593" t="s">
        <v>2301</v>
      </c>
      <c r="M2866" s="1594">
        <v>4.9036999999999997E-2</v>
      </c>
      <c r="N2866" s="1595">
        <v>1.892231209641754</v>
      </c>
      <c r="O2866" s="1595"/>
    </row>
    <row r="2867" spans="11:15">
      <c r="K2867" s="1592">
        <v>44924</v>
      </c>
      <c r="L2867" s="1593" t="s">
        <v>2301</v>
      </c>
      <c r="M2867" s="1594">
        <v>4.9036999999999997E-2</v>
      </c>
      <c r="N2867" s="1595">
        <v>1.8931591030600261</v>
      </c>
      <c r="O2867" s="1595"/>
    </row>
    <row r="2868" spans="11:15">
      <c r="K2868" s="1592">
        <v>44925</v>
      </c>
      <c r="L2868" s="1593" t="s">
        <v>2301</v>
      </c>
      <c r="M2868" s="1594">
        <v>4.9036999999999997E-2</v>
      </c>
      <c r="N2868" s="1595">
        <v>1.8940874514893937</v>
      </c>
      <c r="O2868" s="1595"/>
    </row>
    <row r="2869" spans="11:15">
      <c r="K2869" s="1592">
        <v>44926</v>
      </c>
      <c r="L2869" s="1593"/>
      <c r="M2869" s="1594">
        <v>0</v>
      </c>
      <c r="N2869" s="1595">
        <v>1.8940874514893937</v>
      </c>
      <c r="O2869" s="1595"/>
    </row>
    <row r="2870" spans="11:15">
      <c r="K2870" s="1592">
        <v>44927</v>
      </c>
      <c r="L2870" s="1593"/>
      <c r="M2870" s="1594">
        <v>0</v>
      </c>
      <c r="N2870" s="1595">
        <v>1.8940874514893937</v>
      </c>
      <c r="O2870" s="1595"/>
    </row>
    <row r="2871" spans="11:15">
      <c r="K2871" s="1592">
        <v>44928</v>
      </c>
      <c r="L2871" s="1593" t="s">
        <v>2301</v>
      </c>
      <c r="M2871" s="1594">
        <v>4.9036999999999997E-2</v>
      </c>
      <c r="N2871" s="1595">
        <v>1.8950162551529808</v>
      </c>
      <c r="O2871" s="1595"/>
    </row>
    <row r="2872" spans="11:15">
      <c r="K2872" s="1592">
        <v>44929</v>
      </c>
      <c r="L2872" s="1593" t="s">
        <v>2301</v>
      </c>
      <c r="M2872" s="1594">
        <v>4.9036999999999997E-2</v>
      </c>
      <c r="N2872" s="1595">
        <v>1.8959455142740202</v>
      </c>
      <c r="O2872" s="1595"/>
    </row>
    <row r="2873" spans="11:15">
      <c r="K2873" s="1592">
        <v>44930</v>
      </c>
      <c r="L2873" s="1593" t="s">
        <v>2301</v>
      </c>
      <c r="M2873" s="1594">
        <v>4.9036999999999997E-2</v>
      </c>
      <c r="N2873" s="1595">
        <v>1.896875229075855</v>
      </c>
      <c r="O2873" s="1595"/>
    </row>
    <row r="2874" spans="11:15">
      <c r="K2874" s="1592">
        <v>44931</v>
      </c>
      <c r="L2874" s="1593" t="s">
        <v>2301</v>
      </c>
      <c r="M2874" s="1594">
        <v>4.9036999999999997E-2</v>
      </c>
      <c r="N2874" s="1595">
        <v>1.8978053997819371</v>
      </c>
      <c r="O2874" s="1595"/>
    </row>
    <row r="2875" spans="11:15">
      <c r="K2875" s="1592">
        <v>44932</v>
      </c>
      <c r="L2875" s="1593" t="s">
        <v>2301</v>
      </c>
      <c r="M2875" s="1594">
        <v>4.9036999999999997E-2</v>
      </c>
      <c r="N2875" s="1595">
        <v>1.8987360266158282</v>
      </c>
      <c r="O2875" s="1595"/>
    </row>
    <row r="2876" spans="11:15">
      <c r="K2876" s="1592">
        <v>44933</v>
      </c>
      <c r="L2876" s="1593"/>
      <c r="M2876" s="1594">
        <v>0</v>
      </c>
      <c r="N2876" s="1595">
        <v>1.8987360266158282</v>
      </c>
      <c r="O2876" s="1595"/>
    </row>
    <row r="2877" spans="11:15">
      <c r="K2877" s="1592">
        <v>44934</v>
      </c>
      <c r="L2877" s="1593"/>
      <c r="M2877" s="1594">
        <v>0</v>
      </c>
      <c r="N2877" s="1595">
        <v>1.8987360266158282</v>
      </c>
      <c r="O2877" s="1595"/>
    </row>
    <row r="2878" spans="11:15">
      <c r="K2878" s="1592">
        <v>44935</v>
      </c>
      <c r="L2878" s="1593" t="s">
        <v>2301</v>
      </c>
      <c r="M2878" s="1594">
        <v>4.9036999999999997E-2</v>
      </c>
      <c r="N2878" s="1595">
        <v>1.8996671098011999</v>
      </c>
      <c r="O2878" s="1595"/>
    </row>
    <row r="2879" spans="11:15">
      <c r="K2879" s="1592">
        <v>44936</v>
      </c>
      <c r="L2879" s="1593" t="s">
        <v>2301</v>
      </c>
      <c r="M2879" s="1594">
        <v>4.9036999999999997E-2</v>
      </c>
      <c r="N2879" s="1595">
        <v>1.9005986495618332</v>
      </c>
      <c r="O2879" s="1595"/>
    </row>
    <row r="2880" spans="11:15">
      <c r="K2880" s="1592">
        <v>44937</v>
      </c>
      <c r="L2880" s="1593" t="s">
        <v>2301</v>
      </c>
      <c r="M2880" s="1594">
        <v>4.9036999999999997E-2</v>
      </c>
      <c r="N2880" s="1595">
        <v>1.901530646121619</v>
      </c>
      <c r="O2880" s="1595"/>
    </row>
    <row r="2881" spans="11:15">
      <c r="K2881" s="1592">
        <v>44938</v>
      </c>
      <c r="L2881" s="1593" t="s">
        <v>2301</v>
      </c>
      <c r="M2881" s="1594">
        <v>4.9036999999999997E-2</v>
      </c>
      <c r="N2881" s="1595">
        <v>1.9024630997045577</v>
      </c>
      <c r="O2881" s="1595"/>
    </row>
    <row r="2882" spans="11:15">
      <c r="K2882" s="1592">
        <v>44939</v>
      </c>
      <c r="L2882" s="1593" t="s">
        <v>2301</v>
      </c>
      <c r="M2882" s="1594">
        <v>4.9036999999999997E-2</v>
      </c>
      <c r="N2882" s="1595">
        <v>1.90339601053476</v>
      </c>
      <c r="O2882" s="1595"/>
    </row>
    <row r="2883" spans="11:15">
      <c r="K2883" s="1592">
        <v>44940</v>
      </c>
      <c r="L2883" s="1593"/>
      <c r="M2883" s="1594">
        <v>0</v>
      </c>
      <c r="N2883" s="1595">
        <v>1.90339601053476</v>
      </c>
      <c r="O2883" s="1595"/>
    </row>
    <row r="2884" spans="11:15">
      <c r="K2884" s="1592">
        <v>44941</v>
      </c>
      <c r="L2884" s="1593"/>
      <c r="M2884" s="1594">
        <v>0</v>
      </c>
      <c r="N2884" s="1595">
        <v>1.90339601053476</v>
      </c>
      <c r="O2884" s="1595"/>
    </row>
    <row r="2885" spans="11:15">
      <c r="K2885" s="1592">
        <v>44942</v>
      </c>
      <c r="L2885" s="1593" t="s">
        <v>2301</v>
      </c>
      <c r="M2885" s="1594">
        <v>4.9036999999999997E-2</v>
      </c>
      <c r="N2885" s="1595">
        <v>1.9043293788364462</v>
      </c>
      <c r="O2885" s="1595"/>
    </row>
    <row r="2886" spans="11:15">
      <c r="K2886" s="1592">
        <v>44943</v>
      </c>
      <c r="L2886" s="1593" t="s">
        <v>2301</v>
      </c>
      <c r="M2886" s="1594">
        <v>4.9036999999999997E-2</v>
      </c>
      <c r="N2886" s="1595">
        <v>1.9052632048339464</v>
      </c>
      <c r="O2886" s="1595"/>
    </row>
    <row r="2887" spans="11:15">
      <c r="K2887" s="1592">
        <v>44944</v>
      </c>
      <c r="L2887" s="1593" t="s">
        <v>2301</v>
      </c>
      <c r="M2887" s="1594">
        <v>4.9036999999999997E-2</v>
      </c>
      <c r="N2887" s="1595">
        <v>1.906197488751701</v>
      </c>
      <c r="O2887" s="1595"/>
    </row>
    <row r="2888" spans="11:15">
      <c r="K2888" s="1592">
        <v>44945</v>
      </c>
      <c r="L2888" s="1593" t="s">
        <v>2301</v>
      </c>
      <c r="M2888" s="1594">
        <v>4.9036999999999997E-2</v>
      </c>
      <c r="N2888" s="1595">
        <v>1.9071322308142604</v>
      </c>
      <c r="O2888" s="1595"/>
    </row>
    <row r="2889" spans="11:15">
      <c r="K2889" s="1592">
        <v>44946</v>
      </c>
      <c r="L2889" s="1593" t="s">
        <v>2301</v>
      </c>
      <c r="M2889" s="1594">
        <v>4.9036999999999997E-2</v>
      </c>
      <c r="N2889" s="1595">
        <v>1.9080674312462849</v>
      </c>
      <c r="O2889" s="1595"/>
    </row>
    <row r="2890" spans="11:15">
      <c r="K2890" s="1592">
        <v>44947</v>
      </c>
      <c r="L2890" s="1593"/>
      <c r="M2890" s="1594">
        <v>0</v>
      </c>
      <c r="N2890" s="1595">
        <v>1.9080674312462849</v>
      </c>
      <c r="O2890" s="1595"/>
    </row>
    <row r="2891" spans="11:15">
      <c r="K2891" s="1592">
        <v>44948</v>
      </c>
      <c r="L2891" s="1593"/>
      <c r="M2891" s="1594">
        <v>0</v>
      </c>
      <c r="N2891" s="1595">
        <v>1.9080674312462849</v>
      </c>
      <c r="O2891" s="1595"/>
    </row>
    <row r="2892" spans="11:15">
      <c r="K2892" s="1592">
        <v>44949</v>
      </c>
      <c r="L2892" s="1593" t="s">
        <v>2301</v>
      </c>
      <c r="M2892" s="1594">
        <v>4.9036999999999997E-2</v>
      </c>
      <c r="N2892" s="1595">
        <v>1.9090030902725452</v>
      </c>
      <c r="O2892" s="1595"/>
    </row>
    <row r="2893" spans="11:15">
      <c r="K2893" s="1592">
        <v>44950</v>
      </c>
      <c r="L2893" s="1593" t="s">
        <v>2301</v>
      </c>
      <c r="M2893" s="1594">
        <v>4.9036999999999997E-2</v>
      </c>
      <c r="N2893" s="1595">
        <v>1.9099392081179223</v>
      </c>
      <c r="O2893" s="1595"/>
    </row>
    <row r="2894" spans="11:15">
      <c r="K2894" s="1592">
        <v>44951</v>
      </c>
      <c r="L2894" s="1593" t="s">
        <v>2301</v>
      </c>
      <c r="M2894" s="1594">
        <v>4.9036999999999997E-2</v>
      </c>
      <c r="N2894" s="1595">
        <v>1.9108757850074072</v>
      </c>
      <c r="O2894" s="1595"/>
    </row>
    <row r="2895" spans="11:15">
      <c r="K2895" s="1592">
        <v>44952</v>
      </c>
      <c r="L2895" s="1593" t="s">
        <v>2301</v>
      </c>
      <c r="M2895" s="1594">
        <v>4.9036999999999997E-2</v>
      </c>
      <c r="N2895" s="1595">
        <v>1.9118128211661014</v>
      </c>
      <c r="O2895" s="1595"/>
    </row>
    <row r="2896" spans="11:15">
      <c r="K2896" s="1592">
        <v>44953</v>
      </c>
      <c r="L2896" s="1593" t="s">
        <v>2301</v>
      </c>
      <c r="M2896" s="1594">
        <v>4.9036999999999997E-2</v>
      </c>
      <c r="N2896" s="1595">
        <v>1.9127503168192168</v>
      </c>
      <c r="O2896" s="1595"/>
    </row>
    <row r="2897" spans="11:15">
      <c r="K2897" s="1592">
        <v>44954</v>
      </c>
      <c r="L2897" s="1593"/>
      <c r="M2897" s="1594">
        <v>0</v>
      </c>
      <c r="N2897" s="1595">
        <v>1.9127503168192168</v>
      </c>
      <c r="O2897" s="1595"/>
    </row>
    <row r="2898" spans="11:15">
      <c r="K2898" s="1592">
        <v>44955</v>
      </c>
      <c r="L2898" s="1593"/>
      <c r="M2898" s="1594">
        <v>0</v>
      </c>
      <c r="N2898" s="1595">
        <v>1.9127503168192168</v>
      </c>
      <c r="O2898" s="1595"/>
    </row>
    <row r="2899" spans="11:15">
      <c r="K2899" s="1592">
        <v>44956</v>
      </c>
      <c r="L2899" s="1593" t="s">
        <v>2301</v>
      </c>
      <c r="M2899" s="1594">
        <v>4.9036999999999997E-2</v>
      </c>
      <c r="N2899" s="1595">
        <v>1.9136882721920756</v>
      </c>
      <c r="O2899" s="1595"/>
    </row>
    <row r="2900" spans="11:15">
      <c r="K2900" s="1592">
        <v>44957</v>
      </c>
      <c r="L2900" s="1593" t="s">
        <v>2301</v>
      </c>
      <c r="M2900" s="1594">
        <v>4.9036999999999997E-2</v>
      </c>
      <c r="N2900" s="1595">
        <v>1.9146266875101106</v>
      </c>
      <c r="O2900" s="1595"/>
    </row>
    <row r="2901" spans="11:15">
      <c r="K2901" s="1592">
        <v>44958</v>
      </c>
      <c r="L2901" s="1593" t="s">
        <v>2301</v>
      </c>
      <c r="M2901" s="1594">
        <v>4.9036999999999997E-2</v>
      </c>
      <c r="N2901" s="1595">
        <v>1.915565562998865</v>
      </c>
      <c r="O2901" s="1595"/>
    </row>
    <row r="2902" spans="11:15">
      <c r="K2902" s="1592">
        <v>44959</v>
      </c>
      <c r="L2902" s="1593" t="s">
        <v>2301</v>
      </c>
      <c r="M2902" s="1594">
        <v>4.9036999999999997E-2</v>
      </c>
      <c r="N2902" s="1595">
        <v>1.916504898883993</v>
      </c>
      <c r="O2902" s="1595"/>
    </row>
    <row r="2903" spans="11:15">
      <c r="K2903" s="1592">
        <v>44960</v>
      </c>
      <c r="L2903" s="1593" t="s">
        <v>2301</v>
      </c>
      <c r="M2903" s="1594">
        <v>4.9036999999999997E-2</v>
      </c>
      <c r="N2903" s="1595">
        <v>1.9174446953912589</v>
      </c>
      <c r="O2903" s="1595"/>
    </row>
    <row r="2904" spans="11:15">
      <c r="K2904" s="1592">
        <v>44961</v>
      </c>
      <c r="L2904" s="1593"/>
      <c r="M2904" s="1594">
        <v>0</v>
      </c>
      <c r="N2904" s="1595">
        <v>1.9174446953912589</v>
      </c>
      <c r="O2904" s="1595"/>
    </row>
    <row r="2905" spans="11:15">
      <c r="K2905" s="1592">
        <v>44962</v>
      </c>
      <c r="L2905" s="1593"/>
      <c r="M2905" s="1594">
        <v>0</v>
      </c>
      <c r="N2905" s="1595">
        <v>1.9174446953912589</v>
      </c>
      <c r="O2905" s="1595"/>
    </row>
    <row r="2906" spans="11:15">
      <c r="K2906" s="1592">
        <v>44963</v>
      </c>
      <c r="L2906" s="1593" t="s">
        <v>2301</v>
      </c>
      <c r="M2906" s="1594">
        <v>4.9036999999999997E-2</v>
      </c>
      <c r="N2906" s="1595">
        <v>1.9183849527465382</v>
      </c>
      <c r="O2906" s="1595"/>
    </row>
    <row r="2907" spans="11:15">
      <c r="K2907" s="1592">
        <v>44964</v>
      </c>
      <c r="L2907" s="1593" t="s">
        <v>2301</v>
      </c>
      <c r="M2907" s="1594">
        <v>4.9036999999999997E-2</v>
      </c>
      <c r="N2907" s="1595">
        <v>1.9193256711758166</v>
      </c>
      <c r="O2907" s="1595"/>
    </row>
    <row r="2908" spans="11:15">
      <c r="K2908" s="1592">
        <v>44965</v>
      </c>
      <c r="L2908" s="1593" t="s">
        <v>2301</v>
      </c>
      <c r="M2908" s="1594">
        <v>4.9036999999999997E-2</v>
      </c>
      <c r="N2908" s="1595">
        <v>1.9202668509051912</v>
      </c>
      <c r="O2908" s="1595"/>
    </row>
    <row r="2909" spans="11:15">
      <c r="K2909" s="1592">
        <v>44966</v>
      </c>
      <c r="L2909" s="1593" t="s">
        <v>2301</v>
      </c>
      <c r="M2909" s="1594">
        <v>4.9036999999999997E-2</v>
      </c>
      <c r="N2909" s="1595">
        <v>1.9212084921608696</v>
      </c>
      <c r="O2909" s="1595"/>
    </row>
    <row r="2910" spans="11:15">
      <c r="K2910" s="1592">
        <v>44967</v>
      </c>
      <c r="L2910" s="1593" t="s">
        <v>2301</v>
      </c>
      <c r="M2910" s="1594">
        <v>4.9036999999999997E-2</v>
      </c>
      <c r="N2910" s="1595">
        <v>1.9221505951691706</v>
      </c>
      <c r="O2910" s="1595"/>
    </row>
    <row r="2911" spans="11:15">
      <c r="K2911" s="1592">
        <v>44968</v>
      </c>
      <c r="L2911" s="1593"/>
      <c r="M2911" s="1594">
        <v>0</v>
      </c>
      <c r="N2911" s="1595">
        <v>1.9221505951691706</v>
      </c>
      <c r="O2911" s="1595"/>
    </row>
    <row r="2912" spans="11:15">
      <c r="K2912" s="1592">
        <v>44969</v>
      </c>
      <c r="L2912" s="1593"/>
      <c r="M2912" s="1594">
        <v>0</v>
      </c>
      <c r="N2912" s="1595">
        <v>1.9221505951691706</v>
      </c>
      <c r="O2912" s="1595"/>
    </row>
    <row r="2913" spans="11:15">
      <c r="K2913" s="1592">
        <v>44970</v>
      </c>
      <c r="L2913" s="1593" t="s">
        <v>2301</v>
      </c>
      <c r="M2913" s="1594">
        <v>4.9036999999999997E-2</v>
      </c>
      <c r="N2913" s="1595">
        <v>1.923093160156524</v>
      </c>
      <c r="O2913" s="1595"/>
    </row>
    <row r="2914" spans="11:15">
      <c r="K2914" s="1592">
        <v>44971</v>
      </c>
      <c r="L2914" s="1593" t="s">
        <v>2301</v>
      </c>
      <c r="M2914" s="1594">
        <v>4.9036999999999997E-2</v>
      </c>
      <c r="N2914" s="1595">
        <v>1.92403618734947</v>
      </c>
      <c r="O2914" s="1595"/>
    </row>
    <row r="2915" spans="11:15">
      <c r="K2915" s="1592">
        <v>44972</v>
      </c>
      <c r="L2915" s="1593" t="s">
        <v>2301</v>
      </c>
      <c r="M2915" s="1594">
        <v>4.9036999999999997E-2</v>
      </c>
      <c r="N2915" s="1595">
        <v>1.9249796769746608</v>
      </c>
      <c r="O2915" s="1595"/>
    </row>
    <row r="2916" spans="11:15">
      <c r="K2916" s="1592">
        <v>44973</v>
      </c>
      <c r="L2916" s="1593" t="s">
        <v>2301</v>
      </c>
      <c r="M2916" s="1594">
        <v>4.9036999999999997E-2</v>
      </c>
      <c r="N2916" s="1595">
        <v>1.9259236292588591</v>
      </c>
      <c r="O2916" s="1595"/>
    </row>
    <row r="2917" spans="11:15">
      <c r="K2917" s="1592">
        <v>44974</v>
      </c>
      <c r="L2917" s="1593" t="s">
        <v>2301</v>
      </c>
      <c r="M2917" s="1594">
        <v>4.9036999999999997E-2</v>
      </c>
      <c r="N2917" s="1595">
        <v>1.9268680444289388</v>
      </c>
      <c r="O2917" s="1595"/>
    </row>
    <row r="2918" spans="11:15">
      <c r="K2918" s="1592">
        <v>44975</v>
      </c>
      <c r="L2918" s="1593"/>
      <c r="M2918" s="1594">
        <v>0</v>
      </c>
      <c r="N2918" s="1595">
        <v>1.9268680444289388</v>
      </c>
      <c r="O2918" s="1595"/>
    </row>
    <row r="2919" spans="11:15">
      <c r="K2919" s="1592">
        <v>44976</v>
      </c>
      <c r="L2919" s="1593"/>
      <c r="M2919" s="1594">
        <v>0</v>
      </c>
      <c r="N2919" s="1595">
        <v>1.9268680444289388</v>
      </c>
      <c r="O2919" s="1595"/>
    </row>
    <row r="2920" spans="11:15">
      <c r="K2920" s="1592">
        <v>44977</v>
      </c>
      <c r="L2920" s="1593"/>
      <c r="M2920" s="1594">
        <v>0</v>
      </c>
      <c r="N2920" s="1595">
        <v>1.9268680444289388</v>
      </c>
      <c r="O2920" s="1595"/>
    </row>
    <row r="2921" spans="11:15">
      <c r="K2921" s="1592">
        <v>44978</v>
      </c>
      <c r="L2921" s="1593"/>
      <c r="M2921" s="1594">
        <v>0</v>
      </c>
      <c r="N2921" s="1595">
        <v>1.9268680444289388</v>
      </c>
      <c r="O2921" s="1595"/>
    </row>
    <row r="2922" spans="11:15">
      <c r="K2922" s="1592">
        <v>44979</v>
      </c>
      <c r="L2922" s="1593" t="s">
        <v>2301</v>
      </c>
      <c r="M2922" s="1594">
        <v>4.9036999999999997E-2</v>
      </c>
      <c r="N2922" s="1595">
        <v>1.9278129227118856</v>
      </c>
      <c r="O2922" s="1595"/>
    </row>
    <row r="2923" spans="11:15">
      <c r="K2923" s="1592">
        <v>44980</v>
      </c>
      <c r="L2923" s="1593" t="s">
        <v>2301</v>
      </c>
      <c r="M2923" s="1594">
        <v>4.9036999999999997E-2</v>
      </c>
      <c r="N2923" s="1595">
        <v>1.928758264334796</v>
      </c>
      <c r="O2923" s="1595"/>
    </row>
    <row r="2924" spans="11:15">
      <c r="K2924" s="1592">
        <v>44981</v>
      </c>
      <c r="L2924" s="1593" t="s">
        <v>2301</v>
      </c>
      <c r="M2924" s="1594">
        <v>4.9036999999999997E-2</v>
      </c>
      <c r="N2924" s="1595">
        <v>1.9297040695248779</v>
      </c>
      <c r="O2924" s="1595"/>
    </row>
    <row r="2925" spans="11:15">
      <c r="K2925" s="1592">
        <v>44982</v>
      </c>
      <c r="L2925" s="1593"/>
      <c r="M2925" s="1594">
        <v>0</v>
      </c>
      <c r="N2925" s="1595">
        <v>1.9297040695248779</v>
      </c>
      <c r="O2925" s="1595"/>
    </row>
    <row r="2926" spans="11:15">
      <c r="K2926" s="1592">
        <v>44983</v>
      </c>
      <c r="L2926" s="1593"/>
      <c r="M2926" s="1594">
        <v>0</v>
      </c>
      <c r="N2926" s="1595">
        <v>1.9297040695248779</v>
      </c>
      <c r="O2926" s="1595"/>
    </row>
    <row r="2927" spans="11:15">
      <c r="K2927" s="1592">
        <v>44984</v>
      </c>
      <c r="L2927" s="1593" t="s">
        <v>2301</v>
      </c>
      <c r="M2927" s="1594">
        <v>4.9036999999999997E-2</v>
      </c>
      <c r="N2927" s="1595">
        <v>1.9306503385094509</v>
      </c>
      <c r="O2927" s="1595"/>
    </row>
    <row r="2928" spans="11:15">
      <c r="K2928" s="1592">
        <v>44985</v>
      </c>
      <c r="L2928" s="1593" t="s">
        <v>2301</v>
      </c>
      <c r="M2928" s="1594">
        <v>4.9036999999999997E-2</v>
      </c>
      <c r="N2928" s="1595">
        <v>1.9315970715159458</v>
      </c>
      <c r="O2928" s="1595"/>
    </row>
    <row r="2929" spans="11:15">
      <c r="K2929" s="1592">
        <v>44986</v>
      </c>
      <c r="L2929" s="1593" t="s">
        <v>2301</v>
      </c>
      <c r="M2929" s="1594">
        <v>4.9036999999999997E-2</v>
      </c>
      <c r="N2929" s="1595">
        <v>1.9325442687719052</v>
      </c>
      <c r="O2929" s="1595"/>
    </row>
    <row r="2930" spans="11:15">
      <c r="K2930" s="1592">
        <v>44987</v>
      </c>
      <c r="L2930" s="1596" t="s">
        <v>2301</v>
      </c>
      <c r="M2930" s="906">
        <v>4.9036999999999997E-2</v>
      </c>
      <c r="N2930" s="1596">
        <v>1.9334919305049831</v>
      </c>
      <c r="O2930" s="1596"/>
    </row>
    <row r="2931" spans="11:15">
      <c r="K2931" s="1592">
        <v>44988</v>
      </c>
      <c r="L2931" s="1596" t="s">
        <v>2301</v>
      </c>
      <c r="M2931" s="906">
        <v>4.9036999999999997E-2</v>
      </c>
      <c r="N2931" s="1596">
        <v>1.934440056942945</v>
      </c>
      <c r="O2931" s="1596"/>
    </row>
    <row r="2932" spans="11:15">
      <c r="K2932" s="1592">
        <v>44989</v>
      </c>
      <c r="L2932" s="1596"/>
      <c r="M2932" s="906">
        <v>0</v>
      </c>
      <c r="N2932" s="1596">
        <v>1.934440056942945</v>
      </c>
      <c r="O2932" s="1596"/>
    </row>
    <row r="2933" spans="11:15">
      <c r="K2933" s="1592">
        <v>44990</v>
      </c>
      <c r="L2933" s="1596"/>
      <c r="M2933" s="906">
        <v>0</v>
      </c>
      <c r="N2933" s="1596">
        <v>1.934440056942945</v>
      </c>
      <c r="O2933" s="1596"/>
    </row>
    <row r="2934" spans="11:15">
      <c r="K2934" s="1592">
        <v>44991</v>
      </c>
      <c r="L2934" s="1596" t="s">
        <v>2301</v>
      </c>
      <c r="M2934" s="906">
        <v>4.9036999999999997E-2</v>
      </c>
      <c r="N2934" s="1596">
        <v>1.9353886483136682</v>
      </c>
      <c r="O2934" s="1596"/>
    </row>
    <row r="2935" spans="11:15">
      <c r="K2935" s="1592">
        <v>44992</v>
      </c>
      <c r="L2935" s="1596" t="s">
        <v>2301</v>
      </c>
      <c r="M2935" s="906">
        <v>4.9036999999999997E-2</v>
      </c>
      <c r="N2935" s="1596">
        <v>1.936337704845142</v>
      </c>
      <c r="O2935" s="1596"/>
    </row>
    <row r="2936" spans="11:15">
      <c r="K2936" s="1592">
        <v>44993</v>
      </c>
      <c r="L2936" s="1596" t="s">
        <v>2301</v>
      </c>
      <c r="M2936" s="906">
        <v>4.9036999999999997E-2</v>
      </c>
      <c r="N2936" s="1596">
        <v>1.9372872267654671</v>
      </c>
      <c r="O2936" s="1596"/>
    </row>
    <row r="2937" spans="11:15">
      <c r="K2937" s="1592">
        <v>44994</v>
      </c>
      <c r="L2937" s="1596" t="s">
        <v>2301</v>
      </c>
      <c r="M2937" s="906">
        <v>4.9036999999999997E-2</v>
      </c>
      <c r="N2937" s="1596">
        <v>1.9382372143028561</v>
      </c>
      <c r="O2937" s="1596"/>
    </row>
    <row r="2938" spans="11:15">
      <c r="K2938" s="1592">
        <v>44995</v>
      </c>
      <c r="L2938" s="1596" t="s">
        <v>2301</v>
      </c>
      <c r="M2938" s="906">
        <v>4.9036999999999997E-2</v>
      </c>
      <c r="N2938" s="1596">
        <v>1.9391876676856339</v>
      </c>
      <c r="O2938" s="1596"/>
    </row>
    <row r="2939" spans="11:15">
      <c r="K2939" s="1592">
        <v>44996</v>
      </c>
      <c r="L2939" s="1596"/>
      <c r="M2939" s="906">
        <v>0</v>
      </c>
      <c r="N2939" s="1596">
        <v>1.9391876676856339</v>
      </c>
      <c r="O2939" s="1596"/>
    </row>
    <row r="2940" spans="11:15">
      <c r="K2940" s="1592">
        <v>44997</v>
      </c>
      <c r="L2940" s="1596"/>
      <c r="M2940" s="906">
        <v>0</v>
      </c>
      <c r="N2940" s="1596">
        <v>1.9391876676856339</v>
      </c>
      <c r="O2940" s="1596"/>
    </row>
    <row r="2941" spans="11:15">
      <c r="K2941" s="1592">
        <v>44998</v>
      </c>
      <c r="L2941" s="1596" t="s">
        <v>2301</v>
      </c>
      <c r="M2941" s="906">
        <v>4.9036999999999997E-2</v>
      </c>
      <c r="N2941" s="1596">
        <v>1.940138587142237</v>
      </c>
      <c r="O2941" s="1596"/>
    </row>
    <row r="2942" spans="11:15">
      <c r="K2942" s="1592">
        <v>44999</v>
      </c>
      <c r="L2942" s="1596" t="s">
        <v>2301</v>
      </c>
      <c r="M2942" s="906">
        <v>4.9036999999999997E-2</v>
      </c>
      <c r="N2942" s="1596">
        <v>1.9410899729012141</v>
      </c>
      <c r="O2942" s="1596"/>
    </row>
    <row r="2943" spans="11:15">
      <c r="K2943" s="1592">
        <v>45000</v>
      </c>
      <c r="L2943" s="1596" t="s">
        <v>2301</v>
      </c>
      <c r="M2943" s="906">
        <v>4.9036999999999997E-2</v>
      </c>
      <c r="N2943" s="1596">
        <v>1.9420418251912257</v>
      </c>
      <c r="O2943" s="1596"/>
    </row>
    <row r="2944" spans="11:15">
      <c r="K2944" s="1592">
        <v>45001</v>
      </c>
      <c r="L2944" s="1596" t="s">
        <v>2301</v>
      </c>
      <c r="M2944" s="906">
        <v>4.9036999999999997E-2</v>
      </c>
      <c r="N2944" s="1596">
        <v>1.9429941442410448</v>
      </c>
      <c r="O2944" s="1596"/>
    </row>
    <row r="2945" spans="11:15">
      <c r="K2945" s="1592">
        <v>45002</v>
      </c>
      <c r="L2945" s="1596" t="s">
        <v>2301</v>
      </c>
      <c r="M2945" s="906">
        <v>4.9036999999999997E-2</v>
      </c>
      <c r="N2945" s="1596">
        <v>1.9439469302795565</v>
      </c>
      <c r="O2945" s="1596"/>
    </row>
    <row r="2946" spans="11:15">
      <c r="K2946" s="1592">
        <v>45003</v>
      </c>
      <c r="L2946" s="1596"/>
      <c r="M2946" s="906">
        <v>0</v>
      </c>
      <c r="N2946" s="1596">
        <v>1.9439469302795565</v>
      </c>
      <c r="O2946" s="1596"/>
    </row>
    <row r="2947" spans="11:15">
      <c r="K2947" s="1592">
        <v>45004</v>
      </c>
      <c r="L2947" s="1596"/>
      <c r="M2947" s="906">
        <v>0</v>
      </c>
      <c r="N2947" s="1596">
        <v>1.9439469302795565</v>
      </c>
      <c r="O2947" s="1596"/>
    </row>
    <row r="2948" spans="11:15">
      <c r="K2948" s="1592">
        <v>45005</v>
      </c>
      <c r="L2948" s="1596" t="s">
        <v>2301</v>
      </c>
      <c r="M2948" s="906">
        <v>4.9036999999999997E-2</v>
      </c>
      <c r="N2948" s="1596">
        <v>1.9449001835357578</v>
      </c>
      <c r="O2948" s="1596"/>
    </row>
    <row r="2949" spans="11:15">
      <c r="K2949" s="1592">
        <v>45006</v>
      </c>
      <c r="L2949" s="1596" t="s">
        <v>2301</v>
      </c>
      <c r="M2949" s="906">
        <v>4.9036999999999997E-2</v>
      </c>
      <c r="N2949" s="1596">
        <v>1.9458539042387584</v>
      </c>
      <c r="O2949" s="1596"/>
    </row>
    <row r="2950" spans="11:15">
      <c r="K2950" s="1592">
        <v>45007</v>
      </c>
      <c r="L2950" s="1596" t="s">
        <v>2301</v>
      </c>
      <c r="M2950" s="906">
        <v>4.9036999999999997E-2</v>
      </c>
      <c r="N2950" s="1596">
        <v>1.94680809261778</v>
      </c>
      <c r="O2950" s="1596"/>
    </row>
    <row r="2951" spans="11:15">
      <c r="K2951" s="1592">
        <v>45008</v>
      </c>
      <c r="L2951" s="1596" t="s">
        <v>2301</v>
      </c>
      <c r="M2951" s="906">
        <v>4.9036999999999997E-2</v>
      </c>
      <c r="N2951" s="1596">
        <v>1.9477627489021572</v>
      </c>
      <c r="O2951" s="1596"/>
    </row>
    <row r="2952" spans="11:15">
      <c r="K2952" s="1592">
        <v>45009</v>
      </c>
      <c r="L2952" s="1596" t="s">
        <v>2301</v>
      </c>
      <c r="M2952" s="906">
        <v>4.9036999999999997E-2</v>
      </c>
      <c r="N2952" s="1596">
        <v>1.9487178733213364</v>
      </c>
      <c r="O2952" s="1596"/>
    </row>
    <row r="2953" spans="11:15">
      <c r="K2953" s="1592">
        <v>45010</v>
      </c>
      <c r="L2953" s="1596"/>
      <c r="M2953" s="906">
        <v>0</v>
      </c>
      <c r="N2953" s="1596">
        <v>1.9487178733213364</v>
      </c>
      <c r="O2953" s="1596"/>
    </row>
    <row r="2954" spans="11:15">
      <c r="K2954" s="1592">
        <v>45011</v>
      </c>
      <c r="L2954" s="1596"/>
      <c r="M2954" s="906">
        <v>0</v>
      </c>
      <c r="N2954" s="1596">
        <v>1.9487178733213364</v>
      </c>
      <c r="O2954" s="1596"/>
    </row>
    <row r="2955" spans="11:15">
      <c r="K2955" s="1592">
        <v>45012</v>
      </c>
      <c r="L2955" s="1596" t="s">
        <v>2301</v>
      </c>
      <c r="M2955" s="906">
        <v>4.9036999999999997E-2</v>
      </c>
      <c r="N2955" s="1596">
        <v>1.9496734661048771</v>
      </c>
      <c r="O2955" s="1596"/>
    </row>
    <row r="2956" spans="11:15">
      <c r="K2956" s="1592">
        <v>45013</v>
      </c>
      <c r="L2956" s="1596" t="s">
        <v>2301</v>
      </c>
      <c r="M2956" s="906">
        <v>4.9036999999999997E-2</v>
      </c>
      <c r="N2956" s="1596">
        <v>1.9506295274824512</v>
      </c>
      <c r="O2956" s="1596"/>
    </row>
    <row r="2957" spans="11:15">
      <c r="K2957" s="1592">
        <v>45014</v>
      </c>
      <c r="L2957" s="1596" t="s">
        <v>2301</v>
      </c>
      <c r="M2957" s="906">
        <v>4.9036999999999997E-2</v>
      </c>
      <c r="N2957" s="1596">
        <v>1.9515860576838429</v>
      </c>
      <c r="O2957" s="1596"/>
    </row>
    <row r="2958" spans="11:15">
      <c r="K2958" s="1592">
        <v>45015</v>
      </c>
      <c r="L2958" s="1596" t="s">
        <v>2301</v>
      </c>
      <c r="M2958" s="906">
        <v>4.9036999999999997E-2</v>
      </c>
      <c r="N2958" s="1596">
        <v>1.9525430569389495</v>
      </c>
      <c r="O2958" s="1596"/>
    </row>
    <row r="2959" spans="11:15">
      <c r="K2959" s="1592">
        <v>45016</v>
      </c>
      <c r="L2959" s="1596" t="s">
        <v>2301</v>
      </c>
      <c r="M2959" s="906">
        <v>4.9036999999999997E-2</v>
      </c>
      <c r="N2959" s="1596">
        <v>1.9535005254777809</v>
      </c>
      <c r="O2959" s="1596"/>
    </row>
    <row r="2960" spans="11:15">
      <c r="K2960" s="1592">
        <v>45017</v>
      </c>
      <c r="L2960" s="1596"/>
      <c r="M2960" s="906">
        <v>0</v>
      </c>
      <c r="N2960" s="1596">
        <v>1.9535005254777809</v>
      </c>
      <c r="O2960" s="1596"/>
    </row>
    <row r="2961" spans="11:15">
      <c r="K2961" s="1592">
        <v>45018</v>
      </c>
      <c r="L2961" s="1596"/>
      <c r="M2961" s="906">
        <v>0</v>
      </c>
      <c r="N2961" s="1596">
        <v>1.9535005254777809</v>
      </c>
      <c r="O2961" s="1596"/>
    </row>
    <row r="2962" spans="11:15">
      <c r="K2962" s="1592">
        <v>45019</v>
      </c>
      <c r="L2962" s="1596" t="s">
        <v>2301</v>
      </c>
      <c r="M2962" s="906">
        <v>4.9036999999999997E-2</v>
      </c>
      <c r="N2962" s="1596">
        <v>1.9544584635304596</v>
      </c>
      <c r="O2962" s="1596"/>
    </row>
    <row r="2963" spans="11:15">
      <c r="K2963" s="1592">
        <v>45020</v>
      </c>
      <c r="L2963" s="1596" t="s">
        <v>2301</v>
      </c>
      <c r="M2963" s="906">
        <v>4.9036999999999997E-2</v>
      </c>
      <c r="N2963" s="1596">
        <v>1.9554168713272211</v>
      </c>
      <c r="O2963" s="1596"/>
    </row>
    <row r="2964" spans="11:15">
      <c r="K2964" s="1592">
        <v>45021</v>
      </c>
      <c r="L2964" s="1596" t="s">
        <v>2301</v>
      </c>
      <c r="M2964" s="906">
        <v>4.9036999999999997E-2</v>
      </c>
      <c r="N2964" s="1596">
        <v>1.9563757490984139</v>
      </c>
      <c r="O2964" s="1596"/>
    </row>
    <row r="2965" spans="11:15">
      <c r="K2965" s="1592">
        <v>45022</v>
      </c>
      <c r="L2965" s="1596" t="s">
        <v>2301</v>
      </c>
      <c r="M2965" s="906">
        <v>4.9036999999999997E-2</v>
      </c>
      <c r="N2965" s="1596">
        <v>1.9573350970744994</v>
      </c>
      <c r="O2965" s="1596"/>
    </row>
    <row r="2966" spans="11:15">
      <c r="K2966" s="1592">
        <v>45023</v>
      </c>
      <c r="L2966" s="1596"/>
      <c r="M2966" s="906">
        <v>0</v>
      </c>
      <c r="N2966" s="1596">
        <v>1.9573350970744994</v>
      </c>
      <c r="O2966" s="1596"/>
    </row>
    <row r="2967" spans="11:15">
      <c r="K2967" s="1592">
        <v>45024</v>
      </c>
      <c r="L2967" s="1596"/>
      <c r="M2967" s="906">
        <v>0</v>
      </c>
      <c r="N2967" s="1596">
        <v>1.9573350970744994</v>
      </c>
      <c r="O2967" s="1596"/>
    </row>
    <row r="2968" spans="11:15">
      <c r="K2968" s="1592">
        <v>45025</v>
      </c>
      <c r="L2968" s="1596"/>
      <c r="M2968" s="906">
        <v>0</v>
      </c>
      <c r="N2968" s="1596">
        <v>1.9573350970744994</v>
      </c>
      <c r="O2968" s="1596"/>
    </row>
    <row r="2969" spans="11:15">
      <c r="K2969" s="1592">
        <v>45026</v>
      </c>
      <c r="L2969" s="1596" t="s">
        <v>2301</v>
      </c>
      <c r="M2969" s="906">
        <v>4.9036999999999997E-2</v>
      </c>
      <c r="N2969" s="1596">
        <v>1.9582949154860518</v>
      </c>
      <c r="O2969" s="1596"/>
    </row>
    <row r="2970" spans="11:15">
      <c r="K2970" s="1592">
        <v>45027</v>
      </c>
      <c r="L2970" s="1596" t="s">
        <v>2301</v>
      </c>
      <c r="M2970" s="906">
        <v>4.9036999999999997E-2</v>
      </c>
      <c r="N2970" s="1596">
        <v>1.9592552045637588</v>
      </c>
      <c r="O2970" s="1596"/>
    </row>
    <row r="2971" spans="11:15">
      <c r="K2971" s="1592">
        <v>45028</v>
      </c>
      <c r="L2971" s="1596" t="s">
        <v>2301</v>
      </c>
      <c r="M2971" s="906">
        <v>4.9036999999999997E-2</v>
      </c>
      <c r="N2971" s="1596">
        <v>1.960215964538421</v>
      </c>
      <c r="O2971" s="1596"/>
    </row>
    <row r="2972" spans="11:15">
      <c r="K2972" s="1592">
        <v>45029</v>
      </c>
      <c r="L2972" s="1596" t="s">
        <v>2301</v>
      </c>
      <c r="M2972" s="906">
        <v>4.9036999999999997E-2</v>
      </c>
      <c r="N2972" s="1596">
        <v>1.9611771956409518</v>
      </c>
      <c r="O2972" s="1596"/>
    </row>
    <row r="2973" spans="11:15">
      <c r="K2973" s="1592">
        <v>45030</v>
      </c>
      <c r="L2973" s="1596" t="s">
        <v>2301</v>
      </c>
      <c r="M2973" s="906">
        <v>4.9036999999999997E-2</v>
      </c>
      <c r="N2973" s="1596">
        <v>1.9621388981023784</v>
      </c>
      <c r="O2973" s="1596"/>
    </row>
    <row r="2974" spans="11:15">
      <c r="K2974" s="1592">
        <v>45031</v>
      </c>
      <c r="L2974" s="1596"/>
      <c r="M2974" s="906">
        <v>0</v>
      </c>
      <c r="N2974" s="1596">
        <v>1.9621388981023784</v>
      </c>
      <c r="O2974" s="1596"/>
    </row>
    <row r="2975" spans="11:15">
      <c r="K2975" s="1592">
        <v>45032</v>
      </c>
      <c r="L2975" s="1596"/>
      <c r="M2975" s="906">
        <v>0</v>
      </c>
      <c r="N2975" s="1596">
        <v>1.9621388981023784</v>
      </c>
      <c r="O2975" s="1596"/>
    </row>
    <row r="2976" spans="11:15">
      <c r="K2976" s="1592">
        <v>45033</v>
      </c>
      <c r="L2976" s="1596" t="s">
        <v>2301</v>
      </c>
      <c r="M2976" s="906">
        <v>4.9036999999999997E-2</v>
      </c>
      <c r="N2976" s="1596">
        <v>1.9631010721538411</v>
      </c>
      <c r="O2976" s="1596"/>
    </row>
    <row r="2977" spans="11:15">
      <c r="K2977" s="1592">
        <v>45034</v>
      </c>
      <c r="L2977" s="1596" t="s">
        <v>2301</v>
      </c>
      <c r="M2977" s="906">
        <v>4.9036999999999997E-2</v>
      </c>
      <c r="N2977" s="1596">
        <v>1.9640637180265934</v>
      </c>
      <c r="O2977" s="1596"/>
    </row>
    <row r="2978" spans="11:15">
      <c r="K2978" s="1592">
        <v>45035</v>
      </c>
      <c r="L2978" s="1596" t="s">
        <v>2301</v>
      </c>
      <c r="M2978" s="906">
        <v>4.9036999999999997E-2</v>
      </c>
      <c r="N2978" s="1596">
        <v>1.9650268359520022</v>
      </c>
      <c r="O2978" s="1596"/>
    </row>
    <row r="2979" spans="11:15">
      <c r="K2979" s="1592">
        <v>45036</v>
      </c>
      <c r="L2979" s="1596" t="s">
        <v>2301</v>
      </c>
      <c r="M2979" s="906">
        <v>4.9036999999999997E-2</v>
      </c>
      <c r="N2979" s="1596">
        <v>1.9659904261615482</v>
      </c>
      <c r="O2979" s="1596"/>
    </row>
    <row r="2980" spans="11:15">
      <c r="K2980" s="1592">
        <v>45037</v>
      </c>
      <c r="L2980" s="1596"/>
      <c r="M2980" s="906">
        <v>0</v>
      </c>
      <c r="N2980" s="1596">
        <v>1.9659904261615482</v>
      </c>
      <c r="O2980" s="1596"/>
    </row>
    <row r="2981" spans="11:15">
      <c r="K2981" s="1592">
        <v>45038</v>
      </c>
      <c r="L2981" s="1596"/>
      <c r="M2981" s="906">
        <v>0</v>
      </c>
      <c r="N2981" s="1596">
        <v>1.9659904261615482</v>
      </c>
      <c r="O2981" s="1596"/>
    </row>
    <row r="2982" spans="11:15">
      <c r="K2982" s="1592">
        <v>45039</v>
      </c>
      <c r="L2982" s="1596"/>
      <c r="M2982" s="906">
        <v>0</v>
      </c>
      <c r="N2982" s="1596">
        <v>1.9659904261615482</v>
      </c>
      <c r="O2982" s="1596"/>
    </row>
    <row r="2983" spans="11:15">
      <c r="K2983" s="1592">
        <v>45040</v>
      </c>
      <c r="L2983" s="1596" t="s">
        <v>2301</v>
      </c>
      <c r="M2983" s="906">
        <v>4.9036999999999997E-2</v>
      </c>
      <c r="N2983" s="1596">
        <v>1.9669544888868251</v>
      </c>
      <c r="O2983" s="1596"/>
    </row>
    <row r="2984" spans="11:15">
      <c r="K2984" s="1592">
        <v>45041</v>
      </c>
      <c r="L2984" s="1596" t="s">
        <v>2301</v>
      </c>
      <c r="M2984" s="906">
        <v>4.9036999999999997E-2</v>
      </c>
      <c r="N2984" s="1596">
        <v>1.9679190243595406</v>
      </c>
      <c r="O2984" s="1596"/>
    </row>
    <row r="2985" spans="11:15">
      <c r="K2985" s="1592">
        <v>45042</v>
      </c>
      <c r="L2985" s="1596" t="s">
        <v>2301</v>
      </c>
      <c r="M2985" s="906">
        <v>4.9036999999999997E-2</v>
      </c>
      <c r="N2985" s="1596">
        <v>1.9688840328115158</v>
      </c>
      <c r="O2985" s="1596"/>
    </row>
    <row r="2986" spans="11:15">
      <c r="K2986" s="1592">
        <v>45043</v>
      </c>
      <c r="L2986" s="1596" t="s">
        <v>2301</v>
      </c>
      <c r="M2986" s="906">
        <v>4.9036999999999997E-2</v>
      </c>
      <c r="N2986" s="1596">
        <v>1.9698495144746857</v>
      </c>
      <c r="O2986" s="1596"/>
    </row>
    <row r="2987" spans="11:15">
      <c r="K2987" s="1592">
        <v>45044</v>
      </c>
      <c r="L2987" s="1596" t="s">
        <v>2301</v>
      </c>
      <c r="M2987" s="906">
        <v>4.9036999999999997E-2</v>
      </c>
      <c r="N2987" s="1596">
        <v>1.9708154695810989</v>
      </c>
      <c r="O2987" s="1596"/>
    </row>
    <row r="2988" spans="11:15">
      <c r="K2988" s="1592">
        <v>45045</v>
      </c>
      <c r="L2988" s="1596"/>
      <c r="M2988" s="906">
        <v>0</v>
      </c>
      <c r="N2988" s="1596">
        <v>1.9708154695810989</v>
      </c>
      <c r="O2988" s="1596"/>
    </row>
    <row r="2989" spans="11:15">
      <c r="K2989" s="1592">
        <v>45046</v>
      </c>
      <c r="L2989" s="1596"/>
      <c r="M2989" s="906">
        <v>0</v>
      </c>
      <c r="N2989" s="1596">
        <v>1.9708154695810989</v>
      </c>
      <c r="O2989" s="1596"/>
    </row>
    <row r="2990" spans="11:15">
      <c r="K2990" s="1592">
        <v>45047</v>
      </c>
      <c r="L2990" s="1596"/>
      <c r="M2990" s="906">
        <v>0</v>
      </c>
      <c r="N2990" s="1596">
        <v>1.9708154695810989</v>
      </c>
      <c r="O2990" s="1596"/>
    </row>
    <row r="2991" spans="11:15">
      <c r="K2991" s="1592">
        <v>45048</v>
      </c>
      <c r="L2991" s="1596" t="s">
        <v>2301</v>
      </c>
      <c r="M2991" s="906">
        <v>4.9036999999999997E-2</v>
      </c>
      <c r="N2991" s="1596">
        <v>1.9717818983629174</v>
      </c>
      <c r="O2991" s="1596"/>
    </row>
    <row r="2992" spans="11:15">
      <c r="K2992" s="1592">
        <v>45049</v>
      </c>
      <c r="L2992" s="1596" t="s">
        <v>2301</v>
      </c>
      <c r="M2992" s="906">
        <v>4.9036999999999997E-2</v>
      </c>
      <c r="N2992" s="1596">
        <v>1.9727488010524177</v>
      </c>
      <c r="O2992" s="1596"/>
    </row>
    <row r="2993" spans="11:15">
      <c r="K2993" s="1592">
        <v>45050</v>
      </c>
      <c r="L2993" s="1596" t="s">
        <v>2301</v>
      </c>
      <c r="M2993" s="906">
        <v>4.9036999999999997E-2</v>
      </c>
      <c r="N2993" s="1596">
        <v>1.9737161778819898</v>
      </c>
      <c r="O2993" s="1596"/>
    </row>
    <row r="2994" spans="11:15">
      <c r="K2994" s="1592">
        <v>45051</v>
      </c>
      <c r="L2994" s="1596" t="s">
        <v>2301</v>
      </c>
      <c r="M2994" s="906">
        <v>4.9036999999999997E-2</v>
      </c>
      <c r="N2994" s="1596">
        <v>1.9746840290841379</v>
      </c>
      <c r="O2994" s="1596"/>
    </row>
    <row r="2995" spans="11:15">
      <c r="K2995" s="1592">
        <v>45052</v>
      </c>
      <c r="L2995" s="1596"/>
      <c r="M2995" s="906">
        <v>0</v>
      </c>
      <c r="N2995" s="1596">
        <v>1.9746840290841379</v>
      </c>
      <c r="O2995" s="1596"/>
    </row>
    <row r="2996" spans="11:15">
      <c r="K2996" s="1592">
        <v>45053</v>
      </c>
      <c r="L2996" s="1596"/>
      <c r="M2996" s="906">
        <v>0</v>
      </c>
      <c r="N2996" s="1596">
        <v>1.9746840290841379</v>
      </c>
      <c r="O2996" s="1596"/>
    </row>
    <row r="2997" spans="11:15">
      <c r="K2997" s="1592">
        <v>45054</v>
      </c>
      <c r="L2997" s="1596" t="s">
        <v>2301</v>
      </c>
      <c r="M2997" s="906">
        <v>4.9036999999999997E-2</v>
      </c>
      <c r="N2997" s="1596">
        <v>1.9756523548914799</v>
      </c>
      <c r="O2997" s="1596"/>
    </row>
    <row r="2998" spans="11:15">
      <c r="K2998" s="1592">
        <v>45055</v>
      </c>
      <c r="L2998" s="1596" t="s">
        <v>2301</v>
      </c>
      <c r="M2998" s="906">
        <v>4.9036999999999997E-2</v>
      </c>
      <c r="N2998" s="1596">
        <v>1.9766211555367483</v>
      </c>
      <c r="O2998" s="1596"/>
    </row>
    <row r="2999" spans="11:15">
      <c r="K2999" s="1592">
        <v>45056</v>
      </c>
      <c r="L2999" s="1596" t="s">
        <v>2301</v>
      </c>
      <c r="M2999" s="906">
        <v>4.9036999999999997E-2</v>
      </c>
      <c r="N2999" s="1596">
        <v>1.977590431252789</v>
      </c>
      <c r="O2999" s="1596"/>
    </row>
    <row r="3000" spans="11:15">
      <c r="K3000" s="1592">
        <v>45057</v>
      </c>
      <c r="L3000" s="1596" t="s">
        <v>2301</v>
      </c>
      <c r="M3000" s="906">
        <v>4.9036999999999997E-2</v>
      </c>
      <c r="N3000" s="1596">
        <v>1.9785601822725625</v>
      </c>
      <c r="O3000" s="1596"/>
    </row>
    <row r="3001" spans="11:15">
      <c r="K3001" s="1592">
        <v>45058</v>
      </c>
      <c r="L3001" s="1596" t="s">
        <v>2301</v>
      </c>
      <c r="M3001" s="906">
        <v>4.9036999999999997E-2</v>
      </c>
      <c r="N3001" s="1596">
        <v>1.9795304088291437</v>
      </c>
      <c r="O3001" s="1596"/>
    </row>
    <row r="3002" spans="11:15">
      <c r="K3002" s="1592">
        <v>45059</v>
      </c>
      <c r="L3002" s="1596"/>
      <c r="M3002" s="906">
        <v>0</v>
      </c>
      <c r="N3002" s="1596">
        <v>1.9795304088291437</v>
      </c>
      <c r="O3002" s="1596"/>
    </row>
    <row r="3003" spans="11:15">
      <c r="K3003" s="1592">
        <v>45060</v>
      </c>
      <c r="L3003" s="1596"/>
      <c r="M3003" s="906">
        <v>0</v>
      </c>
      <c r="N3003" s="1596">
        <v>1.9795304088291437</v>
      </c>
      <c r="O3003" s="1596"/>
    </row>
    <row r="3004" spans="11:15">
      <c r="K3004" s="1592">
        <v>45061</v>
      </c>
      <c r="L3004" s="1596" t="s">
        <v>2301</v>
      </c>
      <c r="M3004" s="906">
        <v>4.9036999999999997E-2</v>
      </c>
      <c r="N3004" s="1596">
        <v>1.9805011111557214</v>
      </c>
      <c r="O3004" s="1596"/>
    </row>
    <row r="3005" spans="11:15">
      <c r="K3005" s="1592">
        <v>45062</v>
      </c>
      <c r="L3005" s="1596" t="s">
        <v>2301</v>
      </c>
      <c r="M3005" s="906">
        <v>4.9036999999999997E-2</v>
      </c>
      <c r="N3005" s="1596">
        <v>1.9814722894855989</v>
      </c>
      <c r="O3005" s="1596"/>
    </row>
    <row r="3006" spans="11:15">
      <c r="K3006" s="1592">
        <v>45063</v>
      </c>
      <c r="L3006" s="1596" t="s">
        <v>2301</v>
      </c>
      <c r="M3006" s="906">
        <v>4.9036999999999997E-2</v>
      </c>
      <c r="N3006" s="1596">
        <v>1.9824439440521942</v>
      </c>
      <c r="O3006" s="1596"/>
    </row>
    <row r="3007" spans="11:15">
      <c r="K3007" s="1592">
        <v>45064</v>
      </c>
      <c r="L3007" s="1596" t="s">
        <v>2301</v>
      </c>
      <c r="M3007" s="906">
        <v>4.9036999999999997E-2</v>
      </c>
      <c r="N3007" s="1596">
        <v>1.9834160750890393</v>
      </c>
      <c r="O3007" s="1596"/>
    </row>
    <row r="3008" spans="11:15">
      <c r="K3008" s="1592">
        <v>45065</v>
      </c>
      <c r="L3008" s="1596" t="s">
        <v>2301</v>
      </c>
      <c r="M3008" s="906">
        <v>4.9036999999999997E-2</v>
      </c>
      <c r="N3008" s="1596">
        <v>1.9843886828297808</v>
      </c>
      <c r="O3008" s="1596"/>
    </row>
    <row r="3009" spans="11:15">
      <c r="K3009" s="1592">
        <v>45066</v>
      </c>
      <c r="L3009" s="1596"/>
      <c r="M3009" s="906">
        <v>0</v>
      </c>
      <c r="N3009" s="1596">
        <v>1.9843886828297808</v>
      </c>
      <c r="O3009" s="1596"/>
    </row>
    <row r="3010" spans="11:15">
      <c r="K3010" s="1592">
        <v>45067</v>
      </c>
      <c r="L3010" s="1596"/>
      <c r="M3010" s="906">
        <v>0</v>
      </c>
      <c r="N3010" s="1596">
        <v>1.9843886828297808</v>
      </c>
      <c r="O3010" s="1596"/>
    </row>
    <row r="3011" spans="11:15">
      <c r="K3011" s="1592">
        <v>45068</v>
      </c>
      <c r="L3011" s="1596" t="s">
        <v>2301</v>
      </c>
      <c r="M3011" s="906">
        <v>4.9036999999999997E-2</v>
      </c>
      <c r="N3011" s="1596">
        <v>1.9853617675081801</v>
      </c>
      <c r="O3011" s="1596"/>
    </row>
    <row r="3012" spans="11:15">
      <c r="K3012" s="1592">
        <v>45069</v>
      </c>
      <c r="L3012" s="1596" t="s">
        <v>2301</v>
      </c>
      <c r="M3012" s="906">
        <v>4.9036999999999997E-2</v>
      </c>
      <c r="N3012" s="1596">
        <v>1.9863353293581132</v>
      </c>
      <c r="O3012" s="1596"/>
    </row>
    <row r="3013" spans="11:15">
      <c r="K3013" s="1592">
        <v>45070</v>
      </c>
      <c r="L3013" s="1596" t="s">
        <v>2301</v>
      </c>
      <c r="M3013" s="906">
        <v>4.9036999999999997E-2</v>
      </c>
      <c r="N3013" s="1596">
        <v>1.9873093686135708</v>
      </c>
      <c r="O3013" s="1596"/>
    </row>
    <row r="3014" spans="11:15">
      <c r="K3014" s="1592">
        <v>45071</v>
      </c>
      <c r="L3014" s="1596" t="s">
        <v>2301</v>
      </c>
      <c r="M3014" s="906">
        <v>4.9036999999999997E-2</v>
      </c>
      <c r="N3014" s="1596">
        <v>1.988283885508658</v>
      </c>
      <c r="O3014" s="1596"/>
    </row>
    <row r="3015" spans="11:15">
      <c r="K3015" s="1592">
        <v>45072</v>
      </c>
      <c r="L3015" s="1596" t="s">
        <v>2301</v>
      </c>
      <c r="M3015" s="906">
        <v>4.9036999999999997E-2</v>
      </c>
      <c r="N3015" s="1596">
        <v>1.989258880277595</v>
      </c>
      <c r="O3015" s="1596"/>
    </row>
    <row r="3016" spans="11:15">
      <c r="K3016" s="1592">
        <v>45073</v>
      </c>
      <c r="L3016" s="1596"/>
      <c r="M3016" s="906">
        <v>0</v>
      </c>
      <c r="N3016" s="1596">
        <v>1.989258880277595</v>
      </c>
      <c r="O3016" s="1596"/>
    </row>
    <row r="3017" spans="11:15">
      <c r="K3017" s="1592">
        <v>45074</v>
      </c>
      <c r="L3017" s="1596"/>
      <c r="M3017" s="906">
        <v>0</v>
      </c>
      <c r="N3017" s="1596">
        <v>1.989258880277595</v>
      </c>
      <c r="O3017" s="1596"/>
    </row>
    <row r="3018" spans="11:15">
      <c r="K3018" s="1592">
        <v>45075</v>
      </c>
      <c r="L3018" s="1596" t="s">
        <v>2301</v>
      </c>
      <c r="M3018" s="906">
        <v>4.9036999999999997E-2</v>
      </c>
      <c r="N3018" s="1596">
        <v>1.9902343531547169</v>
      </c>
      <c r="O3018" s="1596"/>
    </row>
    <row r="3019" spans="11:15">
      <c r="K3019" s="1592">
        <v>45076</v>
      </c>
      <c r="L3019" s="1596" t="s">
        <v>2301</v>
      </c>
      <c r="M3019" s="906">
        <v>4.9036999999999997E-2</v>
      </c>
      <c r="N3019" s="1596">
        <v>1.9912103043744735</v>
      </c>
      <c r="O3019" s="1596"/>
    </row>
    <row r="3020" spans="11:15">
      <c r="K3020" s="1592">
        <v>45077</v>
      </c>
      <c r="L3020" s="1596" t="s">
        <v>2301</v>
      </c>
      <c r="M3020" s="906">
        <v>4.9036999999999997E-2</v>
      </c>
      <c r="N3020" s="1596">
        <v>1.9921867341714299</v>
      </c>
      <c r="O3020" s="1596"/>
    </row>
    <row r="3021" spans="11:15">
      <c r="K3021" s="1592">
        <v>45078</v>
      </c>
      <c r="L3021" s="1596" t="s">
        <v>2301</v>
      </c>
      <c r="M3021" s="906">
        <v>4.9036999999999997E-2</v>
      </c>
      <c r="N3021" s="1596">
        <v>1.9931636427802657</v>
      </c>
      <c r="O3021" s="1596"/>
    </row>
    <row r="3022" spans="11:15">
      <c r="K3022" s="1592">
        <v>45079</v>
      </c>
      <c r="L3022" s="1596" t="s">
        <v>2301</v>
      </c>
      <c r="M3022" s="906">
        <v>4.9036999999999997E-2</v>
      </c>
      <c r="N3022" s="1596">
        <v>1.9941410304357761</v>
      </c>
      <c r="O3022" s="1596"/>
    </row>
    <row r="3023" spans="11:15">
      <c r="K3023" s="1592">
        <v>45080</v>
      </c>
      <c r="L3023" s="1596"/>
      <c r="M3023" s="906">
        <v>0</v>
      </c>
      <c r="N3023" s="1596">
        <v>1.9941410304357761</v>
      </c>
      <c r="O3023" s="1596"/>
    </row>
    <row r="3024" spans="11:15">
      <c r="K3024" s="1592">
        <v>45081</v>
      </c>
      <c r="L3024" s="1596"/>
      <c r="M3024" s="906">
        <v>0</v>
      </c>
      <c r="N3024" s="1596">
        <v>1.9941410304357761</v>
      </c>
      <c r="O3024" s="1596"/>
    </row>
    <row r="3025" spans="11:15">
      <c r="K3025" s="1592">
        <v>45082</v>
      </c>
      <c r="L3025" s="1596" t="s">
        <v>2301</v>
      </c>
      <c r="M3025" s="906">
        <v>4.9036999999999997E-2</v>
      </c>
      <c r="N3025" s="1596">
        <v>1.9951188973728711</v>
      </c>
      <c r="O3025" s="1596"/>
    </row>
    <row r="3026" spans="11:15">
      <c r="K3026" s="1592">
        <v>45083</v>
      </c>
      <c r="L3026" s="1596" t="s">
        <v>2301</v>
      </c>
      <c r="M3026" s="906">
        <v>4.9036999999999997E-2</v>
      </c>
      <c r="N3026" s="1596">
        <v>1.9960972438265761</v>
      </c>
      <c r="O3026" s="1596"/>
    </row>
    <row r="3027" spans="11:15">
      <c r="K3027" s="1592">
        <v>45084</v>
      </c>
      <c r="L3027" s="1596" t="s">
        <v>2301</v>
      </c>
      <c r="M3027" s="906">
        <v>4.9036999999999997E-2</v>
      </c>
      <c r="N3027" s="1596">
        <v>1.9970760700320314</v>
      </c>
      <c r="O3027" s="1596"/>
    </row>
    <row r="3028" spans="11:15">
      <c r="K3028" s="1592">
        <v>45085</v>
      </c>
      <c r="L3028" s="1596"/>
      <c r="M3028" s="906">
        <v>0</v>
      </c>
      <c r="N3028" s="1596">
        <v>1.9970760700320314</v>
      </c>
      <c r="O3028" s="1596"/>
    </row>
    <row r="3029" spans="11:15">
      <c r="K3029" s="1592">
        <v>45086</v>
      </c>
      <c r="L3029" s="1596" t="s">
        <v>2301</v>
      </c>
      <c r="M3029" s="906">
        <v>4.9036999999999997E-2</v>
      </c>
      <c r="N3029" s="1596">
        <v>1.998055376224493</v>
      </c>
      <c r="O3029" s="1596"/>
    </row>
    <row r="3030" spans="11:15">
      <c r="K3030" s="1592">
        <v>45087</v>
      </c>
      <c r="L3030" s="1596"/>
      <c r="M3030" s="906">
        <v>0</v>
      </c>
      <c r="N3030" s="1596">
        <v>1.998055376224493</v>
      </c>
      <c r="O3030" s="1596"/>
    </row>
    <row r="3031" spans="11:15">
      <c r="K3031" s="1592">
        <v>45088</v>
      </c>
      <c r="L3031" s="1596"/>
      <c r="M3031" s="906">
        <v>0</v>
      </c>
      <c r="N3031" s="1596">
        <v>1.998055376224493</v>
      </c>
      <c r="O3031" s="1596"/>
    </row>
    <row r="3032" spans="11:15">
      <c r="K3032" s="1592">
        <v>45089</v>
      </c>
      <c r="L3032" s="1596" t="s">
        <v>2301</v>
      </c>
      <c r="M3032" s="906">
        <v>4.9036999999999997E-2</v>
      </c>
      <c r="N3032" s="1596">
        <v>1.9990351626393323</v>
      </c>
      <c r="O3032" s="1596"/>
    </row>
    <row r="3033" spans="11:15">
      <c r="K3033" s="1592">
        <v>45090</v>
      </c>
      <c r="L3033" s="1596" t="s">
        <v>2301</v>
      </c>
      <c r="M3033" s="906">
        <v>4.9036999999999997E-2</v>
      </c>
      <c r="N3033" s="1596">
        <v>2.000015429512036</v>
      </c>
      <c r="O3033" s="1596"/>
    </row>
    <row r="3034" spans="11:15">
      <c r="K3034" s="1592">
        <v>45091</v>
      </c>
      <c r="L3034" s="1596" t="s">
        <v>2301</v>
      </c>
      <c r="M3034" s="906">
        <v>4.9036999999999997E-2</v>
      </c>
      <c r="N3034" s="1596">
        <v>2.0009961770782061</v>
      </c>
      <c r="O3034" s="1596"/>
    </row>
    <row r="3035" spans="11:15">
      <c r="K3035" s="1592">
        <v>45092</v>
      </c>
      <c r="L3035" s="1596" t="s">
        <v>2301</v>
      </c>
      <c r="M3035" s="906">
        <v>4.9036999999999997E-2</v>
      </c>
      <c r="N3035" s="1596">
        <v>2.0019774055735602</v>
      </c>
      <c r="O3035" s="1596"/>
    </row>
    <row r="3036" spans="11:15">
      <c r="K3036" s="1592">
        <v>45093</v>
      </c>
      <c r="L3036" s="1596" t="s">
        <v>2301</v>
      </c>
      <c r="M3036" s="906">
        <v>4.9036999999999997E-2</v>
      </c>
      <c r="N3036" s="1596">
        <v>2.0029591152339314</v>
      </c>
      <c r="O3036" s="1596"/>
    </row>
    <row r="3037" spans="11:15">
      <c r="K3037" s="1592">
        <v>45094</v>
      </c>
      <c r="L3037" s="1596"/>
      <c r="M3037" s="906">
        <v>0</v>
      </c>
      <c r="N3037" s="1596">
        <v>2.0029591152339314</v>
      </c>
      <c r="O3037" s="1596"/>
    </row>
    <row r="3038" spans="11:15">
      <c r="K3038" s="1592">
        <v>45095</v>
      </c>
      <c r="L3038" s="1596"/>
      <c r="M3038" s="906">
        <v>0</v>
      </c>
      <c r="N3038" s="1596">
        <v>2.0029591152339314</v>
      </c>
      <c r="O3038" s="1596"/>
    </row>
    <row r="3039" spans="11:15">
      <c r="K3039" s="1592">
        <v>45096</v>
      </c>
      <c r="L3039" s="1596" t="s">
        <v>2301</v>
      </c>
      <c r="M3039" s="906">
        <v>4.9036999999999997E-2</v>
      </c>
      <c r="N3039" s="1596">
        <v>2.0039413062952689</v>
      </c>
      <c r="O3039" s="1596"/>
    </row>
    <row r="3040" spans="11:15">
      <c r="K3040" s="1592">
        <v>45097</v>
      </c>
      <c r="L3040" s="1596" t="s">
        <v>2301</v>
      </c>
      <c r="M3040" s="906">
        <v>4.9036999999999997E-2</v>
      </c>
      <c r="N3040" s="1596">
        <v>2.0049239789936371</v>
      </c>
      <c r="O3040" s="1596"/>
    </row>
    <row r="3041" spans="11:15">
      <c r="K3041" s="1592">
        <v>45098</v>
      </c>
      <c r="L3041" s="1596" t="s">
        <v>2301</v>
      </c>
      <c r="M3041" s="906">
        <v>4.9036999999999997E-2</v>
      </c>
      <c r="N3041" s="1596">
        <v>2.0059071335652163</v>
      </c>
      <c r="O3041" s="1596"/>
    </row>
    <row r="3042" spans="11:15">
      <c r="K3042" s="1592">
        <v>45099</v>
      </c>
      <c r="L3042" s="1596" t="s">
        <v>2301</v>
      </c>
      <c r="M3042" s="906">
        <v>4.9036999999999997E-2</v>
      </c>
      <c r="N3042" s="1596">
        <v>2.006890770246303</v>
      </c>
      <c r="O3042" s="1596"/>
    </row>
    <row r="3043" spans="11:15">
      <c r="K3043" s="1592">
        <v>45100</v>
      </c>
      <c r="L3043" s="1596" t="s">
        <v>2301</v>
      </c>
      <c r="M3043" s="906">
        <v>4.9036999999999997E-2</v>
      </c>
      <c r="N3043" s="1596">
        <v>2.0078748892733089</v>
      </c>
      <c r="O3043" s="1596"/>
    </row>
    <row r="3044" spans="11:15">
      <c r="K3044" s="1592">
        <v>45101</v>
      </c>
      <c r="L3044" s="1596"/>
      <c r="M3044" s="906">
        <v>0</v>
      </c>
      <c r="N3044" s="1596">
        <v>2.0078748892733089</v>
      </c>
      <c r="O3044" s="1596"/>
    </row>
    <row r="3045" spans="11:15">
      <c r="K3045" s="1592">
        <v>45102</v>
      </c>
      <c r="L3045" s="1596"/>
      <c r="M3045" s="906">
        <v>0</v>
      </c>
      <c r="N3045" s="1596">
        <v>2.0078748892733089</v>
      </c>
      <c r="O3045" s="1596"/>
    </row>
    <row r="3046" spans="11:15">
      <c r="K3046" s="1592">
        <v>45103</v>
      </c>
      <c r="L3046" s="1596" t="s">
        <v>2301</v>
      </c>
      <c r="M3046" s="906">
        <v>4.9036999999999997E-2</v>
      </c>
      <c r="N3046" s="1596">
        <v>2.0088594908827622</v>
      </c>
      <c r="O3046" s="1596"/>
    </row>
    <row r="3047" spans="11:15">
      <c r="K3047" s="1592">
        <v>45104</v>
      </c>
      <c r="L3047" s="1596" t="s">
        <v>2301</v>
      </c>
      <c r="M3047" s="906">
        <v>4.9036999999999997E-2</v>
      </c>
      <c r="N3047" s="1596">
        <v>2.0098445753113063</v>
      </c>
      <c r="O3047" s="1596"/>
    </row>
    <row r="3048" spans="11:15">
      <c r="K3048" s="1592">
        <v>45105</v>
      </c>
      <c r="L3048" s="1596" t="s">
        <v>2301</v>
      </c>
      <c r="M3048" s="906">
        <v>4.9036999999999997E-2</v>
      </c>
      <c r="N3048" s="1596">
        <v>2.0108301427957018</v>
      </c>
      <c r="O3048" s="1596"/>
    </row>
    <row r="3049" spans="11:15">
      <c r="K3049" s="1592">
        <v>45106</v>
      </c>
      <c r="L3049" s="1596" t="s">
        <v>2301</v>
      </c>
      <c r="M3049" s="906">
        <v>4.9036999999999997E-2</v>
      </c>
      <c r="N3049" s="1596">
        <v>2.0118161935728245</v>
      </c>
      <c r="O3049" s="1596"/>
    </row>
    <row r="3050" spans="11:15">
      <c r="K3050" s="1592">
        <v>45107</v>
      </c>
      <c r="L3050" s="1596" t="s">
        <v>2301</v>
      </c>
      <c r="M3050" s="906">
        <v>4.9036999999999997E-2</v>
      </c>
      <c r="N3050" s="1596">
        <v>2.012802727879667</v>
      </c>
      <c r="O3050" s="1596"/>
    </row>
    <row r="3051" spans="11:15">
      <c r="K3051" s="1592">
        <v>45108</v>
      </c>
      <c r="L3051" s="1596"/>
      <c r="M3051" s="906">
        <v>0</v>
      </c>
      <c r="N3051" s="1596">
        <v>2.012802727879667</v>
      </c>
      <c r="O3051" s="1596"/>
    </row>
    <row r="3052" spans="11:15">
      <c r="K3052" s="1592">
        <v>45109</v>
      </c>
      <c r="L3052" s="1596"/>
      <c r="M3052" s="906">
        <v>0</v>
      </c>
      <c r="N3052" s="1596">
        <v>2.012802727879667</v>
      </c>
      <c r="O3052" s="1596"/>
    </row>
    <row r="3053" spans="11:15">
      <c r="K3053" s="1592">
        <v>45110</v>
      </c>
      <c r="L3053" s="1596" t="s">
        <v>2301</v>
      </c>
      <c r="M3053" s="906">
        <v>4.9036999999999997E-2</v>
      </c>
      <c r="N3053" s="1596">
        <v>2.0137897459533374</v>
      </c>
      <c r="O3053" s="1596"/>
    </row>
    <row r="3054" spans="11:15">
      <c r="K3054" s="1592">
        <v>45111</v>
      </c>
      <c r="L3054" s="1596" t="s">
        <v>2301</v>
      </c>
      <c r="M3054" s="906">
        <v>4.9036999999999997E-2</v>
      </c>
      <c r="N3054" s="1596">
        <v>2.0147772480310606</v>
      </c>
      <c r="O3054" s="1596"/>
    </row>
    <row r="3055" spans="11:15">
      <c r="K3055" s="1592">
        <v>45112</v>
      </c>
      <c r="L3055" s="1596" t="s">
        <v>2301</v>
      </c>
      <c r="M3055" s="906">
        <v>4.9036999999999997E-2</v>
      </c>
      <c r="N3055" s="1596">
        <v>2.015765234350178</v>
      </c>
      <c r="O3055" s="1596"/>
    </row>
    <row r="3056" spans="11:15">
      <c r="K3056" s="1592">
        <v>45113</v>
      </c>
      <c r="L3056" s="1596" t="s">
        <v>2301</v>
      </c>
      <c r="M3056" s="906">
        <v>4.9036999999999997E-2</v>
      </c>
      <c r="N3056" s="1596">
        <v>2.0167537051481466</v>
      </c>
      <c r="O3056" s="1596"/>
    </row>
    <row r="3057" spans="11:15">
      <c r="K3057" s="1592">
        <v>45114</v>
      </c>
      <c r="L3057" s="1596" t="s">
        <v>2301</v>
      </c>
      <c r="M3057" s="906">
        <v>4.9036999999999997E-2</v>
      </c>
      <c r="N3057" s="1596">
        <v>2.0177426606625404</v>
      </c>
      <c r="O3057" s="1596"/>
    </row>
    <row r="3058" spans="11:15">
      <c r="K3058" s="1592">
        <v>45115</v>
      </c>
      <c r="L3058" s="1596"/>
      <c r="M3058" s="906">
        <v>0</v>
      </c>
      <c r="N3058" s="1596">
        <v>2.0177426606625404</v>
      </c>
      <c r="O3058" s="1596"/>
    </row>
    <row r="3059" spans="11:15">
      <c r="K3059" s="1592">
        <v>45116</v>
      </c>
      <c r="L3059" s="1596"/>
      <c r="M3059" s="906">
        <v>0</v>
      </c>
      <c r="N3059" s="1596">
        <v>2.0177426606625404</v>
      </c>
      <c r="O3059" s="1596"/>
    </row>
    <row r="3060" spans="11:15">
      <c r="K3060" s="1592">
        <v>45117</v>
      </c>
      <c r="L3060" s="1596" t="s">
        <v>2301</v>
      </c>
      <c r="M3060" s="906">
        <v>4.9036999999999997E-2</v>
      </c>
      <c r="N3060" s="1596">
        <v>2.0187321011310497</v>
      </c>
      <c r="O3060" s="1596"/>
    </row>
    <row r="3061" spans="11:15">
      <c r="K3061" s="1592">
        <v>45118</v>
      </c>
      <c r="L3061" s="1596" t="s">
        <v>2301</v>
      </c>
      <c r="M3061" s="906">
        <v>4.9036999999999997E-2</v>
      </c>
      <c r="N3061" s="1596">
        <v>2.0197220267914817</v>
      </c>
      <c r="O3061" s="1596"/>
    </row>
    <row r="3062" spans="11:15">
      <c r="K3062" s="1592">
        <v>45119</v>
      </c>
      <c r="L3062" s="1596" t="s">
        <v>2301</v>
      </c>
      <c r="M3062" s="906">
        <v>4.9036999999999997E-2</v>
      </c>
      <c r="N3062" s="1596">
        <v>2.0207124378817598</v>
      </c>
      <c r="O3062" s="1596"/>
    </row>
    <row r="3063" spans="11:15">
      <c r="K3063" s="1592">
        <v>45120</v>
      </c>
      <c r="L3063" s="1596" t="s">
        <v>2301</v>
      </c>
      <c r="M3063" s="906">
        <v>4.9036999999999997E-2</v>
      </c>
      <c r="N3063" s="1596">
        <v>2.0217033346399242</v>
      </c>
      <c r="O3063" s="1596"/>
    </row>
    <row r="3064" spans="11:15">
      <c r="K3064" s="1592">
        <v>45121</v>
      </c>
      <c r="L3064" s="1596" t="s">
        <v>2301</v>
      </c>
      <c r="M3064" s="906">
        <v>4.9036999999999997E-2</v>
      </c>
      <c r="N3064" s="1596">
        <v>2.0226947173041316</v>
      </c>
      <c r="O3064" s="1596"/>
    </row>
    <row r="3065" spans="11:15">
      <c r="K3065" s="1592">
        <v>45122</v>
      </c>
      <c r="L3065" s="1596"/>
      <c r="M3065" s="906">
        <v>0</v>
      </c>
      <c r="N3065" s="1596">
        <v>2.0226947173041316</v>
      </c>
      <c r="O3065" s="1596"/>
    </row>
    <row r="3066" spans="11:15">
      <c r="K3066" s="1592">
        <v>45123</v>
      </c>
      <c r="L3066" s="1596"/>
      <c r="M3066" s="906">
        <v>0</v>
      </c>
      <c r="N3066" s="1596">
        <v>2.0226947173041316</v>
      </c>
      <c r="O3066" s="1596"/>
    </row>
    <row r="3067" spans="11:15">
      <c r="K3067" s="1592">
        <v>45124</v>
      </c>
      <c r="L3067" s="1596" t="s">
        <v>2301</v>
      </c>
      <c r="M3067" s="906">
        <v>4.9036999999999997E-2</v>
      </c>
      <c r="N3067" s="1596">
        <v>2.0236865861126563</v>
      </c>
      <c r="O3067" s="1596"/>
    </row>
    <row r="3068" spans="11:15">
      <c r="K3068" s="1592">
        <v>45125</v>
      </c>
      <c r="L3068" s="1596" t="s">
        <v>2301</v>
      </c>
      <c r="M3068" s="906">
        <v>4.9036999999999997E-2</v>
      </c>
      <c r="N3068" s="1596">
        <v>2.0246789413038884</v>
      </c>
      <c r="O3068" s="1596"/>
    </row>
    <row r="3069" spans="11:15">
      <c r="K3069" s="1592">
        <v>45126</v>
      </c>
      <c r="L3069" s="1596" t="s">
        <v>2301</v>
      </c>
      <c r="M3069" s="906">
        <v>4.9036999999999997E-2</v>
      </c>
      <c r="N3069" s="1596">
        <v>2.0256717831163358</v>
      </c>
      <c r="O3069" s="1596"/>
    </row>
    <row r="3070" spans="11:15">
      <c r="K3070" s="1592">
        <v>45127</v>
      </c>
      <c r="L3070" s="1596" t="s">
        <v>2301</v>
      </c>
      <c r="M3070" s="906">
        <v>4.9036999999999997E-2</v>
      </c>
      <c r="N3070" s="1596">
        <v>2.0266651117886227</v>
      </c>
      <c r="O3070" s="1596"/>
    </row>
    <row r="3071" spans="11:15">
      <c r="K3071" s="1592">
        <v>45128</v>
      </c>
      <c r="L3071" s="1596" t="s">
        <v>2301</v>
      </c>
      <c r="M3071" s="906">
        <v>4.9036999999999997E-2</v>
      </c>
      <c r="N3071" s="1596">
        <v>2.0276589275594907</v>
      </c>
      <c r="O3071" s="1596"/>
    </row>
    <row r="3072" spans="11:15">
      <c r="K3072" s="1592">
        <v>45129</v>
      </c>
      <c r="L3072" s="1596"/>
      <c r="M3072" s="906">
        <v>0</v>
      </c>
      <c r="N3072" s="1596">
        <v>2.0276589275594907</v>
      </c>
      <c r="O3072" s="1596"/>
    </row>
    <row r="3073" spans="11:15">
      <c r="K3073" s="1592">
        <v>45130</v>
      </c>
      <c r="L3073" s="1596"/>
      <c r="M3073" s="906">
        <v>0</v>
      </c>
      <c r="N3073" s="1596">
        <v>2.0276589275594907</v>
      </c>
      <c r="O3073" s="1596"/>
    </row>
    <row r="3074" spans="11:15">
      <c r="K3074" s="1592">
        <v>45131</v>
      </c>
      <c r="L3074" s="1596" t="s">
        <v>2301</v>
      </c>
      <c r="M3074" s="906">
        <v>4.9036999999999997E-2</v>
      </c>
      <c r="N3074" s="1596">
        <v>2.028653230667798</v>
      </c>
      <c r="O3074" s="1596"/>
    </row>
    <row r="3075" spans="11:15">
      <c r="K3075" s="1592">
        <v>45132</v>
      </c>
      <c r="L3075" s="1596" t="s">
        <v>2301</v>
      </c>
      <c r="M3075" s="906">
        <v>4.9036999999999997E-2</v>
      </c>
      <c r="N3075" s="1596">
        <v>2.0296480213525205</v>
      </c>
      <c r="O3075" s="1596"/>
    </row>
    <row r="3076" spans="11:15">
      <c r="K3076" s="1592">
        <v>45133</v>
      </c>
      <c r="L3076" s="1596" t="s">
        <v>2301</v>
      </c>
      <c r="M3076" s="906">
        <v>4.9036999999999997E-2</v>
      </c>
      <c r="N3076" s="1596">
        <v>2.0306432998527515</v>
      </c>
      <c r="O3076" s="1596"/>
    </row>
    <row r="3077" spans="11:15">
      <c r="K3077" s="1592">
        <v>45134</v>
      </c>
      <c r="L3077" s="1596" t="s">
        <v>2301</v>
      </c>
      <c r="M3077" s="906">
        <v>4.9036999999999997E-2</v>
      </c>
      <c r="N3077" s="1596">
        <v>2.0316390664077004</v>
      </c>
      <c r="O3077" s="1596"/>
    </row>
    <row r="3078" spans="11:15">
      <c r="K3078" s="1592">
        <v>45135</v>
      </c>
      <c r="L3078" s="1596" t="s">
        <v>2301</v>
      </c>
      <c r="M3078" s="906">
        <v>4.9036999999999997E-2</v>
      </c>
      <c r="N3078" s="1596">
        <v>2.032635321256695</v>
      </c>
      <c r="O3078" s="1596"/>
    </row>
    <row r="3079" spans="11:15">
      <c r="K3079" s="1592">
        <v>45136</v>
      </c>
      <c r="L3079" s="1596"/>
      <c r="M3079" s="906">
        <v>0</v>
      </c>
      <c r="N3079" s="1596">
        <v>2.032635321256695</v>
      </c>
      <c r="O3079" s="1596"/>
    </row>
    <row r="3080" spans="11:15">
      <c r="K3080" s="1592">
        <v>45137</v>
      </c>
      <c r="L3080" s="1596"/>
      <c r="M3080" s="906">
        <v>0</v>
      </c>
      <c r="N3080" s="1596">
        <v>2.032635321256695</v>
      </c>
      <c r="O3080" s="1596"/>
    </row>
    <row r="3081" spans="11:15">
      <c r="K3081" s="1592">
        <v>45138</v>
      </c>
      <c r="L3081" s="1596" t="s">
        <v>2301</v>
      </c>
      <c r="M3081" s="906">
        <v>4.9036999999999997E-2</v>
      </c>
      <c r="N3081" s="1596">
        <v>2.0336320646391797</v>
      </c>
      <c r="O3081" s="1596"/>
    </row>
    <row r="3082" spans="11:15">
      <c r="K3082" s="1592">
        <v>45139</v>
      </c>
      <c r="L3082" s="1596" t="s">
        <v>2301</v>
      </c>
      <c r="M3082" s="906">
        <v>4.9036999999999997E-2</v>
      </c>
      <c r="N3082" s="1596">
        <v>2.034629296794717</v>
      </c>
      <c r="O3082" s="1596"/>
    </row>
    <row r="3083" spans="11:15">
      <c r="K3083" s="1592">
        <v>45140</v>
      </c>
      <c r="L3083" s="1596" t="s">
        <v>2301</v>
      </c>
      <c r="M3083" s="906">
        <v>4.9036999999999997E-2</v>
      </c>
      <c r="N3083" s="1596">
        <v>2.0356270179629865</v>
      </c>
      <c r="O3083" s="1596"/>
    </row>
    <row r="3084" spans="11:15">
      <c r="K3084" s="1592">
        <v>45141</v>
      </c>
      <c r="L3084" s="1596" t="s">
        <v>2301</v>
      </c>
      <c r="M3084" s="906">
        <v>4.9036999999999997E-2</v>
      </c>
      <c r="N3084" s="1596">
        <v>2.0366252283837851</v>
      </c>
      <c r="O3084" s="1596"/>
    </row>
    <row r="3085" spans="11:15">
      <c r="K3085" s="1592">
        <v>45142</v>
      </c>
      <c r="L3085" s="1596" t="s">
        <v>2301</v>
      </c>
      <c r="M3085" s="906">
        <v>4.9036999999999997E-2</v>
      </c>
      <c r="N3085" s="1596">
        <v>2.0376239282970277</v>
      </c>
      <c r="O3085" s="1596"/>
    </row>
    <row r="3086" spans="11:15">
      <c r="K3086" s="1592">
        <v>45143</v>
      </c>
      <c r="L3086" s="1596"/>
      <c r="M3086" s="906">
        <v>0</v>
      </c>
      <c r="N3086" s="1596">
        <v>2.0376239282970277</v>
      </c>
      <c r="O3086" s="1596"/>
    </row>
    <row r="3087" spans="11:15">
      <c r="K3087" s="1592">
        <v>45144</v>
      </c>
      <c r="L3087" s="1596"/>
      <c r="M3087" s="906">
        <v>0</v>
      </c>
      <c r="N3087" s="1596">
        <v>2.0376239282970277</v>
      </c>
      <c r="O3087" s="1596"/>
    </row>
    <row r="3088" spans="11:15">
      <c r="K3088" s="1592">
        <v>45145</v>
      </c>
      <c r="L3088" s="1596" t="s">
        <v>2301</v>
      </c>
      <c r="M3088" s="906">
        <v>4.9036999999999997E-2</v>
      </c>
      <c r="N3088" s="1596">
        <v>2.038623117942747</v>
      </c>
      <c r="O3088" s="1596"/>
    </row>
    <row r="3089" spans="11:15">
      <c r="K3089" s="1592">
        <v>45146</v>
      </c>
      <c r="L3089" s="1596" t="s">
        <v>2301</v>
      </c>
      <c r="M3089" s="906">
        <v>4.9036999999999997E-2</v>
      </c>
      <c r="N3089" s="1596">
        <v>2.0396227975610928</v>
      </c>
      <c r="O3089" s="1596"/>
    </row>
    <row r="3090" spans="11:15">
      <c r="K3090" s="1592">
        <v>45147</v>
      </c>
      <c r="L3090" s="1596" t="s">
        <v>2301</v>
      </c>
      <c r="M3090" s="906">
        <v>4.9036999999999997E-2</v>
      </c>
      <c r="N3090" s="1596">
        <v>2.0406229673923328</v>
      </c>
      <c r="O3090" s="1596"/>
    </row>
    <row r="3091" spans="11:15">
      <c r="K3091" s="1592">
        <v>45148</v>
      </c>
      <c r="L3091" s="1596" t="s">
        <v>2301</v>
      </c>
      <c r="M3091" s="906">
        <v>4.9036999999999997E-2</v>
      </c>
      <c r="N3091" s="1596">
        <v>2.0416236276768531</v>
      </c>
      <c r="O3091" s="1596"/>
    </row>
    <row r="3092" spans="11:15">
      <c r="K3092" s="1592">
        <v>45149</v>
      </c>
      <c r="L3092" s="1596" t="s">
        <v>2301</v>
      </c>
      <c r="M3092" s="906">
        <v>4.9036999999999997E-2</v>
      </c>
      <c r="N3092" s="1596">
        <v>2.0426247786551572</v>
      </c>
      <c r="O3092" s="1596"/>
    </row>
    <row r="3093" spans="11:15">
      <c r="K3093" s="1592">
        <v>45150</v>
      </c>
      <c r="L3093" s="1596"/>
      <c r="M3093" s="906">
        <v>0</v>
      </c>
      <c r="N3093" s="1596">
        <v>2.0426247786551572</v>
      </c>
      <c r="O3093" s="1596"/>
    </row>
    <row r="3094" spans="11:15">
      <c r="K3094" s="1592">
        <v>45151</v>
      </c>
      <c r="L3094" s="1596"/>
      <c r="M3094" s="906">
        <v>0</v>
      </c>
      <c r="N3094" s="1596">
        <v>2.0426247786551572</v>
      </c>
      <c r="O3094" s="1596"/>
    </row>
    <row r="3095" spans="11:15">
      <c r="K3095" s="1592">
        <v>45152</v>
      </c>
      <c r="L3095" s="1596" t="s">
        <v>2301</v>
      </c>
      <c r="M3095" s="906">
        <v>4.9036999999999997E-2</v>
      </c>
      <c r="N3095" s="1596">
        <v>2.0436264205678665</v>
      </c>
      <c r="O3095" s="1596"/>
    </row>
    <row r="3096" spans="11:15">
      <c r="K3096" s="1592">
        <v>45153</v>
      </c>
      <c r="L3096" s="1596" t="s">
        <v>2301</v>
      </c>
      <c r="M3096" s="906">
        <v>4.9036999999999997E-2</v>
      </c>
      <c r="N3096" s="1596">
        <v>2.0446285536557203</v>
      </c>
      <c r="O3096" s="1596"/>
    </row>
    <row r="3097" spans="11:15">
      <c r="K3097" s="1592">
        <v>45154</v>
      </c>
      <c r="L3097" s="1596" t="s">
        <v>2301</v>
      </c>
      <c r="M3097" s="906">
        <v>4.9036999999999997E-2</v>
      </c>
      <c r="N3097" s="1596">
        <v>2.0456311781595766</v>
      </c>
      <c r="O3097" s="1596"/>
    </row>
    <row r="3098" spans="11:15">
      <c r="K3098" s="1592">
        <v>45155</v>
      </c>
      <c r="L3098" s="1596" t="s">
        <v>2301</v>
      </c>
      <c r="M3098" s="906">
        <v>4.9036999999999997E-2</v>
      </c>
      <c r="N3098" s="1596">
        <v>2.0466342943204108</v>
      </c>
      <c r="O3098" s="1596"/>
    </row>
    <row r="3099" spans="11:15">
      <c r="K3099" s="1592">
        <v>45156</v>
      </c>
      <c r="L3099" s="1596" t="s">
        <v>2301</v>
      </c>
      <c r="M3099" s="906">
        <v>4.9036999999999997E-2</v>
      </c>
      <c r="N3099" s="1596">
        <v>2.047637902379317</v>
      </c>
      <c r="O3099" s="1596"/>
    </row>
    <row r="3100" spans="11:15">
      <c r="K3100" s="1592">
        <v>45157</v>
      </c>
      <c r="L3100" s="1596"/>
      <c r="M3100" s="906">
        <v>0</v>
      </c>
      <c r="N3100" s="1596">
        <v>2.047637902379317</v>
      </c>
      <c r="O3100" s="1596"/>
    </row>
    <row r="3101" spans="11:15">
      <c r="K3101" s="1592">
        <v>45158</v>
      </c>
      <c r="L3101" s="1596"/>
      <c r="M3101" s="906">
        <v>0</v>
      </c>
      <c r="N3101" s="1596">
        <v>2.047637902379317</v>
      </c>
      <c r="O3101" s="1596"/>
    </row>
    <row r="3102" spans="11:15">
      <c r="K3102" s="1592">
        <v>45159</v>
      </c>
      <c r="L3102" s="1596" t="s">
        <v>2301</v>
      </c>
      <c r="M3102" s="906">
        <v>4.9036999999999997E-2</v>
      </c>
      <c r="N3102" s="1596">
        <v>2.0486420025775067</v>
      </c>
      <c r="O3102" s="1596"/>
    </row>
    <row r="3103" spans="11:15">
      <c r="K3103" s="1592">
        <v>45160</v>
      </c>
      <c r="L3103" s="1596" t="s">
        <v>2301</v>
      </c>
      <c r="M3103" s="906">
        <v>4.9036999999999997E-2</v>
      </c>
      <c r="N3103" s="1596">
        <v>2.049646595156311</v>
      </c>
      <c r="O3103" s="1596"/>
    </row>
    <row r="3104" spans="11:15">
      <c r="K3104" s="1592">
        <v>45161</v>
      </c>
      <c r="L3104" s="1596" t="s">
        <v>2301</v>
      </c>
      <c r="M3104" s="906">
        <v>4.9036999999999997E-2</v>
      </c>
      <c r="N3104" s="1596">
        <v>2.0506516803571779</v>
      </c>
      <c r="O3104" s="1596"/>
    </row>
    <row r="3105" spans="11:15">
      <c r="K3105" s="1592">
        <v>45162</v>
      </c>
      <c r="L3105" s="1596" t="s">
        <v>2301</v>
      </c>
      <c r="M3105" s="906">
        <v>4.9036999999999997E-2</v>
      </c>
      <c r="N3105" s="1596">
        <v>2.0516572584216748</v>
      </c>
      <c r="O3105" s="1596"/>
    </row>
    <row r="3106" spans="11:15">
      <c r="K3106" s="1592">
        <v>45163</v>
      </c>
      <c r="L3106" s="1596" t="s">
        <v>2301</v>
      </c>
      <c r="M3106" s="906">
        <v>4.9036999999999997E-2</v>
      </c>
      <c r="N3106" s="1596">
        <v>2.0526633295914873</v>
      </c>
      <c r="O3106" s="1596"/>
    </row>
    <row r="3107" spans="11:15">
      <c r="K3107" s="1592">
        <v>45164</v>
      </c>
      <c r="L3107" s="1596"/>
      <c r="M3107" s="906">
        <v>0</v>
      </c>
      <c r="N3107" s="1596">
        <v>2.0526633295914873</v>
      </c>
      <c r="O3107" s="1596"/>
    </row>
    <row r="3108" spans="11:15">
      <c r="K3108" s="1592">
        <v>45165</v>
      </c>
      <c r="L3108" s="1596"/>
      <c r="M3108" s="906">
        <v>0</v>
      </c>
      <c r="N3108" s="1596">
        <v>2.0526633295914873</v>
      </c>
      <c r="O3108" s="1596"/>
    </row>
    <row r="3109" spans="11:15">
      <c r="K3109" s="1592">
        <v>45166</v>
      </c>
      <c r="L3109" s="1596" t="s">
        <v>2301</v>
      </c>
      <c r="M3109" s="906">
        <v>4.9036999999999997E-2</v>
      </c>
      <c r="N3109" s="1596">
        <v>2.053669894108419</v>
      </c>
      <c r="O3109" s="1596"/>
    </row>
    <row r="3110" spans="11:15">
      <c r="K3110" s="1592">
        <v>45167</v>
      </c>
      <c r="L3110" s="1596" t="s">
        <v>2301</v>
      </c>
      <c r="M3110" s="906">
        <v>4.9036999999999997E-2</v>
      </c>
      <c r="N3110" s="1596">
        <v>2.0546769522143933</v>
      </c>
      <c r="O3110" s="1596"/>
    </row>
    <row r="3111" spans="11:15">
      <c r="K3111" s="1592">
        <v>45168</v>
      </c>
      <c r="L3111" s="1596" t="s">
        <v>2301</v>
      </c>
      <c r="M3111" s="906">
        <v>4.9036999999999997E-2</v>
      </c>
      <c r="N3111" s="1596">
        <v>2.0556845041514507</v>
      </c>
      <c r="O3111" s="1596"/>
    </row>
    <row r="3112" spans="11:15">
      <c r="K3112" s="1592">
        <v>45169</v>
      </c>
      <c r="L3112" s="1596" t="s">
        <v>2301</v>
      </c>
      <c r="M3112" s="906">
        <v>4.9036999999999997E-2</v>
      </c>
      <c r="N3112" s="1596">
        <v>2.0566925501617517</v>
      </c>
      <c r="O3112" s="1596"/>
    </row>
    <row r="3113" spans="11:15">
      <c r="K3113" s="1592">
        <v>45170</v>
      </c>
      <c r="L3113" s="1596" t="s">
        <v>2301</v>
      </c>
      <c r="M3113" s="906">
        <v>4.9036999999999997E-2</v>
      </c>
      <c r="N3113" s="1596">
        <v>2.0577010904875745</v>
      </c>
      <c r="O3113" s="1596"/>
    </row>
    <row r="3114" spans="11:15">
      <c r="K3114" s="1592">
        <v>45171</v>
      </c>
      <c r="L3114" s="1596"/>
      <c r="M3114" s="906">
        <v>0</v>
      </c>
      <c r="N3114" s="1596">
        <v>2.0577010904875745</v>
      </c>
      <c r="O3114" s="1596"/>
    </row>
    <row r="3115" spans="11:15">
      <c r="K3115" s="1592">
        <v>45172</v>
      </c>
      <c r="L3115" s="1596"/>
      <c r="M3115" s="906">
        <v>0</v>
      </c>
      <c r="N3115" s="1596">
        <v>2.0577010904875745</v>
      </c>
      <c r="O3115" s="1596"/>
    </row>
    <row r="3116" spans="11:15">
      <c r="K3116" s="1592">
        <v>45173</v>
      </c>
      <c r="L3116" s="1596" t="s">
        <v>2301</v>
      </c>
      <c r="M3116" s="906">
        <v>4.9036999999999997E-2</v>
      </c>
      <c r="N3116" s="1596">
        <v>2.0587101253713169</v>
      </c>
      <c r="O3116" s="1596"/>
    </row>
    <row r="3117" spans="11:15">
      <c r="K3117" s="1592">
        <v>45174</v>
      </c>
      <c r="L3117" s="1596" t="s">
        <v>2301</v>
      </c>
      <c r="M3117" s="906">
        <v>4.9036999999999997E-2</v>
      </c>
      <c r="N3117" s="1596">
        <v>2.0597196550554955</v>
      </c>
      <c r="O3117" s="1596"/>
    </row>
    <row r="3118" spans="11:15">
      <c r="K3118" s="1592">
        <v>45175</v>
      </c>
      <c r="L3118" s="1596" t="s">
        <v>2301</v>
      </c>
      <c r="M3118" s="906">
        <v>4.9036999999999997E-2</v>
      </c>
      <c r="N3118" s="1596">
        <v>2.060729679782745</v>
      </c>
      <c r="O3118" s="1596"/>
    </row>
    <row r="3119" spans="11:15">
      <c r="K3119" s="1592">
        <v>45176</v>
      </c>
      <c r="L3119" s="1596"/>
      <c r="M3119" s="906">
        <v>0</v>
      </c>
      <c r="N3119" s="1596">
        <v>2.060729679782745</v>
      </c>
      <c r="O3119" s="1596"/>
    </row>
    <row r="3120" spans="11:15">
      <c r="K3120" s="1592">
        <v>45177</v>
      </c>
      <c r="L3120" s="1596" t="s">
        <v>2301</v>
      </c>
      <c r="M3120" s="906">
        <v>4.9036999999999997E-2</v>
      </c>
      <c r="N3120" s="1596">
        <v>2.0617401997958202</v>
      </c>
      <c r="O3120" s="1596"/>
    </row>
    <row r="3121" spans="11:15">
      <c r="K3121" s="1592">
        <v>45178</v>
      </c>
      <c r="L3121" s="1596"/>
      <c r="M3121" s="906">
        <v>0</v>
      </c>
      <c r="N3121" s="1596">
        <v>2.0617401997958202</v>
      </c>
      <c r="O3121" s="1596"/>
    </row>
    <row r="3122" spans="11:15">
      <c r="K3122" s="1592">
        <v>45179</v>
      </c>
      <c r="L3122" s="1596"/>
      <c r="M3122" s="906">
        <v>0</v>
      </c>
      <c r="N3122" s="1596">
        <v>2.0617401997958202</v>
      </c>
      <c r="O3122" s="1596"/>
    </row>
    <row r="3123" spans="11:15">
      <c r="K3123" s="1592">
        <v>45180</v>
      </c>
      <c r="L3123" s="1596" t="s">
        <v>2301</v>
      </c>
      <c r="M3123" s="906">
        <v>4.9036999999999997E-2</v>
      </c>
      <c r="N3123" s="1596">
        <v>2.0627512153375944</v>
      </c>
      <c r="O3123" s="1596"/>
    </row>
    <row r="3124" spans="11:15">
      <c r="K3124" s="1592">
        <v>45181</v>
      </c>
      <c r="L3124" s="1596" t="s">
        <v>2301</v>
      </c>
      <c r="M3124" s="906">
        <v>4.9036999999999997E-2</v>
      </c>
      <c r="N3124" s="1596">
        <v>2.0637627266510599</v>
      </c>
      <c r="O3124" s="1596"/>
    </row>
    <row r="3125" spans="11:15">
      <c r="K3125" s="1592">
        <v>45182</v>
      </c>
      <c r="L3125" s="1596" t="s">
        <v>2301</v>
      </c>
      <c r="M3125" s="906">
        <v>4.9036999999999997E-2</v>
      </c>
      <c r="N3125" s="1596">
        <v>2.0647747339793279</v>
      </c>
      <c r="O3125" s="1596"/>
    </row>
    <row r="3126" spans="11:15">
      <c r="K3126" s="1592">
        <v>45183</v>
      </c>
      <c r="L3126" s="1596" t="s">
        <v>2301</v>
      </c>
      <c r="M3126" s="906">
        <v>4.9036999999999997E-2</v>
      </c>
      <c r="N3126" s="1596">
        <v>2.0657872375656297</v>
      </c>
      <c r="O3126" s="1596"/>
    </row>
    <row r="3127" spans="11:15">
      <c r="K3127" s="1592">
        <v>45184</v>
      </c>
      <c r="L3127" s="1596" t="s">
        <v>2301</v>
      </c>
      <c r="M3127" s="906">
        <v>4.9036999999999997E-2</v>
      </c>
      <c r="N3127" s="1596">
        <v>2.066800237653315</v>
      </c>
      <c r="O3127" s="1596"/>
    </row>
    <row r="3128" spans="11:15">
      <c r="K3128" s="1592">
        <v>45185</v>
      </c>
      <c r="L3128" s="1596"/>
      <c r="M3128" s="906">
        <v>0</v>
      </c>
      <c r="N3128" s="1596">
        <v>2.066800237653315</v>
      </c>
      <c r="O3128" s="1596"/>
    </row>
    <row r="3129" spans="11:15">
      <c r="K3129" s="1592">
        <v>45186</v>
      </c>
      <c r="L3129" s="1596"/>
      <c r="M3129" s="906">
        <v>0</v>
      </c>
      <c r="N3129" s="1596">
        <v>2.066800237653315</v>
      </c>
      <c r="O3129" s="1596"/>
    </row>
    <row r="3130" spans="11:15">
      <c r="K3130" s="1592">
        <v>45187</v>
      </c>
      <c r="L3130" s="1596" t="s">
        <v>2301</v>
      </c>
      <c r="M3130" s="906">
        <v>4.9036999999999997E-2</v>
      </c>
      <c r="N3130" s="1596">
        <v>2.0678137344858531</v>
      </c>
      <c r="O3130" s="1596"/>
    </row>
    <row r="3131" spans="11:15">
      <c r="K3131" s="1592">
        <v>45188</v>
      </c>
      <c r="L3131" s="1596" t="s">
        <v>2301</v>
      </c>
      <c r="M3131" s="906">
        <v>4.9036999999999997E-2</v>
      </c>
      <c r="N3131" s="1596">
        <v>2.0688277283068333</v>
      </c>
      <c r="O3131" s="1596"/>
    </row>
    <row r="3132" spans="11:15">
      <c r="K3132" s="1592">
        <v>45189</v>
      </c>
      <c r="L3132" s="1596" t="s">
        <v>2301</v>
      </c>
      <c r="M3132" s="906">
        <v>4.9036999999999997E-2</v>
      </c>
      <c r="N3132" s="1596">
        <v>2.069842219359963</v>
      </c>
      <c r="O3132" s="1596"/>
    </row>
    <row r="3133" spans="11:15">
      <c r="K3133" s="1592">
        <v>45190</v>
      </c>
      <c r="L3133" s="1596" t="s">
        <v>2301</v>
      </c>
      <c r="M3133" s="906">
        <v>4.9036999999999997E-2</v>
      </c>
      <c r="N3133" s="1596">
        <v>2.0708572078890706</v>
      </c>
      <c r="O3133" s="1596"/>
    </row>
    <row r="3134" spans="11:15">
      <c r="K3134" s="1592">
        <v>45191</v>
      </c>
      <c r="L3134" s="1596" t="s">
        <v>2301</v>
      </c>
      <c r="M3134" s="906">
        <v>4.9036999999999997E-2</v>
      </c>
      <c r="N3134" s="1596">
        <v>2.0718726941381034</v>
      </c>
      <c r="O3134" s="1596"/>
    </row>
    <row r="3135" spans="11:15">
      <c r="K3135" s="1592">
        <v>45192</v>
      </c>
      <c r="L3135" s="1596"/>
      <c r="M3135" s="906">
        <v>0</v>
      </c>
      <c r="N3135" s="1596">
        <v>2.0718726941381034</v>
      </c>
      <c r="O3135" s="1596"/>
    </row>
    <row r="3136" spans="11:15">
      <c r="K3136" s="1592">
        <v>45193</v>
      </c>
      <c r="L3136" s="1596"/>
      <c r="M3136" s="906">
        <v>0</v>
      </c>
      <c r="N3136" s="1596">
        <v>2.0718726941381034</v>
      </c>
      <c r="O3136" s="1596"/>
    </row>
    <row r="3137" spans="11:15">
      <c r="K3137" s="1592">
        <v>45194</v>
      </c>
      <c r="L3137" s="1596" t="s">
        <v>2301</v>
      </c>
      <c r="M3137" s="906">
        <v>4.9036999999999997E-2</v>
      </c>
      <c r="N3137" s="1596">
        <v>2.072888678351128</v>
      </c>
      <c r="O3137" s="1596"/>
    </row>
    <row r="3138" spans="11:15">
      <c r="K3138" s="1592">
        <v>45195</v>
      </c>
      <c r="L3138" s="1596" t="s">
        <v>2301</v>
      </c>
      <c r="M3138" s="906">
        <v>4.9036999999999997E-2</v>
      </c>
      <c r="N3138" s="1596">
        <v>2.0739051607723313</v>
      </c>
      <c r="O3138" s="1596"/>
    </row>
    <row r="3139" spans="11:15">
      <c r="K3139" s="1592">
        <v>45196</v>
      </c>
      <c r="L3139" s="1596" t="s">
        <v>2301</v>
      </c>
      <c r="M3139" s="906">
        <v>4.9036999999999997E-2</v>
      </c>
      <c r="N3139" s="1596">
        <v>2.0749221416460193</v>
      </c>
      <c r="O3139" s="1596"/>
    </row>
    <row r="3140" spans="11:15">
      <c r="K3140" s="1592">
        <v>45197</v>
      </c>
      <c r="L3140" s="1596" t="s">
        <v>2301</v>
      </c>
      <c r="M3140" s="906">
        <v>4.9036999999999997E-2</v>
      </c>
      <c r="N3140" s="1596">
        <v>2.0759396212166186</v>
      </c>
      <c r="O3140" s="1596"/>
    </row>
    <row r="3141" spans="11:15">
      <c r="K3141" s="1592">
        <v>45198</v>
      </c>
      <c r="L3141" s="1596" t="s">
        <v>2301</v>
      </c>
      <c r="M3141" s="906">
        <v>4.9036999999999997E-2</v>
      </c>
      <c r="N3141" s="1596">
        <v>2.0769575997286749</v>
      </c>
      <c r="O3141" s="1596"/>
    </row>
    <row r="3142" spans="11:15">
      <c r="K3142" s="1592">
        <v>45199</v>
      </c>
      <c r="L3142" s="1596"/>
      <c r="M3142" s="906">
        <v>0</v>
      </c>
      <c r="N3142" s="1596">
        <v>2.0769575997286749</v>
      </c>
      <c r="O3142" s="1596"/>
    </row>
    <row r="3143" spans="11:15">
      <c r="K3143" s="1592">
        <v>45200</v>
      </c>
      <c r="L3143" s="1596"/>
      <c r="M3143" s="906">
        <v>0</v>
      </c>
      <c r="N3143" s="1596">
        <v>2.0769575997286749</v>
      </c>
      <c r="O3143" s="1596"/>
    </row>
    <row r="3144" spans="11:15">
      <c r="K3144" s="1592">
        <v>45201</v>
      </c>
      <c r="L3144" s="1596" t="s">
        <v>2301</v>
      </c>
      <c r="M3144" s="906">
        <v>4.9036999999999997E-2</v>
      </c>
      <c r="N3144" s="1596">
        <v>2.0779760774268539</v>
      </c>
      <c r="O3144" s="1596"/>
    </row>
    <row r="3145" spans="11:15">
      <c r="K3145" s="1592">
        <v>45202</v>
      </c>
      <c r="L3145" s="1596" t="s">
        <v>2301</v>
      </c>
      <c r="M3145" s="906">
        <v>4.9036999999999997E-2</v>
      </c>
      <c r="N3145" s="1596">
        <v>2.0789950545559419</v>
      </c>
      <c r="O3145" s="1596"/>
    </row>
    <row r="3146" spans="11:15">
      <c r="K3146" s="1592">
        <v>45203</v>
      </c>
      <c r="L3146" s="1596" t="s">
        <v>2301</v>
      </c>
      <c r="M3146" s="906">
        <v>4.9036999999999997E-2</v>
      </c>
      <c r="N3146" s="1596">
        <v>2.0800145313608445</v>
      </c>
      <c r="O3146" s="1596"/>
    </row>
    <row r="3147" spans="11:15">
      <c r="K3147" s="1592">
        <v>45204</v>
      </c>
      <c r="L3147" s="1596" t="s">
        <v>2301</v>
      </c>
      <c r="M3147" s="906">
        <v>4.9036999999999997E-2</v>
      </c>
      <c r="N3147" s="1596">
        <v>2.0810345080865882</v>
      </c>
      <c r="O3147" s="1596"/>
    </row>
    <row r="3148" spans="11:15">
      <c r="K3148" s="1592">
        <v>45205</v>
      </c>
      <c r="L3148" s="1596" t="s">
        <v>2301</v>
      </c>
      <c r="M3148" s="906">
        <v>4.9036999999999997E-2</v>
      </c>
      <c r="N3148" s="1596">
        <v>2.0820549849783188</v>
      </c>
      <c r="O3148" s="1596"/>
    </row>
    <row r="3149" spans="11:15">
      <c r="K3149" s="1592">
        <v>45206</v>
      </c>
      <c r="L3149" s="1596"/>
      <c r="M3149" s="906">
        <v>0</v>
      </c>
      <c r="N3149" s="1596">
        <v>2.0820549849783188</v>
      </c>
      <c r="O3149" s="1596"/>
    </row>
    <row r="3150" spans="11:15">
      <c r="K3150" s="1592">
        <v>45207</v>
      </c>
      <c r="L3150" s="1596"/>
      <c r="M3150" s="906">
        <v>0</v>
      </c>
      <c r="N3150" s="1596">
        <v>2.0820549849783188</v>
      </c>
      <c r="O3150" s="1596"/>
    </row>
    <row r="3151" spans="11:15">
      <c r="K3151" s="1592">
        <v>45208</v>
      </c>
      <c r="L3151" s="1596" t="s">
        <v>2301</v>
      </c>
      <c r="M3151" s="906">
        <v>4.9036999999999997E-2</v>
      </c>
      <c r="N3151" s="1596">
        <v>2.0830759622813027</v>
      </c>
      <c r="O3151" s="1596"/>
    </row>
    <row r="3152" spans="11:15">
      <c r="K3152" s="1592">
        <v>45209</v>
      </c>
      <c r="L3152" s="1596" t="s">
        <v>2301</v>
      </c>
      <c r="M3152" s="906">
        <v>4.9036999999999997E-2</v>
      </c>
      <c r="N3152" s="1596">
        <v>2.0840974402409267</v>
      </c>
      <c r="O3152" s="1596"/>
    </row>
    <row r="3153" spans="11:15">
      <c r="K3153" s="1592">
        <v>45210</v>
      </c>
      <c r="L3153" s="1596" t="s">
        <v>2301</v>
      </c>
      <c r="M3153" s="906">
        <v>4.9036999999999997E-2</v>
      </c>
      <c r="N3153" s="1596">
        <v>2.0851194191026976</v>
      </c>
      <c r="O3153" s="1596"/>
    </row>
    <row r="3154" spans="11:15">
      <c r="K3154" s="1592">
        <v>45211</v>
      </c>
      <c r="L3154" s="1596"/>
      <c r="M3154" s="906">
        <v>0</v>
      </c>
      <c r="N3154" s="1596">
        <v>2.0851194191026976</v>
      </c>
      <c r="O3154" s="1596"/>
    </row>
    <row r="3155" spans="11:15">
      <c r="K3155" s="1592">
        <v>45212</v>
      </c>
      <c r="L3155" s="1596" t="s">
        <v>2301</v>
      </c>
      <c r="M3155" s="906">
        <v>4.9036999999999997E-2</v>
      </c>
      <c r="N3155" s="1596">
        <v>2.0861418991122433</v>
      </c>
      <c r="O3155" s="1596"/>
    </row>
    <row r="3156" spans="11:15">
      <c r="K3156" s="1592">
        <v>45213</v>
      </c>
      <c r="L3156" s="1596"/>
      <c r="M3156" s="906">
        <v>0</v>
      </c>
      <c r="N3156" s="1596">
        <v>2.0861418991122433</v>
      </c>
      <c r="O3156" s="1596"/>
    </row>
    <row r="3157" spans="11:15">
      <c r="K3157" s="1592">
        <v>45214</v>
      </c>
      <c r="L3157" s="1596"/>
      <c r="M3157" s="906">
        <v>0</v>
      </c>
      <c r="N3157" s="1596">
        <v>2.0861418991122433</v>
      </c>
      <c r="O3157" s="1596"/>
    </row>
    <row r="3158" spans="11:15">
      <c r="K3158" s="1592">
        <v>45215</v>
      </c>
      <c r="L3158" s="1596" t="s">
        <v>2301</v>
      </c>
      <c r="M3158" s="906">
        <v>4.9036999999999997E-2</v>
      </c>
      <c r="N3158" s="1596">
        <v>2.0871648805153113</v>
      </c>
      <c r="O3158" s="1596"/>
    </row>
    <row r="3159" spans="11:15">
      <c r="K3159" s="1592">
        <v>45216</v>
      </c>
      <c r="L3159" s="1596" t="s">
        <v>2301</v>
      </c>
      <c r="M3159" s="906">
        <v>4.9036999999999997E-2</v>
      </c>
      <c r="N3159" s="1596">
        <v>2.0881883635577698</v>
      </c>
      <c r="O3159" s="1596"/>
    </row>
    <row r="3160" spans="11:15">
      <c r="K3160" s="1592">
        <v>45217</v>
      </c>
      <c r="L3160" s="1596" t="s">
        <v>2301</v>
      </c>
      <c r="M3160" s="906">
        <v>4.9036999999999997E-2</v>
      </c>
      <c r="N3160" s="1596">
        <v>2.0892123484856078</v>
      </c>
      <c r="O3160" s="1596"/>
    </row>
    <row r="3161" spans="11:15">
      <c r="K3161" s="1592">
        <v>45218</v>
      </c>
      <c r="L3161" s="1596" t="s">
        <v>2301</v>
      </c>
      <c r="M3161" s="906">
        <v>4.9036999999999997E-2</v>
      </c>
      <c r="N3161" s="1596">
        <v>2.090236835544935</v>
      </c>
      <c r="O3161" s="1596"/>
    </row>
    <row r="3162" spans="11:15">
      <c r="K3162" s="1592">
        <v>45219</v>
      </c>
      <c r="L3162" s="1596" t="s">
        <v>2301</v>
      </c>
      <c r="M3162" s="906">
        <v>4.9036999999999997E-2</v>
      </c>
      <c r="N3162" s="1596">
        <v>2.0912618249819812</v>
      </c>
      <c r="O3162" s="1596"/>
    </row>
    <row r="3163" spans="11:15">
      <c r="K3163" s="1592">
        <v>45220</v>
      </c>
      <c r="L3163" s="1596"/>
      <c r="M3163" s="906">
        <v>0</v>
      </c>
      <c r="N3163" s="1596">
        <v>2.0912618249819812</v>
      </c>
      <c r="O3163" s="1596"/>
    </row>
    <row r="3164" spans="11:15">
      <c r="K3164" s="1592">
        <v>45221</v>
      </c>
      <c r="L3164" s="1596"/>
      <c r="M3164" s="906">
        <v>0</v>
      </c>
      <c r="N3164" s="1596">
        <v>2.0912618249819812</v>
      </c>
      <c r="O3164" s="1596"/>
    </row>
    <row r="3165" spans="11:15">
      <c r="K3165" s="1592">
        <v>45222</v>
      </c>
      <c r="L3165" s="1596" t="s">
        <v>2301</v>
      </c>
      <c r="M3165" s="906">
        <v>4.9036999999999997E-2</v>
      </c>
      <c r="N3165" s="1596">
        <v>2.0922873170430978</v>
      </c>
      <c r="O3165" s="1596"/>
    </row>
    <row r="3166" spans="11:15">
      <c r="K3166" s="1592">
        <v>45223</v>
      </c>
      <c r="L3166" s="1596" t="s">
        <v>2301</v>
      </c>
      <c r="M3166" s="906">
        <v>4.9036999999999997E-2</v>
      </c>
      <c r="N3166" s="1596">
        <v>2.0933133119747565</v>
      </c>
      <c r="O3166" s="1596"/>
    </row>
    <row r="3167" spans="11:15">
      <c r="K3167" s="1592">
        <v>45224</v>
      </c>
      <c r="L3167" s="1596" t="s">
        <v>2301</v>
      </c>
      <c r="M3167" s="906">
        <v>4.9036999999999997E-2</v>
      </c>
      <c r="N3167" s="1596">
        <v>2.0943398100235497</v>
      </c>
      <c r="O3167" s="1596"/>
    </row>
    <row r="3168" spans="11:15">
      <c r="K3168" s="1592">
        <v>45225</v>
      </c>
      <c r="L3168" s="1596" t="s">
        <v>2301</v>
      </c>
      <c r="M3168" s="906">
        <v>4.9036999999999997E-2</v>
      </c>
      <c r="N3168" s="1596">
        <v>2.095366811436191</v>
      </c>
      <c r="O3168" s="1596"/>
    </row>
    <row r="3169" spans="11:15">
      <c r="K3169" s="1592">
        <v>45226</v>
      </c>
      <c r="L3169" s="1596" t="s">
        <v>2301</v>
      </c>
      <c r="M3169" s="906">
        <v>4.9036999999999997E-2</v>
      </c>
      <c r="N3169" s="1596">
        <v>2.0963943164595151</v>
      </c>
      <c r="O3169" s="1596"/>
    </row>
    <row r="3170" spans="11:15">
      <c r="K3170" s="1592">
        <v>45227</v>
      </c>
      <c r="L3170" s="1596"/>
      <c r="M3170" s="906">
        <v>0</v>
      </c>
      <c r="N3170" s="1596">
        <v>2.0963943164595151</v>
      </c>
      <c r="O3170" s="1596"/>
    </row>
    <row r="3171" spans="11:15">
      <c r="K3171" s="1592">
        <v>45228</v>
      </c>
      <c r="L3171" s="1596"/>
      <c r="M3171" s="906">
        <v>0</v>
      </c>
      <c r="N3171" s="1596">
        <v>2.0963943164595151</v>
      </c>
      <c r="O3171" s="1596"/>
    </row>
    <row r="3172" spans="11:15">
      <c r="K3172" s="1592">
        <v>45229</v>
      </c>
      <c r="L3172" s="1596" t="s">
        <v>2301</v>
      </c>
      <c r="M3172" s="906">
        <v>4.9036999999999997E-2</v>
      </c>
      <c r="N3172" s="1596">
        <v>2.0974223253404776</v>
      </c>
      <c r="O3172" s="1596"/>
    </row>
    <row r="3173" spans="11:15">
      <c r="K3173" s="1592">
        <v>45230</v>
      </c>
      <c r="L3173" s="1596" t="s">
        <v>2301</v>
      </c>
      <c r="M3173" s="906">
        <v>4.9036999999999997E-2</v>
      </c>
      <c r="N3173" s="1596">
        <v>2.0984508383261549</v>
      </c>
      <c r="O3173" s="1596"/>
    </row>
    <row r="3174" spans="11:15">
      <c r="K3174" s="1592">
        <v>45231</v>
      </c>
      <c r="L3174" s="1596" t="s">
        <v>2301</v>
      </c>
      <c r="M3174" s="906">
        <v>4.9036999999999997E-2</v>
      </c>
      <c r="N3174" s="1596">
        <v>2.0994798556637448</v>
      </c>
      <c r="O3174" s="1596"/>
    </row>
    <row r="3175" spans="11:15">
      <c r="K3175" s="1592">
        <v>45232</v>
      </c>
      <c r="L3175" s="1596"/>
      <c r="M3175" s="906">
        <v>0</v>
      </c>
      <c r="N3175" s="1596">
        <v>2.0994798556637448</v>
      </c>
      <c r="O3175" s="1596"/>
    </row>
    <row r="3176" spans="11:15">
      <c r="K3176" s="1592">
        <v>45233</v>
      </c>
      <c r="L3176" s="1596" t="s">
        <v>2301</v>
      </c>
      <c r="M3176" s="906">
        <v>4.9036999999999997E-2</v>
      </c>
      <c r="N3176" s="1596">
        <v>2.100509377600567</v>
      </c>
      <c r="O3176" s="1596"/>
    </row>
    <row r="3177" spans="11:15">
      <c r="K3177" s="1592">
        <v>45234</v>
      </c>
      <c r="L3177" s="1596"/>
      <c r="M3177" s="906">
        <v>0</v>
      </c>
      <c r="N3177" s="1596">
        <v>2.100509377600567</v>
      </c>
      <c r="O3177" s="1596"/>
    </row>
    <row r="3178" spans="11:15">
      <c r="K3178" s="1592">
        <v>45235</v>
      </c>
      <c r="L3178" s="1596"/>
      <c r="M3178" s="906">
        <v>0</v>
      </c>
      <c r="N3178" s="1596">
        <v>2.100509377600567</v>
      </c>
      <c r="O3178" s="1596"/>
    </row>
    <row r="3179" spans="11:15">
      <c r="K3179" s="1592">
        <v>45236</v>
      </c>
      <c r="L3179" s="1596" t="s">
        <v>2301</v>
      </c>
      <c r="M3179" s="906">
        <v>4.9036999999999997E-2</v>
      </c>
      <c r="N3179" s="1596">
        <v>2.1015394043840612</v>
      </c>
      <c r="O3179" s="1596"/>
    </row>
    <row r="3180" spans="11:15">
      <c r="K3180" s="1592">
        <v>45237</v>
      </c>
      <c r="L3180" s="1596" t="s">
        <v>2301</v>
      </c>
      <c r="M3180" s="906">
        <v>4.9036999999999997E-2</v>
      </c>
      <c r="N3180" s="1596">
        <v>2.1025699362617893</v>
      </c>
      <c r="O3180" s="1596"/>
    </row>
    <row r="3181" spans="11:15">
      <c r="K3181" s="1592">
        <v>45238</v>
      </c>
      <c r="L3181" s="1596" t="s">
        <v>2301</v>
      </c>
      <c r="M3181" s="906">
        <v>4.9036999999999997E-2</v>
      </c>
      <c r="N3181" s="1596">
        <v>2.1036009734814343</v>
      </c>
      <c r="O3181" s="1596"/>
    </row>
    <row r="3182" spans="11:15">
      <c r="K3182" s="1592">
        <v>45239</v>
      </c>
      <c r="L3182" s="1596" t="s">
        <v>2301</v>
      </c>
      <c r="M3182" s="906">
        <v>4.9036999999999997E-2</v>
      </c>
      <c r="N3182" s="1596">
        <v>2.1046325162908004</v>
      </c>
      <c r="O3182" s="1596"/>
    </row>
    <row r="3183" spans="11:15">
      <c r="K3183" s="1592">
        <v>45240</v>
      </c>
      <c r="L3183" s="1596" t="s">
        <v>2301</v>
      </c>
      <c r="M3183" s="906">
        <v>4.9036999999999997E-2</v>
      </c>
      <c r="N3183" s="1596">
        <v>2.1056645649378143</v>
      </c>
      <c r="O3183" s="1596"/>
    </row>
    <row r="3184" spans="11:15">
      <c r="K3184" s="1592">
        <v>45241</v>
      </c>
      <c r="L3184" s="1596"/>
      <c r="M3184" s="906">
        <v>0</v>
      </c>
      <c r="N3184" s="1596">
        <v>2.1056645649378143</v>
      </c>
      <c r="O3184" s="1596"/>
    </row>
    <row r="3185" spans="11:15">
      <c r="K3185" s="1592">
        <v>45242</v>
      </c>
      <c r="L3185" s="1596"/>
      <c r="M3185" s="906">
        <v>0</v>
      </c>
      <c r="N3185" s="1596">
        <v>2.1056645649378143</v>
      </c>
      <c r="O3185" s="1596"/>
    </row>
    <row r="3186" spans="11:15">
      <c r="K3186" s="1592">
        <v>45243</v>
      </c>
      <c r="L3186" s="1596" t="s">
        <v>2301</v>
      </c>
      <c r="M3186" s="906">
        <v>4.9036999999999997E-2</v>
      </c>
      <c r="N3186" s="1596">
        <v>2.1066971196705229</v>
      </c>
      <c r="O3186" s="1596"/>
    </row>
    <row r="3187" spans="11:15">
      <c r="K3187" s="1592">
        <v>45244</v>
      </c>
      <c r="L3187" s="1596" t="s">
        <v>2301</v>
      </c>
      <c r="M3187" s="906">
        <v>4.9036999999999997E-2</v>
      </c>
      <c r="N3187" s="1596">
        <v>2.1077301807370961</v>
      </c>
      <c r="O3187" s="1596"/>
    </row>
    <row r="3188" spans="11:15">
      <c r="K3188" s="1592">
        <v>45245</v>
      </c>
      <c r="L3188" s="1596"/>
      <c r="M3188" s="906">
        <v>0</v>
      </c>
      <c r="N3188" s="1596">
        <v>2.1077301807370961</v>
      </c>
      <c r="O3188" s="1596"/>
    </row>
    <row r="3189" spans="11:15">
      <c r="K3189" s="1592">
        <v>45246</v>
      </c>
      <c r="L3189" s="1596" t="s">
        <v>2301</v>
      </c>
      <c r="M3189" s="906">
        <v>4.9036999999999997E-2</v>
      </c>
      <c r="N3189" s="1596">
        <v>2.1087637483858241</v>
      </c>
      <c r="O3189" s="1596"/>
    </row>
    <row r="3190" spans="11:15">
      <c r="K3190" s="1592">
        <v>45247</v>
      </c>
      <c r="L3190" s="1596" t="s">
        <v>2301</v>
      </c>
      <c r="M3190" s="906">
        <v>4.9036999999999997E-2</v>
      </c>
      <c r="N3190" s="1596">
        <v>2.1097978228651204</v>
      </c>
      <c r="O3190" s="1596"/>
    </row>
    <row r="3191" spans="11:15">
      <c r="K3191" s="1592">
        <v>45248</v>
      </c>
      <c r="L3191" s="1596"/>
      <c r="M3191" s="906">
        <v>0</v>
      </c>
      <c r="N3191" s="1596">
        <v>2.1097978228651204</v>
      </c>
      <c r="O3191" s="1596"/>
    </row>
    <row r="3192" spans="11:15">
      <c r="K3192" s="1592">
        <v>45249</v>
      </c>
      <c r="L3192" s="1596"/>
      <c r="M3192" s="906">
        <v>0</v>
      </c>
      <c r="N3192" s="1596">
        <v>2.1097978228651204</v>
      </c>
      <c r="O3192" s="1596"/>
    </row>
    <row r="3193" spans="11:15">
      <c r="K3193" s="1592">
        <v>45250</v>
      </c>
      <c r="L3193" s="1596" t="s">
        <v>2301</v>
      </c>
      <c r="M3193" s="906">
        <v>4.9036999999999997E-2</v>
      </c>
      <c r="N3193" s="1596">
        <v>2.1108324044235189</v>
      </c>
      <c r="O3193" s="1596"/>
    </row>
    <row r="3194" spans="11:15">
      <c r="K3194" s="1592">
        <v>45251</v>
      </c>
      <c r="L3194" s="1596" t="s">
        <v>2301</v>
      </c>
      <c r="M3194" s="906">
        <v>4.9036999999999997E-2</v>
      </c>
      <c r="N3194" s="1596">
        <v>2.1118674933096764</v>
      </c>
      <c r="O3194" s="1596"/>
    </row>
    <row r="3195" spans="11:15">
      <c r="K3195" s="1592">
        <v>45252</v>
      </c>
      <c r="L3195" s="1596" t="s">
        <v>2301</v>
      </c>
      <c r="M3195" s="906">
        <v>4.9036999999999997E-2</v>
      </c>
      <c r="N3195" s="1596">
        <v>2.1129030897723706</v>
      </c>
      <c r="O3195" s="1596"/>
    </row>
    <row r="3196" spans="11:15">
      <c r="K3196" s="1592">
        <v>45253</v>
      </c>
      <c r="L3196" s="1596" t="s">
        <v>2301</v>
      </c>
      <c r="M3196" s="906">
        <v>4.9036999999999997E-2</v>
      </c>
      <c r="N3196" s="1596">
        <v>2.1139391940605026</v>
      </c>
      <c r="O3196" s="1596"/>
    </row>
    <row r="3197" spans="11:15">
      <c r="K3197" s="1592">
        <v>45254</v>
      </c>
      <c r="L3197" s="1596" t="s">
        <v>2301</v>
      </c>
      <c r="M3197" s="906">
        <v>4.9036999999999997E-2</v>
      </c>
      <c r="N3197" s="1596">
        <v>2.1149758064230944</v>
      </c>
      <c r="O3197" s="1596"/>
    </row>
    <row r="3198" spans="11:15">
      <c r="K3198" s="1592">
        <v>45255</v>
      </c>
      <c r="L3198" s="1596"/>
      <c r="M3198" s="906">
        <v>0</v>
      </c>
      <c r="N3198" s="1596">
        <v>2.1149758064230944</v>
      </c>
      <c r="O3198" s="1596"/>
    </row>
    <row r="3199" spans="11:15">
      <c r="K3199" s="1592">
        <v>45256</v>
      </c>
      <c r="L3199" s="1596"/>
      <c r="M3199" s="906">
        <v>0</v>
      </c>
      <c r="N3199" s="1596">
        <v>2.1149758064230944</v>
      </c>
      <c r="O3199" s="1596"/>
    </row>
    <row r="3200" spans="11:15">
      <c r="K3200" s="1592">
        <v>45257</v>
      </c>
      <c r="L3200" s="1596" t="s">
        <v>2301</v>
      </c>
      <c r="M3200" s="906">
        <v>4.9036999999999997E-2</v>
      </c>
      <c r="N3200" s="1596">
        <v>2.1160129271092902</v>
      </c>
      <c r="O3200" s="1596"/>
    </row>
    <row r="3201" spans="11:15">
      <c r="K3201" s="1592">
        <v>45258</v>
      </c>
      <c r="L3201" s="1596" t="s">
        <v>2301</v>
      </c>
      <c r="M3201" s="906">
        <v>4.9036999999999997E-2</v>
      </c>
      <c r="N3201" s="1596">
        <v>2.117050556368357</v>
      </c>
      <c r="O3201" s="1596"/>
    </row>
    <row r="3202" spans="11:15">
      <c r="K3202" s="1592">
        <v>45259</v>
      </c>
      <c r="L3202" s="1596" t="s">
        <v>2301</v>
      </c>
      <c r="M3202" s="906">
        <v>4.9036999999999997E-2</v>
      </c>
      <c r="N3202" s="1596">
        <v>2.1180886944496837</v>
      </c>
      <c r="O3202" s="1596"/>
    </row>
    <row r="3203" spans="11:15">
      <c r="K3203" s="1592">
        <v>45260</v>
      </c>
      <c r="L3203" s="1596" t="s">
        <v>2301</v>
      </c>
      <c r="M3203" s="906">
        <v>4.9036999999999997E-2</v>
      </c>
      <c r="N3203" s="1596">
        <v>2.1191273416027814</v>
      </c>
      <c r="O3203" s="1596"/>
    </row>
    <row r="3204" spans="11:15">
      <c r="K3204" s="1592">
        <v>45261</v>
      </c>
      <c r="L3204" s="1596" t="s">
        <v>2301</v>
      </c>
      <c r="M3204" s="906">
        <v>4.9036999999999997E-2</v>
      </c>
      <c r="N3204" s="1596">
        <v>2.1201664980772832</v>
      </c>
      <c r="O3204" s="1596"/>
    </row>
    <row r="3205" spans="11:15">
      <c r="K3205" s="1592">
        <v>45262</v>
      </c>
      <c r="L3205" s="1596"/>
      <c r="M3205" s="906">
        <v>0</v>
      </c>
      <c r="N3205" s="1596">
        <v>2.1201664980772832</v>
      </c>
      <c r="O3205" s="1596"/>
    </row>
    <row r="3206" spans="11:15">
      <c r="K3206" s="1592">
        <v>45263</v>
      </c>
      <c r="L3206" s="1596"/>
      <c r="M3206" s="906">
        <v>0</v>
      </c>
      <c r="N3206" s="1596">
        <v>2.1201664980772832</v>
      </c>
      <c r="O3206" s="1596"/>
    </row>
    <row r="3207" spans="11:15">
      <c r="K3207" s="1592">
        <v>45264</v>
      </c>
      <c r="L3207" s="1596" t="s">
        <v>2301</v>
      </c>
      <c r="M3207" s="906">
        <v>4.9036999999999997E-2</v>
      </c>
      <c r="N3207" s="1596">
        <v>2.1212061641229454</v>
      </c>
      <c r="O3207" s="1596"/>
    </row>
    <row r="3208" spans="11:15">
      <c r="K3208" s="1592">
        <v>45265</v>
      </c>
      <c r="L3208" s="1596" t="s">
        <v>2301</v>
      </c>
      <c r="M3208" s="906">
        <v>4.9036999999999997E-2</v>
      </c>
      <c r="N3208" s="1596">
        <v>2.1222463399896463</v>
      </c>
      <c r="O3208" s="1596"/>
    </row>
    <row r="3209" spans="11:15">
      <c r="K3209" s="1592">
        <v>45266</v>
      </c>
      <c r="L3209" s="1596" t="s">
        <v>2301</v>
      </c>
      <c r="M3209" s="906">
        <v>4.9036999999999997E-2</v>
      </c>
      <c r="N3209" s="1596">
        <v>2.1232870259273873</v>
      </c>
      <c r="O3209" s="1596"/>
    </row>
    <row r="3210" spans="11:15">
      <c r="K3210" s="1592">
        <v>45267</v>
      </c>
      <c r="L3210" s="1596" t="s">
        <v>2301</v>
      </c>
      <c r="M3210" s="906">
        <v>4.9036999999999997E-2</v>
      </c>
      <c r="N3210" s="1596">
        <v>2.1243282221862914</v>
      </c>
      <c r="O3210" s="1596"/>
    </row>
    <row r="3211" spans="11:15">
      <c r="K3211" s="1592">
        <v>45268</v>
      </c>
      <c r="L3211" s="1596" t="s">
        <v>2301</v>
      </c>
      <c r="M3211" s="906">
        <v>4.9036999999999997E-2</v>
      </c>
      <c r="N3211" s="1596">
        <v>2.125369929016605</v>
      </c>
      <c r="O3211" s="1596"/>
    </row>
    <row r="3212" spans="11:15">
      <c r="K3212" s="1592">
        <v>45269</v>
      </c>
      <c r="L3212" s="1596"/>
      <c r="M3212" s="906">
        <v>0</v>
      </c>
      <c r="N3212" s="1596">
        <v>2.125369929016605</v>
      </c>
      <c r="O3212" s="1596"/>
    </row>
    <row r="3213" spans="11:15">
      <c r="K3213" s="1592">
        <v>45270</v>
      </c>
      <c r="L3213" s="1596"/>
      <c r="M3213" s="906">
        <v>0</v>
      </c>
      <c r="N3213" s="1596">
        <v>2.125369929016605</v>
      </c>
      <c r="O3213" s="1596"/>
    </row>
    <row r="3214" spans="11:15">
      <c r="K3214" s="1592">
        <v>45271</v>
      </c>
      <c r="L3214" s="1596" t="s">
        <v>2301</v>
      </c>
      <c r="M3214" s="906">
        <v>4.9036999999999997E-2</v>
      </c>
      <c r="N3214" s="1596">
        <v>2.1264121466686969</v>
      </c>
      <c r="O3214" s="1596"/>
    </row>
    <row r="3215" spans="11:15">
      <c r="K3215" s="1592">
        <v>45272</v>
      </c>
      <c r="L3215" s="1" t="s">
        <v>2301</v>
      </c>
      <c r="M3215" s="1">
        <v>4.9036999999999997E-2</v>
      </c>
      <c r="N3215" s="1">
        <v>2.1274548753930591</v>
      </c>
    </row>
    <row r="3216" spans="11:15">
      <c r="K3216" s="1592">
        <v>45273</v>
      </c>
      <c r="L3216" s="1" t="s">
        <v>2301</v>
      </c>
      <c r="M3216" s="1">
        <v>4.9036999999999997E-2</v>
      </c>
      <c r="N3216" s="1">
        <v>2.1284981154403058</v>
      </c>
    </row>
    <row r="3217" spans="11:14">
      <c r="K3217" s="1592">
        <v>45274</v>
      </c>
      <c r="L3217" s="1" t="s">
        <v>2301</v>
      </c>
      <c r="M3217" s="1">
        <v>4.9036999999999997E-2</v>
      </c>
      <c r="N3217" s="1">
        <v>2.1295418670611745</v>
      </c>
    </row>
    <row r="3218" spans="11:14">
      <c r="K3218" s="1592">
        <v>45275</v>
      </c>
      <c r="L3218" s="1" t="s">
        <v>2301</v>
      </c>
      <c r="M3218" s="1">
        <v>4.9036999999999997E-2</v>
      </c>
      <c r="N3218" s="1">
        <v>2.1305861305065257</v>
      </c>
    </row>
    <row r="3219" spans="11:14">
      <c r="K3219" s="1592">
        <v>45276</v>
      </c>
      <c r="M3219" s="1">
        <v>0</v>
      </c>
      <c r="N3219" s="1">
        <v>2.1305861305065257</v>
      </c>
    </row>
    <row r="3220" spans="11:14">
      <c r="K3220" s="1592">
        <v>45277</v>
      </c>
      <c r="M3220" s="1">
        <v>0</v>
      </c>
      <c r="N3220" s="1">
        <v>2.1305861305065257</v>
      </c>
    </row>
    <row r="3221" spans="11:14">
      <c r="K3221" s="1592">
        <v>45278</v>
      </c>
      <c r="L3221" s="1" t="s">
        <v>2301</v>
      </c>
      <c r="M3221" s="1">
        <v>4.9036999999999997E-2</v>
      </c>
      <c r="N3221" s="1">
        <v>2.1316309060273424</v>
      </c>
    </row>
    <row r="3222" spans="11:14">
      <c r="K3222" s="1592">
        <v>45279</v>
      </c>
      <c r="L3222" s="1" t="s">
        <v>2301</v>
      </c>
      <c r="M3222" s="1">
        <v>4.9036999999999997E-2</v>
      </c>
      <c r="N3222" s="1">
        <v>2.1326761938747314</v>
      </c>
    </row>
    <row r="3223" spans="11:14">
      <c r="K3223" s="1592">
        <v>45280</v>
      </c>
      <c r="L3223" s="1" t="s">
        <v>2301</v>
      </c>
      <c r="M3223" s="1">
        <v>4.9036999999999997E-2</v>
      </c>
      <c r="N3223" s="1">
        <v>2.1337219942999219</v>
      </c>
    </row>
    <row r="3224" spans="11:14">
      <c r="K3224" s="1592">
        <v>45281</v>
      </c>
      <c r="L3224" s="1" t="s">
        <v>2301</v>
      </c>
      <c r="M3224" s="1">
        <v>4.9036999999999997E-2</v>
      </c>
      <c r="N3224" s="1">
        <v>2.1347683075542667</v>
      </c>
    </row>
    <row r="3225" spans="11:14">
      <c r="K3225" s="1592">
        <v>45282</v>
      </c>
      <c r="L3225" s="1" t="s">
        <v>2301</v>
      </c>
      <c r="M3225" s="1">
        <v>4.9036999999999997E-2</v>
      </c>
      <c r="N3225" s="1">
        <v>2.1358151338892424</v>
      </c>
    </row>
    <row r="3226" spans="11:14">
      <c r="K3226" s="1592">
        <v>45283</v>
      </c>
      <c r="M3226" s="1">
        <v>0</v>
      </c>
      <c r="N3226" s="1">
        <v>2.1358151338892424</v>
      </c>
    </row>
    <row r="3227" spans="11:14">
      <c r="K3227" s="1592">
        <v>45284</v>
      </c>
      <c r="M3227" s="1">
        <v>0</v>
      </c>
      <c r="N3227" s="1">
        <v>2.1358151338892424</v>
      </c>
    </row>
    <row r="3228" spans="11:14">
      <c r="K3228" s="1592">
        <v>45285</v>
      </c>
      <c r="M3228" s="1">
        <v>0</v>
      </c>
      <c r="N3228" s="1">
        <v>2.1358151338892424</v>
      </c>
    </row>
    <row r="3229" spans="11:14">
      <c r="K3229" s="1592">
        <v>45286</v>
      </c>
      <c r="L3229" s="1" t="s">
        <v>2301</v>
      </c>
      <c r="M3229" s="1">
        <v>4.9036999999999997E-2</v>
      </c>
      <c r="N3229" s="1">
        <v>2.1368624735564477</v>
      </c>
    </row>
    <row r="3230" spans="11:14">
      <c r="K3230" s="1592">
        <v>45287</v>
      </c>
      <c r="L3230" s="1" t="s">
        <v>2301</v>
      </c>
      <c r="M3230" s="1">
        <v>4.9036999999999997E-2</v>
      </c>
      <c r="N3230" s="1">
        <v>2.1379103268076056</v>
      </c>
    </row>
    <row r="3231" spans="11:14">
      <c r="K3231" s="1592">
        <v>45288</v>
      </c>
      <c r="L3231" s="1" t="s">
        <v>2301</v>
      </c>
      <c r="M3231" s="1">
        <v>4.9036999999999997E-2</v>
      </c>
      <c r="N3231" s="1">
        <v>2.1389586938945624</v>
      </c>
    </row>
    <row r="3232" spans="11:14">
      <c r="K3232" s="1592">
        <v>45289</v>
      </c>
      <c r="L3232" s="1" t="s">
        <v>2301</v>
      </c>
      <c r="M3232" s="1">
        <v>4.9036999999999997E-2</v>
      </c>
      <c r="N3232" s="1">
        <v>2.1400075750692875</v>
      </c>
    </row>
    <row r="3233" spans="11:14">
      <c r="K3233" s="1592">
        <v>45290</v>
      </c>
      <c r="M3233" s="1">
        <v>0</v>
      </c>
      <c r="N3233" s="1">
        <v>2.1400075750692875</v>
      </c>
    </row>
    <row r="3234" spans="11:14">
      <c r="K3234" s="1592">
        <v>45291</v>
      </c>
      <c r="M3234" s="1">
        <v>0</v>
      </c>
      <c r="N3234" s="1">
        <v>2.1400075750692875</v>
      </c>
    </row>
    <row r="3235" spans="11:14">
      <c r="K3235" s="1592">
        <v>45292</v>
      </c>
      <c r="M3235" s="1">
        <v>0</v>
      </c>
      <c r="N3235" s="1">
        <v>2.1400075750692875</v>
      </c>
    </row>
    <row r="3236" spans="11:14">
      <c r="K3236" s="1592">
        <v>45293</v>
      </c>
      <c r="L3236" s="1" t="s">
        <v>2301</v>
      </c>
      <c r="M3236" s="1">
        <v>4.9036999999999997E-2</v>
      </c>
      <c r="N3236" s="1">
        <v>2.1410569705838745</v>
      </c>
    </row>
    <row r="3237" spans="11:14">
      <c r="K3237" s="1592">
        <v>45294</v>
      </c>
      <c r="L3237" s="1" t="s">
        <v>2301</v>
      </c>
      <c r="M3237" s="1">
        <v>4.9036999999999997E-2</v>
      </c>
      <c r="N3237" s="1">
        <v>2.1421068806905397</v>
      </c>
    </row>
    <row r="3238" spans="11:14">
      <c r="K3238" s="1592">
        <v>45295</v>
      </c>
      <c r="L3238" s="1" t="s">
        <v>2301</v>
      </c>
      <c r="M3238" s="1">
        <v>4.9036999999999997E-2</v>
      </c>
      <c r="N3238" s="1">
        <v>2.143157305641624</v>
      </c>
    </row>
    <row r="3239" spans="11:14">
      <c r="K3239" s="1592">
        <v>45296</v>
      </c>
      <c r="L3239" s="1" t="s">
        <v>2301</v>
      </c>
      <c r="M3239" s="1">
        <v>4.9036999999999997E-2</v>
      </c>
      <c r="N3239" s="1">
        <v>2.1442082456895917</v>
      </c>
    </row>
    <row r="3240" spans="11:14">
      <c r="K3240" s="1592">
        <v>45297</v>
      </c>
      <c r="M3240" s="1">
        <v>0</v>
      </c>
      <c r="N3240" s="1">
        <v>2.1442082456895917</v>
      </c>
    </row>
    <row r="3241" spans="11:14">
      <c r="K3241" s="1592">
        <v>45298</v>
      </c>
      <c r="M3241" s="1">
        <v>0</v>
      </c>
      <c r="N3241" s="1">
        <v>2.1442082456895917</v>
      </c>
    </row>
    <row r="3242" spans="11:14">
      <c r="K3242" s="1592">
        <v>45299</v>
      </c>
      <c r="L3242" s="1" t="s">
        <v>2301</v>
      </c>
      <c r="M3242" s="1">
        <v>4.9036999999999997E-2</v>
      </c>
      <c r="N3242" s="1">
        <v>2.1452597010870305</v>
      </c>
    </row>
    <row r="3243" spans="11:14">
      <c r="K3243" s="1592">
        <v>45300</v>
      </c>
      <c r="L3243" s="1" t="s">
        <v>2301</v>
      </c>
      <c r="M3243" s="1">
        <v>4.9036999999999997E-2</v>
      </c>
      <c r="N3243" s="1">
        <v>2.1463116720866529</v>
      </c>
    </row>
    <row r="3244" spans="11:14">
      <c r="K3244" s="1592">
        <v>45301</v>
      </c>
      <c r="L3244" s="1" t="s">
        <v>2301</v>
      </c>
      <c r="M3244" s="1">
        <v>4.9036999999999997E-2</v>
      </c>
      <c r="N3244" s="1">
        <v>2.147364158941294</v>
      </c>
    </row>
    <row r="3245" spans="11:14">
      <c r="K3245" s="1592">
        <v>45302</v>
      </c>
      <c r="L3245" s="1" t="s">
        <v>2301</v>
      </c>
      <c r="M3245" s="1">
        <v>4.9036999999999997E-2</v>
      </c>
      <c r="N3245" s="1">
        <v>2.1484171619039141</v>
      </c>
    </row>
    <row r="3246" spans="11:14">
      <c r="K3246" s="1592">
        <v>45303</v>
      </c>
      <c r="L3246" s="1" t="s">
        <v>2301</v>
      </c>
      <c r="M3246" s="1">
        <v>4.9036999999999997E-2</v>
      </c>
      <c r="N3246" s="1">
        <v>2.149470681227597</v>
      </c>
    </row>
    <row r="3247" spans="11:14">
      <c r="K3247" s="1592">
        <v>45304</v>
      </c>
      <c r="M3247" s="1">
        <v>0</v>
      </c>
      <c r="N3247" s="1">
        <v>2.149470681227597</v>
      </c>
    </row>
    <row r="3248" spans="11:14">
      <c r="K3248" s="1592">
        <v>45305</v>
      </c>
      <c r="M3248" s="1">
        <v>0</v>
      </c>
      <c r="N3248" s="1">
        <v>2.149470681227597</v>
      </c>
    </row>
    <row r="3249" spans="11:14">
      <c r="K3249" s="1592">
        <v>45306</v>
      </c>
      <c r="L3249" s="1" t="s">
        <v>2301</v>
      </c>
      <c r="M3249" s="1">
        <v>4.9036999999999997E-2</v>
      </c>
      <c r="N3249" s="1">
        <v>2.1505247171655508</v>
      </c>
    </row>
    <row r="3250" spans="11:14">
      <c r="K3250" s="1592">
        <v>45307</v>
      </c>
      <c r="L3250" s="1" t="s">
        <v>2301</v>
      </c>
      <c r="M3250" s="1">
        <v>4.9036999999999997E-2</v>
      </c>
      <c r="N3250" s="1">
        <v>2.1515792699711076</v>
      </c>
    </row>
    <row r="3251" spans="11:14">
      <c r="K3251" s="1592">
        <v>45308</v>
      </c>
      <c r="L3251" s="1" t="s">
        <v>2301</v>
      </c>
      <c r="M3251" s="1">
        <v>4.9036999999999997E-2</v>
      </c>
      <c r="N3251" s="1">
        <v>2.1526343398977237</v>
      </c>
    </row>
    <row r="3252" spans="11:14">
      <c r="K3252" s="1592">
        <v>45309</v>
      </c>
      <c r="L3252" s="1" t="s">
        <v>2301</v>
      </c>
      <c r="M3252" s="1">
        <v>4.9036999999999997E-2</v>
      </c>
      <c r="N3252" s="1">
        <v>2.1536899271989793</v>
      </c>
    </row>
    <row r="3253" spans="11:14">
      <c r="K3253" s="1592">
        <v>45310</v>
      </c>
      <c r="L3253" s="1" t="s">
        <v>2301</v>
      </c>
      <c r="M3253" s="1">
        <v>4.9036999999999997E-2</v>
      </c>
      <c r="N3253" s="1">
        <v>2.1547460321285801</v>
      </c>
    </row>
    <row r="3254" spans="11:14">
      <c r="K3254" s="1592"/>
    </row>
    <row r="3255" spans="11:14">
      <c r="K3255" s="1592"/>
    </row>
    <row r="3256" spans="11:14">
      <c r="K3256" s="1592"/>
    </row>
    <row r="3257" spans="11:14">
      <c r="K3257" s="1592"/>
    </row>
    <row r="3258" spans="11:14">
      <c r="K3258" s="1592"/>
    </row>
    <row r="3259" spans="11:14">
      <c r="K3259" s="1592"/>
    </row>
    <row r="3260" spans="11:14">
      <c r="K3260" s="1592"/>
    </row>
    <row r="3261" spans="11:14">
      <c r="K3261" s="1592"/>
    </row>
    <row r="3262" spans="11:14">
      <c r="K3262" s="1592"/>
    </row>
    <row r="3263" spans="11:14">
      <c r="K3263" s="1592"/>
    </row>
    <row r="3264" spans="11:14">
      <c r="K3264" s="1592"/>
    </row>
    <row r="3265" spans="11:11">
      <c r="K3265" s="1592"/>
    </row>
    <row r="3266" spans="11:11">
      <c r="K3266" s="1592"/>
    </row>
    <row r="3267" spans="11:11">
      <c r="K3267" s="1592"/>
    </row>
    <row r="3268" spans="11:11">
      <c r="K3268" s="1592"/>
    </row>
    <row r="3269" spans="11:11">
      <c r="K3269" s="1592"/>
    </row>
    <row r="3270" spans="11:11">
      <c r="K3270" s="1592"/>
    </row>
    <row r="3271" spans="11:11">
      <c r="K3271" s="1592"/>
    </row>
    <row r="3272" spans="11:11">
      <c r="K3272" s="1592"/>
    </row>
    <row r="3273" spans="11:11">
      <c r="K3273" s="1592"/>
    </row>
    <row r="3274" spans="11:11">
      <c r="K3274" s="1592"/>
    </row>
    <row r="3275" spans="11:11">
      <c r="K3275" s="1592"/>
    </row>
    <row r="3276" spans="11:11">
      <c r="K3276" s="1592"/>
    </row>
    <row r="3277" spans="11:11">
      <c r="K3277" s="1592"/>
    </row>
    <row r="3278" spans="11:11">
      <c r="K3278" s="1592"/>
    </row>
    <row r="3279" spans="11:11">
      <c r="K3279" s="1592"/>
    </row>
    <row r="3280" spans="11:11">
      <c r="K3280" s="1592"/>
    </row>
    <row r="3281" spans="11:11">
      <c r="K3281" s="1592"/>
    </row>
    <row r="3282" spans="11:11">
      <c r="K3282" s="1592"/>
    </row>
    <row r="3283" spans="11:11">
      <c r="K3283" s="1592"/>
    </row>
    <row r="3284" spans="11:11">
      <c r="K3284" s="1592"/>
    </row>
    <row r="3285" spans="11:11">
      <c r="K3285" s="1592"/>
    </row>
    <row r="3286" spans="11:11">
      <c r="K3286" s="1592"/>
    </row>
    <row r="3287" spans="11:11">
      <c r="K3287" s="1592"/>
    </row>
    <row r="3288" spans="11:11">
      <c r="K3288" s="1592"/>
    </row>
    <row r="3289" spans="11:11">
      <c r="K3289" s="1592"/>
    </row>
    <row r="3290" spans="11:11">
      <c r="K3290" s="1592"/>
    </row>
    <row r="3291" spans="11:11">
      <c r="K3291" s="1592"/>
    </row>
    <row r="3292" spans="11:11">
      <c r="K3292" s="1592"/>
    </row>
    <row r="3293" spans="11:11">
      <c r="K3293" s="1592"/>
    </row>
    <row r="3294" spans="11:11">
      <c r="K3294" s="1592"/>
    </row>
    <row r="3295" spans="11:11">
      <c r="K3295" s="1592"/>
    </row>
    <row r="3296" spans="11:11">
      <c r="K3296" s="1592"/>
    </row>
    <row r="3297" spans="11:11">
      <c r="K3297" s="1592"/>
    </row>
    <row r="3298" spans="11:11">
      <c r="K3298" s="1592"/>
    </row>
    <row r="3299" spans="11:11">
      <c r="K3299" s="1592"/>
    </row>
    <row r="3300" spans="11:11">
      <c r="K3300" s="1592"/>
    </row>
    <row r="3301" spans="11:11">
      <c r="K3301" s="1592"/>
    </row>
    <row r="3302" spans="11:11">
      <c r="K3302" s="1592"/>
    </row>
    <row r="3303" spans="11:11">
      <c r="K3303" s="1592"/>
    </row>
    <row r="3304" spans="11:11">
      <c r="K3304" s="1592"/>
    </row>
    <row r="3305" spans="11:11">
      <c r="K3305" s="1592"/>
    </row>
    <row r="3306" spans="11:11">
      <c r="K3306" s="1592"/>
    </row>
    <row r="3307" spans="11:11">
      <c r="K3307" s="1592"/>
    </row>
    <row r="3308" spans="11:11">
      <c r="K3308" s="1592"/>
    </row>
    <row r="3309" spans="11:11">
      <c r="K3309" s="1592"/>
    </row>
    <row r="3310" spans="11:11">
      <c r="K3310" s="1592"/>
    </row>
    <row r="3311" spans="11:11">
      <c r="K3311" s="1592"/>
    </row>
    <row r="3312" spans="11:11">
      <c r="K3312" s="1592"/>
    </row>
    <row r="3313" spans="11:11">
      <c r="K3313" s="1592"/>
    </row>
    <row r="3314" spans="11:11">
      <c r="K3314" s="1592"/>
    </row>
    <row r="3315" spans="11:11">
      <c r="K3315" s="1592"/>
    </row>
    <row r="3316" spans="11:11">
      <c r="K3316" s="1592"/>
    </row>
    <row r="3317" spans="11:11">
      <c r="K3317" s="1592"/>
    </row>
    <row r="3318" spans="11:11">
      <c r="K3318" s="1592"/>
    </row>
    <row r="3319" spans="11:11">
      <c r="K3319" s="1592"/>
    </row>
    <row r="3320" spans="11:11">
      <c r="K3320" s="1592"/>
    </row>
    <row r="3321" spans="11:11">
      <c r="K3321" s="1592"/>
    </row>
    <row r="3322" spans="11:11">
      <c r="K3322" s="1592"/>
    </row>
    <row r="3323" spans="11:11">
      <c r="K3323" s="1592"/>
    </row>
    <row r="3324" spans="11:11">
      <c r="K3324" s="1592"/>
    </row>
    <row r="3325" spans="11:11">
      <c r="K3325" s="1592"/>
    </row>
    <row r="3326" spans="11:11">
      <c r="K3326" s="1592"/>
    </row>
    <row r="3327" spans="11:11">
      <c r="K3327" s="1592"/>
    </row>
    <row r="3328" spans="11:11">
      <c r="K3328" s="1592"/>
    </row>
    <row r="3329" spans="11:11">
      <c r="K3329" s="1592"/>
    </row>
    <row r="3330" spans="11:11">
      <c r="K3330" s="1592"/>
    </row>
    <row r="3331" spans="11:11">
      <c r="K3331" s="1592"/>
    </row>
    <row r="3332" spans="11:11">
      <c r="K3332" s="1592"/>
    </row>
    <row r="3333" spans="11:11">
      <c r="K3333" s="1592"/>
    </row>
    <row r="3334" spans="11:11">
      <c r="K3334" s="1592"/>
    </row>
    <row r="3335" spans="11:11">
      <c r="K3335" s="1592"/>
    </row>
    <row r="3336" spans="11:11">
      <c r="K3336" s="1592"/>
    </row>
    <row r="3337" spans="11:11">
      <c r="K3337" s="1592"/>
    </row>
    <row r="3338" spans="11:11">
      <c r="K3338" s="1592"/>
    </row>
    <row r="3339" spans="11:11">
      <c r="K3339" s="1592"/>
    </row>
    <row r="3340" spans="11:11">
      <c r="K3340" s="1592"/>
    </row>
    <row r="3341" spans="11:11">
      <c r="K3341" s="1592"/>
    </row>
    <row r="3342" spans="11:11">
      <c r="K3342" s="1592"/>
    </row>
    <row r="3343" spans="11:11">
      <c r="K3343" s="1592"/>
    </row>
    <row r="3344" spans="11:11">
      <c r="K3344" s="1592"/>
    </row>
    <row r="3345" spans="11:11">
      <c r="K3345" s="1592"/>
    </row>
    <row r="3346" spans="11:11">
      <c r="K3346" s="1592"/>
    </row>
    <row r="3347" spans="11:11">
      <c r="K3347" s="1592"/>
    </row>
    <row r="3348" spans="11:11">
      <c r="K3348" s="1592"/>
    </row>
    <row r="3349" spans="11:11">
      <c r="K3349" s="1592"/>
    </row>
    <row r="3350" spans="11:11">
      <c r="K3350" s="1592"/>
    </row>
    <row r="3351" spans="11:11">
      <c r="K3351" s="1592"/>
    </row>
    <row r="3352" spans="11:11">
      <c r="K3352" s="1592"/>
    </row>
    <row r="3353" spans="11:11">
      <c r="K3353" s="1592"/>
    </row>
    <row r="3354" spans="11:11">
      <c r="K3354" s="1592"/>
    </row>
    <row r="3355" spans="11:11">
      <c r="K3355" s="1592"/>
    </row>
    <row r="3356" spans="11:11">
      <c r="K3356" s="1592"/>
    </row>
    <row r="3357" spans="11:11">
      <c r="K3357" s="1592"/>
    </row>
    <row r="3358" spans="11:11">
      <c r="K3358" s="1592"/>
    </row>
    <row r="3359" spans="11:11">
      <c r="K3359" s="1592"/>
    </row>
    <row r="3360" spans="11:11">
      <c r="K3360" s="1592"/>
    </row>
    <row r="3361" spans="11:11">
      <c r="K3361" s="1592"/>
    </row>
    <row r="3362" spans="11:11">
      <c r="K3362" s="1592"/>
    </row>
    <row r="3363" spans="11:11">
      <c r="K3363" s="1592"/>
    </row>
    <row r="3364" spans="11:11">
      <c r="K3364" s="1592"/>
    </row>
    <row r="3365" spans="11:11">
      <c r="K3365" s="1592"/>
    </row>
    <row r="3366" spans="11:11">
      <c r="K3366" s="1592"/>
    </row>
    <row r="3367" spans="11:11">
      <c r="K3367" s="1592"/>
    </row>
    <row r="3368" spans="11:11">
      <c r="K3368" s="1592"/>
    </row>
    <row r="3369" spans="11:11">
      <c r="K3369" s="1592"/>
    </row>
    <row r="3370" spans="11:11">
      <c r="K3370" s="1592"/>
    </row>
    <row r="3371" spans="11:11">
      <c r="K3371" s="1592"/>
    </row>
    <row r="3372" spans="11:11">
      <c r="K3372" s="1592"/>
    </row>
    <row r="3373" spans="11:11">
      <c r="K3373" s="1592"/>
    </row>
    <row r="3374" spans="11:11">
      <c r="K3374" s="1592"/>
    </row>
    <row r="3375" spans="11:11">
      <c r="K3375" s="1592"/>
    </row>
    <row r="3376" spans="11:11">
      <c r="K3376" s="1592"/>
    </row>
    <row r="3377" spans="11:11">
      <c r="K3377" s="1592"/>
    </row>
    <row r="3378" spans="11:11">
      <c r="K3378" s="1592"/>
    </row>
    <row r="3379" spans="11:11">
      <c r="K3379" s="1592"/>
    </row>
    <row r="3380" spans="11:11">
      <c r="K3380" s="1592"/>
    </row>
    <row r="3381" spans="11:11">
      <c r="K3381" s="1592"/>
    </row>
    <row r="3382" spans="11:11">
      <c r="K3382" s="1592"/>
    </row>
    <row r="3383" spans="11:11">
      <c r="K3383" s="1592"/>
    </row>
    <row r="3384" spans="11:11">
      <c r="K3384" s="1592"/>
    </row>
    <row r="3385" spans="11:11">
      <c r="K3385" s="1592"/>
    </row>
    <row r="3386" spans="11:11">
      <c r="K3386" s="1592"/>
    </row>
    <row r="3387" spans="11:11">
      <c r="K3387" s="1592"/>
    </row>
    <row r="3388" spans="11:11">
      <c r="K3388" s="1592"/>
    </row>
    <row r="3389" spans="11:11">
      <c r="K3389" s="1592"/>
    </row>
    <row r="3390" spans="11:11">
      <c r="K3390" s="1592"/>
    </row>
    <row r="3391" spans="11:11">
      <c r="K3391" s="1592"/>
    </row>
    <row r="3392" spans="11:11">
      <c r="K3392" s="1592"/>
    </row>
    <row r="3393" spans="11:11">
      <c r="K3393" s="1592"/>
    </row>
    <row r="3394" spans="11:11">
      <c r="K3394" s="1592"/>
    </row>
    <row r="3395" spans="11:11">
      <c r="K3395" s="1592"/>
    </row>
    <row r="3396" spans="11:11">
      <c r="K3396" s="1592"/>
    </row>
    <row r="3397" spans="11:11">
      <c r="K3397" s="1592"/>
    </row>
    <row r="3398" spans="11:11">
      <c r="K3398" s="1592"/>
    </row>
    <row r="3399" spans="11:11">
      <c r="K3399" s="1592"/>
    </row>
    <row r="3400" spans="11:11">
      <c r="K3400" s="1592"/>
    </row>
    <row r="3401" spans="11:11">
      <c r="K3401" s="1592"/>
    </row>
    <row r="3402" spans="11:11">
      <c r="K3402" s="1592"/>
    </row>
    <row r="3403" spans="11:11">
      <c r="K3403" s="1592"/>
    </row>
    <row r="3404" spans="11:11">
      <c r="K3404" s="1592"/>
    </row>
    <row r="3405" spans="11:11">
      <c r="K3405" s="1592"/>
    </row>
    <row r="3406" spans="11:11">
      <c r="K3406" s="1592"/>
    </row>
    <row r="3407" spans="11:11">
      <c r="K3407" s="1592"/>
    </row>
    <row r="3408" spans="11:11">
      <c r="K3408" s="1592"/>
    </row>
    <row r="3409" spans="11:11">
      <c r="K3409" s="1592"/>
    </row>
    <row r="3410" spans="11:11">
      <c r="K3410" s="1592"/>
    </row>
    <row r="3411" spans="11:11">
      <c r="K3411" s="1592"/>
    </row>
    <row r="3412" spans="11:11">
      <c r="K3412" s="1592"/>
    </row>
    <row r="3413" spans="11:11">
      <c r="K3413" s="1592"/>
    </row>
    <row r="3414" spans="11:11">
      <c r="K3414" s="1592"/>
    </row>
    <row r="3415" spans="11:11">
      <c r="K3415" s="1592"/>
    </row>
    <row r="3416" spans="11:11">
      <c r="K3416" s="1592"/>
    </row>
    <row r="3417" spans="11:11">
      <c r="K3417" s="1592"/>
    </row>
    <row r="3418" spans="11:11">
      <c r="K3418" s="1592"/>
    </row>
    <row r="3419" spans="11:11">
      <c r="K3419" s="1592"/>
    </row>
    <row r="3420" spans="11:11">
      <c r="K3420" s="1592"/>
    </row>
    <row r="3421" spans="11:11">
      <c r="K3421" s="1592"/>
    </row>
    <row r="3422" spans="11:11">
      <c r="K3422" s="1592"/>
    </row>
    <row r="3423" spans="11:11">
      <c r="K3423" s="1592"/>
    </row>
    <row r="3424" spans="11:11">
      <c r="K3424" s="1592"/>
    </row>
    <row r="3425" spans="11:11">
      <c r="K3425" s="1592"/>
    </row>
    <row r="3426" spans="11:11">
      <c r="K3426" s="1592"/>
    </row>
    <row r="3427" spans="11:11">
      <c r="K3427" s="1592"/>
    </row>
    <row r="3428" spans="11:11">
      <c r="K3428" s="1592"/>
    </row>
    <row r="3429" spans="11:11">
      <c r="K3429" s="1592"/>
    </row>
    <row r="3430" spans="11:11">
      <c r="K3430" s="1592"/>
    </row>
    <row r="3431" spans="11:11">
      <c r="K3431" s="1592"/>
    </row>
    <row r="3432" spans="11:11">
      <c r="K3432" s="1592"/>
    </row>
    <row r="3433" spans="11:11">
      <c r="K3433" s="1592"/>
    </row>
    <row r="3434" spans="11:11">
      <c r="K3434" s="1592"/>
    </row>
    <row r="3435" spans="11:11">
      <c r="K3435" s="1592"/>
    </row>
    <row r="3436" spans="11:11">
      <c r="K3436" s="1592"/>
    </row>
    <row r="3437" spans="11:11">
      <c r="K3437" s="1592"/>
    </row>
    <row r="3438" spans="11:11">
      <c r="K3438" s="1592"/>
    </row>
    <row r="3439" spans="11:11">
      <c r="K3439" s="1592"/>
    </row>
    <row r="3440" spans="11:11">
      <c r="K3440" s="1592"/>
    </row>
    <row r="3441" spans="11:11">
      <c r="K3441" s="1592"/>
    </row>
    <row r="3442" spans="11:11">
      <c r="K3442" s="1592"/>
    </row>
    <row r="3443" spans="11:11">
      <c r="K3443" s="1592"/>
    </row>
    <row r="3444" spans="11:11">
      <c r="K3444" s="1592"/>
    </row>
    <row r="3445" spans="11:11">
      <c r="K3445" s="1592"/>
    </row>
    <row r="3446" spans="11:11">
      <c r="K3446" s="1592"/>
    </row>
    <row r="3447" spans="11:11">
      <c r="K3447" s="1592"/>
    </row>
    <row r="3448" spans="11:11">
      <c r="K3448" s="1592"/>
    </row>
    <row r="3449" spans="11:11">
      <c r="K3449" s="1592"/>
    </row>
    <row r="3450" spans="11:11">
      <c r="K3450" s="1592"/>
    </row>
    <row r="3451" spans="11:11">
      <c r="K3451" s="1592"/>
    </row>
    <row r="3452" spans="11:11">
      <c r="K3452" s="1592"/>
    </row>
    <row r="3453" spans="11:11">
      <c r="K3453" s="1592"/>
    </row>
    <row r="3454" spans="11:11">
      <c r="K3454" s="1592"/>
    </row>
    <row r="3455" spans="11:11">
      <c r="K3455" s="1592"/>
    </row>
    <row r="3456" spans="11:11">
      <c r="K3456" s="1592"/>
    </row>
    <row r="3457" spans="11:11">
      <c r="K3457" s="1592"/>
    </row>
    <row r="3458" spans="11:11">
      <c r="K3458" s="1592"/>
    </row>
    <row r="3459" spans="11:11">
      <c r="K3459" s="1592"/>
    </row>
    <row r="3460" spans="11:11">
      <c r="K3460" s="1592"/>
    </row>
    <row r="3461" spans="11:11">
      <c r="K3461" s="1592"/>
    </row>
    <row r="3462" spans="11:11">
      <c r="K3462" s="1592"/>
    </row>
    <row r="3463" spans="11:11">
      <c r="K3463" s="1592"/>
    </row>
    <row r="3464" spans="11:11">
      <c r="K3464" s="1592"/>
    </row>
    <row r="3465" spans="11:11">
      <c r="K3465" s="1592"/>
    </row>
    <row r="3466" spans="11:11">
      <c r="K3466" s="1592"/>
    </row>
    <row r="3467" spans="11:11">
      <c r="K3467" s="1592"/>
    </row>
    <row r="3468" spans="11:11">
      <c r="K3468" s="1592"/>
    </row>
    <row r="3469" spans="11:11">
      <c r="K3469" s="1592"/>
    </row>
    <row r="3470" spans="11:11">
      <c r="K3470" s="1592"/>
    </row>
    <row r="3471" spans="11:11">
      <c r="K3471" s="1592"/>
    </row>
    <row r="3472" spans="11:11">
      <c r="K3472" s="1592"/>
    </row>
    <row r="3473" spans="11:11">
      <c r="K3473" s="1592"/>
    </row>
    <row r="3474" spans="11:11">
      <c r="K3474" s="1592"/>
    </row>
    <row r="3475" spans="11:11">
      <c r="K3475" s="1592"/>
    </row>
    <row r="3476" spans="11:11">
      <c r="K3476" s="1592"/>
    </row>
    <row r="3477" spans="11:11">
      <c r="K3477" s="1592"/>
    </row>
    <row r="3478" spans="11:11">
      <c r="K3478" s="1592"/>
    </row>
    <row r="3479" spans="11:11">
      <c r="K3479" s="1592"/>
    </row>
    <row r="3480" spans="11:11">
      <c r="K3480" s="1592"/>
    </row>
    <row r="3481" spans="11:11">
      <c r="K3481" s="1592"/>
    </row>
    <row r="3482" spans="11:11">
      <c r="K3482" s="1592"/>
    </row>
    <row r="3483" spans="11:11">
      <c r="K3483" s="1592"/>
    </row>
    <row r="3484" spans="11:11">
      <c r="K3484" s="1592"/>
    </row>
    <row r="3485" spans="11:11">
      <c r="K3485" s="1592"/>
    </row>
    <row r="3486" spans="11:11">
      <c r="K3486" s="1592"/>
    </row>
    <row r="3487" spans="11:11">
      <c r="K3487" s="1592"/>
    </row>
    <row r="3488" spans="11:11">
      <c r="K3488" s="1592"/>
    </row>
    <row r="3489" spans="11:11">
      <c r="K3489" s="1592"/>
    </row>
    <row r="3490" spans="11:11">
      <c r="K3490" s="1592"/>
    </row>
    <row r="3491" spans="11:11">
      <c r="K3491" s="1592"/>
    </row>
    <row r="3492" spans="11:11">
      <c r="K3492" s="1592"/>
    </row>
    <row r="3493" spans="11:11">
      <c r="K3493" s="1592"/>
    </row>
    <row r="3494" spans="11:11">
      <c r="K3494" s="1592"/>
    </row>
    <row r="3495" spans="11:11">
      <c r="K3495" s="1592"/>
    </row>
    <row r="3496" spans="11:11">
      <c r="K3496" s="1592"/>
    </row>
    <row r="3497" spans="11:11">
      <c r="K3497" s="1592"/>
    </row>
    <row r="3498" spans="11:11">
      <c r="K3498" s="1592"/>
    </row>
    <row r="3499" spans="11:11">
      <c r="K3499" s="1592"/>
    </row>
    <row r="3500" spans="11:11">
      <c r="K3500" s="1592"/>
    </row>
    <row r="3501" spans="11:11">
      <c r="K3501" s="1592"/>
    </row>
    <row r="3502" spans="11:11">
      <c r="K3502" s="1592"/>
    </row>
    <row r="3503" spans="11:11">
      <c r="K3503" s="1592"/>
    </row>
    <row r="3504" spans="11:11">
      <c r="K3504" s="1592"/>
    </row>
    <row r="3505" spans="11:11">
      <c r="K3505" s="1592"/>
    </row>
    <row r="3506" spans="11:11">
      <c r="K3506" s="1592"/>
    </row>
    <row r="3507" spans="11:11">
      <c r="K3507" s="1592"/>
    </row>
    <row r="3508" spans="11:11">
      <c r="K3508" s="1592"/>
    </row>
    <row r="3509" spans="11:11">
      <c r="K3509" s="1592"/>
    </row>
    <row r="3510" spans="11:11">
      <c r="K3510" s="1592"/>
    </row>
    <row r="3511" spans="11:11">
      <c r="K3511" s="1592"/>
    </row>
    <row r="3512" spans="11:11">
      <c r="K3512" s="1592"/>
    </row>
    <row r="3513" spans="11:11">
      <c r="K3513" s="1592"/>
    </row>
    <row r="3514" spans="11:11">
      <c r="K3514" s="1592"/>
    </row>
    <row r="3515" spans="11:11">
      <c r="K3515" s="1592"/>
    </row>
    <row r="3516" spans="11:11">
      <c r="K3516" s="1592"/>
    </row>
    <row r="3517" spans="11:11">
      <c r="K3517" s="1592"/>
    </row>
    <row r="3518" spans="11:11">
      <c r="K3518" s="1592"/>
    </row>
    <row r="3519" spans="11:11">
      <c r="K3519" s="1592"/>
    </row>
    <row r="3520" spans="11:11">
      <c r="K3520" s="1592"/>
    </row>
    <row r="3521" spans="11:11">
      <c r="K3521" s="1592"/>
    </row>
    <row r="3522" spans="11:11">
      <c r="K3522" s="1592"/>
    </row>
    <row r="3523" spans="11:11">
      <c r="K3523" s="1592"/>
    </row>
    <row r="3524" spans="11:11">
      <c r="K3524" s="1592"/>
    </row>
    <row r="3525" spans="11:11">
      <c r="K3525" s="1592"/>
    </row>
    <row r="3526" spans="11:11">
      <c r="K3526" s="1592"/>
    </row>
    <row r="3527" spans="11:11">
      <c r="K3527" s="1592"/>
    </row>
    <row r="3528" spans="11:11">
      <c r="K3528" s="1592"/>
    </row>
    <row r="3529" spans="11:11">
      <c r="K3529" s="1592"/>
    </row>
    <row r="3530" spans="11:11">
      <c r="K3530" s="1592"/>
    </row>
    <row r="3531" spans="11:11">
      <c r="K3531" s="1592"/>
    </row>
    <row r="3532" spans="11:11">
      <c r="K3532" s="1592"/>
    </row>
    <row r="3533" spans="11:11">
      <c r="K3533" s="1592"/>
    </row>
    <row r="3534" spans="11:11">
      <c r="K3534" s="1592"/>
    </row>
    <row r="3535" spans="11:11">
      <c r="K3535" s="1592"/>
    </row>
    <row r="3536" spans="11:11">
      <c r="K3536" s="1592"/>
    </row>
    <row r="3537" spans="11:11">
      <c r="K3537" s="1592"/>
    </row>
    <row r="3538" spans="11:11">
      <c r="K3538" s="1592"/>
    </row>
    <row r="3539" spans="11:11">
      <c r="K3539" s="1592"/>
    </row>
    <row r="3540" spans="11:11">
      <c r="K3540" s="1592"/>
    </row>
    <row r="3541" spans="11:11">
      <c r="K3541" s="1592"/>
    </row>
    <row r="3542" spans="11:11">
      <c r="K3542" s="1592"/>
    </row>
    <row r="3543" spans="11:11">
      <c r="K3543" s="1592"/>
    </row>
    <row r="3544" spans="11:11">
      <c r="K3544" s="1592"/>
    </row>
    <row r="3545" spans="11:11">
      <c r="K3545" s="1592"/>
    </row>
    <row r="3546" spans="11:11">
      <c r="K3546" s="1592"/>
    </row>
    <row r="3547" spans="11:11">
      <c r="K3547" s="1592"/>
    </row>
    <row r="3548" spans="11:11">
      <c r="K3548" s="1592"/>
    </row>
    <row r="3549" spans="11:11">
      <c r="K3549" s="1592"/>
    </row>
    <row r="3550" spans="11:11">
      <c r="K3550" s="1592"/>
    </row>
    <row r="3551" spans="11:11">
      <c r="K3551" s="1592"/>
    </row>
    <row r="3552" spans="11:11">
      <c r="K3552" s="1592"/>
    </row>
    <row r="3553" spans="11:11">
      <c r="K3553" s="1592"/>
    </row>
    <row r="3554" spans="11:11">
      <c r="K3554" s="1592"/>
    </row>
    <row r="3555" spans="11:11">
      <c r="K3555" s="1592"/>
    </row>
    <row r="3556" spans="11:11">
      <c r="K3556" s="1592"/>
    </row>
    <row r="3557" spans="11:11">
      <c r="K3557" s="1592"/>
    </row>
    <row r="3558" spans="11:11">
      <c r="K3558" s="1592"/>
    </row>
    <row r="3559" spans="11:11">
      <c r="K3559" s="1592"/>
    </row>
    <row r="3560" spans="11:11">
      <c r="K3560" s="1592"/>
    </row>
    <row r="3561" spans="11:11">
      <c r="K3561" s="1592"/>
    </row>
    <row r="3562" spans="11:11">
      <c r="K3562" s="1592"/>
    </row>
    <row r="3563" spans="11:11">
      <c r="K3563" s="1592"/>
    </row>
    <row r="3564" spans="11:11">
      <c r="K3564" s="1592"/>
    </row>
    <row r="3565" spans="11:11">
      <c r="K3565" s="1592"/>
    </row>
    <row r="3566" spans="11:11">
      <c r="K3566" s="1592"/>
    </row>
    <row r="3567" spans="11:11">
      <c r="K3567" s="1592"/>
    </row>
    <row r="3568" spans="11:11">
      <c r="K3568" s="1592"/>
    </row>
    <row r="3569" spans="11:11">
      <c r="K3569" s="1592"/>
    </row>
    <row r="3570" spans="11:11">
      <c r="K3570" s="1592"/>
    </row>
    <row r="3571" spans="11:11">
      <c r="K3571" s="1592"/>
    </row>
    <row r="3572" spans="11:11">
      <c r="K3572" s="1592"/>
    </row>
    <row r="3573" spans="11:11">
      <c r="K3573" s="1592"/>
    </row>
    <row r="3574" spans="11:11">
      <c r="K3574" s="1592"/>
    </row>
    <row r="3575" spans="11:11">
      <c r="K3575" s="1592"/>
    </row>
    <row r="3576" spans="11:11">
      <c r="K3576" s="1592"/>
    </row>
    <row r="3577" spans="11:11">
      <c r="K3577" s="1592"/>
    </row>
    <row r="3578" spans="11:11">
      <c r="K3578" s="1592"/>
    </row>
    <row r="3579" spans="11:11">
      <c r="K3579" s="1592"/>
    </row>
    <row r="3580" spans="11:11">
      <c r="K3580" s="1592"/>
    </row>
    <row r="3581" spans="11:11">
      <c r="K3581" s="1592"/>
    </row>
    <row r="3582" spans="11:11">
      <c r="K3582" s="1592"/>
    </row>
    <row r="3583" spans="11:11">
      <c r="K3583" s="1592"/>
    </row>
    <row r="3584" spans="11:11">
      <c r="K3584" s="1592"/>
    </row>
    <row r="3585" spans="11:11">
      <c r="K3585" s="1592"/>
    </row>
    <row r="3586" spans="11:11">
      <c r="K3586" s="1592"/>
    </row>
    <row r="3587" spans="11:11">
      <c r="K3587" s="1592"/>
    </row>
    <row r="3588" spans="11:11">
      <c r="K3588" s="1592"/>
    </row>
    <row r="3589" spans="11:11">
      <c r="K3589" s="1592"/>
    </row>
    <row r="3590" spans="11:11">
      <c r="K3590" s="1592"/>
    </row>
    <row r="3591" spans="11:11">
      <c r="K3591" s="1592"/>
    </row>
    <row r="3592" spans="11:11">
      <c r="K3592" s="1592"/>
    </row>
    <row r="3593" spans="11:11">
      <c r="K3593" s="1592"/>
    </row>
    <row r="3594" spans="11:11">
      <c r="K3594" s="1592"/>
    </row>
    <row r="3595" spans="11:11">
      <c r="K3595" s="1592"/>
    </row>
    <row r="3596" spans="11:11">
      <c r="K3596" s="1592"/>
    </row>
    <row r="3597" spans="11:11">
      <c r="K3597" s="1592"/>
    </row>
    <row r="3598" spans="11:11">
      <c r="K3598" s="1592"/>
    </row>
    <row r="3599" spans="11:11">
      <c r="K3599" s="1592"/>
    </row>
    <row r="3600" spans="11:11">
      <c r="K3600" s="1592"/>
    </row>
    <row r="3601" spans="11:11">
      <c r="K3601" s="1592"/>
    </row>
    <row r="3602" spans="11:11">
      <c r="K3602" s="1592"/>
    </row>
    <row r="3603" spans="11:11">
      <c r="K3603" s="1592"/>
    </row>
    <row r="3604" spans="11:11">
      <c r="K3604" s="1592"/>
    </row>
    <row r="3605" spans="11:11">
      <c r="K3605" s="1592"/>
    </row>
    <row r="3606" spans="11:11">
      <c r="K3606" s="1592"/>
    </row>
    <row r="3607" spans="11:11">
      <c r="K3607" s="1592"/>
    </row>
    <row r="3608" spans="11:11">
      <c r="K3608" s="1592"/>
    </row>
    <row r="3609" spans="11:11">
      <c r="K3609" s="1592"/>
    </row>
    <row r="3610" spans="11:11">
      <c r="K3610" s="1592"/>
    </row>
    <row r="3611" spans="11:11">
      <c r="K3611" s="1592"/>
    </row>
    <row r="3612" spans="11:11">
      <c r="K3612" s="1592"/>
    </row>
    <row r="3613" spans="11:11">
      <c r="K3613" s="1592"/>
    </row>
    <row r="3614" spans="11:11">
      <c r="K3614" s="1592"/>
    </row>
    <row r="3615" spans="11:11">
      <c r="K3615" s="1592"/>
    </row>
    <row r="3616" spans="11:11">
      <c r="K3616" s="1592"/>
    </row>
    <row r="3617" spans="11:11">
      <c r="K3617" s="1592"/>
    </row>
    <row r="3618" spans="11:11">
      <c r="K3618" s="1592"/>
    </row>
    <row r="3619" spans="11:11">
      <c r="K3619" s="1592"/>
    </row>
    <row r="3620" spans="11:11">
      <c r="K3620" s="1592"/>
    </row>
    <row r="3621" spans="11:11">
      <c r="K3621" s="1592"/>
    </row>
    <row r="3622" spans="11:11">
      <c r="K3622" s="1592"/>
    </row>
    <row r="3623" spans="11:11">
      <c r="K3623" s="1592"/>
    </row>
    <row r="3624" spans="11:11">
      <c r="K3624" s="1592"/>
    </row>
    <row r="3625" spans="11:11">
      <c r="K3625" s="1592"/>
    </row>
    <row r="3626" spans="11:11">
      <c r="K3626" s="1592"/>
    </row>
    <row r="3627" spans="11:11">
      <c r="K3627" s="1592"/>
    </row>
    <row r="3628" spans="11:11">
      <c r="K3628" s="1592"/>
    </row>
    <row r="3629" spans="11:11">
      <c r="K3629" s="1592"/>
    </row>
    <row r="3630" spans="11:11">
      <c r="K3630" s="1592"/>
    </row>
    <row r="3631" spans="11:11">
      <c r="K3631" s="1592"/>
    </row>
    <row r="3632" spans="11:11">
      <c r="K3632" s="1592"/>
    </row>
    <row r="3633" spans="11:11">
      <c r="K3633" s="1592"/>
    </row>
    <row r="3634" spans="11:11">
      <c r="K3634" s="1592"/>
    </row>
    <row r="3635" spans="11:11">
      <c r="K3635" s="1592"/>
    </row>
    <row r="3636" spans="11:11">
      <c r="K3636" s="1592"/>
    </row>
    <row r="3637" spans="11:11">
      <c r="K3637" s="1592"/>
    </row>
    <row r="3638" spans="11:11">
      <c r="K3638" s="1592"/>
    </row>
    <row r="3639" spans="11:11">
      <c r="K3639" s="1592"/>
    </row>
    <row r="3640" spans="11:11">
      <c r="K3640" s="1592"/>
    </row>
    <row r="3641" spans="11:11">
      <c r="K3641" s="1592"/>
    </row>
    <row r="3642" spans="11:11">
      <c r="K3642" s="1592"/>
    </row>
    <row r="3643" spans="11:11">
      <c r="K3643" s="1592"/>
    </row>
    <row r="3644" spans="11:11">
      <c r="K3644" s="1592"/>
    </row>
    <row r="3645" spans="11:11">
      <c r="K3645" s="1592"/>
    </row>
    <row r="3646" spans="11:11">
      <c r="K3646" s="1592"/>
    </row>
    <row r="3647" spans="11:11">
      <c r="K3647" s="1592"/>
    </row>
    <row r="3648" spans="11:11">
      <c r="K3648" s="1592"/>
    </row>
    <row r="3649" spans="11:11">
      <c r="K3649" s="1592"/>
    </row>
    <row r="3650" spans="11:11">
      <c r="K3650" s="1592"/>
    </row>
    <row r="3651" spans="11:11">
      <c r="K3651" s="1592"/>
    </row>
    <row r="3652" spans="11:11">
      <c r="K3652" s="1592"/>
    </row>
    <row r="3653" spans="11:11">
      <c r="K3653" s="1592"/>
    </row>
    <row r="3654" spans="11:11">
      <c r="K3654" s="1592"/>
    </row>
    <row r="3655" spans="11:11">
      <c r="K3655" s="1592"/>
    </row>
    <row r="3656" spans="11:11">
      <c r="K3656" s="1592"/>
    </row>
    <row r="3657" spans="11:11">
      <c r="K3657" s="1592"/>
    </row>
    <row r="3658" spans="11:11">
      <c r="K3658" s="1592"/>
    </row>
    <row r="3659" spans="11:11">
      <c r="K3659" s="1592"/>
    </row>
    <row r="3660" spans="11:11">
      <c r="K3660" s="1592"/>
    </row>
    <row r="3661" spans="11:11">
      <c r="K3661" s="1592"/>
    </row>
    <row r="3662" spans="11:11">
      <c r="K3662" s="1592"/>
    </row>
    <row r="3663" spans="11:11">
      <c r="K3663" s="1592"/>
    </row>
    <row r="3664" spans="11:11">
      <c r="K3664" s="1592"/>
    </row>
    <row r="3665" spans="11:11">
      <c r="K3665" s="1592"/>
    </row>
    <row r="3666" spans="11:11">
      <c r="K3666" s="1592"/>
    </row>
    <row r="3667" spans="11:11">
      <c r="K3667" s="1592"/>
    </row>
    <row r="3668" spans="11:11">
      <c r="K3668" s="1592"/>
    </row>
    <row r="3669" spans="11:11">
      <c r="K3669" s="1592"/>
    </row>
    <row r="3670" spans="11:11">
      <c r="K3670" s="1592"/>
    </row>
    <row r="3671" spans="11:11">
      <c r="K3671" s="1592"/>
    </row>
    <row r="3672" spans="11:11">
      <c r="K3672" s="1592"/>
    </row>
    <row r="3673" spans="11:11">
      <c r="K3673" s="1592"/>
    </row>
    <row r="3674" spans="11:11">
      <c r="K3674" s="1592"/>
    </row>
    <row r="3675" spans="11:11">
      <c r="K3675" s="1592"/>
    </row>
    <row r="3676" spans="11:11">
      <c r="K3676" s="1592"/>
    </row>
    <row r="3677" spans="11:11">
      <c r="K3677" s="1592"/>
    </row>
    <row r="3678" spans="11:11">
      <c r="K3678" s="1592"/>
    </row>
    <row r="3679" spans="11:11">
      <c r="K3679" s="1592"/>
    </row>
    <row r="3680" spans="11:11">
      <c r="K3680" s="1592"/>
    </row>
    <row r="3681" spans="11:11">
      <c r="K3681" s="1592"/>
    </row>
    <row r="3682" spans="11:11">
      <c r="K3682" s="1592"/>
    </row>
    <row r="3683" spans="11:11">
      <c r="K3683" s="1592"/>
    </row>
    <row r="3684" spans="11:11">
      <c r="K3684" s="1592"/>
    </row>
    <row r="3685" spans="11:11">
      <c r="K3685" s="1592"/>
    </row>
    <row r="3686" spans="11:11">
      <c r="K3686" s="1592"/>
    </row>
    <row r="3687" spans="11:11">
      <c r="K3687" s="1592"/>
    </row>
    <row r="3688" spans="11:11">
      <c r="K3688" s="1592"/>
    </row>
    <row r="3689" spans="11:11">
      <c r="K3689" s="1592"/>
    </row>
    <row r="3690" spans="11:11">
      <c r="K3690" s="1592"/>
    </row>
    <row r="3691" spans="11:11">
      <c r="K3691" s="1592"/>
    </row>
    <row r="3692" spans="11:11">
      <c r="K3692" s="1592"/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6"/>
  <sheetViews>
    <sheetView showGridLines="0" topLeftCell="A208" zoomScale="85" zoomScaleNormal="85" workbookViewId="0">
      <selection activeCell="F242" sqref="F242:J2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1371</v>
      </c>
      <c r="J1" t="s">
        <v>1372</v>
      </c>
      <c r="K1" t="s">
        <v>1373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>
      <c r="A2" t="s">
        <v>773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>
      <c r="A3" t="s">
        <v>773</v>
      </c>
      <c r="B3" t="s">
        <v>1533</v>
      </c>
      <c r="C3" t="s">
        <v>849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>
      <c r="A4" t="s">
        <v>773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>
      <c r="A5" t="s">
        <v>773</v>
      </c>
      <c r="B5" t="s">
        <v>1533</v>
      </c>
      <c r="C5" t="s">
        <v>849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>
      <c r="A6" t="s">
        <v>773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0.12970000000000001</v>
      </c>
      <c r="Q6" s="234">
        <f ca="1">Resultado!C7</f>
        <v>0.12970000000000001</v>
      </c>
    </row>
    <row r="7" spans="1:17" s="13" customFormat="1" ht="15.75">
      <c r="A7" t="s">
        <v>773</v>
      </c>
      <c r="B7" t="s">
        <v>1533</v>
      </c>
      <c r="C7" t="s">
        <v>1344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-0.22370000000000001</v>
      </c>
      <c r="Q7" s="234">
        <f ca="1">Resultado!C8</f>
        <v>-0.22370000000000001</v>
      </c>
    </row>
    <row r="8" spans="1:17" s="13" customFormat="1" ht="15.75">
      <c r="A8" t="s">
        <v>773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-9.4E-2</v>
      </c>
      <c r="Q8" s="234">
        <f ca="1">Resultado!C9</f>
        <v>-9.4E-2</v>
      </c>
    </row>
    <row r="9" spans="1:17" s="13" customFormat="1" ht="15.75">
      <c r="A9" t="s">
        <v>773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0.16842982451197178</v>
      </c>
      <c r="Q9" s="234">
        <f ca="1">IF(ISERROR(LnkTXTICMS),0,LnkTXTICMS)</f>
        <v>0.16842982451197178</v>
      </c>
    </row>
    <row r="10" spans="1:17" s="13" customFormat="1" ht="15.75">
      <c r="A10" t="s">
        <v>773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1.2688091209208052E-2</v>
      </c>
      <c r="Q10" s="234">
        <f ca="1">IF(ISERROR(LNKTXTPercPISCOFINS),0,LNKTXTPercPISCOFINS)</f>
        <v>1.2688091209208052E-2</v>
      </c>
    </row>
    <row r="11" spans="1:17" ht="15.75">
      <c r="A11" t="s">
        <v>773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>
      <c r="A12" t="s">
        <v>773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>
      <c r="A13" t="s">
        <v>773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285157.16397649358</v>
      </c>
      <c r="Q13" s="234">
        <f ca="1">Resultado!D17</f>
        <v>285157.16397649358</v>
      </c>
    </row>
    <row r="14" spans="1:17" ht="15.75">
      <c r="A14" t="s">
        <v>773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11828895.706620004</v>
      </c>
      <c r="Q14" s="234">
        <f ca="1">Encargos!I19</f>
        <v>11828895.706620004</v>
      </c>
    </row>
    <row r="15" spans="1:17" ht="15.75">
      <c r="A15" t="s">
        <v>773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>
      <c r="A16" t="s">
        <v>773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4828360.833005284</v>
      </c>
      <c r="Q16" s="234">
        <f>Resultado!D20</f>
        <v>4828360.833005284</v>
      </c>
    </row>
    <row r="17" spans="1:17" ht="15.75">
      <c r="A17" t="s">
        <v>773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1984213.7562600006</v>
      </c>
      <c r="Q17" s="234">
        <f ca="1">Resultado!D21</f>
        <v>1984213.7562600006</v>
      </c>
    </row>
    <row r="18" spans="1:17" ht="15.75">
      <c r="A18" t="s">
        <v>773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>
      <c r="A19" t="s">
        <v>773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>
      <c r="A20" t="s">
        <v>773</v>
      </c>
      <c r="B20" t="s">
        <v>794</v>
      </c>
      <c r="C20" t="s">
        <v>1536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>
      <c r="A21" t="s">
        <v>773</v>
      </c>
      <c r="B21" t="s">
        <v>794</v>
      </c>
      <c r="C21" t="s">
        <v>1537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13082722.717433799</v>
      </c>
      <c r="Q21" s="234">
        <f>Q22/(1-Q20)</f>
        <v>13082722.717433799</v>
      </c>
    </row>
    <row r="22" spans="1:17" ht="15.75">
      <c r="A22" t="s">
        <v>773</v>
      </c>
      <c r="B22" t="s">
        <v>794</v>
      </c>
      <c r="C22" t="s">
        <v>1538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13082722.717433799</v>
      </c>
      <c r="Q22" s="234">
        <f>CUSD!C3</f>
        <v>13082722.717433799</v>
      </c>
    </row>
    <row r="23" spans="1:17" ht="15.75">
      <c r="A23" t="s">
        <v>773</v>
      </c>
      <c r="B23" t="s">
        <v>794</v>
      </c>
      <c r="C23" s="9" t="s">
        <v>1236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2242111.9160000002</v>
      </c>
      <c r="Q23" s="234">
        <f>Resultado!D25</f>
        <v>2242111.9160000002</v>
      </c>
    </row>
    <row r="24" spans="1:17" ht="15.75">
      <c r="A24" t="s">
        <v>773</v>
      </c>
      <c r="B24" t="s">
        <v>794</v>
      </c>
      <c r="C24" t="s">
        <v>1264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1376974.084</v>
      </c>
      <c r="Q24" s="234">
        <f>Resultado!D26</f>
        <v>1376974.084</v>
      </c>
    </row>
    <row r="25" spans="1:17" ht="15.75">
      <c r="A25" t="s">
        <v>773</v>
      </c>
      <c r="B25" t="s">
        <v>794</v>
      </c>
      <c r="C25" t="s">
        <v>1539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0</v>
      </c>
      <c r="Q25" s="234">
        <f>Resultado!D31</f>
        <v>0</v>
      </c>
    </row>
    <row r="26" spans="1:17" ht="15.75">
      <c r="A26" t="s">
        <v>773</v>
      </c>
      <c r="B26" t="s">
        <v>794</v>
      </c>
      <c r="C26" t="s">
        <v>1540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>
      <c r="A27" t="s">
        <v>773</v>
      </c>
      <c r="B27" t="s">
        <v>794</v>
      </c>
      <c r="C27" t="s">
        <v>1541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>
      <c r="A28" t="s">
        <v>773</v>
      </c>
      <c r="B28" t="s">
        <v>794</v>
      </c>
      <c r="C28" t="s">
        <v>1542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>
      <c r="A29" t="s">
        <v>773</v>
      </c>
      <c r="B29" t="s">
        <v>794</v>
      </c>
      <c r="C29" t="s">
        <v>1543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>
      <c r="A30" t="s">
        <v>772</v>
      </c>
      <c r="B30" t="s">
        <v>120</v>
      </c>
      <c r="C30" t="s">
        <v>822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>
      <c r="A31" t="s">
        <v>773</v>
      </c>
      <c r="B31" t="s">
        <v>120</v>
      </c>
      <c r="C31" t="s">
        <v>822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162796.20629000006</v>
      </c>
      <c r="Q31" s="234">
        <f ca="1">Energia!C5</f>
        <v>162796.20629000006</v>
      </c>
    </row>
    <row r="32" spans="1:17" ht="15.75">
      <c r="A32" t="s">
        <v>773</v>
      </c>
      <c r="B32" t="s">
        <v>120</v>
      </c>
      <c r="C32" t="s">
        <v>1544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13963.756009999997</v>
      </c>
      <c r="Q32" s="234">
        <f ca="1">Energia!N17</f>
        <v>13963.756009999997</v>
      </c>
    </row>
    <row r="33" spans="1:17" ht="15.75">
      <c r="A33" t="s">
        <v>773</v>
      </c>
      <c r="B33" t="s">
        <v>120</v>
      </c>
      <c r="C33" t="s">
        <v>1545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Energia!N16</f>
        <v>0</v>
      </c>
    </row>
    <row r="34" spans="1:17" ht="15.75">
      <c r="A34" t="s">
        <v>773</v>
      </c>
      <c r="B34" t="s">
        <v>120</v>
      </c>
      <c r="C34" t="s">
        <v>1546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492.51765416862168</v>
      </c>
      <c r="Q34" s="234">
        <f ca="1">Energia!N18</f>
        <v>492.51765416862168</v>
      </c>
    </row>
    <row r="35" spans="1:17" ht="15.75">
      <c r="A35" t="s">
        <v>773</v>
      </c>
      <c r="B35" t="s">
        <v>120</v>
      </c>
      <c r="C35" t="s">
        <v>1547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5053.8636258313782</v>
      </c>
      <c r="Q35" s="234">
        <f ca="1">Energia!N19</f>
        <v>5053.8636258313782</v>
      </c>
    </row>
    <row r="36" spans="1:17" ht="15.75">
      <c r="A36" t="s">
        <v>773</v>
      </c>
      <c r="B36" t="s">
        <v>120</v>
      </c>
      <c r="C36" t="s">
        <v>1548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8.8799819072053005E-2</v>
      </c>
      <c r="Q36" s="234">
        <f ca="1">Energia!N14</f>
        <v>8.8799819072053005E-2</v>
      </c>
    </row>
    <row r="37" spans="1:17" s="12" customFormat="1" ht="15.75">
      <c r="A37" t="s">
        <v>773</v>
      </c>
      <c r="B37" t="s">
        <v>120</v>
      </c>
      <c r="C37" t="s">
        <v>1549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Energia!N13</f>
        <v>0</v>
      </c>
    </row>
    <row r="38" spans="1:17" s="12" customFormat="1" ht="15.75">
      <c r="A38" t="s">
        <v>773</v>
      </c>
      <c r="B38" t="s">
        <v>120</v>
      </c>
      <c r="C38" t="s">
        <v>1550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3.5271144369459786E-2</v>
      </c>
      <c r="Q38" s="234">
        <f ca="1">Energia!N15</f>
        <v>3.5271144369459786E-2</v>
      </c>
    </row>
    <row r="39" spans="1:17" s="15" customFormat="1" ht="15.75">
      <c r="A39" t="s">
        <v>773</v>
      </c>
      <c r="B39" t="s">
        <v>120</v>
      </c>
      <c r="C39" t="s">
        <v>1551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24739687.473364111</v>
      </c>
      <c r="Q39" s="234">
        <f ca="1">Energia!C14</f>
        <v>24739687.473364111</v>
      </c>
    </row>
    <row r="40" spans="1:17" ht="15.75">
      <c r="A40" t="s">
        <v>772</v>
      </c>
      <c r="B40" t="s">
        <v>120</v>
      </c>
      <c r="C40" t="s">
        <v>1552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151.96722354385585</v>
      </c>
      <c r="Q40" s="234">
        <f ca="1">Energia!C13</f>
        <v>151.96722354385585</v>
      </c>
    </row>
    <row r="41" spans="1:17" ht="15.75">
      <c r="A41" t="s">
        <v>772</v>
      </c>
      <c r="B41" t="s">
        <v>120</v>
      </c>
      <c r="C41" t="s">
        <v>1553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2340.6765462476283</v>
      </c>
      <c r="Q41" s="234">
        <f>Energia!C19</f>
        <v>2340.6765462476283</v>
      </c>
    </row>
    <row r="42" spans="1:17" ht="15.75">
      <c r="A42" t="s">
        <v>773</v>
      </c>
      <c r="B42" t="s">
        <v>120</v>
      </c>
      <c r="C42" t="s">
        <v>1554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100634.29320488828</v>
      </c>
      <c r="Q42" s="234">
        <f ca="1">Energia!C22</f>
        <v>100634.29320488828</v>
      </c>
    </row>
    <row r="43" spans="1:17" ht="15.75">
      <c r="A43" t="s">
        <v>773</v>
      </c>
      <c r="B43" t="s">
        <v>120</v>
      </c>
      <c r="C43" s="9" t="s">
        <v>1555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15481409.645419631</v>
      </c>
      <c r="Q43" s="234">
        <f ca="1">Energia!F22</f>
        <v>15481409.645419631</v>
      </c>
    </row>
    <row r="44" spans="1:17" s="12" customFormat="1" ht="15.75">
      <c r="A44" t="s">
        <v>773</v>
      </c>
      <c r="B44" t="s">
        <v>120</v>
      </c>
      <c r="C44" t="s">
        <v>1556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16403.582831862605</v>
      </c>
      <c r="Q44" s="234">
        <f ca="1">LnkTXTGPM</f>
        <v>16403.582831862605</v>
      </c>
    </row>
    <row r="45" spans="1:17" s="12" customFormat="1" ht="15.75">
      <c r="A45" t="s">
        <v>773</v>
      </c>
      <c r="B45" t="s">
        <v>120</v>
      </c>
      <c r="C45" t="s">
        <v>1557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1987960.0127154645</v>
      </c>
      <c r="Q45" s="234">
        <f ca="1">Energia!F18</f>
        <v>1987960.0127154645</v>
      </c>
    </row>
    <row r="46" spans="1:17" s="12" customFormat="1" ht="15.75">
      <c r="A46" t="s">
        <v>773</v>
      </c>
      <c r="B46" t="s">
        <v>120</v>
      </c>
      <c r="C46" t="s">
        <v>1558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>
      <c r="A47" t="s">
        <v>773</v>
      </c>
      <c r="B47" t="s">
        <v>120</v>
      </c>
      <c r="C47" s="9" t="s">
        <v>1559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 s="421">
        <f>VALUE(Energia!A28)</f>
        <v>396</v>
      </c>
      <c r="P47" s="234">
        <f t="shared" si="0"/>
        <v>0</v>
      </c>
      <c r="Q47" s="234">
        <f>Energia!F28</f>
        <v>0</v>
      </c>
    </row>
    <row r="48" spans="1:17" s="12" customFormat="1" ht="15.75">
      <c r="A48" t="s">
        <v>773</v>
      </c>
      <c r="B48" t="s">
        <v>120</v>
      </c>
      <c r="C48" s="9" t="s">
        <v>1559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1">
        <f>VALUE(Energia!A29)</f>
        <v>396</v>
      </c>
      <c r="P48" s="234">
        <f t="shared" si="0"/>
        <v>0</v>
      </c>
      <c r="Q48" s="234">
        <f>Energia!F29</f>
        <v>0</v>
      </c>
    </row>
    <row r="49" spans="1:17" s="12" customFormat="1" ht="15.75">
      <c r="A49" t="s">
        <v>773</v>
      </c>
      <c r="B49" t="s">
        <v>120</v>
      </c>
      <c r="C49" s="9" t="s">
        <v>1559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1">
        <f>VALUE(Energia!A30)</f>
        <v>0</v>
      </c>
      <c r="P49" s="234">
        <f t="shared" si="0"/>
        <v>0</v>
      </c>
      <c r="Q49" s="234" t="str">
        <f>Energia!F30</f>
        <v/>
      </c>
    </row>
    <row r="50" spans="1:17" s="12" customFormat="1" ht="15.75">
      <c r="A50" t="s">
        <v>773</v>
      </c>
      <c r="B50" t="s">
        <v>120</v>
      </c>
      <c r="C50" s="9" t="s">
        <v>1559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1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>
      <c r="A51" t="s">
        <v>773</v>
      </c>
      <c r="B51" t="s">
        <v>120</v>
      </c>
      <c r="C51" s="9" t="s">
        <v>1559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1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>
      <c r="A52" t="s">
        <v>773</v>
      </c>
      <c r="B52" t="s">
        <v>975</v>
      </c>
      <c r="C52" t="s">
        <v>967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143286.06900000005</v>
      </c>
      <c r="Q52" s="234">
        <f ca="1">FornecimentoE</f>
        <v>143286.06900000005</v>
      </c>
    </row>
    <row r="53" spans="1:17" s="12" customFormat="1" ht="15.75">
      <c r="A53" t="s">
        <v>773</v>
      </c>
      <c r="B53" t="s">
        <v>975</v>
      </c>
      <c r="C53" t="s">
        <v>988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>
      <c r="A54" t="s">
        <v>773</v>
      </c>
      <c r="B54" t="s">
        <v>975</v>
      </c>
      <c r="C54" t="s">
        <v>1560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>
      <c r="A55" t="s">
        <v>773</v>
      </c>
      <c r="B55" t="s">
        <v>975</v>
      </c>
      <c r="C55" t="s">
        <v>1561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0</v>
      </c>
      <c r="Q55" s="234">
        <f ca="1">Calc_Mercado!C22</f>
        <v>0</v>
      </c>
    </row>
    <row r="56" spans="1:17" s="12" customFormat="1" ht="15.75">
      <c r="A56" t="s">
        <v>773</v>
      </c>
      <c r="B56" t="s">
        <v>975</v>
      </c>
      <c r="C56" t="s">
        <v>992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0</v>
      </c>
      <c r="Q56" s="234">
        <f ca="1">Calc_Mercado!C20</f>
        <v>0</v>
      </c>
    </row>
    <row r="57" spans="1:17" s="12" customFormat="1" ht="15.75">
      <c r="A57" t="s">
        <v>773</v>
      </c>
      <c r="B57" t="s">
        <v>975</v>
      </c>
      <c r="C57" t="s">
        <v>1562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>
      <c r="A58" t="s">
        <v>773</v>
      </c>
      <c r="B58" t="s">
        <v>975</v>
      </c>
      <c r="C58" t="s">
        <v>1563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>
      <c r="A59" t="s">
        <v>773</v>
      </c>
      <c r="B59" t="s">
        <v>975</v>
      </c>
      <c r="C59" t="s">
        <v>1564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>
      <c r="A60" t="s">
        <v>773</v>
      </c>
      <c r="B60" t="s">
        <v>975</v>
      </c>
      <c r="C60" t="s">
        <v>1565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>
      <c r="A61" t="s">
        <v>773</v>
      </c>
      <c r="B61" t="s">
        <v>975</v>
      </c>
      <c r="C61" t="s">
        <v>1566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>
      <c r="A62" t="s">
        <v>773</v>
      </c>
      <c r="B62" t="s">
        <v>975</v>
      </c>
      <c r="C62" t="s">
        <v>1567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50254.15199999998</v>
      </c>
      <c r="Q62" s="234">
        <f ca="1">Calc_Mercado!C13</f>
        <v>50254.15199999998</v>
      </c>
    </row>
    <row r="63" spans="1:17" s="12" customFormat="1" ht="15.75">
      <c r="A63" t="s">
        <v>773</v>
      </c>
      <c r="B63" t="s">
        <v>975</v>
      </c>
      <c r="C63" t="s">
        <v>1568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>
      <c r="A64" t="s">
        <v>773</v>
      </c>
      <c r="B64" t="s">
        <v>975</v>
      </c>
      <c r="C64" t="s">
        <v>1569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93031.917000000059</v>
      </c>
      <c r="Q64" s="234">
        <f ca="1">FornecimentoE_BT</f>
        <v>93031.917000000059</v>
      </c>
    </row>
    <row r="65" spans="1:17" ht="15.75">
      <c r="A65" t="s">
        <v>773</v>
      </c>
      <c r="B65" t="s">
        <v>975</v>
      </c>
      <c r="C65" t="s">
        <v>967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104184345.79447997</v>
      </c>
      <c r="Q65" s="234">
        <f ca="1">Calc_Mercado!D8</f>
        <v>104184345.79447997</v>
      </c>
    </row>
    <row r="66" spans="1:17" ht="15.75">
      <c r="A66" t="s">
        <v>773</v>
      </c>
      <c r="B66" t="s">
        <v>975</v>
      </c>
      <c r="C66" t="s">
        <v>988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>
      <c r="A67" t="s">
        <v>773</v>
      </c>
      <c r="B67" t="s">
        <v>975</v>
      </c>
      <c r="C67" t="s">
        <v>1560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>
      <c r="A68" t="s">
        <v>773</v>
      </c>
      <c r="B68" t="s">
        <v>975</v>
      </c>
      <c r="C68" t="s">
        <v>1561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908554.10000000009</v>
      </c>
      <c r="Q68" s="234">
        <f ca="1">Calc_Mercado!D22</f>
        <v>908554.10000000009</v>
      </c>
    </row>
    <row r="69" spans="1:17" ht="15.75">
      <c r="A69" t="s">
        <v>773</v>
      </c>
      <c r="B69" t="s">
        <v>975</v>
      </c>
      <c r="C69" t="s">
        <v>992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0</v>
      </c>
      <c r="Q69" s="234">
        <f ca="1">Calc_Mercado!D20</f>
        <v>0</v>
      </c>
    </row>
    <row r="70" spans="1:17" ht="15.75">
      <c r="A70" t="s">
        <v>773</v>
      </c>
      <c r="B70" t="s">
        <v>975</v>
      </c>
      <c r="C70" t="s">
        <v>1562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0</v>
      </c>
      <c r="Q70" s="234">
        <f ca="1">Calc_Mercado!D21</f>
        <v>0</v>
      </c>
    </row>
    <row r="71" spans="1:17" ht="15.75">
      <c r="A71" t="s">
        <v>773</v>
      </c>
      <c r="B71" t="s">
        <v>975</v>
      </c>
      <c r="C71" t="s">
        <v>1563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>
      <c r="A72" t="s">
        <v>773</v>
      </c>
      <c r="B72" t="s">
        <v>975</v>
      </c>
      <c r="C72" t="s">
        <v>1564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>
      <c r="A73" t="s">
        <v>773</v>
      </c>
      <c r="B73" t="s">
        <v>975</v>
      </c>
      <c r="C73" t="s">
        <v>1565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>
      <c r="A74" t="s">
        <v>773</v>
      </c>
      <c r="B74" t="s">
        <v>975</v>
      </c>
      <c r="C74" t="s">
        <v>1566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>
      <c r="A75" t="s">
        <v>773</v>
      </c>
      <c r="B75" t="s">
        <v>975</v>
      </c>
      <c r="C75" t="s">
        <v>1567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32954941.275470015</v>
      </c>
      <c r="Q75" s="234">
        <f ca="1">Calc_Mercado!D13</f>
        <v>32954941.275470015</v>
      </c>
    </row>
    <row r="76" spans="1:17" ht="15.75">
      <c r="A76" t="s">
        <v>773</v>
      </c>
      <c r="B76" t="s">
        <v>975</v>
      </c>
      <c r="C76" t="s">
        <v>1568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>
      <c r="A77" t="s">
        <v>773</v>
      </c>
      <c r="B77" t="s">
        <v>975</v>
      </c>
      <c r="C77" t="s">
        <v>1569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71229404.519009948</v>
      </c>
      <c r="Q77" s="234">
        <f ca="1">Calc_Mercado!D15</f>
        <v>71229404.519009948</v>
      </c>
    </row>
    <row r="78" spans="1:17" ht="15.75">
      <c r="A78" t="s">
        <v>773</v>
      </c>
      <c r="B78" t="s">
        <v>975</v>
      </c>
      <c r="C78" t="s">
        <v>1570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>
      <c r="A79" t="s">
        <v>772</v>
      </c>
      <c r="B79" t="s">
        <v>975</v>
      </c>
      <c r="C79" s="9" t="s">
        <v>1571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>
      <c r="A80" t="s">
        <v>773</v>
      </c>
      <c r="B80" t="s">
        <v>975</v>
      </c>
      <c r="C80" t="s">
        <v>1572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143286.06900000005</v>
      </c>
      <c r="Q80" s="234">
        <f ca="1">LnkTXTEV</f>
        <v>143286.06900000005</v>
      </c>
    </row>
    <row r="81" spans="1:17" ht="15.75">
      <c r="A81" t="s">
        <v>773</v>
      </c>
      <c r="B81" t="s">
        <v>109</v>
      </c>
      <c r="C81" t="s">
        <v>1573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60335559.834578</v>
      </c>
      <c r="Q81" s="234">
        <f>Resultado!D39</f>
        <v>60335559.834578</v>
      </c>
    </row>
    <row r="82" spans="1:17" ht="15.75">
      <c r="A82" s="1582" t="s">
        <v>1589</v>
      </c>
      <c r="B82" s="1582" t="s">
        <v>1589</v>
      </c>
      <c r="C82" s="1582" t="s">
        <v>1589</v>
      </c>
      <c r="D82" s="1582">
        <v>99</v>
      </c>
      <c r="E82" s="1582">
        <v>99</v>
      </c>
      <c r="F82" s="1582">
        <v>999</v>
      </c>
      <c r="G82" s="1582">
        <v>999999</v>
      </c>
      <c r="H82" s="1582">
        <v>999</v>
      </c>
      <c r="I82" s="1582">
        <v>99</v>
      </c>
      <c r="J82" s="1582">
        <v>999</v>
      </c>
      <c r="K82" s="1582">
        <v>9</v>
      </c>
      <c r="L82" s="1582">
        <v>99</v>
      </c>
      <c r="M82" s="1582">
        <v>9</v>
      </c>
      <c r="N82" s="1582">
        <v>99</v>
      </c>
      <c r="O82" s="1582">
        <v>99999</v>
      </c>
      <c r="P82" s="402">
        <f t="shared" si="2"/>
        <v>0</v>
      </c>
      <c r="Q82" s="402">
        <v>0</v>
      </c>
    </row>
    <row r="83" spans="1:17" ht="15.75">
      <c r="A83" t="s">
        <v>773</v>
      </c>
      <c r="B83" t="s">
        <v>1377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si="2"/>
        <v>599708.36903572071</v>
      </c>
      <c r="Q83" s="234">
        <f>Financeiros!D10</f>
        <v>599708.36903572071</v>
      </c>
    </row>
    <row r="84" spans="1:17" ht="15.75">
      <c r="A84" t="s">
        <v>773</v>
      </c>
      <c r="B84" t="s">
        <v>1377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si="2"/>
        <v>1256184.3946276219</v>
      </c>
      <c r="Q84" s="234">
        <f>Financeiros!D11</f>
        <v>1256184.3946276219</v>
      </c>
    </row>
    <row r="85" spans="1:17" ht="15.75">
      <c r="A85" t="s">
        <v>773</v>
      </c>
      <c r="B85" t="s">
        <v>1377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-12359.111379595555</v>
      </c>
      <c r="Q85" s="234">
        <f ca="1">Financeiros!D12</f>
        <v>-12359.111379595555</v>
      </c>
    </row>
    <row r="86" spans="1:17" ht="15.75">
      <c r="A86" t="s">
        <v>773</v>
      </c>
      <c r="B86" t="s">
        <v>1377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-453757.159116606</v>
      </c>
      <c r="Q86" s="234">
        <f ca="1">Financeiros!D13</f>
        <v>-453757.159116606</v>
      </c>
    </row>
    <row r="87" spans="1:17" ht="15.75">
      <c r="A87" t="s">
        <v>773</v>
      </c>
      <c r="B87" t="s">
        <v>1377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773</v>
      </c>
      <c r="B88" t="s">
        <v>1377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-25093.72283743892</v>
      </c>
      <c r="Q88" s="234">
        <f ca="1">Financeiros!D15</f>
        <v>-25093.72283743892</v>
      </c>
    </row>
    <row r="89" spans="1:17" ht="15.75">
      <c r="A89" t="s">
        <v>773</v>
      </c>
      <c r="B89" t="s">
        <v>1377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-80750.608347880712</v>
      </c>
      <c r="Q89" s="234">
        <f ca="1">Financeiros!D16</f>
        <v>-80750.608347880712</v>
      </c>
    </row>
    <row r="90" spans="1:17" ht="15.75">
      <c r="A90" t="s">
        <v>773</v>
      </c>
      <c r="B90" t="s">
        <v>1377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773</v>
      </c>
      <c r="B91" t="s">
        <v>1377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0</v>
      </c>
      <c r="Q91" s="234">
        <f ca="1">Financeiros!D18</f>
        <v>0</v>
      </c>
    </row>
    <row r="92" spans="1:17" ht="15.75">
      <c r="A92" t="s">
        <v>773</v>
      </c>
      <c r="B92" t="s">
        <v>1377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0</v>
      </c>
      <c r="Q92" s="234">
        <f ca="1">Financeiros!D19</f>
        <v>0</v>
      </c>
    </row>
    <row r="93" spans="1:17" ht="15.75">
      <c r="A93" t="s">
        <v>773</v>
      </c>
      <c r="B93" t="s">
        <v>1377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773</v>
      </c>
      <c r="B94" t="s">
        <v>1377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190942.87842270665</v>
      </c>
      <c r="Q94" s="234">
        <f>Financeiros!D21</f>
        <v>190942.87842270665</v>
      </c>
    </row>
    <row r="95" spans="1:17" ht="15.75">
      <c r="A95" t="s">
        <v>773</v>
      </c>
      <c r="B95" t="s">
        <v>1377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117265.95502935181</v>
      </c>
      <c r="Q95" s="234">
        <f>Financeiros!D22</f>
        <v>117265.95502935181</v>
      </c>
    </row>
    <row r="96" spans="1:17" ht="15.75">
      <c r="A96" t="s">
        <v>773</v>
      </c>
      <c r="B96" t="s">
        <v>1377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773</v>
      </c>
      <c r="B97" t="s">
        <v>1377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773</v>
      </c>
      <c r="B98" t="s">
        <v>1377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>
      <c r="A99" t="s">
        <v>1589</v>
      </c>
      <c r="B99" t="s">
        <v>1589</v>
      </c>
      <c r="C99" t="s">
        <v>1589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2">
        <f t="shared" si="2"/>
        <v>0</v>
      </c>
      <c r="Q99" s="402">
        <v>0</v>
      </c>
    </row>
    <row r="100" spans="1:17" ht="15.75">
      <c r="A100" t="s">
        <v>773</v>
      </c>
      <c r="B100" t="s">
        <v>1377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-208981.51488605133</v>
      </c>
      <c r="Q100" s="234">
        <f>Financeiros!D27</f>
        <v>-208981.51488605133</v>
      </c>
    </row>
    <row r="101" spans="1:17" ht="15.75">
      <c r="A101" t="s">
        <v>773</v>
      </c>
      <c r="B101" t="s">
        <v>1377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-29102795.694557633</v>
      </c>
      <c r="Q101" s="234">
        <f ca="1">Financeiros!D28</f>
        <v>-29102795.694557633</v>
      </c>
    </row>
    <row r="102" spans="1:17" ht="15.75">
      <c r="A102" t="s">
        <v>773</v>
      </c>
      <c r="B102" t="s">
        <v>1377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0</v>
      </c>
      <c r="Q102" s="234">
        <f>Financeiros!D29</f>
        <v>0</v>
      </c>
    </row>
    <row r="103" spans="1:17" ht="15.75">
      <c r="A103" t="s">
        <v>773</v>
      </c>
      <c r="B103" t="s">
        <v>1377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773</v>
      </c>
      <c r="B104" t="s">
        <v>1377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ca="1" si="4"/>
        <v>0</v>
      </c>
      <c r="Q104" s="234">
        <f ca="1">Financeiros!D32</f>
        <v>0</v>
      </c>
    </row>
    <row r="105" spans="1:17" ht="15.75">
      <c r="A105" t="s">
        <v>773</v>
      </c>
      <c r="B105" t="s">
        <v>1377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ca="1" si="4"/>
        <v>0</v>
      </c>
      <c r="Q105" s="234">
        <f ca="1">Financeiros!D33</f>
        <v>0</v>
      </c>
    </row>
    <row r="106" spans="1:17" ht="15.75">
      <c r="A106" t="s">
        <v>773</v>
      </c>
      <c r="B106" t="s">
        <v>1377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773</v>
      </c>
      <c r="B107" t="s">
        <v>1377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773</v>
      </c>
      <c r="B108" t="s">
        <v>1377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2351518.6531692422</v>
      </c>
      <c r="Q108" s="234">
        <f>Financeiros!D36</f>
        <v>2351518.6531692422</v>
      </c>
    </row>
    <row r="109" spans="1:17" ht="15.75">
      <c r="A109" t="s">
        <v>773</v>
      </c>
      <c r="B109" t="s">
        <v>1377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773</v>
      </c>
      <c r="B110" t="s">
        <v>1377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0</v>
      </c>
      <c r="Q110" s="234">
        <f>Financeiros!D38</f>
        <v>0</v>
      </c>
    </row>
    <row r="111" spans="1:17" ht="15.75">
      <c r="A111" t="s">
        <v>773</v>
      </c>
      <c r="B111" t="s">
        <v>1377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773</v>
      </c>
      <c r="B112" t="s">
        <v>1377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773</v>
      </c>
      <c r="B113" t="s">
        <v>1377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773</v>
      </c>
      <c r="B114" t="s">
        <v>1377</v>
      </c>
      <c r="C114">
        <f>Financeiros!C45</f>
        <v>0</v>
      </c>
      <c r="D114">
        <v>2</v>
      </c>
      <c r="E114">
        <v>2</v>
      </c>
      <c r="F114">
        <f>Financeiros!F45</f>
        <v>22</v>
      </c>
      <c r="G114">
        <f>Financeiros!G45</f>
        <v>60</v>
      </c>
      <c r="H114">
        <f>Financeiros!H45</f>
        <v>999</v>
      </c>
      <c r="I114">
        <f>Financeiros!I45</f>
        <v>99</v>
      </c>
      <c r="J114">
        <f>Financeiros!J45</f>
        <v>999</v>
      </c>
      <c r="K114">
        <f>Financeiros!K45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6" si="5">IF(ISNUMBER(Q114),Q114,0)</f>
        <v>0</v>
      </c>
      <c r="Q114" s="234">
        <f>Financeiros!D45</f>
        <v>0</v>
      </c>
    </row>
    <row r="115" spans="1:17" ht="15.75">
      <c r="A115" t="s">
        <v>773</v>
      </c>
      <c r="B115" t="s">
        <v>1377</v>
      </c>
      <c r="C115">
        <f>Financeiros!C46</f>
        <v>0</v>
      </c>
      <c r="D115">
        <v>2</v>
      </c>
      <c r="E115">
        <v>2</v>
      </c>
      <c r="F115">
        <f>Financeiros!F46</f>
        <v>22</v>
      </c>
      <c r="G115">
        <f>Financeiros!G46</f>
        <v>60</v>
      </c>
      <c r="H115">
        <f>Financeiros!H46</f>
        <v>999</v>
      </c>
      <c r="I115">
        <f>Financeiros!I46</f>
        <v>99</v>
      </c>
      <c r="J115">
        <f>Financeiros!J46</f>
        <v>999</v>
      </c>
      <c r="K115">
        <f>Financeiros!K46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0</v>
      </c>
      <c r="Q115" s="234">
        <f>Financeiros!D46</f>
        <v>0</v>
      </c>
    </row>
    <row r="116" spans="1:17" ht="15.75">
      <c r="A116" t="s">
        <v>773</v>
      </c>
      <c r="B116" t="s">
        <v>1377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si="5"/>
        <v>0</v>
      </c>
      <c r="Q116" s="234">
        <f>Financeiros!D47</f>
        <v>0</v>
      </c>
    </row>
    <row r="117" spans="1:17" ht="15.75">
      <c r="A117" t="s">
        <v>773</v>
      </c>
      <c r="B117" t="s">
        <v>1377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5.7064594243556562E-3</v>
      </c>
      <c r="Q117" s="234">
        <f ca="1">Financeiros!E10</f>
        <v>5.7064594243556562E-3</v>
      </c>
    </row>
    <row r="118" spans="1:17" ht="15.75">
      <c r="A118" t="s">
        <v>773</v>
      </c>
      <c r="B118" t="s">
        <v>1377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1.1953085278728744E-2</v>
      </c>
      <c r="Q118" s="234">
        <f ca="1">Financeiros!E11</f>
        <v>1.1953085278728744E-2</v>
      </c>
    </row>
    <row r="119" spans="1:17" ht="15.75">
      <c r="A119" t="s">
        <v>773</v>
      </c>
      <c r="B119" t="s">
        <v>1377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-1.1760177321212849E-4</v>
      </c>
      <c r="Q119" s="249">
        <f ca="1">Financeiros!E12</f>
        <v>-1.1760177321212849E-4</v>
      </c>
    </row>
    <row r="120" spans="1:17" ht="15.75">
      <c r="A120" t="s">
        <v>773</v>
      </c>
      <c r="B120" t="s">
        <v>1377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-4.3176766420206063E-3</v>
      </c>
      <c r="Q120" s="249">
        <f ca="1">Financeiros!E13</f>
        <v>-4.3176766420206063E-3</v>
      </c>
    </row>
    <row r="121" spans="1:17" ht="15.75">
      <c r="A121" t="s">
        <v>773</v>
      </c>
      <c r="B121" t="s">
        <v>1377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773</v>
      </c>
      <c r="B122" t="s">
        <v>1377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-2.387765763684762E-4</v>
      </c>
      <c r="Q122" s="249">
        <f ca="1">Financeiros!E15</f>
        <v>-2.387765763684762E-4</v>
      </c>
    </row>
    <row r="123" spans="1:17" ht="15.75">
      <c r="A123" t="s">
        <v>773</v>
      </c>
      <c r="B123" t="s">
        <v>1377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-7.6837358593168071E-4</v>
      </c>
      <c r="Q123" s="249">
        <f ca="1">Financeiros!E16</f>
        <v>-7.6837358593168071E-4</v>
      </c>
    </row>
    <row r="124" spans="1:17" ht="15.75">
      <c r="A124" t="s">
        <v>773</v>
      </c>
      <c r="B124" t="s">
        <v>1377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773</v>
      </c>
      <c r="B125" t="s">
        <v>1377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0</v>
      </c>
      <c r="Q125" s="249">
        <f ca="1">Financeiros!E18</f>
        <v>0</v>
      </c>
    </row>
    <row r="126" spans="1:17" ht="15.75">
      <c r="A126" t="s">
        <v>773</v>
      </c>
      <c r="B126" t="s">
        <v>1377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6">IF(ISNUMBER(Q126),Q126,0)</f>
        <v>0</v>
      </c>
      <c r="Q126" s="249">
        <f ca="1">Financeiros!E19</f>
        <v>0</v>
      </c>
    </row>
    <row r="127" spans="1:17" ht="15.75">
      <c r="A127" t="s">
        <v>773</v>
      </c>
      <c r="B127" t="s">
        <v>1377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6"/>
        <v>0</v>
      </c>
      <c r="Q127" s="249">
        <f ca="1">Financeiros!E20</f>
        <v>0</v>
      </c>
    </row>
    <row r="128" spans="1:17" ht="15.75">
      <c r="A128" t="s">
        <v>773</v>
      </c>
      <c r="B128" t="s">
        <v>1377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1.8168960854103903E-3</v>
      </c>
      <c r="Q128" s="249">
        <f ca="1">Financeiros!E21</f>
        <v>1.8168960854103903E-3</v>
      </c>
    </row>
    <row r="129" spans="1:17" ht="15.75">
      <c r="A129" t="s">
        <v>773</v>
      </c>
      <c r="B129" t="s">
        <v>1377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1.1158313753554653E-3</v>
      </c>
      <c r="Q129" s="249">
        <f ca="1">Financeiros!E22</f>
        <v>1.1158313753554653E-3</v>
      </c>
    </row>
    <row r="130" spans="1:17" ht="15.75">
      <c r="A130" t="s">
        <v>773</v>
      </c>
      <c r="B130" t="s">
        <v>1377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773</v>
      </c>
      <c r="B131" t="s">
        <v>1377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773</v>
      </c>
      <c r="B132" t="s">
        <v>1377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773</v>
      </c>
      <c r="B133" t="s">
        <v>1377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-1.9885407586609774E-3</v>
      </c>
      <c r="Q133" s="249">
        <f ca="1">Financeiros!E27</f>
        <v>-1.9885407586609774E-3</v>
      </c>
    </row>
    <row r="134" spans="1:17" ht="15.75">
      <c r="A134" t="s">
        <v>773</v>
      </c>
      <c r="B134" t="s">
        <v>1377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-0.2769244708612924</v>
      </c>
      <c r="Q134" s="249">
        <f ca="1">Financeiros!E28</f>
        <v>-0.2769244708612924</v>
      </c>
    </row>
    <row r="135" spans="1:17" ht="15.75">
      <c r="A135" t="s">
        <v>773</v>
      </c>
      <c r="B135" t="s">
        <v>1377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7">IF(ISNUMBER(Q135),Q135,0)</f>
        <v>0</v>
      </c>
      <c r="Q135" s="249">
        <f ca="1">Financeiros!E29</f>
        <v>0</v>
      </c>
    </row>
    <row r="136" spans="1:17" ht="15.75">
      <c r="A136" t="s">
        <v>773</v>
      </c>
      <c r="B136" t="s">
        <v>1377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7"/>
        <v>0</v>
      </c>
      <c r="Q136" s="249">
        <f ca="1">Financeiros!E30</f>
        <v>0</v>
      </c>
    </row>
    <row r="137" spans="1:17" ht="15.75">
      <c r="A137" t="s">
        <v>773</v>
      </c>
      <c r="B137" t="s">
        <v>1377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8">IF(ISNUMBER(Q137),Q137,0)</f>
        <v>0</v>
      </c>
      <c r="Q137" s="249">
        <f ca="1">Financeiros!E32</f>
        <v>0</v>
      </c>
    </row>
    <row r="138" spans="1:17" ht="15.75">
      <c r="A138" t="s">
        <v>773</v>
      </c>
      <c r="B138" t="s">
        <v>1377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8"/>
        <v>0</v>
      </c>
      <c r="Q138" s="249">
        <f ca="1">Financeiros!E32</f>
        <v>0</v>
      </c>
    </row>
    <row r="139" spans="1:17" ht="15.75">
      <c r="A139" t="s">
        <v>773</v>
      </c>
      <c r="B139" t="s">
        <v>1377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7"/>
        <v>0</v>
      </c>
      <c r="Q139" s="249">
        <f ca="1">Financeiros!E33</f>
        <v>0</v>
      </c>
    </row>
    <row r="140" spans="1:17" ht="15.75">
      <c r="A140" t="s">
        <v>773</v>
      </c>
      <c r="B140" t="s">
        <v>1377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7"/>
        <v>0</v>
      </c>
      <c r="Q140" s="249">
        <f ca="1">Financeiros!E34</f>
        <v>0</v>
      </c>
    </row>
    <row r="141" spans="1:17" ht="15.75">
      <c r="A141" t="s">
        <v>773</v>
      </c>
      <c r="B141" t="s">
        <v>1377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9">IF(ISNUMBER(Q141),Q141,0)</f>
        <v>0</v>
      </c>
      <c r="Q141" s="249">
        <f ca="1">Financeiros!E35</f>
        <v>0</v>
      </c>
    </row>
    <row r="142" spans="1:17" ht="15.75">
      <c r="A142" t="s">
        <v>773</v>
      </c>
      <c r="B142" t="s">
        <v>1377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9"/>
        <v>2.2375618671958985E-2</v>
      </c>
      <c r="Q142" s="249">
        <f ca="1">Financeiros!E36</f>
        <v>2.2375618671958985E-2</v>
      </c>
    </row>
    <row r="143" spans="1:17" ht="15.75">
      <c r="A143" t="s">
        <v>773</v>
      </c>
      <c r="B143" t="s">
        <v>1377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9"/>
        <v>0</v>
      </c>
      <c r="Q143" s="249">
        <f ca="1">Financeiros!E37</f>
        <v>0</v>
      </c>
    </row>
    <row r="144" spans="1:17" ht="15.75">
      <c r="A144" t="s">
        <v>773</v>
      </c>
      <c r="B144" t="s">
        <v>1377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9"/>
        <v>0</v>
      </c>
      <c r="Q144" s="249">
        <f ca="1">Financeiros!E38</f>
        <v>0</v>
      </c>
    </row>
    <row r="145" spans="1:17" ht="15.75">
      <c r="A145" t="s">
        <v>773</v>
      </c>
      <c r="B145" t="s">
        <v>1377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9"/>
        <v>0</v>
      </c>
      <c r="Q145" s="249">
        <f ca="1">Financeiros!E39</f>
        <v>0</v>
      </c>
    </row>
    <row r="146" spans="1:17" ht="15.75">
      <c r="A146" t="s">
        <v>773</v>
      </c>
      <c r="B146" t="s">
        <v>1377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9"/>
        <v>0</v>
      </c>
      <c r="Q146" s="249">
        <f ca="1">Financeiros!E40</f>
        <v>0</v>
      </c>
    </row>
    <row r="147" spans="1:17" ht="15.75">
      <c r="A147" t="s">
        <v>773</v>
      </c>
      <c r="B147" t="s">
        <v>1377</v>
      </c>
      <c r="C147">
        <f>Financeiros!C42</f>
        <v>0</v>
      </c>
      <c r="D147">
        <v>2</v>
      </c>
      <c r="E147">
        <v>2</v>
      </c>
      <c r="F147">
        <v>999</v>
      </c>
      <c r="G147">
        <v>999999</v>
      </c>
      <c r="H147">
        <v>999</v>
      </c>
      <c r="I147">
        <v>99</v>
      </c>
      <c r="J147">
        <v>999</v>
      </c>
      <c r="K147"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0">IF(ISNUMBER(Q147),Q147,0)</f>
        <v>0</v>
      </c>
      <c r="Q147" s="249">
        <f ca="1">Financeiros!E41</f>
        <v>0</v>
      </c>
    </row>
    <row r="148" spans="1:17" ht="15.75">
      <c r="A148" t="s">
        <v>773</v>
      </c>
      <c r="B148" t="s">
        <v>1377</v>
      </c>
      <c r="C148">
        <f>Financeiros!C43</f>
        <v>0</v>
      </c>
      <c r="D148">
        <v>2</v>
      </c>
      <c r="E148">
        <v>2</v>
      </c>
      <c r="F148">
        <v>999</v>
      </c>
      <c r="G148">
        <v>999999</v>
      </c>
      <c r="H148">
        <v>999</v>
      </c>
      <c r="I148">
        <v>99</v>
      </c>
      <c r="J148">
        <v>999</v>
      </c>
      <c r="K148">
        <v>9</v>
      </c>
      <c r="L148">
        <v>99</v>
      </c>
      <c r="M148">
        <v>9</v>
      </c>
      <c r="N148">
        <v>4</v>
      </c>
      <c r="O148">
        <v>99999</v>
      </c>
      <c r="P148" s="234">
        <f t="shared" si="10"/>
        <v>0</v>
      </c>
      <c r="Q148" s="249">
        <f>Financeiros!E42</f>
        <v>0</v>
      </c>
    </row>
    <row r="149" spans="1:17" ht="15.75">
      <c r="A149" t="s">
        <v>773</v>
      </c>
      <c r="B149" t="s">
        <v>1377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si="10"/>
        <v>0</v>
      </c>
      <c r="Q149" s="249">
        <f>Financeiros!E43</f>
        <v>0</v>
      </c>
    </row>
    <row r="150" spans="1:17" ht="15.75">
      <c r="A150" t="s">
        <v>773</v>
      </c>
      <c r="B150" t="s">
        <v>1377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1">IF(ISNUMBER(Q150),Q150,0)</f>
        <v>0</v>
      </c>
      <c r="Q150" s="249">
        <f ca="1">Financeiros!E41</f>
        <v>0</v>
      </c>
    </row>
    <row r="151" spans="1:17" ht="15.75">
      <c r="A151" t="s">
        <v>773</v>
      </c>
      <c r="B151" t="s">
        <v>1377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1"/>
        <v>0</v>
      </c>
      <c r="Q151" s="249">
        <f ca="1">Financeiros!E45</f>
        <v>0</v>
      </c>
    </row>
    <row r="152" spans="1:17" ht="15.75">
      <c r="A152" t="s">
        <v>773</v>
      </c>
      <c r="B152" t="s">
        <v>1377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1"/>
        <v>0</v>
      </c>
      <c r="Q152" s="249">
        <f ca="1">Financeiros!E46</f>
        <v>0</v>
      </c>
    </row>
    <row r="153" spans="1:17" ht="15.75">
      <c r="A153" t="s">
        <v>773</v>
      </c>
      <c r="B153" t="s">
        <v>72</v>
      </c>
      <c r="C153" t="s">
        <v>1574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7"/>
        <v>1E-14</v>
      </c>
      <c r="Q153" s="234">
        <f>Encargos!O6</f>
        <v>1E-14</v>
      </c>
    </row>
    <row r="154" spans="1:17" ht="15.75">
      <c r="A154" t="s">
        <v>1575</v>
      </c>
      <c r="B154" t="s">
        <v>1576</v>
      </c>
      <c r="C154" t="s">
        <v>1577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7"/>
        <v>0</v>
      </c>
      <c r="Q154" s="234">
        <f>IF(CAPA!K9="Atrasado",1,0)</f>
        <v>0</v>
      </c>
    </row>
    <row r="155" spans="1:17" ht="15.75">
      <c r="A155" t="s">
        <v>1575</v>
      </c>
      <c r="B155" t="s">
        <v>1576</v>
      </c>
      <c r="C155" t="s">
        <v>1578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7"/>
        <v>0</v>
      </c>
      <c r="Q155" s="234">
        <f ca="1">IF(CAPA!C110="Revisão",1,0)</f>
        <v>0</v>
      </c>
    </row>
    <row r="156" spans="1:17" ht="15.75">
      <c r="A156" t="s">
        <v>1575</v>
      </c>
      <c r="B156" t="s">
        <v>1576</v>
      </c>
      <c r="C156" t="s">
        <v>1579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7"/>
        <v>1</v>
      </c>
      <c r="Q156" s="234">
        <v>1</v>
      </c>
    </row>
    <row r="157" spans="1:17" ht="15.75">
      <c r="A157" t="s">
        <v>773</v>
      </c>
      <c r="B157" t="s">
        <v>975</v>
      </c>
      <c r="C157" t="s">
        <v>1580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7"/>
        <v>0</v>
      </c>
      <c r="Q157" s="254">
        <f>IF(CAPA!P1="VERDADEIRO",0,Calc_Mercado!J15)</f>
        <v>0</v>
      </c>
    </row>
    <row r="158" spans="1:17" ht="15.75">
      <c r="A158" s="16" t="s">
        <v>773</v>
      </c>
      <c r="B158" s="16" t="s">
        <v>120</v>
      </c>
      <c r="C158" s="16" t="s">
        <v>822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7"/>
        <v>162796.20629000006</v>
      </c>
      <c r="Q158" s="234">
        <f ca="1">Energia!C5</f>
        <v>162796.20629000006</v>
      </c>
    </row>
    <row r="159" spans="1:17" ht="15.75">
      <c r="A159" s="16" t="s">
        <v>773</v>
      </c>
      <c r="B159" s="16" t="s">
        <v>120</v>
      </c>
      <c r="C159" s="16" t="s">
        <v>822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7"/>
        <v>24739687.473364111</v>
      </c>
      <c r="Q159" s="234">
        <f ca="1">Energia!C14</f>
        <v>24739687.473364111</v>
      </c>
    </row>
    <row r="160" spans="1:17" ht="15.75">
      <c r="A160" s="16" t="s">
        <v>773</v>
      </c>
      <c r="B160" s="16" t="s">
        <v>1581</v>
      </c>
      <c r="C160" s="16" t="s">
        <v>1582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7"/>
        <v>58388123.650659695</v>
      </c>
      <c r="Q160" s="234">
        <f ca="1">Resultado!D34</f>
        <v>58388123.650659695</v>
      </c>
    </row>
    <row r="161" spans="1:21" ht="15.75">
      <c r="A161" s="16" t="s">
        <v>773</v>
      </c>
      <c r="B161" s="16" t="s">
        <v>109</v>
      </c>
      <c r="C161" s="16" t="s">
        <v>837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7"/>
        <v>60335559.834578</v>
      </c>
      <c r="Q161" s="234">
        <f>Resultado!D39</f>
        <v>60335559.834578</v>
      </c>
    </row>
    <row r="162" spans="1:21" ht="15.75">
      <c r="A162" s="16" t="s">
        <v>773</v>
      </c>
      <c r="B162" s="16" t="s">
        <v>72</v>
      </c>
      <c r="C162" s="16" t="s">
        <v>837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7"/>
        <v>16946627.459861781</v>
      </c>
      <c r="Q162" s="234">
        <f ca="1">Resultado!D14</f>
        <v>16946627.459861781</v>
      </c>
    </row>
    <row r="163" spans="1:21" ht="15.75">
      <c r="A163" s="16" t="s">
        <v>773</v>
      </c>
      <c r="B163" s="16" t="s">
        <v>794</v>
      </c>
      <c r="C163" s="16" t="s">
        <v>837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7"/>
        <v>16701808.717433799</v>
      </c>
      <c r="Q163" s="234">
        <f>Resultado!D24</f>
        <v>16701808.717433799</v>
      </c>
    </row>
    <row r="164" spans="1:21" ht="15.75">
      <c r="A164" s="16" t="s">
        <v>773</v>
      </c>
      <c r="B164" s="16" t="s">
        <v>1581</v>
      </c>
      <c r="C164" s="16" t="s">
        <v>1583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7"/>
        <v>118723683.48523769</v>
      </c>
      <c r="Q164" s="234">
        <f ca="1">Resultado!C5</f>
        <v>118723683.48523769</v>
      </c>
    </row>
    <row r="165" spans="1:21" ht="15.75">
      <c r="A165" s="16" t="s">
        <v>773</v>
      </c>
      <c r="B165" s="16" t="s">
        <v>120</v>
      </c>
      <c r="C165" s="16" t="s">
        <v>1584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7"/>
        <v>3.5271144369459786E-2</v>
      </c>
      <c r="Q165" s="234">
        <f ca="1">Energia!N15</f>
        <v>3.5271144369459786E-2</v>
      </c>
    </row>
    <row r="166" spans="1:21" ht="15.75">
      <c r="A166" s="16" t="s">
        <v>773</v>
      </c>
      <c r="B166" s="16" t="s">
        <v>120</v>
      </c>
      <c r="C166" s="16" t="s">
        <v>1585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7"/>
        <v>5546.3812799999996</v>
      </c>
      <c r="Q166" s="234">
        <f ca="1">Energia!N18+Energia!N19</f>
        <v>5546.3812799999996</v>
      </c>
    </row>
    <row r="167" spans="1:21" ht="15.75">
      <c r="A167" s="16" t="s">
        <v>772</v>
      </c>
      <c r="B167" s="16" t="s">
        <v>120</v>
      </c>
      <c r="C167" s="16" t="s">
        <v>837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7"/>
        <v>32947321.16528523</v>
      </c>
      <c r="Q167" s="234">
        <f ca="1">Resultado!C33</f>
        <v>32947321.16528523</v>
      </c>
      <c r="R167" s="255"/>
      <c r="S167" s="255"/>
      <c r="T167" s="255"/>
      <c r="U167" s="255"/>
    </row>
    <row r="168" spans="1:21" ht="15.75">
      <c r="A168" s="16" t="s">
        <v>772</v>
      </c>
      <c r="B168" s="16" t="s">
        <v>1581</v>
      </c>
      <c r="C168" s="16" t="s">
        <v>1586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7"/>
        <v>105092899.89447996</v>
      </c>
      <c r="Q168" s="234">
        <f ca="1">Mercado_RA0_Reais</f>
        <v>105092899.89447996</v>
      </c>
    </row>
    <row r="169" spans="1:21" ht="15.75">
      <c r="A169" s="16" t="s">
        <v>773</v>
      </c>
      <c r="B169" s="16" t="s">
        <v>1377</v>
      </c>
      <c r="C169" s="16" t="s">
        <v>837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7"/>
        <v>-23509390.82677171</v>
      </c>
      <c r="Q169" s="234">
        <f ca="1">Financeiros!D7</f>
        <v>-23509390.82677171</v>
      </c>
    </row>
    <row r="170" spans="1:21" ht="15.75">
      <c r="A170" s="16" t="s">
        <v>773</v>
      </c>
      <c r="B170" s="16" t="s">
        <v>1377</v>
      </c>
      <c r="C170" s="16" t="s">
        <v>837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7"/>
        <v>-0.22370103832301388</v>
      </c>
      <c r="Q170" s="234">
        <f ca="1">Financeiros!E7</f>
        <v>-0.22370103832301388</v>
      </c>
    </row>
    <row r="171" spans="1:21" ht="15.75">
      <c r="A171" s="16" t="s">
        <v>773</v>
      </c>
      <c r="B171" s="16" t="s">
        <v>1587</v>
      </c>
      <c r="C171" s="16" t="s">
        <v>1588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7"/>
        <v>95214292.658465981</v>
      </c>
      <c r="Q171" s="234">
        <f ca="1">Resultado!C5+Financeiros!D7/(1+IF(Q157&gt;0,Q157,0))</f>
        <v>95214292.658465981</v>
      </c>
    </row>
    <row r="172" spans="1:21" ht="15.75">
      <c r="A172" t="s">
        <v>773</v>
      </c>
      <c r="B172" t="s">
        <v>72</v>
      </c>
      <c r="C172" t="s">
        <v>1574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7"/>
        <v>1E-14</v>
      </c>
      <c r="Q172" s="234">
        <f>Encargos!O6</f>
        <v>1E-14</v>
      </c>
    </row>
    <row r="173" spans="1:21" ht="15.75">
      <c r="A173" s="993" t="s">
        <v>1589</v>
      </c>
      <c r="B173" s="993" t="s">
        <v>1589</v>
      </c>
      <c r="C173" s="993" t="s">
        <v>1589</v>
      </c>
      <c r="D173" s="993">
        <v>99</v>
      </c>
      <c r="E173" s="993">
        <v>99</v>
      </c>
      <c r="F173" s="993">
        <v>999</v>
      </c>
      <c r="G173" s="993">
        <v>999999</v>
      </c>
      <c r="H173" s="993">
        <v>999</v>
      </c>
      <c r="I173" s="993">
        <v>99</v>
      </c>
      <c r="J173" s="993">
        <v>999</v>
      </c>
      <c r="K173" s="993">
        <v>9</v>
      </c>
      <c r="L173" s="993">
        <v>99</v>
      </c>
      <c r="M173" s="993">
        <v>9</v>
      </c>
      <c r="N173" s="993">
        <v>99</v>
      </c>
      <c r="O173" s="993">
        <v>99999</v>
      </c>
      <c r="P173" s="401">
        <f t="shared" si="7"/>
        <v>0</v>
      </c>
      <c r="Q173" s="401">
        <v>0</v>
      </c>
    </row>
    <row r="174" spans="1:21" ht="15.75">
      <c r="A174" s="993" t="s">
        <v>1589</v>
      </c>
      <c r="B174" s="993" t="s">
        <v>1589</v>
      </c>
      <c r="C174" s="993" t="s">
        <v>1589</v>
      </c>
      <c r="D174" s="993">
        <v>99</v>
      </c>
      <c r="E174" s="993">
        <v>99</v>
      </c>
      <c r="F174" s="993">
        <v>999</v>
      </c>
      <c r="G174" s="993">
        <v>999999</v>
      </c>
      <c r="H174" s="993">
        <v>999</v>
      </c>
      <c r="I174" s="993">
        <v>99</v>
      </c>
      <c r="J174" s="993">
        <v>999</v>
      </c>
      <c r="K174" s="993">
        <v>9</v>
      </c>
      <c r="L174" s="993">
        <v>99</v>
      </c>
      <c r="M174" s="993">
        <v>9</v>
      </c>
      <c r="N174" s="993">
        <v>99</v>
      </c>
      <c r="O174" s="993">
        <v>99999</v>
      </c>
      <c r="P174" s="401">
        <f t="shared" si="7"/>
        <v>0</v>
      </c>
      <c r="Q174" s="401">
        <v>0</v>
      </c>
    </row>
    <row r="175" spans="1:21" ht="15.75">
      <c r="A175" s="993" t="s">
        <v>1589</v>
      </c>
      <c r="B175" s="993" t="s">
        <v>1589</v>
      </c>
      <c r="C175" s="993" t="s">
        <v>1589</v>
      </c>
      <c r="D175" s="993">
        <v>99</v>
      </c>
      <c r="E175" s="993">
        <v>99</v>
      </c>
      <c r="F175" s="993">
        <v>999</v>
      </c>
      <c r="G175" s="993">
        <v>999999</v>
      </c>
      <c r="H175" s="993">
        <v>999</v>
      </c>
      <c r="I175" s="993">
        <v>99</v>
      </c>
      <c r="J175" s="993">
        <v>999</v>
      </c>
      <c r="K175" s="993">
        <v>9</v>
      </c>
      <c r="L175" s="993">
        <v>99</v>
      </c>
      <c r="M175" s="993">
        <v>9</v>
      </c>
      <c r="N175" s="993">
        <v>99</v>
      </c>
      <c r="O175" s="993">
        <v>99999</v>
      </c>
      <c r="P175" s="401">
        <f t="shared" si="7"/>
        <v>0</v>
      </c>
      <c r="Q175" s="401">
        <v>0</v>
      </c>
    </row>
    <row r="176" spans="1:21" ht="15.75">
      <c r="A176" t="s">
        <v>773</v>
      </c>
      <c r="B176" t="s">
        <v>975</v>
      </c>
      <c r="C176" t="s">
        <v>1580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7"/>
        <v>0</v>
      </c>
      <c r="Q176" s="254">
        <f>IF(CAPA!P1="VERDADEIRO",0,Calc_Mercado!J15)</f>
        <v>0</v>
      </c>
    </row>
    <row r="177" spans="1:19" ht="15.75">
      <c r="A177" s="16" t="s">
        <v>773</v>
      </c>
      <c r="B177" s="16" t="s">
        <v>120</v>
      </c>
      <c r="C177" s="16" t="s">
        <v>822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7"/>
        <v>162796.20629000006</v>
      </c>
      <c r="Q177" s="234">
        <f ca="1">Energia!C5</f>
        <v>162796.20629000006</v>
      </c>
    </row>
    <row r="178" spans="1:19" ht="15.75">
      <c r="A178" s="16" t="s">
        <v>773</v>
      </c>
      <c r="B178" s="16" t="s">
        <v>120</v>
      </c>
      <c r="C178" s="16" t="s">
        <v>822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7"/>
        <v>24739687.473364111</v>
      </c>
      <c r="Q178" s="234">
        <f ca="1">Energia!C14</f>
        <v>24739687.473364111</v>
      </c>
    </row>
    <row r="179" spans="1:19" ht="15.75">
      <c r="A179" s="16" t="s">
        <v>773</v>
      </c>
      <c r="B179" s="16" t="s">
        <v>120</v>
      </c>
      <c r="C179" s="16" t="s">
        <v>1590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7"/>
        <v>19510.137289999999</v>
      </c>
      <c r="Q179" s="234">
        <f ca="1">SUM(LnkTXTPerdas)</f>
        <v>19510.137289999999</v>
      </c>
    </row>
    <row r="180" spans="1:19" ht="15.75">
      <c r="A180" s="16" t="s">
        <v>773</v>
      </c>
      <c r="B180" s="16" t="s">
        <v>1587</v>
      </c>
      <c r="C180" s="16" t="s">
        <v>1591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2">IF(ISNUMBER(Q180),Q180,0)</f>
        <v>399077</v>
      </c>
      <c r="Q180" s="234">
        <f ca="1">SUM(INDIRECT("dados_MercadoBase[D]"))</f>
        <v>399077</v>
      </c>
    </row>
    <row r="181" spans="1:19" ht="15.75">
      <c r="A181" s="16" t="s">
        <v>773</v>
      </c>
      <c r="B181" s="16" t="s">
        <v>1587</v>
      </c>
      <c r="C181" s="16" t="s">
        <v>1592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2"/>
        <v>143286.06900000013</v>
      </c>
      <c r="Q181" s="234">
        <f ca="1">SUM(INDIRECT("dados_MercadoBase[TUSD_E]"))</f>
        <v>143286.06900000013</v>
      </c>
    </row>
    <row r="182" spans="1:19" ht="15.75">
      <c r="A182" t="s">
        <v>772</v>
      </c>
      <c r="B182" t="s">
        <v>794</v>
      </c>
      <c r="C182" t="s">
        <v>1593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2"/>
        <v>1419503.3240589856</v>
      </c>
      <c r="Q182" s="234">
        <f ca="1">Resultado!C25</f>
        <v>1419503.3240589856</v>
      </c>
    </row>
    <row r="183" spans="1:19" ht="15.75">
      <c r="A183" t="s">
        <v>772</v>
      </c>
      <c r="B183" t="s">
        <v>794</v>
      </c>
      <c r="C183" t="s">
        <v>1264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2"/>
        <v>936445.15140714962</v>
      </c>
      <c r="Q183" s="234">
        <f ca="1">Resultado!C26</f>
        <v>936445.15140714962</v>
      </c>
    </row>
    <row r="184" spans="1:19" ht="15.75">
      <c r="A184" t="s">
        <v>772</v>
      </c>
      <c r="B184" t="s">
        <v>794</v>
      </c>
      <c r="C184" t="s">
        <v>1539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2"/>
        <v>0</v>
      </c>
      <c r="Q184" s="234">
        <f ca="1">Resultado!C31</f>
        <v>0</v>
      </c>
    </row>
    <row r="185" spans="1:19" ht="15.75">
      <c r="A185" t="s">
        <v>772</v>
      </c>
      <c r="B185" t="s">
        <v>794</v>
      </c>
      <c r="C185" t="s">
        <v>1540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2"/>
        <v>0</v>
      </c>
      <c r="Q185" s="234">
        <f>Resultado!C27</f>
        <v>0</v>
      </c>
    </row>
    <row r="186" spans="1:19" ht="15.75">
      <c r="A186" t="s">
        <v>772</v>
      </c>
      <c r="B186" t="s">
        <v>794</v>
      </c>
      <c r="C186" t="s">
        <v>1541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2"/>
        <v>0</v>
      </c>
      <c r="Q186" s="234">
        <f>Resultado!C28</f>
        <v>0</v>
      </c>
    </row>
    <row r="187" spans="1:19" ht="15.75">
      <c r="A187" s="9" t="s">
        <v>773</v>
      </c>
      <c r="B187" t="s">
        <v>794</v>
      </c>
      <c r="C187" s="9" t="s">
        <v>1594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2"/>
        <v>0</v>
      </c>
      <c r="Q187" s="254">
        <f>Resultado!D31</f>
        <v>0</v>
      </c>
    </row>
    <row r="188" spans="1:19" ht="15.75">
      <c r="A188" t="s">
        <v>773</v>
      </c>
      <c r="B188" t="s">
        <v>1587</v>
      </c>
      <c r="C188" s="9" t="s">
        <v>1595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2"/>
        <v>143286.06900000013</v>
      </c>
      <c r="Q188" s="234">
        <f ca="1">SUM(INDIRECT("dados_MercadoBase[TE_E]"))</f>
        <v>143286.06900000013</v>
      </c>
    </row>
    <row r="189" spans="1:19" ht="15.75">
      <c r="A189" t="s">
        <v>773</v>
      </c>
      <c r="B189" t="s">
        <v>1596</v>
      </c>
      <c r="C189" s="9" t="s">
        <v>1597</v>
      </c>
      <c r="D189" s="417">
        <v>1</v>
      </c>
      <c r="E189" s="417">
        <v>1</v>
      </c>
      <c r="F189" s="417">
        <v>15</v>
      </c>
      <c r="G189" s="417">
        <v>175</v>
      </c>
      <c r="H189" s="417">
        <v>999</v>
      </c>
      <c r="I189" s="417">
        <v>4</v>
      </c>
      <c r="J189" s="417">
        <v>999</v>
      </c>
      <c r="K189" s="417">
        <v>9</v>
      </c>
      <c r="L189" s="417">
        <v>99</v>
      </c>
      <c r="M189" s="417">
        <v>9</v>
      </c>
      <c r="N189" s="417">
        <v>4</v>
      </c>
      <c r="O189" s="417">
        <v>99999</v>
      </c>
      <c r="P189" s="419">
        <f>IF(ISNUMBER(Q189),Q189,0)</f>
        <v>9.9699999999999997E-2</v>
      </c>
      <c r="Q189" s="419">
        <f>VLOOKUP(LnkTXTSigla,Informacoes[],8,FALSE)</f>
        <v>9.9699999999999997E-2</v>
      </c>
    </row>
    <row r="190" spans="1:19" ht="15.75">
      <c r="A190" t="s">
        <v>773</v>
      </c>
      <c r="B190" t="s">
        <v>1596</v>
      </c>
      <c r="C190" s="9" t="s">
        <v>1598</v>
      </c>
      <c r="D190" s="417">
        <v>1</v>
      </c>
      <c r="E190" s="417">
        <v>1</v>
      </c>
      <c r="F190" s="417">
        <v>15</v>
      </c>
      <c r="G190" s="417">
        <v>174</v>
      </c>
      <c r="H190" s="417">
        <v>999</v>
      </c>
      <c r="I190" s="417">
        <v>4</v>
      </c>
      <c r="J190" s="417">
        <v>999</v>
      </c>
      <c r="K190" s="417">
        <v>9</v>
      </c>
      <c r="L190" s="417">
        <v>99</v>
      </c>
      <c r="M190" s="417">
        <v>9</v>
      </c>
      <c r="N190" s="417">
        <v>4</v>
      </c>
      <c r="O190" s="421">
        <v>99999</v>
      </c>
      <c r="P190" s="419">
        <f>IF(ISNUMBER(Q190),Q190,0)</f>
        <v>0.04</v>
      </c>
      <c r="Q190" s="419">
        <v>0.04</v>
      </c>
    </row>
    <row r="191" spans="1:19" ht="15.75">
      <c r="A191" t="s">
        <v>773</v>
      </c>
      <c r="B191" t="s">
        <v>1596</v>
      </c>
      <c r="C191" s="9" t="s">
        <v>1599</v>
      </c>
      <c r="D191" s="417">
        <v>1</v>
      </c>
      <c r="E191" s="417">
        <v>1</v>
      </c>
      <c r="F191" s="417">
        <v>196</v>
      </c>
      <c r="G191" s="417">
        <v>250</v>
      </c>
      <c r="H191" s="417">
        <v>999</v>
      </c>
      <c r="I191" s="417">
        <v>4</v>
      </c>
      <c r="J191" s="417">
        <v>999</v>
      </c>
      <c r="K191" s="417">
        <v>9</v>
      </c>
      <c r="L191" s="417">
        <v>99</v>
      </c>
      <c r="M191" s="417">
        <v>9</v>
      </c>
      <c r="N191" s="417">
        <v>3</v>
      </c>
      <c r="O191" s="421">
        <v>99999</v>
      </c>
      <c r="P191" s="418">
        <f>IF(ISNUMBER(Q191),Q191,0)</f>
        <v>25417469.890000001</v>
      </c>
      <c r="Q191" s="423">
        <f>CAPA!D32</f>
        <v>25417469.890000001</v>
      </c>
      <c r="S191" s="9"/>
    </row>
    <row r="192" spans="1:19" ht="15.75">
      <c r="A192" t="s">
        <v>773</v>
      </c>
      <c r="B192" t="s">
        <v>1596</v>
      </c>
      <c r="C192" s="9" t="s">
        <v>1600</v>
      </c>
      <c r="D192" s="417">
        <v>1</v>
      </c>
      <c r="E192" s="417">
        <v>1</v>
      </c>
      <c r="F192" s="417">
        <v>14</v>
      </c>
      <c r="G192" s="417">
        <v>31</v>
      </c>
      <c r="H192" s="417">
        <v>999</v>
      </c>
      <c r="I192" s="417">
        <v>4</v>
      </c>
      <c r="J192" s="417">
        <v>999</v>
      </c>
      <c r="K192" s="417">
        <v>9</v>
      </c>
      <c r="L192" s="417">
        <v>99</v>
      </c>
      <c r="M192" s="417">
        <v>9</v>
      </c>
      <c r="N192" s="417">
        <v>4</v>
      </c>
      <c r="O192" s="417">
        <v>99999</v>
      </c>
      <c r="P192" s="254">
        <v>0</v>
      </c>
      <c r="Q192" s="254">
        <v>0</v>
      </c>
    </row>
    <row r="193" spans="1:17" ht="15.75">
      <c r="A193" t="s">
        <v>773</v>
      </c>
      <c r="B193" t="s">
        <v>1596</v>
      </c>
      <c r="C193" s="9" t="s">
        <v>1601</v>
      </c>
      <c r="D193" s="417">
        <v>1</v>
      </c>
      <c r="E193" s="417">
        <v>1</v>
      </c>
      <c r="F193" s="417">
        <v>15</v>
      </c>
      <c r="G193" s="417">
        <v>176</v>
      </c>
      <c r="H193" s="417">
        <v>999</v>
      </c>
      <c r="I193" s="417">
        <v>4</v>
      </c>
      <c r="J193" s="417">
        <v>999</v>
      </c>
      <c r="K193" s="417">
        <v>9</v>
      </c>
      <c r="L193" s="417">
        <v>99</v>
      </c>
      <c r="M193" s="417">
        <v>9</v>
      </c>
      <c r="N193" s="417">
        <v>3</v>
      </c>
      <c r="O193" s="417">
        <v>99999</v>
      </c>
      <c r="P193" s="254">
        <f t="shared" si="12"/>
        <v>34918089.950000003</v>
      </c>
      <c r="Q193" s="254">
        <f>CAPA!D33</f>
        <v>34918089.950000003</v>
      </c>
    </row>
    <row r="194" spans="1:17" ht="15.75">
      <c r="A194" t="s">
        <v>773</v>
      </c>
      <c r="B194" t="s">
        <v>1596</v>
      </c>
      <c r="C194" s="9" t="s">
        <v>1602</v>
      </c>
      <c r="D194" s="417">
        <v>1</v>
      </c>
      <c r="E194" s="417">
        <v>1</v>
      </c>
      <c r="F194" s="417">
        <v>203</v>
      </c>
      <c r="G194" s="417">
        <v>247</v>
      </c>
      <c r="H194" s="417">
        <v>999</v>
      </c>
      <c r="I194" s="417">
        <v>4</v>
      </c>
      <c r="J194" s="417">
        <v>999</v>
      </c>
      <c r="K194" s="417">
        <v>9</v>
      </c>
      <c r="L194" s="417">
        <v>99</v>
      </c>
      <c r="M194" s="417">
        <v>9</v>
      </c>
      <c r="N194" s="417">
        <v>3</v>
      </c>
      <c r="O194" s="417">
        <v>99999</v>
      </c>
      <c r="P194" s="234">
        <f t="shared" si="12"/>
        <v>60335559.834578</v>
      </c>
      <c r="Q194" s="234">
        <f>Resultado!D39</f>
        <v>60335559.834578</v>
      </c>
    </row>
    <row r="195" spans="1:17" ht="15.75">
      <c r="A195" t="s">
        <v>773</v>
      </c>
      <c r="B195" t="s">
        <v>1596</v>
      </c>
      <c r="C195" t="s">
        <v>254</v>
      </c>
      <c r="D195" s="417">
        <v>1</v>
      </c>
      <c r="E195" s="417">
        <v>1</v>
      </c>
      <c r="F195" s="417">
        <v>15</v>
      </c>
      <c r="G195" s="417">
        <v>194</v>
      </c>
      <c r="H195" s="417">
        <v>999</v>
      </c>
      <c r="I195" s="417">
        <v>4</v>
      </c>
      <c r="J195" s="417">
        <v>999</v>
      </c>
      <c r="K195" s="417">
        <v>9</v>
      </c>
      <c r="L195" s="417">
        <v>99</v>
      </c>
      <c r="M195" s="417">
        <v>9</v>
      </c>
      <c r="N195" s="417">
        <v>4</v>
      </c>
      <c r="O195" s="417">
        <v>99999</v>
      </c>
      <c r="P195" s="234">
        <f t="shared" si="12"/>
        <v>0.1535</v>
      </c>
      <c r="Q195" s="249">
        <f>VLOOKUP(LnkTXTSigla,Informacoes[],16,FALSE)</f>
        <v>0.1535</v>
      </c>
    </row>
    <row r="196" spans="1:17" ht="15.75">
      <c r="A196" t="s">
        <v>1587</v>
      </c>
      <c r="B196" t="s">
        <v>1603</v>
      </c>
      <c r="C196" t="s">
        <v>1604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2"/>
        <v>22423.72289760115</v>
      </c>
      <c r="Q196" s="234">
        <f>'Tabelas e Gráficos'!BP288</f>
        <v>22423.72289760115</v>
      </c>
    </row>
    <row r="197" spans="1:17" ht="15.75">
      <c r="A197" t="s">
        <v>1587</v>
      </c>
      <c r="B197" t="s">
        <v>1603</v>
      </c>
      <c r="C197" t="s">
        <v>1605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2"/>
        <v>0</v>
      </c>
      <c r="Q197" s="234">
        <f>'Tabelas e Gráficos'!BP289</f>
        <v>0</v>
      </c>
    </row>
    <row r="198" spans="1:17" ht="15.75">
      <c r="A198" t="s">
        <v>1587</v>
      </c>
      <c r="B198" t="s">
        <v>1603</v>
      </c>
      <c r="C198" t="s">
        <v>1606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2"/>
        <v>0</v>
      </c>
      <c r="Q198" s="234">
        <f>'Tabelas e Gráficos'!BP290</f>
        <v>0</v>
      </c>
    </row>
    <row r="199" spans="1:17" ht="15.75">
      <c r="A199" t="s">
        <v>1587</v>
      </c>
      <c r="B199" t="s">
        <v>1603</v>
      </c>
      <c r="C199" t="s">
        <v>1607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2"/>
        <v>132.83881401189078</v>
      </c>
      <c r="Q199" s="234">
        <f>'Tabelas e Gráficos'!BP291</f>
        <v>132.83881401189078</v>
      </c>
    </row>
    <row r="200" spans="1:17" ht="15.75">
      <c r="A200" t="s">
        <v>1587</v>
      </c>
      <c r="B200" t="s">
        <v>1603</v>
      </c>
      <c r="C200" t="s">
        <v>1608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2"/>
        <v>207.31839485939904</v>
      </c>
      <c r="Q200" s="234">
        <f>'Tabelas e Gráficos'!BP292</f>
        <v>207.31839485939904</v>
      </c>
    </row>
    <row r="201" spans="1:17" ht="15.75">
      <c r="A201" t="s">
        <v>1587</v>
      </c>
      <c r="B201" t="s">
        <v>1603</v>
      </c>
      <c r="C201" t="s">
        <v>1609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2"/>
        <v>63528.600821335182</v>
      </c>
      <c r="Q201" s="234">
        <f>'Tabelas e Gráficos'!BP293</f>
        <v>63528.600821335182</v>
      </c>
    </row>
    <row r="202" spans="1:17" ht="15.75">
      <c r="A202" t="s">
        <v>1587</v>
      </c>
      <c r="B202" t="s">
        <v>1603</v>
      </c>
      <c r="C202" t="s">
        <v>1610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2"/>
        <v>47044.24766459674</v>
      </c>
      <c r="Q202" s="234">
        <f>'Tabelas e Gráficos'!BQ288</f>
        <v>47044.24766459674</v>
      </c>
    </row>
    <row r="203" spans="1:17" ht="15.75">
      <c r="A203" t="s">
        <v>1587</v>
      </c>
      <c r="B203" t="s">
        <v>1603</v>
      </c>
      <c r="C203" t="s">
        <v>1611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2"/>
        <v>0</v>
      </c>
      <c r="Q203" s="234">
        <f>'Tabelas e Gráficos'!BQ289</f>
        <v>0</v>
      </c>
    </row>
    <row r="204" spans="1:17" ht="15.75">
      <c r="A204" t="s">
        <v>1587</v>
      </c>
      <c r="B204" t="s">
        <v>1603</v>
      </c>
      <c r="C204" t="s">
        <v>1612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2"/>
        <v>0</v>
      </c>
      <c r="Q204" s="234">
        <f>'Tabelas e Gráficos'!BQ290</f>
        <v>0</v>
      </c>
    </row>
    <row r="205" spans="1:17" ht="15.75">
      <c r="A205" t="s">
        <v>1587</v>
      </c>
      <c r="B205" t="s">
        <v>1603</v>
      </c>
      <c r="C205" t="s">
        <v>1613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2"/>
        <v>1870.4192022987093</v>
      </c>
      <c r="Q205" s="234">
        <f>'Tabelas e Gráficos'!BQ291</f>
        <v>1870.4192022987093</v>
      </c>
    </row>
    <row r="206" spans="1:17" ht="15.75">
      <c r="A206" t="s">
        <v>1587</v>
      </c>
      <c r="B206" t="s">
        <v>1603</v>
      </c>
      <c r="C206" t="s">
        <v>1614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2"/>
        <v>220200.31381694312</v>
      </c>
      <c r="Q206" s="234">
        <f>'Tabelas e Gráficos'!BQ292</f>
        <v>220200.31381694312</v>
      </c>
    </row>
    <row r="207" spans="1:17" ht="15.75">
      <c r="A207" t="s">
        <v>1587</v>
      </c>
      <c r="B207" t="s">
        <v>1603</v>
      </c>
      <c r="C207" t="s">
        <v>1615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2"/>
        <v>396688.47824677633</v>
      </c>
      <c r="Q207" s="234">
        <f>'Tabelas e Gráficos'!BQ293</f>
        <v>396688.47824677633</v>
      </c>
    </row>
    <row r="208" spans="1:17" ht="15.75">
      <c r="A208" t="s">
        <v>1587</v>
      </c>
      <c r="B208" t="s">
        <v>1603</v>
      </c>
      <c r="C208" t="s">
        <v>1616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2"/>
        <v>69467.970562197894</v>
      </c>
      <c r="Q208" s="234">
        <f>'Tabelas e Gráficos'!BR288</f>
        <v>69467.970562197894</v>
      </c>
    </row>
    <row r="209" spans="1:17" ht="15.75">
      <c r="A209" t="s">
        <v>1587</v>
      </c>
      <c r="B209" t="s">
        <v>1603</v>
      </c>
      <c r="C209" t="s">
        <v>1617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2"/>
        <v>0</v>
      </c>
      <c r="Q209" s="234">
        <f>'Tabelas e Gráficos'!BR289</f>
        <v>0</v>
      </c>
    </row>
    <row r="210" spans="1:17" ht="15.75">
      <c r="A210" t="s">
        <v>1587</v>
      </c>
      <c r="B210" t="s">
        <v>1603</v>
      </c>
      <c r="C210" t="s">
        <v>1618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2"/>
        <v>0</v>
      </c>
      <c r="Q210" s="234">
        <f>'Tabelas e Gráficos'!BR290</f>
        <v>0</v>
      </c>
    </row>
    <row r="211" spans="1:17" ht="15.75">
      <c r="A211" t="s">
        <v>1587</v>
      </c>
      <c r="B211" t="s">
        <v>1603</v>
      </c>
      <c r="C211" t="s">
        <v>1619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2"/>
        <v>2003.2580163105999</v>
      </c>
      <c r="Q211" s="234">
        <f>'Tabelas e Gráficos'!BR291</f>
        <v>2003.2580163105999</v>
      </c>
    </row>
    <row r="212" spans="1:17" ht="15.75">
      <c r="A212" t="s">
        <v>1587</v>
      </c>
      <c r="B212" t="s">
        <v>1603</v>
      </c>
      <c r="C212" t="s">
        <v>1620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2"/>
        <v>220407.63221180253</v>
      </c>
      <c r="Q212" s="234">
        <f>'Tabelas e Gráficos'!BR292</f>
        <v>220407.63221180253</v>
      </c>
    </row>
    <row r="213" spans="1:17" ht="15.75">
      <c r="A213" t="s">
        <v>1587</v>
      </c>
      <c r="B213" t="s">
        <v>1603</v>
      </c>
      <c r="C213" t="s">
        <v>1621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2"/>
        <v>460217.07906811149</v>
      </c>
      <c r="Q213" s="234">
        <f>'Tabelas e Gráficos'!BR293</f>
        <v>460217.07906811149</v>
      </c>
    </row>
    <row r="214" spans="1:17" ht="15.75">
      <c r="A214" s="901" t="s">
        <v>773</v>
      </c>
      <c r="B214" s="901" t="s">
        <v>72</v>
      </c>
      <c r="C214" s="901" t="s">
        <v>1622</v>
      </c>
      <c r="D214" s="901">
        <v>2</v>
      </c>
      <c r="E214" s="901">
        <v>1</v>
      </c>
      <c r="F214" s="901">
        <v>51</v>
      </c>
      <c r="G214" s="901">
        <v>73</v>
      </c>
      <c r="H214" s="901">
        <v>999</v>
      </c>
      <c r="I214" s="901">
        <v>3</v>
      </c>
      <c r="J214" s="901">
        <v>15</v>
      </c>
      <c r="K214" s="901">
        <v>1</v>
      </c>
      <c r="L214" s="901">
        <v>99</v>
      </c>
      <c r="M214" s="901">
        <v>9</v>
      </c>
      <c r="N214" s="901">
        <v>3</v>
      </c>
      <c r="O214" s="901">
        <v>99999</v>
      </c>
      <c r="P214" s="234">
        <f t="shared" si="12"/>
        <v>0</v>
      </c>
      <c r="Q214" s="234">
        <f>Encargos!I20</f>
        <v>0</v>
      </c>
    </row>
    <row r="215" spans="1:17" ht="15.75">
      <c r="A215" s="901" t="s">
        <v>773</v>
      </c>
      <c r="B215" s="901" t="s">
        <v>1377</v>
      </c>
      <c r="C215" s="901" t="str">
        <f>Financeiros!C48</f>
        <v>CVE ccc</v>
      </c>
      <c r="D215" s="901">
        <v>2</v>
      </c>
      <c r="E215" s="901">
        <v>2</v>
      </c>
      <c r="F215" s="901">
        <f>Financeiros!F48</f>
        <v>22</v>
      </c>
      <c r="G215" s="901">
        <f>Financeiros!G48</f>
        <v>60</v>
      </c>
      <c r="H215" s="901">
        <f>Financeiros!H48</f>
        <v>241</v>
      </c>
      <c r="I215" s="901">
        <f>Financeiros!I48</f>
        <v>3</v>
      </c>
      <c r="J215" s="901">
        <f>Financeiros!J48</f>
        <v>13</v>
      </c>
      <c r="K215" s="901">
        <f>Financeiros!K48</f>
        <v>9</v>
      </c>
      <c r="L215" s="901">
        <v>99</v>
      </c>
      <c r="M215" s="901">
        <v>9</v>
      </c>
      <c r="N215" s="901">
        <v>3</v>
      </c>
      <c r="O215" s="901">
        <v>99999</v>
      </c>
      <c r="P215" s="963">
        <f t="shared" ref="P215" si="13">IF(ISNUMBER(Q215),Q215,0)</f>
        <v>0</v>
      </c>
      <c r="Q215" s="234">
        <f>Financeiros!D48</f>
        <v>0</v>
      </c>
    </row>
    <row r="216" spans="1:17" ht="15.75">
      <c r="A216" s="901" t="s">
        <v>773</v>
      </c>
      <c r="B216" s="901" t="s">
        <v>1377</v>
      </c>
      <c r="C216" s="901" t="str">
        <f>Financeiros!C49</f>
        <v>CVE cde</v>
      </c>
      <c r="D216" s="901">
        <v>2</v>
      </c>
      <c r="E216" s="901">
        <v>2</v>
      </c>
      <c r="F216" s="901">
        <f>Financeiros!F49</f>
        <v>22</v>
      </c>
      <c r="G216" s="901">
        <f>Financeiros!G49</f>
        <v>60</v>
      </c>
      <c r="H216" s="901">
        <f>Financeiros!H49</f>
        <v>241</v>
      </c>
      <c r="I216" s="901">
        <f>Financeiros!I49</f>
        <v>3</v>
      </c>
      <c r="J216" s="901">
        <f>Financeiros!J49</f>
        <v>15</v>
      </c>
      <c r="K216" s="901">
        <f>Financeiros!K49</f>
        <v>9</v>
      </c>
      <c r="L216" s="901">
        <v>99</v>
      </c>
      <c r="M216" s="901">
        <v>9</v>
      </c>
      <c r="N216" s="901">
        <v>3</v>
      </c>
      <c r="O216" s="901">
        <v>99999</v>
      </c>
      <c r="P216" s="963">
        <f t="shared" ref="P216:P276" si="14">IF(ISNUMBER(Q216),Q216,0)</f>
        <v>0</v>
      </c>
      <c r="Q216" s="234">
        <f>Financeiros!D49</f>
        <v>0</v>
      </c>
    </row>
    <row r="217" spans="1:17" ht="15.75">
      <c r="A217" s="901" t="s">
        <v>773</v>
      </c>
      <c r="B217" s="901" t="s">
        <v>1377</v>
      </c>
      <c r="C217" s="901" t="str">
        <f>Financeiros!C50</f>
        <v>CVE cde energia</v>
      </c>
      <c r="D217" s="901">
        <v>2</v>
      </c>
      <c r="E217" s="901">
        <v>2</v>
      </c>
      <c r="F217" s="901">
        <f>Financeiros!F50</f>
        <v>22</v>
      </c>
      <c r="G217" s="901">
        <f>Financeiros!G50</f>
        <v>60</v>
      </c>
      <c r="H217" s="901">
        <f>Financeiros!H50</f>
        <v>241</v>
      </c>
      <c r="I217" s="901">
        <f>Financeiros!I50</f>
        <v>3</v>
      </c>
      <c r="J217" s="901">
        <f>Financeiros!J50</f>
        <v>25</v>
      </c>
      <c r="K217" s="901">
        <f>Financeiros!K50</f>
        <v>9</v>
      </c>
      <c r="L217" s="901">
        <v>99</v>
      </c>
      <c r="M217" s="901">
        <v>9</v>
      </c>
      <c r="N217" s="901">
        <v>3</v>
      </c>
      <c r="O217" s="901">
        <v>99999</v>
      </c>
      <c r="P217" s="963">
        <f t="shared" si="14"/>
        <v>0</v>
      </c>
      <c r="Q217" s="234">
        <f>Financeiros!D50</f>
        <v>0</v>
      </c>
    </row>
    <row r="218" spans="1:17" ht="15.75">
      <c r="A218" s="901" t="s">
        <v>773</v>
      </c>
      <c r="B218" s="901" t="s">
        <v>1377</v>
      </c>
      <c r="C218" s="901" t="str">
        <f>Financeiros!C51</f>
        <v>CVE RB - Nodal</v>
      </c>
      <c r="D218" s="901">
        <v>2</v>
      </c>
      <c r="E218" s="901">
        <v>2</v>
      </c>
      <c r="F218" s="901">
        <f>Financeiros!F51</f>
        <v>22</v>
      </c>
      <c r="G218" s="901">
        <f>Financeiros!G51</f>
        <v>60</v>
      </c>
      <c r="H218" s="901">
        <f>Financeiros!H51</f>
        <v>241</v>
      </c>
      <c r="I218" s="901">
        <f>Financeiros!I51</f>
        <v>1</v>
      </c>
      <c r="J218" s="901">
        <f>Financeiros!J51</f>
        <v>1</v>
      </c>
      <c r="K218" s="901">
        <f>Financeiros!K51</f>
        <v>9</v>
      </c>
      <c r="L218" s="901">
        <v>99</v>
      </c>
      <c r="M218" s="901">
        <v>9</v>
      </c>
      <c r="N218" s="901">
        <v>3</v>
      </c>
      <c r="O218" s="901">
        <v>99999</v>
      </c>
      <c r="P218" s="963">
        <f t="shared" si="14"/>
        <v>0</v>
      </c>
      <c r="Q218" s="234">
        <f>Financeiros!D51</f>
        <v>0</v>
      </c>
    </row>
    <row r="219" spans="1:17" ht="15.75">
      <c r="A219" s="901" t="s">
        <v>773</v>
      </c>
      <c r="B219" s="901" t="s">
        <v>1377</v>
      </c>
      <c r="C219" s="901" t="str">
        <f>Financeiros!C52</f>
        <v>CVE RB - Fronteira</v>
      </c>
      <c r="D219" s="901">
        <v>2</v>
      </c>
      <c r="E219" s="901">
        <v>2</v>
      </c>
      <c r="F219" s="901">
        <f>Financeiros!F52</f>
        <v>22</v>
      </c>
      <c r="G219" s="901">
        <f>Financeiros!G52</f>
        <v>60</v>
      </c>
      <c r="H219" s="901">
        <f>Financeiros!H52</f>
        <v>241</v>
      </c>
      <c r="I219" s="901">
        <f>Financeiros!I52</f>
        <v>1</v>
      </c>
      <c r="J219" s="901">
        <f>Financeiros!J52</f>
        <v>1</v>
      </c>
      <c r="K219" s="901">
        <f>Financeiros!K52</f>
        <v>9</v>
      </c>
      <c r="L219" s="901">
        <v>99</v>
      </c>
      <c r="M219" s="901">
        <v>9</v>
      </c>
      <c r="N219" s="901">
        <v>3</v>
      </c>
      <c r="O219" s="901">
        <v>99999</v>
      </c>
      <c r="P219" s="963">
        <f t="shared" si="14"/>
        <v>0</v>
      </c>
      <c r="Q219" s="234">
        <f>Financeiros!D52</f>
        <v>0</v>
      </c>
    </row>
    <row r="220" spans="1:17" ht="15.75">
      <c r="A220" s="901" t="s">
        <v>773</v>
      </c>
      <c r="B220" s="901" t="s">
        <v>1377</v>
      </c>
      <c r="C220" s="901" t="str">
        <f>Financeiros!C53</f>
        <v>CVE RB - TUSDg EXP</v>
      </c>
      <c r="D220" s="901">
        <v>2</v>
      </c>
      <c r="E220" s="901">
        <v>2</v>
      </c>
      <c r="F220" s="901">
        <f>Financeiros!F53</f>
        <v>22</v>
      </c>
      <c r="G220" s="901">
        <f>Financeiros!G53</f>
        <v>60</v>
      </c>
      <c r="H220" s="901">
        <f>Financeiros!H53</f>
        <v>241</v>
      </c>
      <c r="I220" s="901">
        <f>Financeiros!I53</f>
        <v>1</v>
      </c>
      <c r="J220" s="901">
        <f>Financeiros!J53</f>
        <v>1</v>
      </c>
      <c r="K220" s="901">
        <f>Financeiros!K53</f>
        <v>9</v>
      </c>
      <c r="L220" s="901">
        <v>99</v>
      </c>
      <c r="M220" s="901">
        <v>9</v>
      </c>
      <c r="N220" s="901">
        <v>3</v>
      </c>
      <c r="O220" s="901">
        <v>99999</v>
      </c>
      <c r="P220" s="963">
        <f t="shared" si="14"/>
        <v>0</v>
      </c>
      <c r="Q220" s="234">
        <f>Financeiros!D53</f>
        <v>0</v>
      </c>
    </row>
    <row r="221" spans="1:17" ht="15.75">
      <c r="A221" s="901" t="s">
        <v>773</v>
      </c>
      <c r="B221" s="901" t="s">
        <v>1377</v>
      </c>
      <c r="C221" s="901" t="str">
        <f>Financeiros!C54</f>
        <v>CVE RB - TUSDg ONS</v>
      </c>
      <c r="D221" s="901">
        <v>2</v>
      </c>
      <c r="E221" s="901">
        <v>2</v>
      </c>
      <c r="F221" s="901">
        <f>Financeiros!F54</f>
        <v>22</v>
      </c>
      <c r="G221" s="901">
        <f>Financeiros!G54</f>
        <v>60</v>
      </c>
      <c r="H221" s="901">
        <f>Financeiros!H54</f>
        <v>241</v>
      </c>
      <c r="I221" s="901">
        <f>Financeiros!I54</f>
        <v>1</v>
      </c>
      <c r="J221" s="901">
        <f>Financeiros!J54</f>
        <v>1</v>
      </c>
      <c r="K221" s="901">
        <f>Financeiros!K54</f>
        <v>9</v>
      </c>
      <c r="L221" s="901">
        <v>99</v>
      </c>
      <c r="M221" s="901">
        <v>9</v>
      </c>
      <c r="N221" s="901">
        <v>3</v>
      </c>
      <c r="O221" s="901">
        <v>99999</v>
      </c>
      <c r="P221" s="963">
        <f t="shared" si="14"/>
        <v>0</v>
      </c>
      <c r="Q221" s="234">
        <f>Financeiros!D54</f>
        <v>0</v>
      </c>
    </row>
    <row r="222" spans="1:17" ht="15.75">
      <c r="A222" s="901" t="s">
        <v>773</v>
      </c>
      <c r="B222" s="901" t="s">
        <v>1377</v>
      </c>
      <c r="C222" s="901" t="str">
        <f>Financeiros!C55</f>
        <v>CVE RB - EUST Itaipu</v>
      </c>
      <c r="D222" s="901">
        <v>2</v>
      </c>
      <c r="E222" s="901">
        <v>2</v>
      </c>
      <c r="F222" s="901">
        <f>Financeiros!F55</f>
        <v>22</v>
      </c>
      <c r="G222" s="901">
        <f>Financeiros!G55</f>
        <v>60</v>
      </c>
      <c r="H222" s="901">
        <f>Financeiros!H55</f>
        <v>241</v>
      </c>
      <c r="I222" s="901">
        <f>Financeiros!I55</f>
        <v>1</v>
      </c>
      <c r="J222" s="901">
        <f>Financeiros!J55</f>
        <v>1</v>
      </c>
      <c r="K222" s="901">
        <f>Financeiros!K55</f>
        <v>9</v>
      </c>
      <c r="L222" s="901">
        <v>99</v>
      </c>
      <c r="M222" s="901">
        <v>9</v>
      </c>
      <c r="N222" s="901">
        <v>3</v>
      </c>
      <c r="O222" s="901">
        <v>99999</v>
      </c>
      <c r="P222" s="963">
        <f t="shared" si="14"/>
        <v>0</v>
      </c>
      <c r="Q222" s="234">
        <f>Financeiros!D55</f>
        <v>0</v>
      </c>
    </row>
    <row r="223" spans="1:17" ht="15.75">
      <c r="A223" s="901" t="s">
        <v>773</v>
      </c>
      <c r="B223" s="901" t="s">
        <v>1377</v>
      </c>
      <c r="C223" s="901" t="str">
        <f>Financeiros!C56</f>
        <v>CVE- Transporte Itaipu</v>
      </c>
      <c r="D223" s="901">
        <v>2</v>
      </c>
      <c r="E223" s="901">
        <v>2</v>
      </c>
      <c r="F223" s="901">
        <f>Financeiros!F56</f>
        <v>22</v>
      </c>
      <c r="G223" s="901">
        <f>Financeiros!G56</f>
        <v>60</v>
      </c>
      <c r="H223" s="901">
        <f>Financeiros!H56</f>
        <v>241</v>
      </c>
      <c r="I223" s="901">
        <f>Financeiros!I56</f>
        <v>1</v>
      </c>
      <c r="J223" s="901">
        <f>Financeiros!J56</f>
        <v>21</v>
      </c>
      <c r="K223" s="901">
        <f>Financeiros!K56</f>
        <v>9</v>
      </c>
      <c r="L223" s="901">
        <v>99</v>
      </c>
      <c r="M223" s="901">
        <v>9</v>
      </c>
      <c r="N223" s="901">
        <v>3</v>
      </c>
      <c r="O223" s="901">
        <v>99999</v>
      </c>
      <c r="P223" s="963">
        <f t="shared" si="14"/>
        <v>0</v>
      </c>
      <c r="Q223" s="234">
        <f>Financeiros!D56</f>
        <v>0</v>
      </c>
    </row>
    <row r="224" spans="1:17" ht="15.75">
      <c r="A224" s="901" t="s">
        <v>773</v>
      </c>
      <c r="B224" s="901" t="s">
        <v>1377</v>
      </c>
      <c r="C224" s="901" t="str">
        <f>Financeiros!C57</f>
        <v>CVE - Energia - Energia de Revenda</v>
      </c>
      <c r="D224" s="901">
        <v>2</v>
      </c>
      <c r="E224" s="901">
        <v>2</v>
      </c>
      <c r="F224" s="901">
        <f>Financeiros!F57</f>
        <v>22</v>
      </c>
      <c r="G224" s="901">
        <f>Financeiros!G57</f>
        <v>60</v>
      </c>
      <c r="H224" s="901">
        <f>Financeiros!H57</f>
        <v>241</v>
      </c>
      <c r="I224" s="901">
        <f>Financeiros!I57</f>
        <v>2</v>
      </c>
      <c r="J224" s="901">
        <f>Financeiros!J57</f>
        <v>11</v>
      </c>
      <c r="K224" s="901">
        <f>Financeiros!K57</f>
        <v>9</v>
      </c>
      <c r="L224" s="901">
        <v>99</v>
      </c>
      <c r="M224" s="901">
        <v>9</v>
      </c>
      <c r="N224" s="901">
        <v>3</v>
      </c>
      <c r="O224" s="901">
        <v>99999</v>
      </c>
      <c r="P224" s="963">
        <f t="shared" ca="1" si="14"/>
        <v>2734685.0331501402</v>
      </c>
      <c r="Q224" s="234">
        <f ca="1">Financeiros!D57</f>
        <v>2734685.0331501402</v>
      </c>
    </row>
    <row r="225" spans="1:17" ht="15.75">
      <c r="A225" s="901" t="s">
        <v>773</v>
      </c>
      <c r="B225" s="901" t="s">
        <v>1377</v>
      </c>
      <c r="C225" s="901" t="str">
        <f>Financeiros!C58</f>
        <v>CVE - Energia - Perda Não Técnica</v>
      </c>
      <c r="D225" s="901">
        <v>2</v>
      </c>
      <c r="E225" s="901">
        <v>2</v>
      </c>
      <c r="F225" s="901">
        <f>Financeiros!F58</f>
        <v>22</v>
      </c>
      <c r="G225" s="901">
        <f>Financeiros!G58</f>
        <v>60</v>
      </c>
      <c r="H225" s="901">
        <f>Financeiros!H58</f>
        <v>241</v>
      </c>
      <c r="I225" s="901">
        <f>Financeiros!I58</f>
        <v>2</v>
      </c>
      <c r="J225" s="901">
        <f>Financeiros!J58</f>
        <v>9</v>
      </c>
      <c r="K225" s="901">
        <f>Financeiros!K58</f>
        <v>9</v>
      </c>
      <c r="L225" s="901">
        <v>99</v>
      </c>
      <c r="M225" s="901">
        <v>9</v>
      </c>
      <c r="N225" s="901">
        <v>3</v>
      </c>
      <c r="O225" s="901">
        <v>99999</v>
      </c>
      <c r="P225" s="963">
        <f t="shared" ca="1" si="14"/>
        <v>0</v>
      </c>
      <c r="Q225" s="234">
        <f ca="1">Financeiros!D58</f>
        <v>0</v>
      </c>
    </row>
    <row r="226" spans="1:17" ht="15.75">
      <c r="A226" s="901" t="s">
        <v>773</v>
      </c>
      <c r="B226" s="901" t="s">
        <v>1377</v>
      </c>
      <c r="C226" s="901" t="str">
        <f>Financeiros!C59</f>
        <v>CVE - Energia - Perda Técnica</v>
      </c>
      <c r="D226" s="901">
        <v>2</v>
      </c>
      <c r="E226" s="901">
        <v>2</v>
      </c>
      <c r="F226" s="901">
        <f>Financeiros!F59</f>
        <v>22</v>
      </c>
      <c r="G226" s="901">
        <f>Financeiros!G59</f>
        <v>60</v>
      </c>
      <c r="H226" s="901">
        <f>Financeiros!H59</f>
        <v>241</v>
      </c>
      <c r="I226" s="901">
        <f>Financeiros!I59</f>
        <v>2</v>
      </c>
      <c r="J226" s="901">
        <f>Financeiros!J59</f>
        <v>8</v>
      </c>
      <c r="K226" s="901">
        <f>Financeiros!K59</f>
        <v>9</v>
      </c>
      <c r="L226" s="901">
        <v>99</v>
      </c>
      <c r="M226" s="901">
        <v>9</v>
      </c>
      <c r="N226" s="901">
        <v>3</v>
      </c>
      <c r="O226" s="901">
        <v>99999</v>
      </c>
      <c r="P226" s="963">
        <f t="shared" ca="1" si="14"/>
        <v>266505.14480306732</v>
      </c>
      <c r="Q226" s="234">
        <f ca="1">Financeiros!D59</f>
        <v>266505.14480306732</v>
      </c>
    </row>
    <row r="227" spans="1:17" ht="15.75">
      <c r="A227" s="901" t="s">
        <v>773</v>
      </c>
      <c r="B227" s="901" t="s">
        <v>1377</v>
      </c>
      <c r="C227" s="901" t="str">
        <f>Financeiros!C60</f>
        <v>CVE - Energia -  Perda de RB sobre a distribuição</v>
      </c>
      <c r="D227" s="901">
        <v>2</v>
      </c>
      <c r="E227" s="901">
        <v>2</v>
      </c>
      <c r="F227" s="901">
        <f>Financeiros!F60</f>
        <v>22</v>
      </c>
      <c r="G227" s="901">
        <f>Financeiros!G60</f>
        <v>60</v>
      </c>
      <c r="H227" s="901">
        <f>Financeiros!H60</f>
        <v>241</v>
      </c>
      <c r="I227" s="901">
        <f>Financeiros!I60</f>
        <v>2</v>
      </c>
      <c r="J227" s="901">
        <f>Financeiros!J60</f>
        <v>10</v>
      </c>
      <c r="K227" s="901">
        <f>Financeiros!K60</f>
        <v>9</v>
      </c>
      <c r="L227" s="901">
        <v>99</v>
      </c>
      <c r="M227" s="901">
        <v>9</v>
      </c>
      <c r="N227" s="901">
        <v>3</v>
      </c>
      <c r="O227" s="901">
        <v>99999</v>
      </c>
      <c r="P227" s="963">
        <f t="shared" ca="1" si="14"/>
        <v>9399.941437552774</v>
      </c>
      <c r="Q227" s="234">
        <f ca="1">Financeiros!D60</f>
        <v>9399.941437552774</v>
      </c>
    </row>
    <row r="228" spans="1:17" ht="15.75">
      <c r="A228" s="901" t="s">
        <v>773</v>
      </c>
      <c r="B228" s="901" t="s">
        <v>1377</v>
      </c>
      <c r="C228" s="901" t="str">
        <f>Financeiros!C61</f>
        <v>CVE - Energia -  Perda de RB sobre o mercado cativo</v>
      </c>
      <c r="D228" s="901">
        <v>2</v>
      </c>
      <c r="E228" s="901">
        <v>2</v>
      </c>
      <c r="F228" s="901">
        <f>Financeiros!F61</f>
        <v>22</v>
      </c>
      <c r="G228" s="901">
        <f>Financeiros!G61</f>
        <v>60</v>
      </c>
      <c r="H228" s="901">
        <f>Financeiros!H61</f>
        <v>241</v>
      </c>
      <c r="I228" s="901">
        <f>Financeiros!I61</f>
        <v>2</v>
      </c>
      <c r="J228" s="901">
        <f>Financeiros!J61</f>
        <v>24</v>
      </c>
      <c r="K228" s="901">
        <f>Financeiros!K61</f>
        <v>9</v>
      </c>
      <c r="L228" s="901">
        <v>99</v>
      </c>
      <c r="M228" s="901">
        <v>9</v>
      </c>
      <c r="N228" s="901">
        <v>3</v>
      </c>
      <c r="O228" s="901">
        <v>99999</v>
      </c>
      <c r="P228" s="963">
        <f t="shared" ca="1" si="14"/>
        <v>96455.470609239506</v>
      </c>
      <c r="Q228" s="234">
        <f ca="1">Financeiros!D61</f>
        <v>96455.470609239506</v>
      </c>
    </row>
    <row r="229" spans="1:17" ht="15.75">
      <c r="A229" s="901" t="s">
        <v>773</v>
      </c>
      <c r="B229" s="901" t="s">
        <v>1377</v>
      </c>
      <c r="C229" s="901" t="str">
        <f>Financeiros!C62</f>
        <v>CVE - Encargos - PROINFA</v>
      </c>
      <c r="D229" s="901">
        <v>2</v>
      </c>
      <c r="E229" s="901">
        <v>2</v>
      </c>
      <c r="F229" s="901">
        <f>Financeiros!F62</f>
        <v>22</v>
      </c>
      <c r="G229" s="901">
        <f>Financeiros!G62</f>
        <v>60</v>
      </c>
      <c r="H229" s="901">
        <f>Financeiros!H62</f>
        <v>241</v>
      </c>
      <c r="I229" s="901">
        <f>Financeiros!I62</f>
        <v>3</v>
      </c>
      <c r="J229" s="901">
        <f>Financeiros!J62</f>
        <v>18</v>
      </c>
      <c r="K229" s="901">
        <f>Financeiros!K62</f>
        <v>9</v>
      </c>
      <c r="L229" s="901">
        <v>99</v>
      </c>
      <c r="M229" s="901">
        <v>9</v>
      </c>
      <c r="N229" s="901">
        <v>3</v>
      </c>
      <c r="O229" s="901">
        <v>99999</v>
      </c>
      <c r="P229" s="963">
        <f t="shared" ca="1" si="14"/>
        <v>0</v>
      </c>
      <c r="Q229" s="234">
        <f ca="1">Financeiros!D62</f>
        <v>0</v>
      </c>
    </row>
    <row r="230" spans="1:17" ht="15.75">
      <c r="A230" s="901" t="s">
        <v>773</v>
      </c>
      <c r="B230" s="901" t="s">
        <v>1377</v>
      </c>
      <c r="C230" s="901" t="str">
        <f>Financeiros!C63</f>
        <v>CVE - Encargos - CFURH</v>
      </c>
      <c r="D230" s="901">
        <v>2</v>
      </c>
      <c r="E230" s="901">
        <v>2</v>
      </c>
      <c r="F230" s="901">
        <f>Financeiros!F63</f>
        <v>22</v>
      </c>
      <c r="G230" s="901">
        <f>Financeiros!G63</f>
        <v>60</v>
      </c>
      <c r="H230" s="901">
        <f>Financeiros!H63</f>
        <v>241</v>
      </c>
      <c r="I230" s="901">
        <f>Financeiros!I63</f>
        <v>3</v>
      </c>
      <c r="J230" s="901">
        <f>Financeiros!J63</f>
        <v>16</v>
      </c>
      <c r="K230" s="901">
        <f>Financeiros!K63</f>
        <v>9</v>
      </c>
      <c r="L230" s="901">
        <v>99</v>
      </c>
      <c r="M230" s="901">
        <v>9</v>
      </c>
      <c r="N230" s="901">
        <v>3</v>
      </c>
      <c r="O230" s="901">
        <v>99999</v>
      </c>
      <c r="P230" s="963">
        <f t="shared" si="14"/>
        <v>0</v>
      </c>
      <c r="Q230" s="234">
        <f>Financeiros!D63</f>
        <v>0</v>
      </c>
    </row>
    <row r="231" spans="1:17" ht="15.75">
      <c r="A231" s="901" t="s">
        <v>773</v>
      </c>
      <c r="B231" s="901" t="s">
        <v>1377</v>
      </c>
      <c r="C231" s="901" t="str">
        <f>Financeiros!C64</f>
        <v>CVE - Encargos - ESS/EER</v>
      </c>
      <c r="D231" s="901">
        <v>2</v>
      </c>
      <c r="E231" s="901">
        <v>2</v>
      </c>
      <c r="F231" s="901">
        <f>Financeiros!F64</f>
        <v>22</v>
      </c>
      <c r="G231" s="901">
        <f>Financeiros!G64</f>
        <v>60</v>
      </c>
      <c r="H231" s="901">
        <f>Financeiros!H64</f>
        <v>241</v>
      </c>
      <c r="I231" s="901">
        <f>Financeiros!I64</f>
        <v>3</v>
      </c>
      <c r="J231" s="901">
        <f>Financeiros!J64</f>
        <v>17</v>
      </c>
      <c r="K231" s="901">
        <f>Financeiros!K64</f>
        <v>9</v>
      </c>
      <c r="L231" s="901">
        <v>99</v>
      </c>
      <c r="M231" s="901">
        <v>9</v>
      </c>
      <c r="N231" s="901">
        <v>3</v>
      </c>
      <c r="O231" s="901">
        <v>99999</v>
      </c>
      <c r="P231" s="963">
        <f t="shared" si="14"/>
        <v>2619758.7576000001</v>
      </c>
      <c r="Q231" s="234">
        <f>Financeiros!D64</f>
        <v>2619758.7576000001</v>
      </c>
    </row>
    <row r="232" spans="1:17" ht="15.75">
      <c r="A232" s="901" t="s">
        <v>773</v>
      </c>
      <c r="B232" s="901" t="s">
        <v>1377</v>
      </c>
      <c r="C232" s="901" t="str">
        <f>Financeiros!C65</f>
        <v>Conta Escassez H. - Importação julho- agosto/2021 - RTA 2022 - Energia de Revenda</v>
      </c>
      <c r="D232" s="901">
        <v>2</v>
      </c>
      <c r="E232" s="901">
        <v>2</v>
      </c>
      <c r="F232" s="901">
        <f>Financeiros!F65</f>
        <v>22</v>
      </c>
      <c r="G232" s="901">
        <f>Financeiros!G65</f>
        <v>60</v>
      </c>
      <c r="H232" s="901">
        <f>Financeiros!H65</f>
        <v>240</v>
      </c>
      <c r="I232" s="901">
        <f>Financeiros!I65</f>
        <v>2</v>
      </c>
      <c r="J232" s="901">
        <f>Financeiros!J65</f>
        <v>11</v>
      </c>
      <c r="K232" s="901">
        <f>Financeiros!K65</f>
        <v>9</v>
      </c>
      <c r="L232" s="901">
        <v>99</v>
      </c>
      <c r="M232" s="901">
        <v>9</v>
      </c>
      <c r="N232" s="901">
        <v>3</v>
      </c>
      <c r="O232" s="901">
        <v>99999</v>
      </c>
      <c r="P232" s="963">
        <f t="shared" ca="1" si="14"/>
        <v>0</v>
      </c>
      <c r="Q232" s="234">
        <f ca="1">Financeiros!D65</f>
        <v>0</v>
      </c>
    </row>
    <row r="233" spans="1:17" ht="15.75">
      <c r="A233" s="901" t="s">
        <v>773</v>
      </c>
      <c r="B233" s="901" t="s">
        <v>1377</v>
      </c>
      <c r="C233" s="901" t="str">
        <f>Financeiros!C66</f>
        <v>Conta Escassez H. - Importação julho- agosto/2021 - RTA 2022 - Perda Não Técnica</v>
      </c>
      <c r="D233" s="901">
        <v>2</v>
      </c>
      <c r="E233" s="901">
        <v>2</v>
      </c>
      <c r="F233" s="901">
        <f>Financeiros!F66</f>
        <v>22</v>
      </c>
      <c r="G233" s="901">
        <f>Financeiros!G66</f>
        <v>60</v>
      </c>
      <c r="H233" s="901">
        <f>Financeiros!H66</f>
        <v>240</v>
      </c>
      <c r="I233" s="901">
        <f>Financeiros!I66</f>
        <v>2</v>
      </c>
      <c r="J233" s="901">
        <f>Financeiros!J66</f>
        <v>9</v>
      </c>
      <c r="K233" s="901">
        <f>Financeiros!K66</f>
        <v>9</v>
      </c>
      <c r="L233" s="901">
        <v>99</v>
      </c>
      <c r="M233" s="901">
        <v>9</v>
      </c>
      <c r="N233" s="901">
        <v>3</v>
      </c>
      <c r="O233" s="901">
        <v>99999</v>
      </c>
      <c r="P233" s="963">
        <f t="shared" ca="1" si="14"/>
        <v>0</v>
      </c>
      <c r="Q233" s="234">
        <f ca="1">Financeiros!D66</f>
        <v>0</v>
      </c>
    </row>
    <row r="234" spans="1:17" ht="15.75">
      <c r="A234" s="901" t="s">
        <v>773</v>
      </c>
      <c r="B234" s="901" t="s">
        <v>1377</v>
      </c>
      <c r="C234" s="901" t="str">
        <f>Financeiros!C67</f>
        <v>Conta Escassez H. - Importação julho- agosto/2021 - RTA 2022 - Perda Técnica</v>
      </c>
      <c r="D234" s="901">
        <v>2</v>
      </c>
      <c r="E234" s="901">
        <v>2</v>
      </c>
      <c r="F234" s="901">
        <f>Financeiros!F67</f>
        <v>22</v>
      </c>
      <c r="G234" s="901">
        <f>Financeiros!G67</f>
        <v>60</v>
      </c>
      <c r="H234" s="901">
        <f>Financeiros!H67</f>
        <v>240</v>
      </c>
      <c r="I234" s="901">
        <f>Financeiros!I67</f>
        <v>2</v>
      </c>
      <c r="J234" s="901">
        <f>Financeiros!J67</f>
        <v>8</v>
      </c>
      <c r="K234" s="901">
        <f>Financeiros!K67</f>
        <v>9</v>
      </c>
      <c r="L234" s="901">
        <v>99</v>
      </c>
      <c r="M234" s="901">
        <v>9</v>
      </c>
      <c r="N234" s="901">
        <v>3</v>
      </c>
      <c r="O234" s="901">
        <v>99999</v>
      </c>
      <c r="P234" s="963">
        <f t="shared" ca="1" si="14"/>
        <v>0</v>
      </c>
      <c r="Q234" s="234">
        <f ca="1">Financeiros!D67</f>
        <v>0</v>
      </c>
    </row>
    <row r="235" spans="1:17" ht="15.75">
      <c r="A235" s="901" t="s">
        <v>773</v>
      </c>
      <c r="B235" s="901" t="s">
        <v>1377</v>
      </c>
      <c r="C235" s="901" t="str">
        <f>Financeiros!C68</f>
        <v>Conta Escassez H. - Importação julho- agosto/2021 - RTA 2022 - Perda RB Perda RB sobre Dist.</v>
      </c>
      <c r="D235" s="901">
        <v>2</v>
      </c>
      <c r="E235" s="901">
        <v>2</v>
      </c>
      <c r="F235" s="901">
        <f>Financeiros!F68</f>
        <v>22</v>
      </c>
      <c r="G235" s="901">
        <f>Financeiros!G68</f>
        <v>60</v>
      </c>
      <c r="H235" s="901">
        <f>Financeiros!H68</f>
        <v>240</v>
      </c>
      <c r="I235" s="901">
        <f>Financeiros!I68</f>
        <v>2</v>
      </c>
      <c r="J235" s="901">
        <f>Financeiros!J68</f>
        <v>10</v>
      </c>
      <c r="K235" s="901">
        <f>Financeiros!K68</f>
        <v>9</v>
      </c>
      <c r="L235" s="901">
        <v>99</v>
      </c>
      <c r="M235" s="901">
        <v>9</v>
      </c>
      <c r="N235" s="901">
        <v>3</v>
      </c>
      <c r="O235" s="901">
        <v>99999</v>
      </c>
      <c r="P235" s="963">
        <f t="shared" ca="1" si="14"/>
        <v>0</v>
      </c>
      <c r="Q235" s="234">
        <f ca="1">Financeiros!D68</f>
        <v>0</v>
      </c>
    </row>
    <row r="236" spans="1:17" ht="15.75">
      <c r="A236" s="901" t="s">
        <v>773</v>
      </c>
      <c r="B236" s="901" t="s">
        <v>1377</v>
      </c>
      <c r="C236" s="901" t="str">
        <f>Financeiros!C69</f>
        <v>Conta Escassez H. - Importação julho- agosto/2021 - RTA 2022 - Perda RB sobre Merc. Cat.</v>
      </c>
      <c r="D236" s="901">
        <v>2</v>
      </c>
      <c r="E236" s="901">
        <v>2</v>
      </c>
      <c r="F236" s="901">
        <f>Financeiros!F69</f>
        <v>22</v>
      </c>
      <c r="G236" s="901">
        <f>Financeiros!G69</f>
        <v>60</v>
      </c>
      <c r="H236" s="901">
        <f>Financeiros!H69</f>
        <v>240</v>
      </c>
      <c r="I236" s="901">
        <f>Financeiros!I69</f>
        <v>2</v>
      </c>
      <c r="J236" s="901">
        <f>Financeiros!J69</f>
        <v>24</v>
      </c>
      <c r="K236" s="901">
        <f>Financeiros!K69</f>
        <v>9</v>
      </c>
      <c r="L236" s="901">
        <v>99</v>
      </c>
      <c r="M236" s="901">
        <v>9</v>
      </c>
      <c r="N236" s="901">
        <v>3</v>
      </c>
      <c r="O236" s="901">
        <v>99999</v>
      </c>
      <c r="P236" s="963">
        <f t="shared" ca="1" si="14"/>
        <v>0</v>
      </c>
      <c r="Q236" s="234">
        <f ca="1">Financeiros!D69</f>
        <v>0</v>
      </c>
    </row>
    <row r="237" spans="1:17" ht="15.75">
      <c r="A237" s="901" t="s">
        <v>773</v>
      </c>
      <c r="B237" s="901" t="s">
        <v>1377</v>
      </c>
      <c r="C237" s="901" t="str">
        <f>Financeiros!C70</f>
        <v>Conta Escassez H. - Bônus Redução Voluntária</v>
      </c>
      <c r="D237" s="901">
        <v>2</v>
      </c>
      <c r="E237" s="901">
        <v>2</v>
      </c>
      <c r="F237" s="901">
        <f>Financeiros!F70</f>
        <v>22</v>
      </c>
      <c r="G237" s="901">
        <f>Financeiros!G70</f>
        <v>60</v>
      </c>
      <c r="H237" s="901">
        <f>Financeiros!H70</f>
        <v>240</v>
      </c>
      <c r="I237" s="901">
        <f>Financeiros!I70</f>
        <v>3</v>
      </c>
      <c r="J237" s="901">
        <f>Financeiros!J70</f>
        <v>17</v>
      </c>
      <c r="K237" s="901">
        <f>Financeiros!K70</f>
        <v>9</v>
      </c>
      <c r="L237" s="901">
        <v>99</v>
      </c>
      <c r="M237" s="901">
        <v>9</v>
      </c>
      <c r="N237" s="901">
        <v>3</v>
      </c>
      <c r="O237" s="901">
        <v>99999</v>
      </c>
      <c r="P237" s="963">
        <f t="shared" si="14"/>
        <v>-1106885.699880603</v>
      </c>
      <c r="Q237" s="234">
        <f>Financeiros!D70</f>
        <v>-1106885.699880603</v>
      </c>
    </row>
    <row r="238" spans="1:17" ht="15.75">
      <c r="A238" s="901" t="s">
        <v>773</v>
      </c>
      <c r="B238" s="901" t="s">
        <v>1377</v>
      </c>
      <c r="C238" s="901" t="str">
        <f>Financeiros!C71</f>
        <v>Conta Escassez H. - Diferimento de energia - RTA 2022 - Energia de Revenda</v>
      </c>
      <c r="D238" s="901">
        <v>2</v>
      </c>
      <c r="E238" s="901">
        <v>2</v>
      </c>
      <c r="F238" s="901">
        <f>Financeiros!F71</f>
        <v>22</v>
      </c>
      <c r="G238" s="901">
        <f>Financeiros!G71</f>
        <v>60</v>
      </c>
      <c r="H238" s="901">
        <f>Financeiros!H71</f>
        <v>240</v>
      </c>
      <c r="I238" s="901">
        <f>Financeiros!I71</f>
        <v>2</v>
      </c>
      <c r="J238" s="901">
        <f>Financeiros!J71</f>
        <v>11</v>
      </c>
      <c r="K238" s="901">
        <f>Financeiros!K71</f>
        <v>9</v>
      </c>
      <c r="L238" s="901">
        <v>99</v>
      </c>
      <c r="M238" s="901">
        <v>9</v>
      </c>
      <c r="N238" s="901">
        <v>3</v>
      </c>
      <c r="O238" s="901">
        <v>99999</v>
      </c>
      <c r="P238" s="963">
        <f t="shared" ca="1" si="14"/>
        <v>0</v>
      </c>
      <c r="Q238" s="234">
        <f ca="1">Financeiros!D71</f>
        <v>0</v>
      </c>
    </row>
    <row r="239" spans="1:17" ht="15.75">
      <c r="A239" s="901" t="s">
        <v>773</v>
      </c>
      <c r="B239" s="901" t="s">
        <v>1377</v>
      </c>
      <c r="C239" s="901" t="str">
        <f>Financeiros!C72</f>
        <v>Conta Escassez H. - Diferimento de energia - RTA 2022 - Perda Não Técnica</v>
      </c>
      <c r="D239" s="901">
        <v>2</v>
      </c>
      <c r="E239" s="901">
        <v>2</v>
      </c>
      <c r="F239" s="901">
        <f>Financeiros!F72</f>
        <v>22</v>
      </c>
      <c r="G239" s="901">
        <f>Financeiros!G72</f>
        <v>60</v>
      </c>
      <c r="H239" s="901">
        <f>Financeiros!H72</f>
        <v>240</v>
      </c>
      <c r="I239" s="901">
        <f>Financeiros!I72</f>
        <v>2</v>
      </c>
      <c r="J239" s="901">
        <f>Financeiros!J72</f>
        <v>9</v>
      </c>
      <c r="K239" s="901">
        <f>Financeiros!K72</f>
        <v>9</v>
      </c>
      <c r="L239" s="901">
        <v>99</v>
      </c>
      <c r="M239" s="901">
        <v>9</v>
      </c>
      <c r="N239" s="901">
        <v>3</v>
      </c>
      <c r="O239" s="901">
        <v>99999</v>
      </c>
      <c r="P239" s="963">
        <f t="shared" ca="1" si="14"/>
        <v>0</v>
      </c>
      <c r="Q239" s="234">
        <f ca="1">Financeiros!D72</f>
        <v>0</v>
      </c>
    </row>
    <row r="240" spans="1:17" ht="15.75">
      <c r="A240" s="901" t="s">
        <v>773</v>
      </c>
      <c r="B240" s="901" t="s">
        <v>1377</v>
      </c>
      <c r="C240" s="901" t="str">
        <f>Financeiros!C73</f>
        <v>Conta Escassez H. - Diferimento de energia - RTA 2022 - Perda Técnica</v>
      </c>
      <c r="D240" s="901">
        <v>2</v>
      </c>
      <c r="E240" s="901">
        <v>2</v>
      </c>
      <c r="F240" s="901">
        <f>Financeiros!F73</f>
        <v>22</v>
      </c>
      <c r="G240" s="901">
        <f>Financeiros!G73</f>
        <v>60</v>
      </c>
      <c r="H240" s="901">
        <f>Financeiros!H73</f>
        <v>240</v>
      </c>
      <c r="I240" s="901">
        <f>Financeiros!I73</f>
        <v>2</v>
      </c>
      <c r="J240" s="901">
        <f>Financeiros!J73</f>
        <v>8</v>
      </c>
      <c r="K240" s="901">
        <f>Financeiros!K73</f>
        <v>9</v>
      </c>
      <c r="L240" s="901">
        <v>99</v>
      </c>
      <c r="M240" s="901">
        <v>9</v>
      </c>
      <c r="N240" s="901">
        <v>3</v>
      </c>
      <c r="O240" s="901">
        <v>99999</v>
      </c>
      <c r="P240" s="963">
        <f t="shared" ca="1" si="14"/>
        <v>0</v>
      </c>
      <c r="Q240" s="234">
        <f ca="1">Financeiros!D73</f>
        <v>0</v>
      </c>
    </row>
    <row r="241" spans="1:17" ht="15.75">
      <c r="A241" s="901" t="s">
        <v>773</v>
      </c>
      <c r="B241" s="901" t="s">
        <v>1377</v>
      </c>
      <c r="C241" s="901" t="str">
        <f>Financeiros!C74</f>
        <v>Conta Escassez H. - Diferimento de energia - RTA 2022 - Perda RB Perda RB sobre Dist.</v>
      </c>
      <c r="D241" s="901">
        <v>2</v>
      </c>
      <c r="E241" s="901">
        <v>2</v>
      </c>
      <c r="F241" s="901">
        <f>Financeiros!F74</f>
        <v>22</v>
      </c>
      <c r="G241" s="901">
        <f>Financeiros!G74</f>
        <v>60</v>
      </c>
      <c r="H241" s="901">
        <f>Financeiros!H74</f>
        <v>240</v>
      </c>
      <c r="I241" s="901">
        <f>Financeiros!I74</f>
        <v>2</v>
      </c>
      <c r="J241" s="901">
        <f>Financeiros!J74</f>
        <v>10</v>
      </c>
      <c r="K241" s="901">
        <f>Financeiros!K74</f>
        <v>9</v>
      </c>
      <c r="L241" s="901">
        <v>99</v>
      </c>
      <c r="M241" s="901">
        <v>9</v>
      </c>
      <c r="N241" s="901">
        <v>3</v>
      </c>
      <c r="O241" s="901">
        <v>99999</v>
      </c>
      <c r="P241" s="963">
        <f t="shared" ca="1" si="14"/>
        <v>0</v>
      </c>
      <c r="Q241" s="234">
        <f ca="1">Financeiros!D74</f>
        <v>0</v>
      </c>
    </row>
    <row r="242" spans="1:17" ht="15.75">
      <c r="A242" s="901" t="s">
        <v>773</v>
      </c>
      <c r="B242" s="901" t="s">
        <v>1377</v>
      </c>
      <c r="C242" s="901" t="str">
        <f>Financeiros!C75</f>
        <v>Conta Escassez H. - Diferimento de energia - RTA 2022 - Perda RB sobre Merc. Cat.</v>
      </c>
      <c r="D242" s="901">
        <v>2</v>
      </c>
      <c r="E242" s="901">
        <v>2</v>
      </c>
      <c r="F242" s="901">
        <f>Financeiros!F75</f>
        <v>22</v>
      </c>
      <c r="G242" s="901">
        <f>Financeiros!G75</f>
        <v>60</v>
      </c>
      <c r="H242" s="901">
        <f>Financeiros!H75</f>
        <v>240</v>
      </c>
      <c r="I242" s="901">
        <f>Financeiros!I75</f>
        <v>2</v>
      </c>
      <c r="J242" s="901">
        <f>Financeiros!J75</f>
        <v>24</v>
      </c>
      <c r="K242" s="901">
        <f>Financeiros!K75</f>
        <v>9</v>
      </c>
      <c r="L242" s="901">
        <v>99</v>
      </c>
      <c r="M242" s="901">
        <v>9</v>
      </c>
      <c r="N242" s="901">
        <v>3</v>
      </c>
      <c r="O242" s="901">
        <v>99999</v>
      </c>
      <c r="P242" s="963">
        <f t="shared" ca="1" si="14"/>
        <v>0</v>
      </c>
      <c r="Q242" s="234">
        <f ca="1">Financeiros!D75</f>
        <v>0</v>
      </c>
    </row>
    <row r="243" spans="1:17" ht="15.75">
      <c r="A243" s="901" t="s">
        <v>773</v>
      </c>
      <c r="B243" s="901" t="s">
        <v>1377</v>
      </c>
      <c r="C243" s="901" t="str">
        <f>Financeiros!C76</f>
        <v>Sobrecontratação/Reversão de Energia - Energia de Revenda</v>
      </c>
      <c r="D243" s="901">
        <v>2</v>
      </c>
      <c r="E243" s="901">
        <v>2</v>
      </c>
      <c r="F243" s="901">
        <f>Financeiros!F76</f>
        <v>22</v>
      </c>
      <c r="G243" s="901">
        <f>Financeiros!G76</f>
        <v>60</v>
      </c>
      <c r="H243" s="901">
        <f>Financeiros!H76</f>
        <v>106</v>
      </c>
      <c r="I243" s="901">
        <f>Financeiros!I76</f>
        <v>2</v>
      </c>
      <c r="J243" s="901">
        <f>Financeiros!J76</f>
        <v>11</v>
      </c>
      <c r="K243" s="901">
        <v>9</v>
      </c>
      <c r="L243" s="901">
        <v>99</v>
      </c>
      <c r="M243" s="901">
        <v>9</v>
      </c>
      <c r="N243" s="901">
        <v>3</v>
      </c>
      <c r="O243" s="901">
        <v>99999</v>
      </c>
      <c r="P243" s="963">
        <f t="shared" ca="1" si="14"/>
        <v>-1428391.4329839994</v>
      </c>
      <c r="Q243" s="234">
        <f ca="1">Financeiros!D76</f>
        <v>-1428391.4329839994</v>
      </c>
    </row>
    <row r="244" spans="1:17" ht="15.75">
      <c r="A244" s="901" t="s">
        <v>773</v>
      </c>
      <c r="B244" s="901" t="s">
        <v>1377</v>
      </c>
      <c r="C244" s="901" t="str">
        <f>Financeiros!C77</f>
        <v>Sobrecontratação/Reversão de Energia - Perda Não Técnica</v>
      </c>
      <c r="D244" s="901">
        <v>2</v>
      </c>
      <c r="E244" s="901">
        <v>2</v>
      </c>
      <c r="F244" s="901">
        <f>Financeiros!F77</f>
        <v>22</v>
      </c>
      <c r="G244" s="901">
        <f>Financeiros!G77</f>
        <v>60</v>
      </c>
      <c r="H244" s="901">
        <f>Financeiros!H77</f>
        <v>106</v>
      </c>
      <c r="I244" s="901">
        <f>Financeiros!I77</f>
        <v>2</v>
      </c>
      <c r="J244" s="901">
        <f>Financeiros!J77</f>
        <v>9</v>
      </c>
      <c r="K244" s="901">
        <v>9</v>
      </c>
      <c r="L244" s="901">
        <v>99</v>
      </c>
      <c r="M244" s="901">
        <v>9</v>
      </c>
      <c r="N244" s="901">
        <v>3</v>
      </c>
      <c r="O244" s="901">
        <v>99999</v>
      </c>
      <c r="P244" s="963">
        <f t="shared" si="14"/>
        <v>0</v>
      </c>
      <c r="Q244" s="234">
        <f>Financeiros!D77</f>
        <v>0</v>
      </c>
    </row>
    <row r="245" spans="1:17" ht="15.75">
      <c r="A245" s="901" t="s">
        <v>773</v>
      </c>
      <c r="B245" s="901" t="s">
        <v>1377</v>
      </c>
      <c r="C245" s="901" t="str">
        <f>Financeiros!C78</f>
        <v>Sobrecontratação/Reversão de Energia - Perda Técnica</v>
      </c>
      <c r="D245" s="901">
        <v>2</v>
      </c>
      <c r="E245" s="901">
        <v>2</v>
      </c>
      <c r="F245" s="901">
        <f>Financeiros!F78</f>
        <v>22</v>
      </c>
      <c r="G245" s="901">
        <f>Financeiros!G78</f>
        <v>60</v>
      </c>
      <c r="H245" s="901">
        <f>Financeiros!H78</f>
        <v>106</v>
      </c>
      <c r="I245" s="901">
        <f>Financeiros!I78</f>
        <v>2</v>
      </c>
      <c r="J245" s="901">
        <f>Financeiros!J78</f>
        <v>8</v>
      </c>
      <c r="K245" s="901">
        <v>9</v>
      </c>
      <c r="L245" s="901">
        <v>99</v>
      </c>
      <c r="M245" s="901">
        <v>9</v>
      </c>
      <c r="N245" s="901">
        <v>3</v>
      </c>
      <c r="O245" s="901">
        <v>99999</v>
      </c>
      <c r="P245" s="963">
        <f t="shared" ca="1" si="14"/>
        <v>-12791.37094897138</v>
      </c>
      <c r="Q245" s="234">
        <f ca="1">Financeiros!D78</f>
        <v>-12791.37094897138</v>
      </c>
    </row>
    <row r="246" spans="1:17" ht="15.75">
      <c r="A246" s="901" t="s">
        <v>773</v>
      </c>
      <c r="B246" s="901" t="s">
        <v>1377</v>
      </c>
      <c r="C246" s="901" t="str">
        <f>Financeiros!C79</f>
        <v>Sobrecontratação/Reversão de Energia - Perda Rede Básica sobre Dist.</v>
      </c>
      <c r="D246" s="901">
        <v>2</v>
      </c>
      <c r="E246" s="901">
        <v>2</v>
      </c>
      <c r="F246" s="901">
        <f>Financeiros!F79</f>
        <v>22</v>
      </c>
      <c r="G246" s="901">
        <f>Financeiros!G79</f>
        <v>60</v>
      </c>
      <c r="H246" s="901">
        <f>Financeiros!H79</f>
        <v>106</v>
      </c>
      <c r="I246" s="901">
        <f>Financeiros!I79</f>
        <v>2</v>
      </c>
      <c r="J246" s="901">
        <f>Financeiros!J79</f>
        <v>10</v>
      </c>
      <c r="K246" s="901">
        <v>9</v>
      </c>
      <c r="L246" s="901">
        <v>99</v>
      </c>
      <c r="M246" s="901">
        <v>9</v>
      </c>
      <c r="N246" s="901">
        <v>3</v>
      </c>
      <c r="O246" s="901">
        <v>99999</v>
      </c>
      <c r="P246" s="963">
        <f t="shared" ca="1" si="14"/>
        <v>-388.37705466253851</v>
      </c>
      <c r="Q246" s="234">
        <f ca="1">Financeiros!D79</f>
        <v>-388.37705466253851</v>
      </c>
    </row>
    <row r="247" spans="1:17" ht="15.75">
      <c r="A247" s="901" t="s">
        <v>773</v>
      </c>
      <c r="B247" s="901" t="s">
        <v>1377</v>
      </c>
      <c r="C247" s="901" t="str">
        <f>Financeiros!C80</f>
        <v>Sobrecontratação/Reversão de Energia - Perda Rede Básica sobre mercado Cat.</v>
      </c>
      <c r="D247" s="901">
        <v>2</v>
      </c>
      <c r="E247" s="901">
        <v>2</v>
      </c>
      <c r="F247" s="901">
        <f>Financeiros!F80</f>
        <v>22</v>
      </c>
      <c r="G247" s="901">
        <f>Financeiros!G80</f>
        <v>60</v>
      </c>
      <c r="H247" s="901">
        <f>Financeiros!H80</f>
        <v>106</v>
      </c>
      <c r="I247" s="901">
        <f>Financeiros!I80</f>
        <v>2</v>
      </c>
      <c r="J247" s="901">
        <f>Financeiros!J80</f>
        <v>24</v>
      </c>
      <c r="K247" s="901">
        <v>9</v>
      </c>
      <c r="L247" s="901">
        <v>99</v>
      </c>
      <c r="M247" s="901">
        <v>9</v>
      </c>
      <c r="N247" s="901">
        <v>3</v>
      </c>
      <c r="O247" s="901">
        <v>99999</v>
      </c>
      <c r="P247" s="963">
        <f t="shared" ca="1" si="14"/>
        <v>-3630.4366612716981</v>
      </c>
      <c r="Q247" s="234">
        <f ca="1">Financeiros!D80</f>
        <v>-3630.4366612716981</v>
      </c>
    </row>
    <row r="248" spans="1:17" ht="15.75">
      <c r="A248" s="901" t="s">
        <v>773</v>
      </c>
      <c r="B248" s="901" t="s">
        <v>1377</v>
      </c>
      <c r="C248" s="901">
        <f>Financeiros!C81</f>
        <v>0</v>
      </c>
      <c r="D248" s="901">
        <v>2</v>
      </c>
      <c r="E248" s="901">
        <v>2</v>
      </c>
      <c r="F248" s="901">
        <v>999</v>
      </c>
      <c r="G248" s="901">
        <v>999999</v>
      </c>
      <c r="H248" s="901">
        <v>999</v>
      </c>
      <c r="I248" s="901">
        <v>99</v>
      </c>
      <c r="J248" s="901">
        <v>999</v>
      </c>
      <c r="K248" s="901">
        <v>9</v>
      </c>
      <c r="L248" s="901">
        <v>99</v>
      </c>
      <c r="M248" s="901">
        <v>9</v>
      </c>
      <c r="N248" s="901">
        <v>3</v>
      </c>
      <c r="O248" s="901">
        <v>99999</v>
      </c>
      <c r="P248" s="963">
        <f t="shared" si="14"/>
        <v>0</v>
      </c>
      <c r="Q248" s="234">
        <f>Financeiros!D81</f>
        <v>0</v>
      </c>
    </row>
    <row r="249" spans="1:17" ht="15.75">
      <c r="A249" s="901" t="s">
        <v>773</v>
      </c>
      <c r="B249" s="901" t="s">
        <v>1377</v>
      </c>
      <c r="C249" s="901" t="str">
        <f>Financeiros!C82</f>
        <v>Reversão de Risco Hidrológico</v>
      </c>
      <c r="D249" s="901">
        <v>2</v>
      </c>
      <c r="E249" s="901">
        <v>2</v>
      </c>
      <c r="F249" s="901">
        <f>Financeiros!F82</f>
        <v>22</v>
      </c>
      <c r="G249" s="901">
        <f>Financeiros!G82</f>
        <v>62</v>
      </c>
      <c r="H249" s="901">
        <f>Financeiros!H82</f>
        <v>220</v>
      </c>
      <c r="I249" s="901">
        <f>Financeiros!I82</f>
        <v>2</v>
      </c>
      <c r="J249" s="901">
        <f>Financeiros!J82</f>
        <v>30</v>
      </c>
      <c r="K249" s="901">
        <v>9</v>
      </c>
      <c r="L249" s="901">
        <v>99</v>
      </c>
      <c r="M249" s="901">
        <v>9</v>
      </c>
      <c r="N249" s="901">
        <v>3</v>
      </c>
      <c r="O249" s="901">
        <v>99999</v>
      </c>
      <c r="P249" s="963">
        <f t="shared" ref="P249" si="15">IF(ISNUMBER(Q249),Q249,0)</f>
        <v>-1315990.2960016439</v>
      </c>
      <c r="Q249" s="234">
        <f>Financeiros!D82</f>
        <v>-1315990.2960016439</v>
      </c>
    </row>
    <row r="250" spans="1:17" ht="15.75">
      <c r="A250" s="901" t="s">
        <v>773</v>
      </c>
      <c r="B250" s="901" t="s">
        <v>1377</v>
      </c>
      <c r="C250" s="901" t="s">
        <v>1623</v>
      </c>
      <c r="D250" s="901">
        <v>5</v>
      </c>
      <c r="E250" s="901">
        <v>2</v>
      </c>
      <c r="F250" s="901">
        <v>19</v>
      </c>
      <c r="G250" s="901">
        <v>65</v>
      </c>
      <c r="H250" s="901">
        <v>172</v>
      </c>
      <c r="I250" s="901">
        <v>1</v>
      </c>
      <c r="J250" s="901">
        <v>1</v>
      </c>
      <c r="K250" s="901">
        <v>9</v>
      </c>
      <c r="L250" s="901">
        <v>99</v>
      </c>
      <c r="M250" s="901">
        <v>9</v>
      </c>
      <c r="N250" s="901">
        <v>3</v>
      </c>
      <c r="O250" s="901">
        <v>99999</v>
      </c>
      <c r="P250" s="963">
        <f t="shared" si="14"/>
        <v>0</v>
      </c>
      <c r="Q250" s="234">
        <f>CVE!$D$12</f>
        <v>0</v>
      </c>
    </row>
    <row r="251" spans="1:17" ht="15.75">
      <c r="A251" s="901" t="s">
        <v>773</v>
      </c>
      <c r="B251" s="901" t="s">
        <v>1377</v>
      </c>
      <c r="C251" s="901" t="s">
        <v>1624</v>
      </c>
      <c r="D251" s="901">
        <v>5</v>
      </c>
      <c r="E251" s="901">
        <v>2</v>
      </c>
      <c r="F251" s="901">
        <v>19</v>
      </c>
      <c r="G251" s="901">
        <v>65</v>
      </c>
      <c r="H251" s="901">
        <v>172</v>
      </c>
      <c r="I251" s="901">
        <v>1</v>
      </c>
      <c r="J251" s="901">
        <v>21</v>
      </c>
      <c r="K251" s="901">
        <v>9</v>
      </c>
      <c r="L251" s="901">
        <v>99</v>
      </c>
      <c r="M251" s="901">
        <v>9</v>
      </c>
      <c r="N251" s="901">
        <v>3</v>
      </c>
      <c r="O251" s="901">
        <v>99999</v>
      </c>
      <c r="P251" s="963">
        <f t="shared" si="14"/>
        <v>0</v>
      </c>
      <c r="Q251" s="234">
        <f>CVE!$D$15</f>
        <v>0</v>
      </c>
    </row>
    <row r="252" spans="1:17" ht="15.75">
      <c r="A252" s="901" t="s">
        <v>773</v>
      </c>
      <c r="B252" s="901" t="s">
        <v>1377</v>
      </c>
      <c r="C252" s="901" t="s">
        <v>1625</v>
      </c>
      <c r="D252" s="901">
        <v>5</v>
      </c>
      <c r="E252" s="901">
        <v>2</v>
      </c>
      <c r="F252" s="901">
        <v>19</v>
      </c>
      <c r="G252" s="901">
        <v>65</v>
      </c>
      <c r="H252" s="901">
        <v>172</v>
      </c>
      <c r="I252" s="901">
        <v>2</v>
      </c>
      <c r="J252" s="901">
        <v>999</v>
      </c>
      <c r="K252" s="901">
        <v>9</v>
      </c>
      <c r="L252" s="901">
        <v>99</v>
      </c>
      <c r="M252" s="901">
        <v>9</v>
      </c>
      <c r="N252" s="901">
        <v>3</v>
      </c>
      <c r="O252" s="901">
        <v>99999</v>
      </c>
      <c r="P252" s="963">
        <f t="shared" si="14"/>
        <v>3107045.59</v>
      </c>
      <c r="Q252" s="234">
        <f>CVE!$D$13</f>
        <v>3107045.59</v>
      </c>
    </row>
    <row r="253" spans="1:17" ht="15.75">
      <c r="A253" s="901" t="s">
        <v>773</v>
      </c>
      <c r="B253" s="901" t="s">
        <v>1377</v>
      </c>
      <c r="C253" s="901" t="s">
        <v>1626</v>
      </c>
      <c r="D253" s="901">
        <v>5</v>
      </c>
      <c r="E253" s="901">
        <v>2</v>
      </c>
      <c r="F253" s="901">
        <v>19</v>
      </c>
      <c r="G253" s="901">
        <v>65</v>
      </c>
      <c r="H253" s="901">
        <v>172</v>
      </c>
      <c r="I253" s="901">
        <v>3</v>
      </c>
      <c r="J253" s="901">
        <v>13</v>
      </c>
      <c r="K253" s="901">
        <v>9</v>
      </c>
      <c r="L253" s="901">
        <v>99</v>
      </c>
      <c r="M253" s="901">
        <v>9</v>
      </c>
      <c r="N253" s="901">
        <v>3</v>
      </c>
      <c r="O253" s="901">
        <v>99999</v>
      </c>
      <c r="P253" s="963">
        <f t="shared" si="14"/>
        <v>0</v>
      </c>
      <c r="Q253" s="234">
        <f>CVE!$D$9</f>
        <v>0</v>
      </c>
    </row>
    <row r="254" spans="1:17" ht="15.75">
      <c r="A254" s="901" t="s">
        <v>773</v>
      </c>
      <c r="B254" s="901" t="s">
        <v>1377</v>
      </c>
      <c r="C254" s="901" t="s">
        <v>1627</v>
      </c>
      <c r="D254" s="901">
        <v>5</v>
      </c>
      <c r="E254" s="901">
        <v>2</v>
      </c>
      <c r="F254" s="901">
        <v>19</v>
      </c>
      <c r="G254" s="901">
        <v>65</v>
      </c>
      <c r="H254" s="901">
        <v>172</v>
      </c>
      <c r="I254" s="901">
        <v>3</v>
      </c>
      <c r="J254" s="901">
        <v>15</v>
      </c>
      <c r="K254" s="901">
        <v>9</v>
      </c>
      <c r="L254" s="901">
        <v>99</v>
      </c>
      <c r="M254" s="901">
        <v>9</v>
      </c>
      <c r="N254" s="901">
        <v>3</v>
      </c>
      <c r="O254" s="901">
        <v>99999</v>
      </c>
      <c r="P254" s="963">
        <f t="shared" si="14"/>
        <v>0</v>
      </c>
      <c r="Q254" s="234">
        <f>CVE!$D$10</f>
        <v>0</v>
      </c>
    </row>
    <row r="255" spans="1:17" ht="15.75">
      <c r="A255" s="901" t="s">
        <v>773</v>
      </c>
      <c r="B255" s="901" t="s">
        <v>1377</v>
      </c>
      <c r="C255" s="901" t="s">
        <v>1628</v>
      </c>
      <c r="D255" s="901">
        <v>5</v>
      </c>
      <c r="E255" s="901">
        <v>2</v>
      </c>
      <c r="F255" s="901">
        <v>19</v>
      </c>
      <c r="G255" s="901">
        <v>65</v>
      </c>
      <c r="H255" s="901">
        <v>172</v>
      </c>
      <c r="I255" s="901">
        <v>3</v>
      </c>
      <c r="J255" s="901">
        <v>16</v>
      </c>
      <c r="K255" s="901">
        <v>9</v>
      </c>
      <c r="L255" s="901">
        <v>99</v>
      </c>
      <c r="M255" s="901">
        <v>9</v>
      </c>
      <c r="N255" s="901">
        <v>3</v>
      </c>
      <c r="O255" s="901">
        <v>99999</v>
      </c>
      <c r="P255" s="963">
        <f t="shared" si="14"/>
        <v>0</v>
      </c>
      <c r="Q255" s="234">
        <f>CVE!$D$14</f>
        <v>0</v>
      </c>
    </row>
    <row r="256" spans="1:17" ht="15.75">
      <c r="A256" s="901" t="s">
        <v>773</v>
      </c>
      <c r="B256" s="901" t="s">
        <v>1377</v>
      </c>
      <c r="C256" s="901" t="s">
        <v>1629</v>
      </c>
      <c r="D256" s="901">
        <v>5</v>
      </c>
      <c r="E256" s="901">
        <v>2</v>
      </c>
      <c r="F256" s="901">
        <v>19</v>
      </c>
      <c r="G256" s="901">
        <v>65</v>
      </c>
      <c r="H256" s="901">
        <v>172</v>
      </c>
      <c r="I256" s="901">
        <v>3</v>
      </c>
      <c r="J256" s="901">
        <v>17</v>
      </c>
      <c r="K256" s="901">
        <v>9</v>
      </c>
      <c r="L256" s="901">
        <v>99</v>
      </c>
      <c r="M256" s="901">
        <v>9</v>
      </c>
      <c r="N256" s="901">
        <v>3</v>
      </c>
      <c r="O256" s="901">
        <v>99999</v>
      </c>
      <c r="P256" s="963">
        <f t="shared" si="14"/>
        <v>2619758.7576000001</v>
      </c>
      <c r="Q256" s="234">
        <f>CVE!$D$17</f>
        <v>2619758.7576000001</v>
      </c>
    </row>
    <row r="257" spans="1:17" ht="15.75">
      <c r="A257" s="901" t="s">
        <v>773</v>
      </c>
      <c r="B257" s="901" t="s">
        <v>1377</v>
      </c>
      <c r="C257" s="901" t="s">
        <v>1630</v>
      </c>
      <c r="D257" s="901">
        <v>5</v>
      </c>
      <c r="E257" s="901">
        <v>2</v>
      </c>
      <c r="F257" s="901">
        <v>19</v>
      </c>
      <c r="G257" s="901">
        <v>65</v>
      </c>
      <c r="H257" s="901">
        <v>172</v>
      </c>
      <c r="I257" s="901">
        <v>3</v>
      </c>
      <c r="J257" s="901">
        <v>18</v>
      </c>
      <c r="K257" s="901">
        <v>9</v>
      </c>
      <c r="L257" s="901">
        <v>99</v>
      </c>
      <c r="M257" s="901">
        <v>9</v>
      </c>
      <c r="N257" s="901">
        <v>3</v>
      </c>
      <c r="O257" s="901">
        <v>99999</v>
      </c>
      <c r="P257" s="963">
        <f t="shared" si="14"/>
        <v>0</v>
      </c>
      <c r="Q257" s="234">
        <f>CVE!$D$16</f>
        <v>0</v>
      </c>
    </row>
    <row r="258" spans="1:17" ht="15.75">
      <c r="A258" s="901" t="s">
        <v>773</v>
      </c>
      <c r="B258" s="901" t="s">
        <v>1377</v>
      </c>
      <c r="C258" s="901" t="s">
        <v>1397</v>
      </c>
      <c r="D258" s="901">
        <v>5</v>
      </c>
      <c r="E258" s="901">
        <v>2</v>
      </c>
      <c r="F258" s="901">
        <v>19</v>
      </c>
      <c r="G258" s="901">
        <v>65</v>
      </c>
      <c r="H258" s="901">
        <v>172</v>
      </c>
      <c r="I258" s="901">
        <v>2</v>
      </c>
      <c r="J258" s="901">
        <v>25</v>
      </c>
      <c r="K258" s="901">
        <v>9</v>
      </c>
      <c r="L258" s="901">
        <v>99</v>
      </c>
      <c r="M258" s="901">
        <v>9</v>
      </c>
      <c r="N258" s="901">
        <v>3</v>
      </c>
      <c r="O258" s="901">
        <v>99999</v>
      </c>
      <c r="P258" s="963">
        <f t="shared" si="14"/>
        <v>0</v>
      </c>
      <c r="Q258" s="234">
        <f>CVE!$D$11</f>
        <v>0</v>
      </c>
    </row>
    <row r="259" spans="1:17" ht="15.75">
      <c r="A259" s="901" t="s">
        <v>1631</v>
      </c>
      <c r="B259" s="901" t="s">
        <v>36</v>
      </c>
      <c r="C259" s="901" t="s">
        <v>1632</v>
      </c>
      <c r="D259" s="901">
        <v>4</v>
      </c>
      <c r="E259" s="901">
        <v>2</v>
      </c>
      <c r="F259" s="901">
        <v>19</v>
      </c>
      <c r="G259" s="901">
        <v>64</v>
      </c>
      <c r="H259" s="901">
        <v>95</v>
      </c>
      <c r="I259" s="901">
        <v>3</v>
      </c>
      <c r="J259" s="901">
        <v>13</v>
      </c>
      <c r="K259" s="901">
        <v>9</v>
      </c>
      <c r="L259" s="901">
        <v>99</v>
      </c>
      <c r="M259" s="901">
        <v>9</v>
      </c>
      <c r="N259" s="901">
        <v>3</v>
      </c>
      <c r="O259" s="901">
        <v>99999</v>
      </c>
      <c r="P259" s="963">
        <f t="shared" si="14"/>
        <v>0</v>
      </c>
      <c r="Q259" s="234">
        <f>CVE!$D$24</f>
        <v>0</v>
      </c>
    </row>
    <row r="260" spans="1:17" ht="15.75">
      <c r="A260" s="901" t="s">
        <v>1631</v>
      </c>
      <c r="B260" s="901" t="s">
        <v>36</v>
      </c>
      <c r="C260" s="901" t="s">
        <v>1633</v>
      </c>
      <c r="D260" s="901">
        <v>4</v>
      </c>
      <c r="E260" s="901">
        <v>2</v>
      </c>
      <c r="F260" s="901">
        <v>19</v>
      </c>
      <c r="G260" s="901">
        <v>64</v>
      </c>
      <c r="H260" s="901">
        <v>95</v>
      </c>
      <c r="I260" s="901">
        <v>3</v>
      </c>
      <c r="J260" s="901">
        <v>15</v>
      </c>
      <c r="K260" s="901">
        <v>9</v>
      </c>
      <c r="L260" s="901">
        <v>99</v>
      </c>
      <c r="M260" s="901">
        <v>9</v>
      </c>
      <c r="N260" s="901">
        <v>3</v>
      </c>
      <c r="O260" s="901">
        <v>99999</v>
      </c>
      <c r="P260" s="963">
        <f t="shared" si="14"/>
        <v>0</v>
      </c>
      <c r="Q260" s="234">
        <f>CVE!$D$25</f>
        <v>0</v>
      </c>
    </row>
    <row r="261" spans="1:17" ht="15.75">
      <c r="A261" s="901" t="s">
        <v>1631</v>
      </c>
      <c r="B261" s="901" t="s">
        <v>36</v>
      </c>
      <c r="C261" s="901" t="s">
        <v>1634</v>
      </c>
      <c r="D261" s="901">
        <v>4</v>
      </c>
      <c r="E261" s="901">
        <v>2</v>
      </c>
      <c r="F261" s="901">
        <v>19</v>
      </c>
      <c r="G261" s="901">
        <v>64</v>
      </c>
      <c r="H261" s="901">
        <v>95</v>
      </c>
      <c r="I261" s="901">
        <v>2</v>
      </c>
      <c r="J261" s="901">
        <v>25</v>
      </c>
      <c r="K261" s="901">
        <v>9</v>
      </c>
      <c r="L261" s="901">
        <v>99</v>
      </c>
      <c r="M261" s="901">
        <v>9</v>
      </c>
      <c r="N261" s="901">
        <v>3</v>
      </c>
      <c r="O261" s="901">
        <v>99999</v>
      </c>
      <c r="P261" s="963">
        <f t="shared" si="14"/>
        <v>0</v>
      </c>
      <c r="Q261" s="234">
        <f>CVE!$D$26</f>
        <v>0</v>
      </c>
    </row>
    <row r="262" spans="1:17" ht="15.75">
      <c r="A262" s="901" t="s">
        <v>1631</v>
      </c>
      <c r="B262" s="901" t="s">
        <v>36</v>
      </c>
      <c r="C262" s="901" t="s">
        <v>1635</v>
      </c>
      <c r="D262" s="901">
        <v>4</v>
      </c>
      <c r="E262" s="901">
        <v>2</v>
      </c>
      <c r="F262" s="901">
        <v>19</v>
      </c>
      <c r="G262" s="901">
        <v>64</v>
      </c>
      <c r="H262" s="901">
        <v>95</v>
      </c>
      <c r="I262" s="901">
        <v>1</v>
      </c>
      <c r="J262" s="901">
        <v>1</v>
      </c>
      <c r="K262" s="901">
        <v>9</v>
      </c>
      <c r="L262" s="901">
        <v>99</v>
      </c>
      <c r="M262" s="901">
        <v>9</v>
      </c>
      <c r="N262" s="901">
        <v>3</v>
      </c>
      <c r="O262" s="901">
        <v>99999</v>
      </c>
      <c r="P262" s="963">
        <f t="shared" si="14"/>
        <v>0</v>
      </c>
      <c r="Q262" s="234">
        <f>CVE!$D$27</f>
        <v>0</v>
      </c>
    </row>
    <row r="263" spans="1:17" ht="15.75">
      <c r="A263" s="901" t="s">
        <v>1631</v>
      </c>
      <c r="B263" s="901" t="s">
        <v>36</v>
      </c>
      <c r="C263" s="901" t="s">
        <v>1636</v>
      </c>
      <c r="D263" s="901">
        <v>4</v>
      </c>
      <c r="E263" s="901">
        <v>2</v>
      </c>
      <c r="F263" s="901">
        <v>19</v>
      </c>
      <c r="G263" s="901">
        <v>64</v>
      </c>
      <c r="H263" s="901">
        <v>95</v>
      </c>
      <c r="I263" s="901">
        <v>2</v>
      </c>
      <c r="J263" s="901">
        <v>999</v>
      </c>
      <c r="K263" s="901">
        <v>9</v>
      </c>
      <c r="L263" s="901">
        <v>99</v>
      </c>
      <c r="M263" s="901">
        <v>9</v>
      </c>
      <c r="N263" s="901">
        <v>3</v>
      </c>
      <c r="O263" s="901">
        <v>99999</v>
      </c>
      <c r="P263" s="963">
        <f t="shared" si="14"/>
        <v>0</v>
      </c>
      <c r="Q263" s="234">
        <f>CVE!$D$28</f>
        <v>0</v>
      </c>
    </row>
    <row r="264" spans="1:17" ht="15.75">
      <c r="A264" s="901" t="s">
        <v>1631</v>
      </c>
      <c r="B264" s="901" t="s">
        <v>36</v>
      </c>
      <c r="C264" s="901" t="s">
        <v>1637</v>
      </c>
      <c r="D264" s="901">
        <v>4</v>
      </c>
      <c r="E264" s="901">
        <v>2</v>
      </c>
      <c r="F264" s="901">
        <v>19</v>
      </c>
      <c r="G264" s="901">
        <v>64</v>
      </c>
      <c r="H264" s="901">
        <v>95</v>
      </c>
      <c r="I264" s="901">
        <v>3</v>
      </c>
      <c r="J264" s="901">
        <v>16</v>
      </c>
      <c r="K264" s="901">
        <v>9</v>
      </c>
      <c r="L264" s="901">
        <v>99</v>
      </c>
      <c r="M264" s="901">
        <v>9</v>
      </c>
      <c r="N264" s="901">
        <v>3</v>
      </c>
      <c r="O264" s="901">
        <v>99999</v>
      </c>
      <c r="P264" s="963">
        <f t="shared" si="14"/>
        <v>0</v>
      </c>
      <c r="Q264" s="234">
        <f>CVE!$D$29</f>
        <v>0</v>
      </c>
    </row>
    <row r="265" spans="1:17" ht="15.75">
      <c r="A265" s="901" t="s">
        <v>1631</v>
      </c>
      <c r="B265" s="901" t="s">
        <v>36</v>
      </c>
      <c r="C265" s="901" t="s">
        <v>1638</v>
      </c>
      <c r="D265" s="901">
        <v>4</v>
      </c>
      <c r="E265" s="901">
        <v>2</v>
      </c>
      <c r="F265" s="901">
        <v>19</v>
      </c>
      <c r="G265" s="901">
        <v>64</v>
      </c>
      <c r="H265" s="901">
        <v>95</v>
      </c>
      <c r="I265" s="901">
        <v>1</v>
      </c>
      <c r="J265" s="901">
        <v>21</v>
      </c>
      <c r="K265" s="901">
        <v>9</v>
      </c>
      <c r="L265" s="901">
        <v>99</v>
      </c>
      <c r="M265" s="901">
        <v>9</v>
      </c>
      <c r="N265" s="901">
        <v>3</v>
      </c>
      <c r="O265" s="901">
        <v>99999</v>
      </c>
      <c r="P265" s="963">
        <f t="shared" si="14"/>
        <v>0</v>
      </c>
      <c r="Q265" s="234">
        <f>CVE!$D$30</f>
        <v>0</v>
      </c>
    </row>
    <row r="266" spans="1:17" ht="15.75">
      <c r="A266" s="901" t="s">
        <v>1631</v>
      </c>
      <c r="B266" s="901" t="s">
        <v>36</v>
      </c>
      <c r="C266" s="901" t="s">
        <v>1639</v>
      </c>
      <c r="D266" s="901">
        <v>4</v>
      </c>
      <c r="E266" s="901">
        <v>2</v>
      </c>
      <c r="F266" s="901">
        <v>19</v>
      </c>
      <c r="G266" s="901">
        <v>64</v>
      </c>
      <c r="H266" s="901">
        <v>95</v>
      </c>
      <c r="I266" s="901">
        <v>3</v>
      </c>
      <c r="J266" s="901">
        <v>18</v>
      </c>
      <c r="K266" s="901">
        <v>9</v>
      </c>
      <c r="L266" s="901">
        <v>99</v>
      </c>
      <c r="M266" s="901">
        <v>9</v>
      </c>
      <c r="N266" s="901">
        <v>3</v>
      </c>
      <c r="O266" s="901">
        <v>99999</v>
      </c>
      <c r="P266" s="963">
        <f t="shared" si="14"/>
        <v>0</v>
      </c>
      <c r="Q266" s="234">
        <f>CVE!$D$31</f>
        <v>0</v>
      </c>
    </row>
    <row r="267" spans="1:17" ht="15.75">
      <c r="A267" s="901" t="s">
        <v>1631</v>
      </c>
      <c r="B267" s="901" t="s">
        <v>36</v>
      </c>
      <c r="C267" s="901" t="s">
        <v>1640</v>
      </c>
      <c r="D267" s="901">
        <v>4</v>
      </c>
      <c r="E267" s="901">
        <v>2</v>
      </c>
      <c r="F267" s="901">
        <v>19</v>
      </c>
      <c r="G267" s="901">
        <v>64</v>
      </c>
      <c r="H267" s="901">
        <v>95</v>
      </c>
      <c r="I267" s="901">
        <v>3</v>
      </c>
      <c r="J267" s="901">
        <v>17</v>
      </c>
      <c r="K267" s="901">
        <v>9</v>
      </c>
      <c r="L267" s="901">
        <v>99</v>
      </c>
      <c r="M267" s="901">
        <v>9</v>
      </c>
      <c r="N267" s="901">
        <v>3</v>
      </c>
      <c r="O267" s="901">
        <v>99999</v>
      </c>
      <c r="P267" s="963">
        <f t="shared" si="14"/>
        <v>0</v>
      </c>
      <c r="Q267" s="234">
        <f>CVE!$D$32</f>
        <v>0</v>
      </c>
    </row>
    <row r="268" spans="1:17" ht="15.75">
      <c r="A268" s="901" t="s">
        <v>773</v>
      </c>
      <c r="B268" s="901" t="s">
        <v>120</v>
      </c>
      <c r="C268" s="901" t="str">
        <f>Energia!$B$20</f>
        <v>Angra</v>
      </c>
      <c r="D268" s="901">
        <v>1</v>
      </c>
      <c r="E268" s="901">
        <v>1</v>
      </c>
      <c r="F268" s="901">
        <v>8</v>
      </c>
      <c r="G268" s="901">
        <v>999999</v>
      </c>
      <c r="H268" s="901">
        <v>999</v>
      </c>
      <c r="I268" s="901">
        <v>2</v>
      </c>
      <c r="J268" s="901">
        <v>999</v>
      </c>
      <c r="K268" s="901">
        <v>9</v>
      </c>
      <c r="L268" s="901">
        <v>99</v>
      </c>
      <c r="M268" s="901">
        <v>9</v>
      </c>
      <c r="N268" s="901">
        <v>2</v>
      </c>
      <c r="O268" s="901">
        <v>99999</v>
      </c>
      <c r="P268" s="963">
        <f t="shared" ca="1" si="14"/>
        <v>4699.3792747051257</v>
      </c>
      <c r="Q268" s="234">
        <f ca="1">Energia!$C$20</f>
        <v>4699.3792747051257</v>
      </c>
    </row>
    <row r="269" spans="1:17" ht="15.75">
      <c r="A269" s="901" t="s">
        <v>773</v>
      </c>
      <c r="B269" s="901" t="s">
        <v>120</v>
      </c>
      <c r="C269" s="901" t="str">
        <f>Energia!B20</f>
        <v>Angra</v>
      </c>
      <c r="D269" s="901">
        <v>1</v>
      </c>
      <c r="E269" s="901">
        <v>1</v>
      </c>
      <c r="F269" s="901">
        <v>8</v>
      </c>
      <c r="G269" s="901">
        <v>999999</v>
      </c>
      <c r="H269" s="901">
        <v>999</v>
      </c>
      <c r="I269" s="901">
        <v>2</v>
      </c>
      <c r="J269" s="901">
        <v>999</v>
      </c>
      <c r="K269" s="901">
        <v>9</v>
      </c>
      <c r="L269" s="901">
        <v>99</v>
      </c>
      <c r="M269" s="901">
        <v>9</v>
      </c>
      <c r="N269" s="901">
        <v>3</v>
      </c>
      <c r="O269" s="901">
        <v>99999</v>
      </c>
      <c r="P269" s="963">
        <f t="shared" ca="1" si="14"/>
        <v>1640788.2737632946</v>
      </c>
      <c r="Q269" s="234">
        <f ca="1">Energia!$F$20</f>
        <v>1640788.2737632946</v>
      </c>
    </row>
    <row r="270" spans="1:17" ht="15.75">
      <c r="A270" s="901" t="s">
        <v>773</v>
      </c>
      <c r="B270" s="901" t="s">
        <v>120</v>
      </c>
      <c r="C270" s="901" t="str">
        <f>Energia!$B$21</f>
        <v>CCGF</v>
      </c>
      <c r="D270" s="901">
        <v>1</v>
      </c>
      <c r="E270" s="901">
        <v>1</v>
      </c>
      <c r="F270" s="901">
        <v>17</v>
      </c>
      <c r="G270" s="901">
        <v>999999</v>
      </c>
      <c r="H270" s="901">
        <v>999</v>
      </c>
      <c r="I270" s="901">
        <v>2</v>
      </c>
      <c r="J270" s="901">
        <v>999</v>
      </c>
      <c r="K270" s="901">
        <v>9</v>
      </c>
      <c r="L270" s="901">
        <v>99</v>
      </c>
      <c r="M270" s="901">
        <v>9</v>
      </c>
      <c r="N270" s="901">
        <v>2</v>
      </c>
      <c r="O270" s="901">
        <v>0</v>
      </c>
      <c r="P270" s="963">
        <f t="shared" ca="1" si="14"/>
        <v>38718.274432296465</v>
      </c>
      <c r="Q270" s="234">
        <f ca="1">Energia!$C$21</f>
        <v>38718.274432296465</v>
      </c>
    </row>
    <row r="271" spans="1:17" ht="15.75">
      <c r="A271" s="901" t="s">
        <v>773</v>
      </c>
      <c r="B271" s="901" t="s">
        <v>120</v>
      </c>
      <c r="C271" s="901" t="str">
        <f>Energia!$B$21</f>
        <v>CCGF</v>
      </c>
      <c r="D271" s="901">
        <v>1</v>
      </c>
      <c r="E271" s="901">
        <v>1</v>
      </c>
      <c r="F271" s="901">
        <v>17</v>
      </c>
      <c r="G271" s="901">
        <v>999999</v>
      </c>
      <c r="H271" s="901">
        <v>999</v>
      </c>
      <c r="I271" s="901">
        <v>2</v>
      </c>
      <c r="J271" s="901">
        <v>999</v>
      </c>
      <c r="K271" s="901">
        <v>9</v>
      </c>
      <c r="L271" s="901">
        <v>99</v>
      </c>
      <c r="M271" s="901">
        <v>9</v>
      </c>
      <c r="N271" s="901">
        <v>3</v>
      </c>
      <c r="O271" s="901">
        <v>0</v>
      </c>
      <c r="P271" s="963">
        <f t="shared" ca="1" si="14"/>
        <v>5629529.5414657295</v>
      </c>
      <c r="Q271" s="234">
        <f ca="1">Energia!$F$21</f>
        <v>5629529.5414657295</v>
      </c>
    </row>
    <row r="272" spans="1:17" ht="15.75">
      <c r="A272" s="1573" t="s">
        <v>773</v>
      </c>
      <c r="B272" s="1574" t="s">
        <v>72</v>
      </c>
      <c r="C272" s="1574" t="s">
        <v>2199</v>
      </c>
      <c r="D272" s="1574">
        <v>1</v>
      </c>
      <c r="E272" s="1574">
        <v>1</v>
      </c>
      <c r="F272" s="1574">
        <v>999</v>
      </c>
      <c r="G272" s="1574">
        <v>999999</v>
      </c>
      <c r="H272" s="1574">
        <v>999</v>
      </c>
      <c r="I272" s="1574">
        <v>3</v>
      </c>
      <c r="J272" s="1574">
        <v>35</v>
      </c>
      <c r="K272" s="1574">
        <v>9</v>
      </c>
      <c r="L272" s="1574">
        <v>99</v>
      </c>
      <c r="M272" s="1574">
        <v>9</v>
      </c>
      <c r="N272" s="1574">
        <v>3</v>
      </c>
      <c r="O272" s="1574">
        <v>99999</v>
      </c>
      <c r="P272" s="963">
        <f>IF(ISNUMBER(Q272),Q272,0)</f>
        <v>4744058.7493197145</v>
      </c>
      <c r="Q272" s="950">
        <f>Encargos!L17</f>
        <v>4744058.7493197145</v>
      </c>
    </row>
    <row r="273" spans="1:17" ht="15.75">
      <c r="A273" s="1575" t="s">
        <v>773</v>
      </c>
      <c r="B273" s="1575" t="s">
        <v>72</v>
      </c>
      <c r="C273" s="1575" t="s">
        <v>2202</v>
      </c>
      <c r="D273" s="1575">
        <v>2</v>
      </c>
      <c r="E273" s="1575">
        <v>1</v>
      </c>
      <c r="F273" s="1575">
        <v>51</v>
      </c>
      <c r="G273" s="1575">
        <v>999999</v>
      </c>
      <c r="H273" s="1575">
        <v>999</v>
      </c>
      <c r="I273" s="1575">
        <v>3</v>
      </c>
      <c r="J273" s="1575">
        <v>28</v>
      </c>
      <c r="K273" s="1575">
        <v>2</v>
      </c>
      <c r="L273" s="1575">
        <v>99</v>
      </c>
      <c r="M273" s="1575">
        <v>9</v>
      </c>
      <c r="N273" s="1575">
        <v>3</v>
      </c>
      <c r="O273" s="1575">
        <v>99999</v>
      </c>
      <c r="P273" s="963">
        <f>IF(ISNUMBER(Q273),Q273,0)</f>
        <v>-1979999.9999999998</v>
      </c>
      <c r="Q273" s="950">
        <f>Encargos!I21</f>
        <v>-1979999.9999999998</v>
      </c>
    </row>
    <row r="274" spans="1:17" ht="15.75">
      <c r="A274" s="901" t="s">
        <v>1575</v>
      </c>
      <c r="B274" s="901" t="s">
        <v>120</v>
      </c>
      <c r="C274" s="901" t="s">
        <v>2343</v>
      </c>
      <c r="D274" s="901">
        <v>3</v>
      </c>
      <c r="E274" s="901">
        <v>1</v>
      </c>
      <c r="F274" s="901">
        <v>37</v>
      </c>
      <c r="G274" s="901">
        <v>999999</v>
      </c>
      <c r="H274" s="901">
        <v>999</v>
      </c>
      <c r="I274" s="901">
        <v>99</v>
      </c>
      <c r="J274" s="901">
        <v>999</v>
      </c>
      <c r="K274" s="901">
        <v>9</v>
      </c>
      <c r="L274" s="901">
        <v>99</v>
      </c>
      <c r="M274" s="901">
        <v>9</v>
      </c>
      <c r="N274" s="901">
        <v>8</v>
      </c>
      <c r="O274" s="901">
        <v>99999</v>
      </c>
      <c r="P274" s="963">
        <f ca="1">IF(ISNUMBER(Q274),Q274,0)</f>
        <v>0.17623546377104793</v>
      </c>
      <c r="Q274" s="249">
        <f ca="1">Energia!L35</f>
        <v>0.17623546377104793</v>
      </c>
    </row>
    <row r="275" spans="1:17" s="902" customFormat="1" ht="14.1" customHeight="1">
      <c r="A275" s="901" t="s">
        <v>1589</v>
      </c>
      <c r="B275" s="901" t="s">
        <v>1589</v>
      </c>
      <c r="C275" s="901" t="s">
        <v>1589</v>
      </c>
      <c r="D275" s="901">
        <v>99</v>
      </c>
      <c r="E275" s="901">
        <v>99</v>
      </c>
      <c r="F275" s="901">
        <v>999</v>
      </c>
      <c r="G275" s="901">
        <v>999999</v>
      </c>
      <c r="H275" s="901">
        <v>999</v>
      </c>
      <c r="I275" s="901">
        <v>99</v>
      </c>
      <c r="J275" s="901">
        <v>999</v>
      </c>
      <c r="K275" s="901">
        <v>9</v>
      </c>
      <c r="L275" s="901">
        <v>99</v>
      </c>
      <c r="M275" s="901">
        <v>9</v>
      </c>
      <c r="N275" s="901">
        <v>99</v>
      </c>
      <c r="O275">
        <v>99999</v>
      </c>
      <c r="P275" s="950">
        <f t="shared" si="14"/>
        <v>0</v>
      </c>
      <c r="Q275" s="950"/>
    </row>
    <row r="276" spans="1:17" s="902" customFormat="1" ht="14.1" customHeight="1">
      <c r="A276" s="901" t="s">
        <v>1589</v>
      </c>
      <c r="B276" s="901" t="s">
        <v>1589</v>
      </c>
      <c r="C276" s="901" t="s">
        <v>1589</v>
      </c>
      <c r="D276" s="901">
        <v>99</v>
      </c>
      <c r="E276" s="901">
        <v>99</v>
      </c>
      <c r="F276" s="901">
        <v>999</v>
      </c>
      <c r="G276" s="901">
        <v>999999</v>
      </c>
      <c r="H276" s="901">
        <v>999</v>
      </c>
      <c r="I276" s="901">
        <v>99</v>
      </c>
      <c r="J276" s="901">
        <v>999</v>
      </c>
      <c r="K276" s="901">
        <v>9</v>
      </c>
      <c r="L276" s="901">
        <v>99</v>
      </c>
      <c r="M276" s="901">
        <v>9</v>
      </c>
      <c r="N276" s="901">
        <v>99</v>
      </c>
      <c r="O276">
        <v>99999</v>
      </c>
      <c r="P276" s="950">
        <f t="shared" si="14"/>
        <v>0</v>
      </c>
      <c r="Q276" s="950"/>
    </row>
    <row r="277" spans="1:17" ht="15.75">
      <c r="A277" s="901"/>
      <c r="B277" s="901"/>
      <c r="C277" s="901"/>
      <c r="D277" s="901"/>
      <c r="E277" s="901"/>
      <c r="F277" s="901"/>
      <c r="G277" s="901"/>
      <c r="H277" s="901"/>
      <c r="I277" s="901"/>
      <c r="J277" s="901"/>
      <c r="K277" s="901"/>
      <c r="L277" s="901"/>
      <c r="M277" s="901"/>
      <c r="N277" s="901"/>
      <c r="O277"/>
      <c r="P277" s="950"/>
      <c r="Q277" s="950"/>
    </row>
    <row r="278" spans="1:17" ht="15.75">
      <c r="A278" s="901"/>
      <c r="B278" s="901"/>
      <c r="C278" s="901"/>
      <c r="D278" s="901"/>
      <c r="E278" s="901"/>
      <c r="F278" s="901"/>
      <c r="G278" s="901"/>
      <c r="H278" s="901"/>
      <c r="I278" s="901"/>
      <c r="J278" s="901"/>
      <c r="K278" s="901"/>
      <c r="L278" s="901"/>
      <c r="M278" s="901"/>
      <c r="N278" s="901"/>
      <c r="O278"/>
      <c r="P278" s="950"/>
      <c r="Q278" s="950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ref="P279:P334" si="16">IF(ISNUMBER(Q279),Q279,0)</f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6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6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6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6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6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6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6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6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6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6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6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6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6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6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6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6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6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6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6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6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6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6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6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6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6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6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6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6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6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6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6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6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6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6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6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6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6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6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6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6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6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6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6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6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6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6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6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6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6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6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6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6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6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6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6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ref="P335:P398" si="17">IF(ISNUMBER(Q335),Q335,0)</f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7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7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7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7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7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7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7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7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7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7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7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7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7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7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7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7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7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7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7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7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7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7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7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7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7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7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7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7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7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7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7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7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7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7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7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7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7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7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7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7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7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7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7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7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7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7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7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7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7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7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7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7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7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7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7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7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7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7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7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7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7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7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7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ref="P399:P462" si="18">IF(ISNUMBER(Q399),Q399,0)</f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8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8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8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8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8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8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8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8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8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8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8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8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8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8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8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8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8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8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8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8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8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8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8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8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8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8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8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8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8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8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8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8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8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8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8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8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8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8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8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8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8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8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8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8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8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8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8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8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8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8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8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8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8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8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8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8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8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8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8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8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8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8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8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ref="P463:P526" si="19">IF(ISNUMBER(Q463),Q463,0)</f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19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19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19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19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19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19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19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19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19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19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19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19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19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19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19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19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19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19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19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19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19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19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19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19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19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19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19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19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19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19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19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19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19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19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19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19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19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19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19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19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19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19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19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19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19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19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19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19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19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19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19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19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19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19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19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19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19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19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19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19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19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19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19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ref="P527:P590" si="20">IF(ISNUMBER(Q527),Q527,0)</f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0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0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0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0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0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0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0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0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0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0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0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0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0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0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0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0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0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0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0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0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0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0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0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0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0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0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0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0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0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0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0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0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0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0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0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0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0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0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0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0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0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0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0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0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0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0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0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0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0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0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0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0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0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0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0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0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0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0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0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0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0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0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0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ref="P591:P654" si="21">IF(ISNUMBER(Q591),Q591,0)</f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1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1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1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1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1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1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1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1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1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1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1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1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1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1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1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1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1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1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1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1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1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1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1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1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1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1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1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1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1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1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1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1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1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1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1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1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1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1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1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1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1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1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1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1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1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1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1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1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1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1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1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1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1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1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1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1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1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1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1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1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1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1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1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ref="P655:P718" si="22">IF(ISNUMBER(Q655),Q655,0)</f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2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2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2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2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2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2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2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2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2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2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2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2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2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2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2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2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2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2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2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2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2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2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2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2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2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2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2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2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2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2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2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2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2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2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2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2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2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2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2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2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2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2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2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2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2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2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2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2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2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2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2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2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2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2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2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2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2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2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2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2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2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2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2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ref="P719:P782" si="23">IF(ISNUMBER(Q719),Q719,0)</f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3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3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3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3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3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3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3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3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3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3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3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3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3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3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3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3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3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3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3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3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3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3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3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3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3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3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3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3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3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3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3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3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3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3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3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3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3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3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3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3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3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3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3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3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3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3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3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3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3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3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3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3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3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3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3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3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3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3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3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3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3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3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3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ref="P783:P846" si="24">IF(ISNUMBER(Q783),Q783,0)</f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4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4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4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4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4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4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4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4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4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4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4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4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4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4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4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4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4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4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4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4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4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4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4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4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4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4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4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4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4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4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4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4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4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4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4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4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4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4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4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4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4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4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4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4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4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4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4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4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4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4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4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4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4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4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4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4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4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4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4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4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4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4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4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ref="P847:P910" si="25">IF(ISNUMBER(Q847),Q847,0)</f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5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5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5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5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5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5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5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5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5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5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5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5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5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5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5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5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5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5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5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5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5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5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5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5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5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5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5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5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5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5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5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5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5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5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5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5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5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5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5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5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5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5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5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5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5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5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5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5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5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5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5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5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5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5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5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5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5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5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5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5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5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5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5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ref="P911:P974" si="26">IF(ISNUMBER(Q911),Q911,0)</f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6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6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6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6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6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6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6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6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6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6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6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6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6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6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6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6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6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6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6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6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6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6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6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6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6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6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6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6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6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6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6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6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6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6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6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6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6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6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6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6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6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6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6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6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6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6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6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6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6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6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6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6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6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6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6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6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6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6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6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6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6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6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6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ref="P975:P1038" si="27">IF(ISNUMBER(Q975),Q975,0)</f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7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7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7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7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7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7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7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7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7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7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7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7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7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7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7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7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7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7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7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7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7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7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7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7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7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7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7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7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7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7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7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7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7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7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7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7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7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7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7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7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7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7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7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7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7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7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7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7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7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7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7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7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7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7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7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7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7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7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7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7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7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7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7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ref="P1039:P1102" si="28">IF(ISNUMBER(Q1039),Q1039,0)</f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8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8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8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8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8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8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8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8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8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8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8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8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8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8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8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8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8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8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8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8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8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8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8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8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8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8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8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8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8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8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8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8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8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8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8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8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8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8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8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8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8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8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8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8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8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8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8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8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8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8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8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8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8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8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8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8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8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8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8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8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8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8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8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ref="P1103:P1166" si="29">IF(ISNUMBER(Q1103),Q1103,0)</f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29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29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29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29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29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29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29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29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29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29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29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29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29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29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29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29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29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29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29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29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29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29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29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29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29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29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29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29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29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29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29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29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29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29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29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29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29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29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29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29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29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29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29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29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29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29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29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29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29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29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29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29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29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29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29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29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29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29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29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29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29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29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29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ref="P1167:P1230" si="30">IF(ISNUMBER(Q1167),Q1167,0)</f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0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0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0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0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0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0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0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0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0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0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0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0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0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0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0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0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0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0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0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0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0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0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0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0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0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0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0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0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0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0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0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0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0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0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0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0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0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0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0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0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0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0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0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0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0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0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0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0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0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0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0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0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0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0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0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0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0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0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0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0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0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0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0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ref="P1231:P1294" si="31">IF(ISNUMBER(Q1231),Q1231,0)</f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1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1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1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1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1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1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1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1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1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1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1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1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1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1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1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1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1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1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1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1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1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1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1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1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1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1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1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1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1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1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1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1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1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1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1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1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1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1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1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1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1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1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1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1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1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1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1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1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1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1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1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1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1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1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1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1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1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1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1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1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1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1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1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ref="P1295:P1358" si="32">IF(ISNUMBER(Q1295),Q1295,0)</f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2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2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2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2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2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2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2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2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2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2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2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2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2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2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2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2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2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2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2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2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2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2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2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2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2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2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2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2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2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2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2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2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2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2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2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2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2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2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2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2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2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2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2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2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2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2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2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2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2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2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2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2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2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2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2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2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2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2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2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2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2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2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2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ref="P1359:P1422" si="33">IF(ISNUMBER(Q1359),Q1359,0)</f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3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3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3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3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3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3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3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3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3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3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3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3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3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3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3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3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3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3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3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3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3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3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3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3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3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3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3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3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3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3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3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3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3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3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3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3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3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3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3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3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3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3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3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3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3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3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3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3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3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3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3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3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3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3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3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3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3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3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3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3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3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3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3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ref="P1423:P1486" si="34">IF(ISNUMBER(Q1423),Q1423,0)</f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4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4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4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4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4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4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4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4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4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4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4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4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4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4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4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4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4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4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4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4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4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4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4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4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4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4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4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4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4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4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4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4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4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4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4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4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4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4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4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4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4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4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4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4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4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4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4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4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4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4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4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4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4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4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4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4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4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4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4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4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4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4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4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ref="P1487:P1550" si="35">IF(ISNUMBER(Q1487),Q1487,0)</f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5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5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5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5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5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5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5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5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5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5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5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5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5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5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5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5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5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5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5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5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5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5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5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5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5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5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5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5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5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5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5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5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5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5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5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5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5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5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5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5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5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5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5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5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5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5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5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5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5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5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5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5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5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5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5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5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5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5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5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5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5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5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5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ref="P1551:P1614" si="36">IF(ISNUMBER(Q1551),Q1551,0)</f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6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6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6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6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6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6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6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6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6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6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6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6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6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6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6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6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6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6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6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6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6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6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6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6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6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6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6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6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6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6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6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6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6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6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6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6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6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6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6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6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6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6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6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6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6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6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6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6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6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6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6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6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6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6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6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6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6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6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6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6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6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6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6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ref="P1615:P1678" si="37">IF(ISNUMBER(Q1615),Q1615,0)</f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7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7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7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7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7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7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7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7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7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7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7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7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7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7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7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7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7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7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7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7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7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7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7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7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7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7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7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7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7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7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7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7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7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7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7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7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7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7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7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7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7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7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7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7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7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7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7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7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7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7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7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7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7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7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7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7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7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7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7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7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7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7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7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ref="P1679:P1733" si="38">IF(ISNUMBER(Q1679),Q1679,0)</f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8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8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8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8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8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8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8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8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8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8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8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8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8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8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8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8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8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8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8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8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8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8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8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8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8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8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8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8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8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8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8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8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8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8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8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8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8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8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8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8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8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8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8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8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8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8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8"/>
        <v>0</v>
      </c>
      <c r="Q1726" s="234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8"/>
        <v>0</v>
      </c>
      <c r="Q1727" s="248"/>
    </row>
    <row r="1728" spans="1:17">
      <c r="A1728" s="9" t="s">
        <v>773</v>
      </c>
      <c r="B1728" t="s">
        <v>794</v>
      </c>
      <c r="C1728" s="9" t="s">
        <v>1641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1</v>
      </c>
      <c r="N1728">
        <v>3</v>
      </c>
      <c r="O1728" s="14">
        <v>99999</v>
      </c>
      <c r="P1728" s="234">
        <f t="shared" si="38"/>
        <v>858509.01599999995</v>
      </c>
      <c r="Q1728" s="234">
        <f>'Rede Básica + Ajuste'!D9</f>
        <v>858509.01599999995</v>
      </c>
    </row>
    <row r="1729" spans="1:17">
      <c r="A1729" s="9" t="s">
        <v>773</v>
      </c>
      <c r="B1729" t="s">
        <v>794</v>
      </c>
      <c r="C1729" s="9" t="s">
        <v>1642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1</v>
      </c>
      <c r="K1729">
        <v>9</v>
      </c>
      <c r="L1729">
        <v>99</v>
      </c>
      <c r="M1729">
        <v>3</v>
      </c>
      <c r="N1729">
        <v>3</v>
      </c>
      <c r="O1729" s="14">
        <v>99999</v>
      </c>
      <c r="P1729" s="234">
        <f t="shared" si="38"/>
        <v>1383602.9000000001</v>
      </c>
      <c r="Q1729" s="234">
        <f>'Rede Básica + Ajuste'!D10</f>
        <v>1383602.9000000001</v>
      </c>
    </row>
    <row r="1730" spans="1:17">
      <c r="A1730" s="9" t="s">
        <v>773</v>
      </c>
      <c r="B1730" t="s">
        <v>794</v>
      </c>
      <c r="C1730" s="9" t="s">
        <v>1643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1</v>
      </c>
      <c r="N1730">
        <v>3</v>
      </c>
      <c r="O1730" s="14">
        <v>99999</v>
      </c>
      <c r="P1730" s="234">
        <f t="shared" si="38"/>
        <v>520857.38399999996</v>
      </c>
      <c r="Q1730" s="234">
        <f>'Rede Básica + Ajuste'!E9</f>
        <v>520857.38399999996</v>
      </c>
    </row>
    <row r="1731" spans="1:17">
      <c r="A1731" s="9" t="s">
        <v>773</v>
      </c>
      <c r="B1731" t="s">
        <v>794</v>
      </c>
      <c r="C1731" s="9" t="s">
        <v>1644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2</v>
      </c>
      <c r="K1731">
        <v>9</v>
      </c>
      <c r="L1731">
        <v>99</v>
      </c>
      <c r="M1731">
        <v>3</v>
      </c>
      <c r="N1731">
        <v>3</v>
      </c>
      <c r="O1731" s="14">
        <v>99999</v>
      </c>
      <c r="P1731" s="234">
        <f t="shared" si="38"/>
        <v>856116.70000000007</v>
      </c>
      <c r="Q1731" s="234">
        <f>'Rede Básica + Ajuste'!E10</f>
        <v>856116.70000000007</v>
      </c>
    </row>
    <row r="1732" spans="1:17">
      <c r="A1732" s="9" t="s">
        <v>773</v>
      </c>
      <c r="B1732" t="s">
        <v>794</v>
      </c>
      <c r="C1732" s="9" t="s">
        <v>1645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1</v>
      </c>
      <c r="N1732">
        <v>1</v>
      </c>
      <c r="O1732" s="14">
        <v>99999</v>
      </c>
      <c r="P1732" s="234">
        <f t="shared" si="38"/>
        <v>137.35199999999998</v>
      </c>
      <c r="Q1732" s="234">
        <f>'Rede Básica + Ajuste'!C9</f>
        <v>137.35199999999998</v>
      </c>
    </row>
    <row r="1733" spans="1:17">
      <c r="A1733" s="9" t="s">
        <v>773</v>
      </c>
      <c r="B1733" t="s">
        <v>794</v>
      </c>
      <c r="C1733" s="9" t="s">
        <v>1646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1</v>
      </c>
      <c r="K1733">
        <v>9</v>
      </c>
      <c r="L1733">
        <v>99</v>
      </c>
      <c r="M1733">
        <v>3</v>
      </c>
      <c r="N1733">
        <v>1</v>
      </c>
      <c r="O1733" s="14">
        <v>99999</v>
      </c>
      <c r="P1733" s="234">
        <f t="shared" si="38"/>
        <v>205.10000000000002</v>
      </c>
      <c r="Q1733" s="234">
        <f>'Rede Básica + Ajuste'!C10</f>
        <v>205.10000000000002</v>
      </c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6" bestFit="1" customWidth="1"/>
    <col min="2" max="2" width="12.5703125" style="506" bestFit="1" customWidth="1"/>
    <col min="3" max="3" width="10.140625" style="506" customWidth="1"/>
    <col min="4" max="4" width="50.42578125" style="506" bestFit="1" customWidth="1"/>
    <col min="5" max="5" width="41.140625" style="506" bestFit="1" customWidth="1"/>
    <col min="6" max="6" width="43.28515625" style="506" bestFit="1" customWidth="1"/>
    <col min="7" max="7" width="34.7109375" style="506" bestFit="1" customWidth="1"/>
    <col min="8" max="8" width="42.7109375" style="506" bestFit="1" customWidth="1"/>
    <col min="9" max="9" width="33.42578125" style="506" bestFit="1" customWidth="1"/>
    <col min="10" max="10" width="25.42578125" style="506" bestFit="1" customWidth="1"/>
    <col min="11" max="11" width="30.85546875" style="506" bestFit="1" customWidth="1"/>
    <col min="12" max="14" width="13" style="506" customWidth="1"/>
    <col min="15" max="15" width="12.5703125" style="506" bestFit="1" customWidth="1"/>
    <col min="16" max="16" width="12.5703125" style="506" customWidth="1"/>
    <col min="17" max="19" width="13" style="506" customWidth="1"/>
    <col min="20" max="20" width="41.140625" style="506" customWidth="1"/>
    <col min="21" max="22" width="13" style="506" customWidth="1"/>
    <col min="23" max="33" width="13" style="506" bestFit="1" customWidth="1"/>
    <col min="34" max="36" width="12.5703125" style="506" bestFit="1" customWidth="1"/>
    <col min="37" max="37" width="49.42578125" style="506" bestFit="1" customWidth="1"/>
    <col min="38" max="38" width="17.5703125" style="506" bestFit="1" customWidth="1"/>
    <col min="39" max="39" width="18" style="506" bestFit="1" customWidth="1"/>
    <col min="40" max="40" width="17.5703125" style="506" bestFit="1" customWidth="1"/>
    <col min="41" max="41" width="18" style="506" bestFit="1" customWidth="1"/>
    <col min="42" max="42" width="17" style="506" bestFit="1" customWidth="1"/>
    <col min="43" max="43" width="17.5703125" style="506" bestFit="1" customWidth="1"/>
    <col min="44" max="44" width="18" style="506" bestFit="1" customWidth="1"/>
    <col min="45" max="47" width="17.5703125" style="506" bestFit="1" customWidth="1"/>
    <col min="48" max="48" width="17" style="506" bestFit="1" customWidth="1"/>
    <col min="49" max="51" width="17.5703125" style="506" bestFit="1" customWidth="1"/>
    <col min="52" max="52" width="17" style="506" bestFit="1" customWidth="1"/>
    <col min="53" max="53" width="17.5703125" style="506" bestFit="1" customWidth="1"/>
    <col min="54" max="54" width="40.85546875" style="506" bestFit="1" customWidth="1"/>
    <col min="55" max="70" width="10.140625" style="506" bestFit="1" customWidth="1"/>
    <col min="71" max="71" width="42.7109375" style="506" bestFit="1" customWidth="1"/>
    <col min="72" max="72" width="16.5703125" style="506" bestFit="1" customWidth="1"/>
    <col min="73" max="75" width="17.5703125" style="506" bestFit="1" customWidth="1"/>
    <col min="76" max="76" width="17" style="506" bestFit="1" customWidth="1"/>
    <col min="77" max="77" width="17.5703125" style="506" bestFit="1" customWidth="1"/>
    <col min="78" max="79" width="17" style="506" bestFit="1" customWidth="1"/>
    <col min="80" max="80" width="17.5703125" style="506" bestFit="1" customWidth="1"/>
    <col min="81" max="82" width="17" style="506" bestFit="1" customWidth="1"/>
    <col min="83" max="84" width="17.5703125" style="506" bestFit="1" customWidth="1"/>
    <col min="85" max="86" width="18" style="506" bestFit="1" customWidth="1"/>
    <col min="87" max="87" width="17" style="506" bestFit="1" customWidth="1"/>
    <col min="88" max="88" width="33.42578125" style="506" bestFit="1" customWidth="1"/>
    <col min="89" max="104" width="10.140625" style="506" bestFit="1" customWidth="1"/>
    <col min="105" max="105" width="25.42578125" style="506" bestFit="1" customWidth="1"/>
    <col min="106" max="119" width="10.140625" style="506" bestFit="1" customWidth="1"/>
    <col min="120" max="120" width="11.140625" style="506" bestFit="1" customWidth="1"/>
    <col min="121" max="121" width="10.140625" style="506" bestFit="1" customWidth="1"/>
    <col min="122" max="122" width="30.85546875" style="506" bestFit="1" customWidth="1"/>
    <col min="123" max="123" width="13.42578125" style="506" bestFit="1" customWidth="1"/>
    <col min="124" max="125" width="14" style="506" bestFit="1" customWidth="1"/>
    <col min="126" max="126" width="13.42578125" style="506" bestFit="1" customWidth="1"/>
    <col min="127" max="127" width="14.42578125" style="506" bestFit="1" customWidth="1"/>
    <col min="128" max="130" width="14" style="506" bestFit="1" customWidth="1"/>
    <col min="131" max="131" width="14.42578125" style="506" bestFit="1" customWidth="1"/>
    <col min="132" max="132" width="14" style="506" bestFit="1" customWidth="1"/>
    <col min="133" max="133" width="14.42578125" style="506" bestFit="1" customWidth="1"/>
    <col min="134" max="134" width="14" style="506" bestFit="1" customWidth="1"/>
    <col min="135" max="135" width="13.42578125" style="506" bestFit="1" customWidth="1"/>
    <col min="136" max="138" width="14.42578125" style="506" bestFit="1" customWidth="1"/>
    <col min="139" max="16384" width="9.140625" style="506"/>
  </cols>
  <sheetData>
    <row r="1" spans="1:138">
      <c r="A1" s="1477" t="s">
        <v>1647</v>
      </c>
      <c r="B1" s="506">
        <f>YEAR(SAS_RA0_DataInicio)*100+MONTH(SAS_RA0_DataInicio)</f>
        <v>202107</v>
      </c>
      <c r="D1" s="1477" t="s">
        <v>1648</v>
      </c>
      <c r="E1" s="1477" t="s">
        <v>1649</v>
      </c>
      <c r="F1" s="1477" t="s">
        <v>1650</v>
      </c>
    </row>
    <row r="2" spans="1:138" ht="15.75">
      <c r="A2" s="1477" t="s">
        <v>1651</v>
      </c>
      <c r="B2" s="506">
        <f>YEAR(SAS_RA0_DataFim)*100+MONTH(SAS_RA0_DataFim)</f>
        <v>202206</v>
      </c>
      <c r="D2" s="1478" t="str">
        <f>UPPER(VLOOKUP(LnkTXTSigla,Informacoes[],9,FALSE))</f>
        <v>RGE</v>
      </c>
      <c r="E2" s="506">
        <f>IF(_xlfn.MAXIFS(C:C,A:A,D2)&gt;B2,B2,_xlfn.MAXIFS(C:C,A:A,D2))</f>
        <v>0</v>
      </c>
      <c r="F2" s="508">
        <f>YEAR(SAS_RA0_DataFim)*100+MONTH(SAS_RA0_DataFim)-E2+1</f>
        <v>202207</v>
      </c>
    </row>
    <row r="3" spans="1:138" ht="15.75">
      <c r="A3" s="1479" t="s">
        <v>230</v>
      </c>
      <c r="B3" s="508">
        <f>YEAR(SAS_RA0_DataFim)*100+MONTH(SAS_RA0_DataFim)-MAX(C:C)+1</f>
        <v>202207</v>
      </c>
      <c r="D3" s="1478" t="str">
        <f>UPPER(VLOOKUP(LnkTXTSigla,Informacoes[],11,FALSE))</f>
        <v/>
      </c>
      <c r="E3" s="506">
        <f>IF(_xlfn.MAXIFS(C:C,A:A,D3)&gt;B2,B2,_xlfn.MAXIFS(C:C,A:A,D3))</f>
        <v>0</v>
      </c>
      <c r="F3" s="508">
        <f>YEAR(SAS_RA0_DataFim)*100+MONTH(SAS_RA0_DataFim)-E3+1</f>
        <v>202207</v>
      </c>
    </row>
    <row r="4" spans="1:138" ht="15.75">
      <c r="A4" s="522" t="s">
        <v>1652</v>
      </c>
      <c r="B4" s="523" t="s">
        <v>1653</v>
      </c>
    </row>
    <row r="6" spans="1:138" ht="15.75">
      <c r="A6" s="799"/>
      <c r="B6" s="800"/>
      <c r="C6" s="800"/>
      <c r="D6" s="52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7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7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2" bestFit="1" customWidth="1"/>
    <col min="2" max="4" width="9.140625" style="482"/>
    <col min="5" max="5" width="35.7109375" style="482" customWidth="1"/>
    <col min="6" max="6" width="12.5703125" style="482" bestFit="1" customWidth="1"/>
    <col min="7" max="7" width="12.7109375" style="482" customWidth="1"/>
    <col min="8" max="8" width="10.5703125" style="482" bestFit="1" customWidth="1"/>
    <col min="9" max="9" width="10.85546875" style="482" bestFit="1" customWidth="1"/>
    <col min="10" max="10" width="10.140625" style="482" bestFit="1" customWidth="1"/>
    <col min="11" max="11" width="5" style="482" bestFit="1" customWidth="1"/>
    <col min="12" max="12" width="8.85546875" style="482" bestFit="1" customWidth="1"/>
    <col min="13" max="13" width="8.7109375" style="482" bestFit="1" customWidth="1"/>
    <col min="14" max="16384" width="9.140625" style="482"/>
  </cols>
  <sheetData>
    <row r="1" spans="1:2">
      <c r="A1" s="1480" t="s">
        <v>1654</v>
      </c>
      <c r="B1" s="1481">
        <v>0</v>
      </c>
    </row>
    <row r="2" spans="1:2">
      <c r="A2" s="1480" t="s">
        <v>1655</v>
      </c>
      <c r="B2" s="1481">
        <v>0</v>
      </c>
    </row>
    <row r="3" spans="1:2">
      <c r="A3" s="1480" t="s">
        <v>1656</v>
      </c>
      <c r="B3" s="1481">
        <v>0</v>
      </c>
    </row>
    <row r="4" spans="1:2">
      <c r="A4" s="1480" t="s">
        <v>1657</v>
      </c>
      <c r="B4" s="1481">
        <v>0</v>
      </c>
    </row>
    <row r="5" spans="1:2">
      <c r="A5" s="1480" t="s">
        <v>1658</v>
      </c>
      <c r="B5" s="1481">
        <v>0</v>
      </c>
    </row>
    <row r="6" spans="1:2">
      <c r="A6" s="1480" t="s">
        <v>1659</v>
      </c>
      <c r="B6" s="1481">
        <v>0</v>
      </c>
    </row>
    <row r="7" spans="1:2">
      <c r="A7" s="1480" t="s">
        <v>1660</v>
      </c>
      <c r="B7" s="1481">
        <v>0</v>
      </c>
    </row>
    <row r="8" spans="1:2">
      <c r="A8" s="1480" t="s">
        <v>1661</v>
      </c>
      <c r="B8" s="1481">
        <v>0</v>
      </c>
    </row>
    <row r="9" spans="1:2">
      <c r="A9" s="1480" t="s">
        <v>1662</v>
      </c>
      <c r="B9" s="1481">
        <v>0.45</v>
      </c>
    </row>
    <row r="10" spans="1:2">
      <c r="A10" s="1480" t="s">
        <v>1663</v>
      </c>
      <c r="B10" s="1481">
        <v>0.4</v>
      </c>
    </row>
    <row r="11" spans="1:2">
      <c r="A11" s="1480" t="s">
        <v>1664</v>
      </c>
      <c r="B11" s="1480">
        <v>0.65</v>
      </c>
    </row>
    <row r="12" spans="1:2">
      <c r="A12" s="1480" t="s">
        <v>1665</v>
      </c>
      <c r="B12" s="1480">
        <v>0.4</v>
      </c>
    </row>
    <row r="13" spans="1:2">
      <c r="A13" s="1480" t="s">
        <v>1666</v>
      </c>
      <c r="B13" s="1480">
        <v>0.1</v>
      </c>
    </row>
    <row r="14" spans="1:2">
      <c r="A14" s="1480" t="s">
        <v>1667</v>
      </c>
      <c r="B14" s="1480">
        <v>0</v>
      </c>
    </row>
    <row r="15" spans="1:2">
      <c r="A15" s="1480" t="s">
        <v>1668</v>
      </c>
      <c r="B15" s="1480">
        <v>0.3</v>
      </c>
    </row>
    <row r="16" spans="1:2">
      <c r="A16" s="1480" t="s">
        <v>1669</v>
      </c>
      <c r="B16" s="1480">
        <v>0.3</v>
      </c>
    </row>
    <row r="17" spans="1:13">
      <c r="A17" s="1480" t="s">
        <v>1670</v>
      </c>
      <c r="B17" s="1480">
        <v>0.4</v>
      </c>
    </row>
    <row r="20" spans="1:13" ht="15">
      <c r="D20" s="1482" t="s">
        <v>1491</v>
      </c>
      <c r="E20" s="1482" t="s">
        <v>1040</v>
      </c>
      <c r="F20" s="1482" t="s">
        <v>1671</v>
      </c>
      <c r="G20" s="1482" t="s">
        <v>1672</v>
      </c>
      <c r="H20" s="1482" t="s">
        <v>1673</v>
      </c>
      <c r="I20" s="1482" t="s">
        <v>1674</v>
      </c>
      <c r="J20" s="1482" t="s">
        <v>1675</v>
      </c>
      <c r="K20" s="1482" t="s">
        <v>1676</v>
      </c>
      <c r="L20" s="1482" t="s">
        <v>1677</v>
      </c>
      <c r="M20" s="1482" t="s">
        <v>1124</v>
      </c>
    </row>
    <row r="21" spans="1:13" ht="30" hidden="1">
      <c r="D21" s="1483">
        <v>26</v>
      </c>
      <c r="E21" s="1484" t="s">
        <v>1678</v>
      </c>
      <c r="F21" s="1484" t="s">
        <v>137</v>
      </c>
      <c r="G21" s="1485">
        <v>41243</v>
      </c>
      <c r="H21" s="1486">
        <v>41243</v>
      </c>
      <c r="I21" s="1484" t="s">
        <v>1043</v>
      </c>
      <c r="J21" s="1484" t="s">
        <v>138</v>
      </c>
      <c r="K21" s="1483">
        <v>1663</v>
      </c>
      <c r="L21" s="1484" t="s">
        <v>1679</v>
      </c>
      <c r="M21" s="1484" t="s">
        <v>1680</v>
      </c>
    </row>
    <row r="22" spans="1:13" ht="30" hidden="1">
      <c r="D22" s="1483">
        <v>28</v>
      </c>
      <c r="E22" s="1484" t="s">
        <v>1681</v>
      </c>
      <c r="F22" s="1484" t="s">
        <v>1682</v>
      </c>
      <c r="G22" s="1485">
        <v>41214</v>
      </c>
      <c r="H22" s="483"/>
      <c r="I22" s="1484" t="s">
        <v>1043</v>
      </c>
      <c r="J22" s="1484" t="s">
        <v>138</v>
      </c>
      <c r="K22" s="1483">
        <v>1665</v>
      </c>
      <c r="L22" s="1484" t="s">
        <v>138</v>
      </c>
      <c r="M22" s="1484" t="s">
        <v>1680</v>
      </c>
    </row>
    <row r="23" spans="1:13" ht="30" hidden="1">
      <c r="D23" s="1483">
        <v>31</v>
      </c>
      <c r="E23" s="1484" t="s">
        <v>1683</v>
      </c>
      <c r="F23" s="1484" t="s">
        <v>139</v>
      </c>
      <c r="G23" s="1485">
        <v>41243</v>
      </c>
      <c r="H23" s="483"/>
      <c r="I23" s="1484" t="s">
        <v>1043</v>
      </c>
      <c r="J23" s="1484" t="s">
        <v>138</v>
      </c>
      <c r="K23" s="1483">
        <v>1666</v>
      </c>
      <c r="L23" s="1484" t="s">
        <v>138</v>
      </c>
      <c r="M23" s="1484" t="s">
        <v>1680</v>
      </c>
    </row>
    <row r="24" spans="1:13" ht="30" hidden="1">
      <c r="D24" s="1483">
        <v>32</v>
      </c>
      <c r="E24" s="1484" t="s">
        <v>1684</v>
      </c>
      <c r="F24" s="1484" t="s">
        <v>140</v>
      </c>
      <c r="G24" s="1485">
        <v>41094</v>
      </c>
      <c r="H24" s="483"/>
      <c r="I24" s="1484" t="s">
        <v>1043</v>
      </c>
      <c r="J24" s="1484" t="s">
        <v>138</v>
      </c>
      <c r="K24" s="1483">
        <v>1668</v>
      </c>
      <c r="L24" s="1484" t="s">
        <v>1685</v>
      </c>
      <c r="M24" s="1484" t="s">
        <v>1680</v>
      </c>
    </row>
    <row r="25" spans="1:13" ht="30" hidden="1">
      <c r="D25" s="1483">
        <v>37</v>
      </c>
      <c r="E25" s="1484" t="s">
        <v>1686</v>
      </c>
      <c r="F25" s="1484" t="s">
        <v>141</v>
      </c>
      <c r="G25" s="1485">
        <v>41149</v>
      </c>
      <c r="H25" s="483"/>
      <c r="I25" s="1484" t="s">
        <v>1043</v>
      </c>
      <c r="J25" s="1484" t="s">
        <v>138</v>
      </c>
      <c r="K25" s="1483">
        <v>1669</v>
      </c>
      <c r="L25" s="1484" t="s">
        <v>1687</v>
      </c>
      <c r="M25" s="1484" t="s">
        <v>1680</v>
      </c>
    </row>
    <row r="26" spans="1:13" ht="30" hidden="1">
      <c r="D26" s="1483">
        <v>38</v>
      </c>
      <c r="E26" s="1484" t="s">
        <v>1688</v>
      </c>
      <c r="F26" s="1484" t="s">
        <v>142</v>
      </c>
      <c r="G26" s="1485">
        <v>41180</v>
      </c>
      <c r="H26" s="1486">
        <v>41149</v>
      </c>
      <c r="I26" s="1484" t="s">
        <v>1043</v>
      </c>
      <c r="J26" s="1484" t="s">
        <v>138</v>
      </c>
      <c r="K26" s="1483">
        <v>1670</v>
      </c>
      <c r="L26" s="1484" t="s">
        <v>1689</v>
      </c>
      <c r="M26" s="1484" t="s">
        <v>1680</v>
      </c>
    </row>
    <row r="27" spans="1:13" ht="30" hidden="1">
      <c r="D27" s="1483">
        <v>39</v>
      </c>
      <c r="E27" s="1484" t="s">
        <v>1690</v>
      </c>
      <c r="F27" s="1484" t="s">
        <v>1691</v>
      </c>
      <c r="G27" s="1485">
        <v>41021</v>
      </c>
      <c r="H27" s="483"/>
      <c r="I27" s="1484" t="s">
        <v>1043</v>
      </c>
      <c r="J27" s="1484" t="s">
        <v>138</v>
      </c>
      <c r="K27" s="1483">
        <v>1671</v>
      </c>
      <c r="L27" s="1484" t="s">
        <v>1692</v>
      </c>
      <c r="M27" s="1484" t="s">
        <v>1680</v>
      </c>
    </row>
    <row r="28" spans="1:13" ht="30" hidden="1">
      <c r="D28" s="1483">
        <v>40</v>
      </c>
      <c r="E28" s="1484" t="s">
        <v>1693</v>
      </c>
      <c r="F28" s="1484" t="s">
        <v>144</v>
      </c>
      <c r="G28" s="1485">
        <v>41021</v>
      </c>
      <c r="H28" s="483"/>
      <c r="I28" s="1484" t="s">
        <v>1043</v>
      </c>
      <c r="J28" s="1484" t="s">
        <v>138</v>
      </c>
      <c r="K28" s="1483">
        <v>1672</v>
      </c>
      <c r="L28" s="1484" t="s">
        <v>1694</v>
      </c>
      <c r="M28" s="1484" t="s">
        <v>1680</v>
      </c>
    </row>
    <row r="29" spans="1:13" ht="30" hidden="1">
      <c r="D29" s="1483">
        <v>43</v>
      </c>
      <c r="E29" s="1484" t="s">
        <v>1695</v>
      </c>
      <c r="F29" s="1484" t="s">
        <v>145</v>
      </c>
      <c r="G29" s="1485">
        <v>41028</v>
      </c>
      <c r="H29" s="483"/>
      <c r="I29" s="1484" t="s">
        <v>1043</v>
      </c>
      <c r="J29" s="1484" t="s">
        <v>138</v>
      </c>
      <c r="K29" s="1483">
        <v>1674</v>
      </c>
      <c r="L29" s="1484" t="s">
        <v>1696</v>
      </c>
      <c r="M29" s="1484" t="s">
        <v>1680</v>
      </c>
    </row>
    <row r="30" spans="1:13" ht="30" hidden="1">
      <c r="D30" s="1483">
        <v>44</v>
      </c>
      <c r="E30" s="1484" t="s">
        <v>1697</v>
      </c>
      <c r="F30" s="1484" t="s">
        <v>146</v>
      </c>
      <c r="G30" s="1485">
        <v>41180</v>
      </c>
      <c r="H30" s="483"/>
      <c r="I30" s="1484" t="s">
        <v>1043</v>
      </c>
      <c r="J30" s="1484" t="s">
        <v>138</v>
      </c>
      <c r="K30" s="1483">
        <v>1675</v>
      </c>
      <c r="L30" s="1484" t="s">
        <v>1698</v>
      </c>
      <c r="M30" s="1484" t="s">
        <v>1680</v>
      </c>
    </row>
    <row r="31" spans="1:13" ht="30" hidden="1">
      <c r="D31" s="1483">
        <v>46</v>
      </c>
      <c r="E31" s="1484" t="s">
        <v>1699</v>
      </c>
      <c r="F31" s="1484" t="s">
        <v>147</v>
      </c>
      <c r="G31" s="1485">
        <v>41051</v>
      </c>
      <c r="H31" s="1486">
        <v>41257</v>
      </c>
      <c r="I31" s="1484" t="s">
        <v>1043</v>
      </c>
      <c r="J31" s="1484" t="s">
        <v>1700</v>
      </c>
      <c r="K31" s="1483">
        <v>1676</v>
      </c>
      <c r="L31" s="1484" t="s">
        <v>1701</v>
      </c>
      <c r="M31" s="1484" t="s">
        <v>1680</v>
      </c>
    </row>
    <row r="32" spans="1:13" ht="30" hidden="1">
      <c r="D32" s="1483">
        <v>47</v>
      </c>
      <c r="E32" s="1484" t="s">
        <v>1702</v>
      </c>
      <c r="F32" s="1484" t="s">
        <v>148</v>
      </c>
      <c r="G32" s="1485">
        <v>41021</v>
      </c>
      <c r="H32" s="483"/>
      <c r="I32" s="1484" t="s">
        <v>1043</v>
      </c>
      <c r="J32" s="1484" t="s">
        <v>138</v>
      </c>
      <c r="K32" s="1483">
        <v>1677</v>
      </c>
      <c r="L32" s="1484" t="s">
        <v>1703</v>
      </c>
      <c r="M32" s="1484" t="s">
        <v>1680</v>
      </c>
    </row>
    <row r="33" spans="4:13" ht="15" hidden="1">
      <c r="D33" s="1483">
        <v>51</v>
      </c>
      <c r="E33" s="1484" t="s">
        <v>1704</v>
      </c>
      <c r="F33" s="1484" t="s">
        <v>149</v>
      </c>
      <c r="G33" s="1485">
        <v>41235</v>
      </c>
      <c r="H33" s="1486">
        <v>41210</v>
      </c>
      <c r="I33" s="1484" t="s">
        <v>1043</v>
      </c>
      <c r="J33" s="1484" t="s">
        <v>1700</v>
      </c>
      <c r="K33" s="1483">
        <v>1682</v>
      </c>
      <c r="L33" s="1484" t="s">
        <v>1705</v>
      </c>
      <c r="M33" s="1484" t="s">
        <v>1680</v>
      </c>
    </row>
    <row r="34" spans="4:13" ht="15" hidden="1">
      <c r="D34" s="1483">
        <v>56</v>
      </c>
      <c r="E34" s="1484" t="s">
        <v>1706</v>
      </c>
      <c r="F34" s="1484" t="s">
        <v>1707</v>
      </c>
      <c r="G34" s="483"/>
      <c r="H34" s="483"/>
      <c r="I34" s="1484" t="s">
        <v>1043</v>
      </c>
      <c r="J34" s="1484" t="s">
        <v>138</v>
      </c>
      <c r="K34" s="1483">
        <v>1683</v>
      </c>
      <c r="L34" s="1484" t="s">
        <v>138</v>
      </c>
      <c r="M34" s="1484" t="s">
        <v>1680</v>
      </c>
    </row>
    <row r="35" spans="4:13" ht="30" hidden="1">
      <c r="D35" s="1483">
        <v>63</v>
      </c>
      <c r="E35" s="1484" t="s">
        <v>1708</v>
      </c>
      <c r="F35" s="1484" t="s">
        <v>150</v>
      </c>
      <c r="G35" s="1485">
        <v>41007</v>
      </c>
      <c r="H35" s="483"/>
      <c r="I35" s="1484" t="s">
        <v>1043</v>
      </c>
      <c r="J35" s="1484" t="s">
        <v>138</v>
      </c>
      <c r="K35" s="1483">
        <v>1688</v>
      </c>
      <c r="L35" s="1484" t="s">
        <v>1709</v>
      </c>
      <c r="M35" s="1484" t="s">
        <v>1680</v>
      </c>
    </row>
    <row r="36" spans="4:13" ht="30" hidden="1">
      <c r="D36" s="1483">
        <v>69</v>
      </c>
      <c r="E36" s="1484" t="s">
        <v>1710</v>
      </c>
      <c r="F36" s="1484" t="s">
        <v>1711</v>
      </c>
      <c r="G36" s="1485">
        <v>40990</v>
      </c>
      <c r="H36" s="1486">
        <v>42038</v>
      </c>
      <c r="I36" s="1484" t="s">
        <v>1043</v>
      </c>
      <c r="J36" s="1484" t="s">
        <v>138</v>
      </c>
      <c r="K36" s="1483">
        <v>1692</v>
      </c>
      <c r="L36" s="1484" t="s">
        <v>1712</v>
      </c>
      <c r="M36" s="1484" t="s">
        <v>1680</v>
      </c>
    </row>
    <row r="37" spans="4:13" ht="30" hidden="1">
      <c r="D37" s="1483">
        <v>70</v>
      </c>
      <c r="E37" s="1484" t="s">
        <v>1713</v>
      </c>
      <c r="F37" s="1484" t="s">
        <v>1714</v>
      </c>
      <c r="G37" s="1485">
        <v>40990</v>
      </c>
      <c r="H37" s="1486">
        <v>42038</v>
      </c>
      <c r="I37" s="1484" t="s">
        <v>1043</v>
      </c>
      <c r="J37" s="1484" t="s">
        <v>138</v>
      </c>
      <c r="K37" s="1483">
        <v>1693</v>
      </c>
      <c r="L37" s="1484" t="s">
        <v>1715</v>
      </c>
      <c r="M37" s="1484" t="s">
        <v>1680</v>
      </c>
    </row>
    <row r="38" spans="4:13" ht="30" hidden="1">
      <c r="D38" s="1483">
        <v>71</v>
      </c>
      <c r="E38" s="1484" t="s">
        <v>1716</v>
      </c>
      <c r="F38" s="1484" t="s">
        <v>1717</v>
      </c>
      <c r="G38" s="1485">
        <v>40990</v>
      </c>
      <c r="H38" s="1486">
        <v>42038</v>
      </c>
      <c r="I38" s="1484" t="s">
        <v>1043</v>
      </c>
      <c r="J38" s="1484" t="s">
        <v>138</v>
      </c>
      <c r="K38" s="1483">
        <v>1694</v>
      </c>
      <c r="L38" s="1484" t="s">
        <v>1718</v>
      </c>
      <c r="M38" s="1484" t="s">
        <v>1680</v>
      </c>
    </row>
    <row r="39" spans="4:13" ht="30" hidden="1">
      <c r="D39" s="1483">
        <v>72</v>
      </c>
      <c r="E39" s="1484" t="s">
        <v>1719</v>
      </c>
      <c r="F39" s="1484" t="s">
        <v>204</v>
      </c>
      <c r="G39" s="1485">
        <v>40990</v>
      </c>
      <c r="H39" s="1486">
        <v>42038</v>
      </c>
      <c r="I39" s="1484" t="s">
        <v>1043</v>
      </c>
      <c r="J39" s="1484" t="s">
        <v>138</v>
      </c>
      <c r="K39" s="1483">
        <v>1695</v>
      </c>
      <c r="L39" s="1484" t="s">
        <v>1720</v>
      </c>
      <c r="M39" s="1484" t="s">
        <v>1680</v>
      </c>
    </row>
    <row r="40" spans="4:13" ht="30" hidden="1">
      <c r="D40" s="1483">
        <v>73</v>
      </c>
      <c r="E40" s="1484" t="s">
        <v>1721</v>
      </c>
      <c r="F40" s="1484" t="s">
        <v>1722</v>
      </c>
      <c r="G40" s="1485">
        <v>40990</v>
      </c>
      <c r="H40" s="1486">
        <v>42038</v>
      </c>
      <c r="I40" s="1484" t="s">
        <v>1043</v>
      </c>
      <c r="J40" s="1484" t="s">
        <v>1700</v>
      </c>
      <c r="K40" s="1483">
        <v>1696</v>
      </c>
      <c r="L40" s="1484" t="s">
        <v>1723</v>
      </c>
      <c r="M40" s="1484" t="s">
        <v>1680</v>
      </c>
    </row>
    <row r="41" spans="4:13" ht="30" hidden="1">
      <c r="D41" s="1483">
        <v>75</v>
      </c>
      <c r="E41" s="1484" t="s">
        <v>1724</v>
      </c>
      <c r="F41" s="1484" t="s">
        <v>1725</v>
      </c>
      <c r="G41" s="1485">
        <v>41039</v>
      </c>
      <c r="H41" s="483"/>
      <c r="I41" s="1484" t="s">
        <v>1043</v>
      </c>
      <c r="J41" s="1484" t="s">
        <v>138</v>
      </c>
      <c r="K41" s="1483">
        <v>1697</v>
      </c>
      <c r="L41" s="1484" t="s">
        <v>1726</v>
      </c>
      <c r="M41" s="1484" t="s">
        <v>1680</v>
      </c>
    </row>
    <row r="42" spans="4:13" ht="30" hidden="1">
      <c r="D42" s="1483">
        <v>82</v>
      </c>
      <c r="E42" s="1484" t="s">
        <v>1727</v>
      </c>
      <c r="F42" s="1484" t="s">
        <v>151</v>
      </c>
      <c r="G42" s="1485">
        <v>41089</v>
      </c>
      <c r="H42" s="1486">
        <v>41084</v>
      </c>
      <c r="I42" s="1484" t="s">
        <v>1043</v>
      </c>
      <c r="J42" s="1484" t="s">
        <v>1700</v>
      </c>
      <c r="K42" s="1483">
        <v>1701</v>
      </c>
      <c r="L42" s="1484" t="s">
        <v>1728</v>
      </c>
      <c r="M42" s="1484" t="s">
        <v>1680</v>
      </c>
    </row>
    <row r="43" spans="4:13" ht="30" hidden="1">
      <c r="D43" s="1483">
        <v>83</v>
      </c>
      <c r="E43" s="1484" t="s">
        <v>1729</v>
      </c>
      <c r="F43" s="1484" t="s">
        <v>207</v>
      </c>
      <c r="G43" s="1485">
        <v>41147</v>
      </c>
      <c r="H43" s="483"/>
      <c r="I43" s="1484" t="s">
        <v>1043</v>
      </c>
      <c r="J43" s="1484" t="s">
        <v>1700</v>
      </c>
      <c r="K43" s="1483">
        <v>1702</v>
      </c>
      <c r="L43" s="1484" t="s">
        <v>1730</v>
      </c>
      <c r="M43" s="1484" t="s">
        <v>1680</v>
      </c>
    </row>
    <row r="44" spans="4:13" ht="30" hidden="1">
      <c r="D44" s="1483">
        <v>84</v>
      </c>
      <c r="E44" s="1484" t="s">
        <v>1731</v>
      </c>
      <c r="F44" s="1484" t="s">
        <v>1732</v>
      </c>
      <c r="G44" s="1485">
        <v>41089</v>
      </c>
      <c r="H44" s="483"/>
      <c r="I44" s="1484" t="s">
        <v>1043</v>
      </c>
      <c r="J44" s="1484" t="s">
        <v>1700</v>
      </c>
      <c r="K44" s="1483">
        <v>1703</v>
      </c>
      <c r="L44" s="1484" t="s">
        <v>1733</v>
      </c>
      <c r="M44" s="1484" t="s">
        <v>1680</v>
      </c>
    </row>
    <row r="45" spans="4:13" ht="30" hidden="1">
      <c r="D45" s="1483">
        <v>86</v>
      </c>
      <c r="E45" s="1484" t="s">
        <v>1734</v>
      </c>
      <c r="F45" s="1484" t="s">
        <v>152</v>
      </c>
      <c r="G45" s="1485">
        <v>41150</v>
      </c>
      <c r="H45" s="1486">
        <v>41865</v>
      </c>
      <c r="I45" s="1484" t="s">
        <v>1043</v>
      </c>
      <c r="J45" s="1484" t="s">
        <v>1700</v>
      </c>
      <c r="K45" s="1483">
        <v>1704</v>
      </c>
      <c r="L45" s="1484" t="s">
        <v>1735</v>
      </c>
      <c r="M45" s="1484" t="s">
        <v>1680</v>
      </c>
    </row>
    <row r="46" spans="4:13" ht="30" hidden="1">
      <c r="D46" s="1483">
        <v>87</v>
      </c>
      <c r="E46" s="1484" t="s">
        <v>1736</v>
      </c>
      <c r="F46" s="1484" t="s">
        <v>153</v>
      </c>
      <c r="G46" s="1485">
        <v>41150</v>
      </c>
      <c r="H46" s="1486">
        <v>41128</v>
      </c>
      <c r="I46" s="1484" t="s">
        <v>1043</v>
      </c>
      <c r="J46" s="1484" t="s">
        <v>1700</v>
      </c>
      <c r="K46" s="1483">
        <v>1705</v>
      </c>
      <c r="L46" s="1484" t="s">
        <v>1737</v>
      </c>
      <c r="M46" s="1484" t="s">
        <v>1680</v>
      </c>
    </row>
    <row r="47" spans="4:13" ht="30" hidden="1">
      <c r="D47" s="1483">
        <v>88</v>
      </c>
      <c r="E47" s="1484" t="s">
        <v>1738</v>
      </c>
      <c r="F47" s="1484" t="s">
        <v>1739</v>
      </c>
      <c r="G47" s="1485">
        <v>41150</v>
      </c>
      <c r="H47" s="1486">
        <v>41865</v>
      </c>
      <c r="I47" s="1484" t="s">
        <v>1043</v>
      </c>
      <c r="J47" s="1484" t="s">
        <v>1700</v>
      </c>
      <c r="K47" s="1483">
        <v>1706</v>
      </c>
      <c r="L47" s="1484" t="s">
        <v>1740</v>
      </c>
      <c r="M47" s="1484" t="s">
        <v>1680</v>
      </c>
    </row>
    <row r="48" spans="4:13" ht="15" hidden="1">
      <c r="D48" s="1483">
        <v>95</v>
      </c>
      <c r="E48" s="1484" t="s">
        <v>1741</v>
      </c>
      <c r="F48" s="1484" t="s">
        <v>154</v>
      </c>
      <c r="G48" s="1485">
        <v>41112</v>
      </c>
      <c r="H48" s="1486">
        <v>41089</v>
      </c>
      <c r="I48" s="1484" t="s">
        <v>1043</v>
      </c>
      <c r="J48" s="1484" t="s">
        <v>1700</v>
      </c>
      <c r="K48" s="1483">
        <v>1708</v>
      </c>
      <c r="L48" s="1484" t="s">
        <v>1742</v>
      </c>
      <c r="M48" s="1484" t="s">
        <v>1680</v>
      </c>
    </row>
    <row r="49" spans="4:13" ht="30" hidden="1">
      <c r="D49" s="1483">
        <v>103</v>
      </c>
      <c r="E49" s="1484" t="s">
        <v>1743</v>
      </c>
      <c r="F49" s="1484" t="s">
        <v>155</v>
      </c>
      <c r="G49" s="1485">
        <v>41235</v>
      </c>
      <c r="H49" s="1486">
        <v>41164</v>
      </c>
      <c r="I49" s="1484" t="s">
        <v>1043</v>
      </c>
      <c r="J49" s="1484" t="s">
        <v>1700</v>
      </c>
      <c r="K49" s="1483">
        <v>1710</v>
      </c>
      <c r="L49" s="1484" t="s">
        <v>1744</v>
      </c>
      <c r="M49" s="1484" t="s">
        <v>1680</v>
      </c>
    </row>
    <row r="50" spans="4:13" ht="30">
      <c r="D50" s="1483">
        <v>213</v>
      </c>
      <c r="E50" s="1484" t="s">
        <v>1745</v>
      </c>
      <c r="F50" s="1484" t="s">
        <v>1746</v>
      </c>
      <c r="G50" s="483"/>
      <c r="H50" s="483"/>
      <c r="I50" s="1484" t="s">
        <v>1043</v>
      </c>
      <c r="J50" s="1484" t="s">
        <v>138</v>
      </c>
      <c r="K50" s="1483">
        <v>1757</v>
      </c>
      <c r="L50" s="1484" t="s">
        <v>138</v>
      </c>
      <c r="M50" s="1484" t="s">
        <v>1257</v>
      </c>
    </row>
    <row r="51" spans="4:13" ht="30" hidden="1">
      <c r="D51" s="1483">
        <v>369</v>
      </c>
      <c r="E51" s="1484" t="s">
        <v>1747</v>
      </c>
      <c r="F51" s="1484" t="s">
        <v>156</v>
      </c>
      <c r="G51" s="1485">
        <v>41243</v>
      </c>
      <c r="H51" s="1486">
        <v>41243</v>
      </c>
      <c r="I51" s="1484" t="s">
        <v>1043</v>
      </c>
      <c r="J51" s="1484" t="s">
        <v>138</v>
      </c>
      <c r="K51" s="1483">
        <v>1770</v>
      </c>
      <c r="L51" s="1484" t="s">
        <v>1748</v>
      </c>
      <c r="M51" s="1484" t="s">
        <v>1680</v>
      </c>
    </row>
    <row r="52" spans="4:13" ht="15" hidden="1">
      <c r="D52" s="1483">
        <v>370</v>
      </c>
      <c r="E52" s="1484" t="s">
        <v>1749</v>
      </c>
      <c r="F52" s="1484" t="s">
        <v>1750</v>
      </c>
      <c r="G52" s="1485">
        <v>41214</v>
      </c>
      <c r="H52" s="1486">
        <v>41214</v>
      </c>
      <c r="I52" s="1484" t="s">
        <v>1043</v>
      </c>
      <c r="J52" s="1484" t="s">
        <v>138</v>
      </c>
      <c r="K52" s="1483">
        <v>1771</v>
      </c>
      <c r="L52" s="1484" t="s">
        <v>1751</v>
      </c>
      <c r="M52" s="1484" t="s">
        <v>1680</v>
      </c>
    </row>
    <row r="53" spans="4:13" ht="30" hidden="1">
      <c r="D53" s="1483">
        <v>371</v>
      </c>
      <c r="E53" s="1484" t="s">
        <v>1752</v>
      </c>
      <c r="F53" s="1484" t="s">
        <v>159</v>
      </c>
      <c r="G53" s="1485">
        <v>40762</v>
      </c>
      <c r="H53" s="483"/>
      <c r="I53" s="1484" t="s">
        <v>1043</v>
      </c>
      <c r="J53" s="1484" t="s">
        <v>138</v>
      </c>
      <c r="K53" s="1483">
        <v>1772</v>
      </c>
      <c r="L53" s="1484" t="s">
        <v>1753</v>
      </c>
      <c r="M53" s="1484" t="s">
        <v>1680</v>
      </c>
    </row>
    <row r="54" spans="4:13" ht="30" hidden="1">
      <c r="D54" s="1483">
        <v>380</v>
      </c>
      <c r="E54" s="1484" t="s">
        <v>1754</v>
      </c>
      <c r="F54" s="1484" t="s">
        <v>1755</v>
      </c>
      <c r="G54" s="1485">
        <v>41128</v>
      </c>
      <c r="H54" s="483"/>
      <c r="I54" s="1484" t="s">
        <v>1043</v>
      </c>
      <c r="J54" s="1484" t="s">
        <v>138</v>
      </c>
      <c r="K54" s="1483">
        <v>1777</v>
      </c>
      <c r="L54" s="1484" t="s">
        <v>1756</v>
      </c>
      <c r="M54" s="1484" t="s">
        <v>1680</v>
      </c>
    </row>
    <row r="55" spans="4:13" ht="30" hidden="1">
      <c r="D55" s="1483">
        <v>381</v>
      </c>
      <c r="E55" s="1484" t="s">
        <v>1757</v>
      </c>
      <c r="F55" s="1484" t="s">
        <v>161</v>
      </c>
      <c r="G55" s="1485">
        <v>41143</v>
      </c>
      <c r="H55" s="1486">
        <v>41136</v>
      </c>
      <c r="I55" s="1484" t="s">
        <v>1043</v>
      </c>
      <c r="J55" s="1484" t="s">
        <v>138</v>
      </c>
      <c r="K55" s="1483">
        <v>1778</v>
      </c>
      <c r="L55" s="1484" t="s">
        <v>1758</v>
      </c>
      <c r="M55" s="1484" t="s">
        <v>1680</v>
      </c>
    </row>
    <row r="56" spans="4:13" ht="30" hidden="1">
      <c r="D56" s="1483">
        <v>382</v>
      </c>
      <c r="E56" s="1484" t="s">
        <v>1759</v>
      </c>
      <c r="F56" s="1484" t="s">
        <v>162</v>
      </c>
      <c r="G56" s="1485">
        <v>40983</v>
      </c>
      <c r="H56" s="1486">
        <v>41220</v>
      </c>
      <c r="I56" s="1484" t="s">
        <v>1043</v>
      </c>
      <c r="J56" s="1484" t="s">
        <v>138</v>
      </c>
      <c r="K56" s="1483">
        <v>1779</v>
      </c>
      <c r="L56" s="1484" t="s">
        <v>1760</v>
      </c>
      <c r="M56" s="1484" t="s">
        <v>1680</v>
      </c>
    </row>
    <row r="57" spans="4:13" ht="30" hidden="1">
      <c r="D57" s="1483">
        <v>383</v>
      </c>
      <c r="E57" s="1484" t="s">
        <v>1761</v>
      </c>
      <c r="F57" s="1484" t="s">
        <v>492</v>
      </c>
      <c r="G57" s="1485">
        <v>40983</v>
      </c>
      <c r="H57" s="483"/>
      <c r="I57" s="1484" t="s">
        <v>1043</v>
      </c>
      <c r="J57" s="1484" t="s">
        <v>138</v>
      </c>
      <c r="K57" s="1483">
        <v>1780</v>
      </c>
      <c r="L57" s="1484" t="s">
        <v>1762</v>
      </c>
      <c r="M57" s="1484" t="s">
        <v>1680</v>
      </c>
    </row>
    <row r="58" spans="4:13" ht="30" hidden="1">
      <c r="D58" s="1483">
        <v>385</v>
      </c>
      <c r="E58" s="1484" t="s">
        <v>1763</v>
      </c>
      <c r="F58" s="1484" t="s">
        <v>164</v>
      </c>
      <c r="G58" s="1485">
        <v>41148</v>
      </c>
      <c r="H58" s="483"/>
      <c r="I58" s="1484" t="s">
        <v>1043</v>
      </c>
      <c r="J58" s="1484" t="s">
        <v>138</v>
      </c>
      <c r="K58" s="1483">
        <v>1782</v>
      </c>
      <c r="L58" s="1484" t="s">
        <v>1764</v>
      </c>
      <c r="M58" s="1484" t="s">
        <v>1680</v>
      </c>
    </row>
    <row r="59" spans="4:13" ht="30" hidden="1">
      <c r="D59" s="1483">
        <v>386</v>
      </c>
      <c r="E59" s="1484" t="s">
        <v>1765</v>
      </c>
      <c r="F59" s="1484" t="s">
        <v>1766</v>
      </c>
      <c r="G59" s="1485">
        <v>41039</v>
      </c>
      <c r="H59" s="483"/>
      <c r="I59" s="1484" t="s">
        <v>1043</v>
      </c>
      <c r="J59" s="1484" t="s">
        <v>138</v>
      </c>
      <c r="K59" s="1483">
        <v>1783</v>
      </c>
      <c r="L59" s="1484" t="s">
        <v>1767</v>
      </c>
      <c r="M59" s="1484" t="s">
        <v>1680</v>
      </c>
    </row>
    <row r="60" spans="4:13" ht="45" hidden="1">
      <c r="D60" s="1483">
        <v>390</v>
      </c>
      <c r="E60" s="1484" t="s">
        <v>1768</v>
      </c>
      <c r="F60" s="1484" t="s">
        <v>313</v>
      </c>
      <c r="G60" s="1485">
        <v>41094</v>
      </c>
      <c r="H60" s="483"/>
      <c r="I60" s="1484" t="s">
        <v>1043</v>
      </c>
      <c r="J60" s="1484" t="s">
        <v>138</v>
      </c>
      <c r="K60" s="1483">
        <v>1787</v>
      </c>
      <c r="L60" s="1484" t="s">
        <v>1769</v>
      </c>
      <c r="M60" s="1484" t="s">
        <v>1680</v>
      </c>
    </row>
    <row r="61" spans="4:13" ht="30" hidden="1">
      <c r="D61" s="1483">
        <v>391</v>
      </c>
      <c r="E61" s="1484" t="s">
        <v>1770</v>
      </c>
      <c r="F61" s="1484" t="s">
        <v>289</v>
      </c>
      <c r="G61" s="1485">
        <v>41205</v>
      </c>
      <c r="H61" s="483"/>
      <c r="I61" s="1484" t="s">
        <v>1043</v>
      </c>
      <c r="J61" s="1484" t="s">
        <v>138</v>
      </c>
      <c r="K61" s="1483">
        <v>1788</v>
      </c>
      <c r="L61" s="1484" t="s">
        <v>1771</v>
      </c>
      <c r="M61" s="1484" t="s">
        <v>1680</v>
      </c>
    </row>
    <row r="62" spans="4:13" ht="30" hidden="1">
      <c r="D62" s="1483">
        <v>396</v>
      </c>
      <c r="E62" s="1484" t="s">
        <v>1772</v>
      </c>
      <c r="F62" s="1484" t="s">
        <v>1773</v>
      </c>
      <c r="G62" s="1485">
        <v>41018</v>
      </c>
      <c r="H62" s="483"/>
      <c r="I62" s="1484" t="s">
        <v>1043</v>
      </c>
      <c r="J62" s="1484" t="s">
        <v>138</v>
      </c>
      <c r="K62" s="1483">
        <v>1792</v>
      </c>
      <c r="L62" s="1484" t="s">
        <v>1774</v>
      </c>
      <c r="M62" s="1484" t="s">
        <v>1680</v>
      </c>
    </row>
    <row r="63" spans="4:13" ht="15" hidden="1">
      <c r="D63" s="1483">
        <v>397</v>
      </c>
      <c r="E63" s="1484" t="s">
        <v>1775</v>
      </c>
      <c r="F63" s="1484" t="s">
        <v>206</v>
      </c>
      <c r="G63" s="1485">
        <v>41079</v>
      </c>
      <c r="H63" s="1486">
        <v>39922</v>
      </c>
      <c r="I63" s="1484" t="s">
        <v>1043</v>
      </c>
      <c r="J63" s="1484" t="s">
        <v>138</v>
      </c>
      <c r="K63" s="1483">
        <v>1793</v>
      </c>
      <c r="L63" s="1484" t="s">
        <v>1776</v>
      </c>
      <c r="M63" s="1484" t="s">
        <v>1680</v>
      </c>
    </row>
    <row r="64" spans="4:13" ht="30" hidden="1">
      <c r="D64" s="1483">
        <v>398</v>
      </c>
      <c r="E64" s="1484" t="s">
        <v>1777</v>
      </c>
      <c r="F64" s="1484" t="s">
        <v>167</v>
      </c>
      <c r="G64" s="1485">
        <v>41112</v>
      </c>
      <c r="H64" s="1486">
        <v>41089</v>
      </c>
      <c r="I64" s="1484" t="s">
        <v>1043</v>
      </c>
      <c r="J64" s="1484" t="s">
        <v>1700</v>
      </c>
      <c r="K64" s="1483">
        <v>1794</v>
      </c>
      <c r="L64" s="1484" t="s">
        <v>1778</v>
      </c>
      <c r="M64" s="1484" t="s">
        <v>1680</v>
      </c>
    </row>
    <row r="65" spans="4:13" ht="30" hidden="1">
      <c r="D65" s="1483">
        <v>399</v>
      </c>
      <c r="E65" s="1484" t="s">
        <v>1779</v>
      </c>
      <c r="F65" s="1484" t="s">
        <v>168</v>
      </c>
      <c r="G65" s="1485">
        <v>41112</v>
      </c>
      <c r="H65" s="1486">
        <v>41089</v>
      </c>
      <c r="I65" s="1484" t="s">
        <v>1043</v>
      </c>
      <c r="J65" s="1484" t="s">
        <v>1700</v>
      </c>
      <c r="K65" s="1483">
        <v>1795</v>
      </c>
      <c r="L65" s="1484" t="s">
        <v>1780</v>
      </c>
      <c r="M65" s="1484" t="s">
        <v>1680</v>
      </c>
    </row>
    <row r="66" spans="4:13" ht="30" hidden="1">
      <c r="D66" s="1483">
        <v>400</v>
      </c>
      <c r="E66" s="1484" t="s">
        <v>1781</v>
      </c>
      <c r="F66" s="1484" t="s">
        <v>169</v>
      </c>
      <c r="G66" s="1485">
        <v>41051</v>
      </c>
      <c r="H66" s="1486">
        <v>41018</v>
      </c>
      <c r="I66" s="1484" t="s">
        <v>1043</v>
      </c>
      <c r="J66" s="1484" t="s">
        <v>1700</v>
      </c>
      <c r="K66" s="1483">
        <v>1796</v>
      </c>
      <c r="L66" s="1484" t="s">
        <v>1782</v>
      </c>
      <c r="M66" s="1484" t="s">
        <v>1680</v>
      </c>
    </row>
    <row r="67" spans="4:13" ht="30" hidden="1">
      <c r="D67" s="1483">
        <v>401</v>
      </c>
      <c r="E67" s="1484" t="s">
        <v>1783</v>
      </c>
      <c r="F67" s="1484" t="s">
        <v>170</v>
      </c>
      <c r="G67" s="1485">
        <v>41112</v>
      </c>
      <c r="H67" s="1486">
        <v>41089</v>
      </c>
      <c r="I67" s="1484" t="s">
        <v>1043</v>
      </c>
      <c r="J67" s="1484" t="s">
        <v>1700</v>
      </c>
      <c r="K67" s="1483">
        <v>1797</v>
      </c>
      <c r="L67" s="1484" t="s">
        <v>1784</v>
      </c>
      <c r="M67" s="1484" t="s">
        <v>1680</v>
      </c>
    </row>
    <row r="68" spans="4:13" ht="30" hidden="1">
      <c r="D68" s="1483">
        <v>404</v>
      </c>
      <c r="E68" s="1484" t="s">
        <v>1785</v>
      </c>
      <c r="F68" s="1484" t="s">
        <v>171</v>
      </c>
      <c r="G68" s="1485">
        <v>41007</v>
      </c>
      <c r="H68" s="483"/>
      <c r="I68" s="1484" t="s">
        <v>1043</v>
      </c>
      <c r="J68" s="1484" t="s">
        <v>138</v>
      </c>
      <c r="K68" s="1483">
        <v>1800</v>
      </c>
      <c r="L68" s="1484" t="s">
        <v>1786</v>
      </c>
      <c r="M68" s="1484" t="s">
        <v>1680</v>
      </c>
    </row>
    <row r="69" spans="4:13" ht="30" hidden="1">
      <c r="D69" s="1483">
        <v>405</v>
      </c>
      <c r="E69" s="1484" t="s">
        <v>1787</v>
      </c>
      <c r="F69" s="1484" t="s">
        <v>173</v>
      </c>
      <c r="G69" s="1485">
        <v>41007</v>
      </c>
      <c r="H69" s="483"/>
      <c r="I69" s="1484" t="s">
        <v>1043</v>
      </c>
      <c r="J69" s="1484" t="s">
        <v>138</v>
      </c>
      <c r="K69" s="1483">
        <v>1802</v>
      </c>
      <c r="L69" s="1484" t="s">
        <v>1788</v>
      </c>
      <c r="M69" s="1484" t="s">
        <v>1680</v>
      </c>
    </row>
    <row r="70" spans="4:13" ht="30">
      <c r="D70" s="1483">
        <v>598</v>
      </c>
      <c r="E70" s="1484" t="s">
        <v>1789</v>
      </c>
      <c r="F70" s="1484" t="s">
        <v>1790</v>
      </c>
      <c r="G70" s="1485">
        <v>41485</v>
      </c>
      <c r="H70" s="483"/>
      <c r="I70" s="1484" t="s">
        <v>1043</v>
      </c>
      <c r="J70" s="1484" t="s">
        <v>1700</v>
      </c>
      <c r="K70" s="1483">
        <v>1855</v>
      </c>
      <c r="L70" s="1484" t="s">
        <v>1791</v>
      </c>
      <c r="M70" s="1484" t="s">
        <v>1257</v>
      </c>
    </row>
    <row r="71" spans="4:13" ht="30">
      <c r="D71" s="1483">
        <v>2351</v>
      </c>
      <c r="E71" s="1484" t="s">
        <v>1792</v>
      </c>
      <c r="F71" s="1484" t="s">
        <v>466</v>
      </c>
      <c r="G71" s="1485">
        <v>41485</v>
      </c>
      <c r="H71" s="483"/>
      <c r="I71" s="1484" t="s">
        <v>1043</v>
      </c>
      <c r="J71" s="1484" t="s">
        <v>1700</v>
      </c>
      <c r="K71" s="1483">
        <v>2062</v>
      </c>
      <c r="L71" s="1484" t="s">
        <v>1793</v>
      </c>
      <c r="M71" s="1484" t="s">
        <v>1257</v>
      </c>
    </row>
    <row r="72" spans="4:13" ht="45">
      <c r="D72" s="1483">
        <v>2381</v>
      </c>
      <c r="E72" s="1484" t="s">
        <v>1794</v>
      </c>
      <c r="F72" s="1484" t="s">
        <v>438</v>
      </c>
      <c r="G72" s="1485">
        <v>41485</v>
      </c>
      <c r="H72" s="483"/>
      <c r="I72" s="1484" t="s">
        <v>1043</v>
      </c>
      <c r="J72" s="1484" t="s">
        <v>1700</v>
      </c>
      <c r="K72" s="1483">
        <v>2066</v>
      </c>
      <c r="L72" s="1484" t="s">
        <v>1795</v>
      </c>
      <c r="M72" s="1484" t="s">
        <v>1257</v>
      </c>
    </row>
    <row r="73" spans="4:13" ht="30" hidden="1">
      <c r="D73" s="1483">
        <v>2513</v>
      </c>
      <c r="E73" s="1484" t="s">
        <v>1796</v>
      </c>
      <c r="F73" s="1484" t="s">
        <v>1797</v>
      </c>
      <c r="G73" s="1485">
        <v>40909</v>
      </c>
      <c r="H73" s="483"/>
      <c r="I73" s="1484" t="s">
        <v>1043</v>
      </c>
      <c r="J73" s="1484" t="s">
        <v>138</v>
      </c>
      <c r="K73" s="1483">
        <v>2076</v>
      </c>
      <c r="L73" s="1484" t="s">
        <v>138</v>
      </c>
      <c r="M73" s="1484" t="s">
        <v>138</v>
      </c>
    </row>
    <row r="74" spans="4:13" ht="45">
      <c r="D74" s="1483">
        <v>2763</v>
      </c>
      <c r="E74" s="1484" t="s">
        <v>1798</v>
      </c>
      <c r="F74" s="1484" t="s">
        <v>175</v>
      </c>
      <c r="G74" s="1485">
        <v>41485</v>
      </c>
      <c r="H74" s="483"/>
      <c r="I74" s="1484" t="s">
        <v>1043</v>
      </c>
      <c r="J74" s="1484" t="s">
        <v>1700</v>
      </c>
      <c r="K74" s="1483">
        <v>2111</v>
      </c>
      <c r="L74" s="1484" t="s">
        <v>1799</v>
      </c>
      <c r="M74" s="1484" t="s">
        <v>1257</v>
      </c>
    </row>
    <row r="75" spans="4:13" ht="45">
      <c r="D75" s="1483">
        <v>2783</v>
      </c>
      <c r="E75" s="1484" t="s">
        <v>1800</v>
      </c>
      <c r="F75" s="1484" t="s">
        <v>477</v>
      </c>
      <c r="G75" s="1485">
        <v>41485</v>
      </c>
      <c r="H75" s="483"/>
      <c r="I75" s="1484" t="s">
        <v>1043</v>
      </c>
      <c r="J75" s="1484" t="s">
        <v>1700</v>
      </c>
      <c r="K75" s="1483">
        <v>2114</v>
      </c>
      <c r="L75" s="1484" t="s">
        <v>1801</v>
      </c>
      <c r="M75" s="1484" t="s">
        <v>1257</v>
      </c>
    </row>
    <row r="76" spans="4:13" ht="15" hidden="1">
      <c r="D76" s="1483">
        <v>2866</v>
      </c>
      <c r="E76" s="1484" t="s">
        <v>1802</v>
      </c>
      <c r="F76" s="1484" t="s">
        <v>177</v>
      </c>
      <c r="G76" s="1485">
        <v>41084</v>
      </c>
      <c r="H76" s="483"/>
      <c r="I76" s="1484" t="s">
        <v>1043</v>
      </c>
      <c r="J76" s="1484" t="s">
        <v>138</v>
      </c>
      <c r="K76" s="1483">
        <v>2126</v>
      </c>
      <c r="L76" s="1484" t="s">
        <v>1803</v>
      </c>
      <c r="M76" s="1484" t="s">
        <v>1680</v>
      </c>
    </row>
    <row r="77" spans="4:13" ht="30" hidden="1">
      <c r="D77" s="1483">
        <v>2904</v>
      </c>
      <c r="E77" s="1484" t="s">
        <v>1804</v>
      </c>
      <c r="F77" s="1484" t="s">
        <v>1805</v>
      </c>
      <c r="G77" s="1485">
        <v>41150</v>
      </c>
      <c r="H77" s="1486">
        <v>41135</v>
      </c>
      <c r="I77" s="1484" t="s">
        <v>1043</v>
      </c>
      <c r="J77" s="1484" t="s">
        <v>1700</v>
      </c>
      <c r="K77" s="1483">
        <v>2134</v>
      </c>
      <c r="L77" s="1484" t="s">
        <v>1806</v>
      </c>
      <c r="M77" s="1484" t="s">
        <v>1680</v>
      </c>
    </row>
    <row r="78" spans="4:13" ht="30" hidden="1">
      <c r="D78" s="1483">
        <v>2937</v>
      </c>
      <c r="E78" s="1484" t="s">
        <v>1807</v>
      </c>
      <c r="F78" s="1484" t="s">
        <v>178</v>
      </c>
      <c r="G78" s="1485">
        <v>41205</v>
      </c>
      <c r="H78" s="483"/>
      <c r="I78" s="1484" t="s">
        <v>1043</v>
      </c>
      <c r="J78" s="1484" t="s">
        <v>138</v>
      </c>
      <c r="K78" s="1483">
        <v>2141</v>
      </c>
      <c r="L78" s="1484" t="s">
        <v>1808</v>
      </c>
      <c r="M78" s="1484" t="s">
        <v>1680</v>
      </c>
    </row>
    <row r="79" spans="4:13" ht="30">
      <c r="D79" s="1483">
        <v>3223</v>
      </c>
      <c r="E79" s="1484" t="s">
        <v>1809</v>
      </c>
      <c r="F79" s="1484" t="s">
        <v>450</v>
      </c>
      <c r="G79" s="1485">
        <v>41423</v>
      </c>
      <c r="H79" s="483"/>
      <c r="I79" s="1484" t="s">
        <v>1043</v>
      </c>
      <c r="J79" s="1484" t="s">
        <v>1700</v>
      </c>
      <c r="K79" s="1483">
        <v>2193</v>
      </c>
      <c r="L79" s="1484" t="s">
        <v>1810</v>
      </c>
      <c r="M79" s="1484" t="s">
        <v>1257</v>
      </c>
    </row>
    <row r="80" spans="4:13" ht="45">
      <c r="D80" s="1483">
        <v>3627</v>
      </c>
      <c r="E80" s="1484" t="s">
        <v>1811</v>
      </c>
      <c r="F80" s="1484" t="s">
        <v>461</v>
      </c>
      <c r="G80" s="1485">
        <v>41485</v>
      </c>
      <c r="H80" s="483"/>
      <c r="I80" s="1484" t="s">
        <v>1043</v>
      </c>
      <c r="J80" s="1484" t="s">
        <v>1700</v>
      </c>
      <c r="K80" s="1483">
        <v>2215</v>
      </c>
      <c r="L80" s="1484" t="s">
        <v>1812</v>
      </c>
      <c r="M80" s="1484" t="s">
        <v>1257</v>
      </c>
    </row>
    <row r="81" spans="4:13" ht="45">
      <c r="D81" s="1483">
        <v>4248</v>
      </c>
      <c r="E81" s="1484" t="s">
        <v>1813</v>
      </c>
      <c r="F81" s="1484" t="s">
        <v>1814</v>
      </c>
      <c r="G81" s="1485">
        <v>41485</v>
      </c>
      <c r="H81" s="483"/>
      <c r="I81" s="1484" t="s">
        <v>1043</v>
      </c>
      <c r="J81" s="1484" t="s">
        <v>1700</v>
      </c>
      <c r="K81" s="1483">
        <v>2245</v>
      </c>
      <c r="L81" s="1484" t="s">
        <v>1815</v>
      </c>
      <c r="M81" s="1484" t="s">
        <v>1257</v>
      </c>
    </row>
    <row r="82" spans="4:13" ht="105" hidden="1">
      <c r="D82" s="1483">
        <v>4950</v>
      </c>
      <c r="E82" s="1484" t="s">
        <v>1816</v>
      </c>
      <c r="F82" s="1484" t="s">
        <v>179</v>
      </c>
      <c r="G82" s="1485">
        <v>41057</v>
      </c>
      <c r="H82" s="1486">
        <v>41007</v>
      </c>
      <c r="I82" s="1484" t="s">
        <v>1043</v>
      </c>
      <c r="J82" s="1484" t="s">
        <v>138</v>
      </c>
      <c r="K82" s="1483">
        <v>2285</v>
      </c>
      <c r="L82" s="1484" t="s">
        <v>1817</v>
      </c>
      <c r="M82" s="1484" t="s">
        <v>1680</v>
      </c>
    </row>
    <row r="83" spans="4:13" ht="15" hidden="1">
      <c r="D83" s="1483">
        <v>5160</v>
      </c>
      <c r="E83" s="1484" t="s">
        <v>1818</v>
      </c>
      <c r="F83" s="1484" t="s">
        <v>181</v>
      </c>
      <c r="G83" s="1485">
        <v>41204</v>
      </c>
      <c r="H83" s="1486">
        <v>41147</v>
      </c>
      <c r="I83" s="1484" t="s">
        <v>1043</v>
      </c>
      <c r="J83" s="1484" t="s">
        <v>138</v>
      </c>
      <c r="K83" s="1483">
        <v>2313</v>
      </c>
      <c r="L83" s="1484" t="s">
        <v>1819</v>
      </c>
      <c r="M83" s="1484" t="s">
        <v>1680</v>
      </c>
    </row>
    <row r="84" spans="4:13" ht="30" hidden="1">
      <c r="D84" s="1483">
        <v>5216</v>
      </c>
      <c r="E84" s="1484" t="s">
        <v>1820</v>
      </c>
      <c r="F84" s="1484" t="s">
        <v>1821</v>
      </c>
      <c r="G84" s="1485">
        <v>41039</v>
      </c>
      <c r="H84" s="483"/>
      <c r="I84" s="1484" t="s">
        <v>1043</v>
      </c>
      <c r="J84" s="1484" t="s">
        <v>138</v>
      </c>
      <c r="K84" s="1483">
        <v>2330</v>
      </c>
      <c r="L84" s="1484" t="s">
        <v>1822</v>
      </c>
      <c r="M84" s="1484" t="s">
        <v>1680</v>
      </c>
    </row>
    <row r="85" spans="4:13" ht="30" hidden="1">
      <c r="D85" s="1483">
        <v>5217</v>
      </c>
      <c r="E85" s="1484" t="s">
        <v>1823</v>
      </c>
      <c r="F85" s="1484" t="s">
        <v>1824</v>
      </c>
      <c r="G85" s="1485">
        <v>41039</v>
      </c>
      <c r="H85" s="483"/>
      <c r="I85" s="1484" t="s">
        <v>1043</v>
      </c>
      <c r="J85" s="1484" t="s">
        <v>138</v>
      </c>
      <c r="K85" s="1483">
        <v>2331</v>
      </c>
      <c r="L85" s="1484" t="s">
        <v>1825</v>
      </c>
      <c r="M85" s="1484" t="s">
        <v>1680</v>
      </c>
    </row>
    <row r="86" spans="4:13" ht="45">
      <c r="D86" s="1483">
        <v>5274</v>
      </c>
      <c r="E86" s="1484" t="s">
        <v>1826</v>
      </c>
      <c r="F86" s="1484" t="s">
        <v>182</v>
      </c>
      <c r="G86" s="1485">
        <v>41393</v>
      </c>
      <c r="H86" s="483"/>
      <c r="I86" s="1484" t="s">
        <v>1043</v>
      </c>
      <c r="J86" s="1484" t="s">
        <v>1700</v>
      </c>
      <c r="K86" s="1483">
        <v>2339</v>
      </c>
      <c r="L86" s="1484" t="s">
        <v>1827</v>
      </c>
      <c r="M86" s="1484" t="s">
        <v>1257</v>
      </c>
    </row>
    <row r="87" spans="4:13" ht="45">
      <c r="D87" s="1483">
        <v>5351</v>
      </c>
      <c r="E87" s="1484" t="s">
        <v>1828</v>
      </c>
      <c r="F87" s="1484" t="s">
        <v>184</v>
      </c>
      <c r="G87" s="1485">
        <v>41212</v>
      </c>
      <c r="H87" s="483"/>
      <c r="I87" s="1484" t="s">
        <v>1043</v>
      </c>
      <c r="J87" s="1484" t="s">
        <v>1700</v>
      </c>
      <c r="K87" s="1483">
        <v>2340</v>
      </c>
      <c r="L87" s="1484" t="s">
        <v>1829</v>
      </c>
      <c r="M87" s="1484" t="s">
        <v>1257</v>
      </c>
    </row>
    <row r="88" spans="4:13" ht="60">
      <c r="D88" s="1483">
        <v>5352</v>
      </c>
      <c r="E88" s="1484" t="s">
        <v>1830</v>
      </c>
      <c r="F88" s="1484" t="s">
        <v>373</v>
      </c>
      <c r="G88" s="1485">
        <v>41182</v>
      </c>
      <c r="H88" s="483"/>
      <c r="I88" s="1484" t="s">
        <v>1043</v>
      </c>
      <c r="J88" s="1484" t="s">
        <v>1700</v>
      </c>
      <c r="K88" s="1483">
        <v>2341</v>
      </c>
      <c r="L88" s="1484" t="s">
        <v>1831</v>
      </c>
      <c r="M88" s="1484" t="s">
        <v>1257</v>
      </c>
    </row>
    <row r="89" spans="4:13" ht="45">
      <c r="D89" s="1483">
        <v>5353</v>
      </c>
      <c r="E89" s="1484" t="s">
        <v>1832</v>
      </c>
      <c r="F89" s="1484" t="s">
        <v>185</v>
      </c>
      <c r="G89" s="1485">
        <v>41182</v>
      </c>
      <c r="H89" s="483"/>
      <c r="I89" s="1484" t="s">
        <v>1043</v>
      </c>
      <c r="J89" s="1484" t="s">
        <v>1700</v>
      </c>
      <c r="K89" s="1483">
        <v>2342</v>
      </c>
      <c r="L89" s="1484" t="s">
        <v>1833</v>
      </c>
      <c r="M89" s="1484" t="s">
        <v>1257</v>
      </c>
    </row>
    <row r="90" spans="4:13" ht="30">
      <c r="D90" s="1483">
        <v>5355</v>
      </c>
      <c r="E90" s="1484" t="s">
        <v>1834</v>
      </c>
      <c r="F90" s="1484" t="s">
        <v>384</v>
      </c>
      <c r="G90" s="1485">
        <v>41182</v>
      </c>
      <c r="H90" s="483"/>
      <c r="I90" s="1484" t="s">
        <v>1043</v>
      </c>
      <c r="J90" s="1484" t="s">
        <v>1700</v>
      </c>
      <c r="K90" s="1483">
        <v>2343</v>
      </c>
      <c r="L90" s="1484" t="s">
        <v>1835</v>
      </c>
      <c r="M90" s="1484" t="s">
        <v>1257</v>
      </c>
    </row>
    <row r="91" spans="4:13" ht="30">
      <c r="D91" s="1483">
        <v>5363</v>
      </c>
      <c r="E91" s="1484" t="s">
        <v>1836</v>
      </c>
      <c r="F91" s="1484" t="s">
        <v>391</v>
      </c>
      <c r="G91" s="1485">
        <v>41182</v>
      </c>
      <c r="H91" s="483"/>
      <c r="I91" s="1484" t="s">
        <v>1043</v>
      </c>
      <c r="J91" s="1484" t="s">
        <v>1700</v>
      </c>
      <c r="K91" s="1483">
        <v>2344</v>
      </c>
      <c r="L91" s="1484" t="s">
        <v>1837</v>
      </c>
      <c r="M91" s="1484" t="s">
        <v>1257</v>
      </c>
    </row>
    <row r="92" spans="4:13" ht="30">
      <c r="D92" s="1483">
        <v>5364</v>
      </c>
      <c r="E92" s="1484" t="s">
        <v>1838</v>
      </c>
      <c r="F92" s="1484" t="s">
        <v>396</v>
      </c>
      <c r="G92" s="1485">
        <v>41182</v>
      </c>
      <c r="H92" s="483"/>
      <c r="I92" s="1484" t="s">
        <v>1043</v>
      </c>
      <c r="J92" s="1484" t="s">
        <v>1700</v>
      </c>
      <c r="K92" s="1483">
        <v>2345</v>
      </c>
      <c r="L92" s="1484" t="s">
        <v>1839</v>
      </c>
      <c r="M92" s="1484" t="s">
        <v>1257</v>
      </c>
    </row>
    <row r="93" spans="4:13" ht="30">
      <c r="D93" s="1483">
        <v>5365</v>
      </c>
      <c r="E93" s="1484" t="s">
        <v>1840</v>
      </c>
      <c r="F93" s="1484" t="s">
        <v>402</v>
      </c>
      <c r="G93" s="1485">
        <v>41182</v>
      </c>
      <c r="H93" s="483"/>
      <c r="I93" s="1484" t="s">
        <v>1043</v>
      </c>
      <c r="J93" s="1484" t="s">
        <v>1700</v>
      </c>
      <c r="K93" s="1483">
        <v>2346</v>
      </c>
      <c r="L93" s="1484" t="s">
        <v>1841</v>
      </c>
      <c r="M93" s="1484" t="s">
        <v>1257</v>
      </c>
    </row>
    <row r="94" spans="4:13" ht="45">
      <c r="D94" s="1483">
        <v>5366</v>
      </c>
      <c r="E94" s="1484" t="s">
        <v>1842</v>
      </c>
      <c r="F94" s="1484" t="s">
        <v>187</v>
      </c>
      <c r="G94" s="1485">
        <v>41182</v>
      </c>
      <c r="H94" s="483"/>
      <c r="I94" s="1484" t="s">
        <v>1043</v>
      </c>
      <c r="J94" s="1484" t="s">
        <v>1700</v>
      </c>
      <c r="K94" s="1483">
        <v>2347</v>
      </c>
      <c r="L94" s="1484" t="s">
        <v>1843</v>
      </c>
      <c r="M94" s="1484" t="s">
        <v>1257</v>
      </c>
    </row>
    <row r="95" spans="4:13" ht="30">
      <c r="D95" s="1483">
        <v>5367</v>
      </c>
      <c r="E95" s="1484" t="s">
        <v>1844</v>
      </c>
      <c r="F95" s="1484" t="s">
        <v>9</v>
      </c>
      <c r="G95" s="1485">
        <v>40899</v>
      </c>
      <c r="H95" s="483"/>
      <c r="I95" s="1484" t="s">
        <v>1043</v>
      </c>
      <c r="J95" s="1484" t="s">
        <v>1700</v>
      </c>
      <c r="K95" s="1483">
        <v>2348</v>
      </c>
      <c r="L95" s="1484" t="s">
        <v>1845</v>
      </c>
      <c r="M95" s="1484" t="s">
        <v>1257</v>
      </c>
    </row>
    <row r="96" spans="4:13" ht="30">
      <c r="D96" s="1483">
        <v>5368</v>
      </c>
      <c r="E96" s="1484" t="s">
        <v>1846</v>
      </c>
      <c r="F96" s="1484" t="s">
        <v>407</v>
      </c>
      <c r="G96" s="1485">
        <v>41182</v>
      </c>
      <c r="H96" s="483"/>
      <c r="I96" s="1484" t="s">
        <v>1043</v>
      </c>
      <c r="J96" s="1484" t="s">
        <v>1700</v>
      </c>
      <c r="K96" s="1483">
        <v>2349</v>
      </c>
      <c r="L96" s="1484" t="s">
        <v>1847</v>
      </c>
      <c r="M96" s="1484" t="s">
        <v>1257</v>
      </c>
    </row>
    <row r="97" spans="4:13" ht="30">
      <c r="D97" s="1483">
        <v>5369</v>
      </c>
      <c r="E97" s="1484" t="s">
        <v>1848</v>
      </c>
      <c r="F97" s="1484" t="s">
        <v>412</v>
      </c>
      <c r="G97" s="1485">
        <v>41182</v>
      </c>
      <c r="H97" s="483"/>
      <c r="I97" s="1484" t="s">
        <v>1043</v>
      </c>
      <c r="J97" s="1484" t="s">
        <v>1700</v>
      </c>
      <c r="K97" s="1483">
        <v>2350</v>
      </c>
      <c r="L97" s="1484" t="s">
        <v>1849</v>
      </c>
      <c r="M97" s="1484" t="s">
        <v>1257</v>
      </c>
    </row>
    <row r="98" spans="4:13" ht="30">
      <c r="D98" s="1483">
        <v>5370</v>
      </c>
      <c r="E98" s="1484" t="s">
        <v>1850</v>
      </c>
      <c r="F98" s="1484" t="s">
        <v>188</v>
      </c>
      <c r="G98" s="1485">
        <v>41182</v>
      </c>
      <c r="H98" s="483"/>
      <c r="I98" s="1484" t="s">
        <v>1043</v>
      </c>
      <c r="J98" s="1484" t="s">
        <v>1700</v>
      </c>
      <c r="K98" s="1483">
        <v>2351</v>
      </c>
      <c r="L98" s="1484" t="s">
        <v>1851</v>
      </c>
      <c r="M98" s="1484" t="s">
        <v>1257</v>
      </c>
    </row>
    <row r="99" spans="4:13" ht="30">
      <c r="D99" s="1483">
        <v>5371</v>
      </c>
      <c r="E99" s="1484" t="s">
        <v>1852</v>
      </c>
      <c r="F99" s="1484" t="s">
        <v>421</v>
      </c>
      <c r="G99" s="1485">
        <v>41182</v>
      </c>
      <c r="H99" s="483"/>
      <c r="I99" s="1484" t="s">
        <v>1043</v>
      </c>
      <c r="J99" s="1484" t="s">
        <v>1700</v>
      </c>
      <c r="K99" s="1483">
        <v>2352</v>
      </c>
      <c r="L99" s="1484" t="s">
        <v>1853</v>
      </c>
      <c r="M99" s="1484" t="s">
        <v>1257</v>
      </c>
    </row>
    <row r="100" spans="4:13" ht="30">
      <c r="D100" s="1483">
        <v>5373</v>
      </c>
      <c r="E100" s="1484" t="s">
        <v>1854</v>
      </c>
      <c r="F100" s="1484" t="s">
        <v>428</v>
      </c>
      <c r="G100" s="1485">
        <v>41182</v>
      </c>
      <c r="H100" s="483"/>
      <c r="I100" s="1484" t="s">
        <v>1043</v>
      </c>
      <c r="J100" s="1484" t="s">
        <v>1700</v>
      </c>
      <c r="K100" s="1483">
        <v>2353</v>
      </c>
      <c r="L100" s="1484" t="s">
        <v>1855</v>
      </c>
      <c r="M100" s="1484" t="s">
        <v>1257</v>
      </c>
    </row>
    <row r="101" spans="4:13" ht="45">
      <c r="D101" s="1483">
        <v>5377</v>
      </c>
      <c r="E101" s="1484" t="s">
        <v>1856</v>
      </c>
      <c r="F101" s="1484" t="s">
        <v>372</v>
      </c>
      <c r="G101" s="1485">
        <v>41393</v>
      </c>
      <c r="H101" s="483"/>
      <c r="I101" s="1484" t="s">
        <v>1043</v>
      </c>
      <c r="J101" s="1484" t="s">
        <v>1700</v>
      </c>
      <c r="K101" s="1483">
        <v>2355</v>
      </c>
      <c r="L101" s="1484" t="s">
        <v>1857</v>
      </c>
      <c r="M101" s="1484" t="s">
        <v>1257</v>
      </c>
    </row>
    <row r="102" spans="4:13" ht="45">
      <c r="D102" s="1483">
        <v>5378</v>
      </c>
      <c r="E102" s="1484" t="s">
        <v>1858</v>
      </c>
      <c r="F102" s="1484" t="s">
        <v>303</v>
      </c>
      <c r="G102" s="1485">
        <v>41393</v>
      </c>
      <c r="H102" s="483"/>
      <c r="I102" s="1484" t="s">
        <v>1043</v>
      </c>
      <c r="J102" s="1484" t="s">
        <v>1700</v>
      </c>
      <c r="K102" s="1483">
        <v>2356</v>
      </c>
      <c r="L102" s="1484" t="s">
        <v>1859</v>
      </c>
      <c r="M102" s="1484" t="s">
        <v>1257</v>
      </c>
    </row>
    <row r="103" spans="4:13" ht="45">
      <c r="D103" s="1483">
        <v>5379</v>
      </c>
      <c r="E103" s="1484" t="s">
        <v>1860</v>
      </c>
      <c r="F103" s="1484" t="s">
        <v>340</v>
      </c>
      <c r="G103" s="1485">
        <v>41212</v>
      </c>
      <c r="H103" s="483"/>
      <c r="I103" s="1484" t="s">
        <v>1043</v>
      </c>
      <c r="J103" s="1484" t="s">
        <v>1700</v>
      </c>
      <c r="K103" s="1483">
        <v>2357</v>
      </c>
      <c r="L103" s="1484" t="s">
        <v>1861</v>
      </c>
      <c r="M103" s="1484" t="s">
        <v>1257</v>
      </c>
    </row>
    <row r="104" spans="4:13" ht="45">
      <c r="D104" s="1483">
        <v>5381</v>
      </c>
      <c r="E104" s="1484" t="s">
        <v>1862</v>
      </c>
      <c r="F104" s="1484" t="s">
        <v>280</v>
      </c>
      <c r="G104" s="1485">
        <v>41152</v>
      </c>
      <c r="H104" s="483"/>
      <c r="I104" s="1484" t="s">
        <v>1043</v>
      </c>
      <c r="J104" s="1484" t="s">
        <v>1700</v>
      </c>
      <c r="K104" s="1483">
        <v>2358</v>
      </c>
      <c r="L104" s="1484" t="s">
        <v>1863</v>
      </c>
      <c r="M104" s="1484" t="s">
        <v>1257</v>
      </c>
    </row>
    <row r="105" spans="4:13" ht="45">
      <c r="D105" s="1483">
        <v>5382</v>
      </c>
      <c r="E105" s="1484" t="s">
        <v>1864</v>
      </c>
      <c r="F105" s="1484" t="s">
        <v>309</v>
      </c>
      <c r="G105" s="1485">
        <v>41101</v>
      </c>
      <c r="H105" s="483"/>
      <c r="I105" s="1484" t="s">
        <v>1043</v>
      </c>
      <c r="J105" s="1484" t="s">
        <v>1700</v>
      </c>
      <c r="K105" s="1483">
        <v>2359</v>
      </c>
      <c r="L105" s="1484" t="s">
        <v>1865</v>
      </c>
      <c r="M105" s="1484" t="s">
        <v>1257</v>
      </c>
    </row>
    <row r="106" spans="4:13" ht="45">
      <c r="D106" s="1483">
        <v>5384</v>
      </c>
      <c r="E106" s="1484" t="s">
        <v>1866</v>
      </c>
      <c r="F106" s="1484" t="s">
        <v>329</v>
      </c>
      <c r="G106" s="1485">
        <v>41423</v>
      </c>
      <c r="H106" s="483"/>
      <c r="I106" s="1484" t="s">
        <v>1043</v>
      </c>
      <c r="J106" s="1484" t="s">
        <v>1700</v>
      </c>
      <c r="K106" s="1483">
        <v>2360</v>
      </c>
      <c r="L106" s="1484" t="s">
        <v>1867</v>
      </c>
      <c r="M106" s="1484" t="s">
        <v>1257</v>
      </c>
    </row>
    <row r="107" spans="4:13" ht="45">
      <c r="D107" s="1483">
        <v>5385</v>
      </c>
      <c r="E107" s="1484" t="s">
        <v>1868</v>
      </c>
      <c r="F107" s="1484" t="s">
        <v>334</v>
      </c>
      <c r="G107" s="1485">
        <v>41379</v>
      </c>
      <c r="H107" s="483"/>
      <c r="I107" s="1484" t="s">
        <v>1043</v>
      </c>
      <c r="J107" s="1484" t="s">
        <v>1700</v>
      </c>
      <c r="K107" s="1483">
        <v>2361</v>
      </c>
      <c r="L107" s="1484" t="s">
        <v>1869</v>
      </c>
      <c r="M107" s="1484" t="s">
        <v>1257</v>
      </c>
    </row>
    <row r="108" spans="4:13" ht="45">
      <c r="D108" s="1483">
        <v>5386</v>
      </c>
      <c r="E108" s="1484" t="s">
        <v>1870</v>
      </c>
      <c r="F108" s="1484" t="s">
        <v>297</v>
      </c>
      <c r="G108" s="1485">
        <v>41212</v>
      </c>
      <c r="H108" s="483"/>
      <c r="I108" s="1484" t="s">
        <v>1043</v>
      </c>
      <c r="J108" s="1484" t="s">
        <v>1700</v>
      </c>
      <c r="K108" s="1483">
        <v>2362</v>
      </c>
      <c r="L108" s="1484" t="s">
        <v>1871</v>
      </c>
      <c r="M108" s="1484" t="s">
        <v>1257</v>
      </c>
    </row>
    <row r="109" spans="4:13" ht="15" hidden="1">
      <c r="D109" s="1483">
        <v>5697</v>
      </c>
      <c r="E109" s="1484" t="s">
        <v>1872</v>
      </c>
      <c r="F109" s="1484" t="s">
        <v>190</v>
      </c>
      <c r="G109" s="1485">
        <v>41143</v>
      </c>
      <c r="H109" s="1486">
        <v>41128</v>
      </c>
      <c r="I109" s="1484" t="s">
        <v>1043</v>
      </c>
      <c r="J109" s="1484" t="s">
        <v>138</v>
      </c>
      <c r="K109" s="1483">
        <v>2382</v>
      </c>
      <c r="L109" s="1484" t="s">
        <v>1873</v>
      </c>
      <c r="M109" s="1484" t="s">
        <v>1680</v>
      </c>
    </row>
    <row r="110" spans="4:13" ht="30" hidden="1">
      <c r="D110" s="1483">
        <v>5707</v>
      </c>
      <c r="E110" s="1484" t="s">
        <v>1874</v>
      </c>
      <c r="F110" s="1484" t="s">
        <v>191</v>
      </c>
      <c r="G110" s="1485">
        <v>41235</v>
      </c>
      <c r="H110" s="1486">
        <v>41207</v>
      </c>
      <c r="I110" s="1484" t="s">
        <v>1043</v>
      </c>
      <c r="J110" s="1484" t="s">
        <v>138</v>
      </c>
      <c r="K110" s="1483">
        <v>2386</v>
      </c>
      <c r="L110" s="1484" t="s">
        <v>1875</v>
      </c>
      <c r="M110" s="1484" t="s">
        <v>1680</v>
      </c>
    </row>
    <row r="111" spans="4:13" ht="15" hidden="1">
      <c r="D111" s="1483">
        <v>6072</v>
      </c>
      <c r="E111" s="1484" t="s">
        <v>1876</v>
      </c>
      <c r="F111" s="1484" t="s">
        <v>1877</v>
      </c>
      <c r="G111" s="1485">
        <v>41204</v>
      </c>
      <c r="H111" s="1486">
        <v>41164</v>
      </c>
      <c r="I111" s="1484" t="s">
        <v>1043</v>
      </c>
      <c r="J111" s="1484" t="s">
        <v>138</v>
      </c>
      <c r="K111" s="1483">
        <v>2407</v>
      </c>
      <c r="L111" s="1484" t="s">
        <v>1878</v>
      </c>
      <c r="M111" s="1484" t="s">
        <v>1680</v>
      </c>
    </row>
    <row r="112" spans="4:13" ht="30" hidden="1">
      <c r="D112" s="1483">
        <v>6585</v>
      </c>
      <c r="E112" s="1484" t="s">
        <v>1879</v>
      </c>
      <c r="F112" s="1484" t="s">
        <v>193</v>
      </c>
      <c r="G112" s="1485">
        <v>41082</v>
      </c>
      <c r="H112" s="1486">
        <v>41078</v>
      </c>
      <c r="I112" s="1484" t="s">
        <v>1043</v>
      </c>
      <c r="J112" s="1484" t="s">
        <v>138</v>
      </c>
      <c r="K112" s="1483">
        <v>2444</v>
      </c>
      <c r="L112" s="1484" t="s">
        <v>1880</v>
      </c>
      <c r="M112" s="1484" t="s">
        <v>1680</v>
      </c>
    </row>
    <row r="113" spans="4:13" ht="30" hidden="1">
      <c r="D113" s="1483">
        <v>6587</v>
      </c>
      <c r="E113" s="1484" t="s">
        <v>1881</v>
      </c>
      <c r="F113" s="1484" t="s">
        <v>194</v>
      </c>
      <c r="G113" s="1485">
        <v>41021</v>
      </c>
      <c r="H113" s="483"/>
      <c r="I113" s="1484" t="s">
        <v>1043</v>
      </c>
      <c r="J113" s="1484" t="s">
        <v>138</v>
      </c>
      <c r="K113" s="1483">
        <v>2445</v>
      </c>
      <c r="L113" s="1484" t="s">
        <v>1882</v>
      </c>
      <c r="M113" s="1484" t="s">
        <v>1680</v>
      </c>
    </row>
    <row r="114" spans="4:13" ht="30" hidden="1">
      <c r="D114" s="1483">
        <v>6600</v>
      </c>
      <c r="E114" s="1484" t="s">
        <v>1883</v>
      </c>
      <c r="F114" s="1484" t="s">
        <v>195</v>
      </c>
      <c r="G114" s="1485">
        <v>41149</v>
      </c>
      <c r="H114" s="483"/>
      <c r="I114" s="1484" t="s">
        <v>1043</v>
      </c>
      <c r="J114" s="1484" t="s">
        <v>138</v>
      </c>
      <c r="K114" s="1483">
        <v>2452</v>
      </c>
      <c r="L114" s="1484" t="s">
        <v>1884</v>
      </c>
      <c r="M114" s="1484" t="s">
        <v>1680</v>
      </c>
    </row>
    <row r="115" spans="4:13" ht="60">
      <c r="D115" s="1483">
        <v>6609</v>
      </c>
      <c r="E115" s="1484" t="s">
        <v>1885</v>
      </c>
      <c r="F115" s="1484" t="s">
        <v>322</v>
      </c>
      <c r="G115" s="1485">
        <v>41411</v>
      </c>
      <c r="H115" s="483"/>
      <c r="I115" s="1484" t="s">
        <v>1043</v>
      </c>
      <c r="J115" s="1484" t="s">
        <v>1700</v>
      </c>
      <c r="K115" s="1483">
        <v>2455</v>
      </c>
      <c r="L115" s="1484" t="s">
        <v>1886</v>
      </c>
      <c r="M115" s="1484" t="s">
        <v>1257</v>
      </c>
    </row>
    <row r="116" spans="4:13" ht="45">
      <c r="D116" s="1483">
        <v>6610</v>
      </c>
      <c r="E116" s="1484" t="s">
        <v>1887</v>
      </c>
      <c r="F116" s="1484" t="s">
        <v>316</v>
      </c>
      <c r="G116" s="1485">
        <v>41243</v>
      </c>
      <c r="H116" s="483"/>
      <c r="I116" s="1484" t="s">
        <v>1043</v>
      </c>
      <c r="J116" s="1484" t="s">
        <v>1700</v>
      </c>
      <c r="K116" s="1483">
        <v>2456</v>
      </c>
      <c r="L116" s="1484" t="s">
        <v>1888</v>
      </c>
      <c r="M116" s="1484" t="s">
        <v>1257</v>
      </c>
    </row>
    <row r="117" spans="4:13" ht="30" hidden="1">
      <c r="D117" s="1483">
        <v>6611</v>
      </c>
      <c r="E117" s="1484" t="s">
        <v>1889</v>
      </c>
      <c r="F117" s="1484" t="s">
        <v>197</v>
      </c>
      <c r="G117" s="1485">
        <v>40943</v>
      </c>
      <c r="H117" s="483"/>
      <c r="I117" s="1484" t="s">
        <v>1043</v>
      </c>
      <c r="J117" s="1484" t="s">
        <v>138</v>
      </c>
      <c r="K117" s="1483">
        <v>2457</v>
      </c>
      <c r="L117" s="1484" t="s">
        <v>1890</v>
      </c>
      <c r="M117" s="1484" t="s">
        <v>1680</v>
      </c>
    </row>
    <row r="118" spans="4:13" ht="30" hidden="1">
      <c r="D118" s="1483">
        <v>6612</v>
      </c>
      <c r="E118" s="1484" t="s">
        <v>1891</v>
      </c>
      <c r="F118" s="1484" t="s">
        <v>198</v>
      </c>
      <c r="G118" s="1485">
        <v>41082</v>
      </c>
      <c r="H118" s="1486">
        <v>41078</v>
      </c>
      <c r="I118" s="1484" t="s">
        <v>1043</v>
      </c>
      <c r="J118" s="1484" t="s">
        <v>1700</v>
      </c>
      <c r="K118" s="1483">
        <v>2458</v>
      </c>
      <c r="L118" s="1484" t="s">
        <v>1892</v>
      </c>
      <c r="M118" s="1484" t="s">
        <v>1680</v>
      </c>
    </row>
    <row r="119" spans="4:13" ht="30">
      <c r="D119" s="1483">
        <v>6896</v>
      </c>
      <c r="E119" s="1484" t="s">
        <v>1893</v>
      </c>
      <c r="F119" s="1484" t="s">
        <v>315</v>
      </c>
      <c r="G119" s="1485">
        <v>41182</v>
      </c>
      <c r="H119" s="483"/>
      <c r="I119" s="1484" t="s">
        <v>1043</v>
      </c>
      <c r="J119" s="1484" t="s">
        <v>1700</v>
      </c>
      <c r="K119" s="1483">
        <v>2479</v>
      </c>
      <c r="L119" s="1484" t="s">
        <v>1894</v>
      </c>
      <c r="M119" s="1484" t="s">
        <v>1257</v>
      </c>
    </row>
    <row r="120" spans="4:13" ht="45">
      <c r="D120" s="1483">
        <v>6897</v>
      </c>
      <c r="E120" s="1484" t="s">
        <v>1895</v>
      </c>
      <c r="F120" s="1484" t="s">
        <v>1896</v>
      </c>
      <c r="G120" s="1485">
        <v>41182</v>
      </c>
      <c r="H120" s="483"/>
      <c r="I120" s="1484" t="s">
        <v>1043</v>
      </c>
      <c r="J120" s="1484" t="s">
        <v>1700</v>
      </c>
      <c r="K120" s="1483">
        <v>2480</v>
      </c>
      <c r="L120" s="1484" t="s">
        <v>1897</v>
      </c>
      <c r="M120" s="1484" t="s">
        <v>1257</v>
      </c>
    </row>
    <row r="121" spans="4:13" ht="30">
      <c r="D121" s="1483">
        <v>6898</v>
      </c>
      <c r="E121" s="1484" t="s">
        <v>1898</v>
      </c>
      <c r="F121" s="1484" t="s">
        <v>362</v>
      </c>
      <c r="G121" s="1485">
        <v>41182</v>
      </c>
      <c r="H121" s="483"/>
      <c r="I121" s="1484" t="s">
        <v>1043</v>
      </c>
      <c r="J121" s="1484" t="s">
        <v>1700</v>
      </c>
      <c r="K121" s="1483">
        <v>2481</v>
      </c>
      <c r="L121" s="1484" t="s">
        <v>1899</v>
      </c>
      <c r="M121" s="1484" t="s">
        <v>1257</v>
      </c>
    </row>
    <row r="122" spans="4:13" ht="30">
      <c r="D122" s="1483">
        <v>7016</v>
      </c>
      <c r="E122" s="1484" t="s">
        <v>1900</v>
      </c>
      <c r="F122" s="1484" t="s">
        <v>433</v>
      </c>
      <c r="G122" s="1485">
        <v>41182</v>
      </c>
      <c r="H122" s="483"/>
      <c r="I122" s="1484" t="s">
        <v>1043</v>
      </c>
      <c r="J122" s="1484" t="s">
        <v>1700</v>
      </c>
      <c r="K122" s="1483">
        <v>2496</v>
      </c>
      <c r="L122" s="1484" t="s">
        <v>1901</v>
      </c>
      <c r="M122" s="1484" t="s">
        <v>1257</v>
      </c>
    </row>
    <row r="123" spans="4:13" ht="30" hidden="1">
      <c r="D123" s="1483">
        <v>7019</v>
      </c>
      <c r="E123" s="1484" t="s">
        <v>1902</v>
      </c>
      <c r="F123" s="1484" t="s">
        <v>200</v>
      </c>
      <c r="G123" s="1485">
        <v>41214</v>
      </c>
      <c r="H123" s="1486">
        <v>41214</v>
      </c>
      <c r="I123" s="1484" t="s">
        <v>1043</v>
      </c>
      <c r="J123" s="1484" t="s">
        <v>138</v>
      </c>
      <c r="K123" s="1483">
        <v>2497</v>
      </c>
      <c r="L123" s="1484" t="s">
        <v>1903</v>
      </c>
      <c r="M123" s="1484" t="s">
        <v>1680</v>
      </c>
    </row>
    <row r="124" spans="4:13" ht="30">
      <c r="D124" s="1483">
        <v>7371</v>
      </c>
      <c r="E124" s="1484" t="s">
        <v>1904</v>
      </c>
      <c r="F124" s="1484" t="s">
        <v>201</v>
      </c>
      <c r="G124" s="1485">
        <v>41485</v>
      </c>
      <c r="H124" s="483"/>
      <c r="I124" s="1484" t="s">
        <v>1043</v>
      </c>
      <c r="J124" s="1484" t="s">
        <v>1700</v>
      </c>
      <c r="K124" s="1483">
        <v>2527</v>
      </c>
      <c r="L124" s="1484" t="s">
        <v>1905</v>
      </c>
      <c r="M124" s="1484" t="s">
        <v>1257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5" customWidth="1"/>
    <col min="2" max="2" width="47.140625" style="435" bestFit="1" customWidth="1"/>
    <col min="3" max="3" width="27" style="435" customWidth="1"/>
    <col min="4" max="4" width="34.7109375" style="435" bestFit="1" customWidth="1"/>
    <col min="5" max="5" width="15" style="435" bestFit="1" customWidth="1"/>
    <col min="6" max="6" width="43.28515625" style="435" bestFit="1" customWidth="1"/>
    <col min="7" max="7" width="15.140625" style="435" bestFit="1" customWidth="1"/>
    <col min="8" max="16384" width="9.140625" style="435"/>
  </cols>
  <sheetData>
    <row r="1" spans="2:7">
      <c r="C1" s="436"/>
      <c r="D1" s="437"/>
    </row>
    <row r="3" spans="2:7">
      <c r="B3" s="438" t="s">
        <v>1906</v>
      </c>
      <c r="G3" s="436" t="s">
        <v>1907</v>
      </c>
    </row>
    <row r="4" spans="2:7">
      <c r="B4" s="447" t="s">
        <v>1908</v>
      </c>
      <c r="C4" s="447" t="s">
        <v>1909</v>
      </c>
      <c r="D4" s="447" t="s">
        <v>936</v>
      </c>
      <c r="E4" s="436"/>
      <c r="F4" s="1487" t="s">
        <v>1910</v>
      </c>
      <c r="G4" s="1488" t="e">
        <f>(C10*G7)/G5</f>
        <v>#REF!</v>
      </c>
    </row>
    <row r="5" spans="2:7">
      <c r="B5" s="1489" t="s">
        <v>1911</v>
      </c>
      <c r="C5" s="1490"/>
      <c r="D5" s="1491"/>
      <c r="F5" s="1487" t="s">
        <v>1912</v>
      </c>
      <c r="G5" s="1492" t="e">
        <f>(((1+C7)^G6)*C7)/(((1+C7)^G6)-1)</f>
        <v>#REF!</v>
      </c>
    </row>
    <row r="6" spans="2:7">
      <c r="B6" s="1489" t="s">
        <v>1913</v>
      </c>
      <c r="C6" s="1490"/>
      <c r="D6" s="1491"/>
      <c r="F6" s="1487" t="s">
        <v>1914</v>
      </c>
      <c r="G6" s="1493" t="e">
        <f>G7/(C8*C9)</f>
        <v>#REF!</v>
      </c>
    </row>
    <row r="7" spans="2:7">
      <c r="B7" s="1489" t="s">
        <v>1915</v>
      </c>
      <c r="C7" s="1494">
        <f>'BD-NET'!Q189</f>
        <v>9.9699999999999997E-2</v>
      </c>
      <c r="D7" s="1491"/>
      <c r="F7" s="1487" t="s">
        <v>1916</v>
      </c>
      <c r="G7" s="1495">
        <f>12*(20000*C6+10000*C5)</f>
        <v>0</v>
      </c>
    </row>
    <row r="8" spans="2:7">
      <c r="B8" s="1489" t="s">
        <v>1917</v>
      </c>
      <c r="C8" s="1496" t="e">
        <f>C24</f>
        <v>#REF!</v>
      </c>
      <c r="D8" s="1497" t="s">
        <v>1918</v>
      </c>
    </row>
    <row r="9" spans="2:7">
      <c r="B9" s="1489" t="s">
        <v>1919</v>
      </c>
      <c r="C9" s="1498"/>
      <c r="D9" s="1491"/>
    </row>
    <row r="10" spans="2:7">
      <c r="B10" s="1489" t="s">
        <v>1920</v>
      </c>
      <c r="C10" s="1499" t="e">
        <f>F14</f>
        <v>#REF!</v>
      </c>
      <c r="D10" s="1491"/>
    </row>
    <row r="12" spans="2:7">
      <c r="B12" s="447" t="s">
        <v>1921</v>
      </c>
      <c r="C12" s="447" t="s">
        <v>802</v>
      </c>
      <c r="D12" s="447" t="s">
        <v>1922</v>
      </c>
      <c r="E12" s="447" t="s">
        <v>1923</v>
      </c>
      <c r="F12" s="447" t="s">
        <v>1924</v>
      </c>
    </row>
    <row r="13" spans="2:7" ht="13.5" thickBot="1">
      <c r="B13" s="1489" t="s">
        <v>1925</v>
      </c>
      <c r="C13" s="1500" t="e">
        <f>C38</f>
        <v>#REF!</v>
      </c>
      <c r="D13" s="1489"/>
      <c r="E13" s="1489"/>
      <c r="F13" s="1501"/>
    </row>
    <row r="14" spans="2:7" ht="13.5" thickBot="1">
      <c r="B14" s="1489" t="s">
        <v>1926</v>
      </c>
      <c r="C14" s="1500" t="e">
        <f>(C32+E55)*($C$38/$C$35)</f>
        <v>#REF!</v>
      </c>
      <c r="D14" s="1502" t="e">
        <f>$C$17*(C14/($C$14+$C$15+$C$16))</f>
        <v>#REF!</v>
      </c>
      <c r="E14" s="1503" t="e">
        <f>C14-D14</f>
        <v>#REF!</v>
      </c>
      <c r="F14" s="470" t="e">
        <f>E14/$C$13</f>
        <v>#REF!</v>
      </c>
      <c r="G14" s="471" t="s">
        <v>1927</v>
      </c>
    </row>
    <row r="15" spans="2:7">
      <c r="B15" s="1489" t="s">
        <v>1928</v>
      </c>
      <c r="C15" s="1500" t="e">
        <f>C27*($C$38/$C$35)</f>
        <v>#REF!</v>
      </c>
      <c r="D15" s="1502" t="e">
        <f>$C$17*(C15/($C$14+$C$15+$C$16))</f>
        <v>#REF!</v>
      </c>
      <c r="E15" s="1502" t="e">
        <f>C15-D15</f>
        <v>#REF!</v>
      </c>
      <c r="F15" s="1504" t="e">
        <f>E15/$C$13</f>
        <v>#REF!</v>
      </c>
    </row>
    <row r="16" spans="2:7">
      <c r="B16" s="1489" t="s">
        <v>1929</v>
      </c>
      <c r="C16" s="1500" t="e">
        <f>(C33+D54)*($C$38/$C$35)</f>
        <v>#REF!</v>
      </c>
      <c r="D16" s="1502" t="e">
        <f>$C$17*(C16/($C$14+$C$15+$C$16))</f>
        <v>#REF!</v>
      </c>
      <c r="E16" s="1502" t="e">
        <f>C16-D16</f>
        <v>#REF!</v>
      </c>
      <c r="F16" s="1505" t="e">
        <f>E16/$C$13</f>
        <v>#REF!</v>
      </c>
    </row>
    <row r="17" spans="2:6">
      <c r="B17" s="1489" t="s">
        <v>1930</v>
      </c>
      <c r="C17" s="1500" t="e">
        <f>C39</f>
        <v>#REF!</v>
      </c>
      <c r="D17" s="1489"/>
      <c r="E17" s="1489"/>
      <c r="F17" s="1506" t="e">
        <f>C17/C13</f>
        <v>#REF!</v>
      </c>
    </row>
    <row r="18" spans="2:6">
      <c r="D18" s="452" t="e">
        <f>SUM(D14:D17)</f>
        <v>#REF!</v>
      </c>
      <c r="F18" s="1507" t="e">
        <f>SUM(F14:F17)</f>
        <v>#REF!</v>
      </c>
    </row>
    <row r="19" spans="2:6">
      <c r="B19" s="443" t="s">
        <v>1931</v>
      </c>
    </row>
    <row r="20" spans="2:6">
      <c r="B20" s="443"/>
    </row>
    <row r="21" spans="2:6">
      <c r="B21" s="1508" t="s">
        <v>1932</v>
      </c>
      <c r="C21" s="1509" t="e">
        <f>LnkTxtPBCAOMCAA</f>
        <v>#NAME?</v>
      </c>
    </row>
    <row r="22" spans="2:6">
      <c r="B22" s="444" t="s">
        <v>1933</v>
      </c>
      <c r="C22" s="445">
        <v>1.15E-2</v>
      </c>
    </row>
    <row r="23" spans="2:6">
      <c r="B23" s="444" t="s">
        <v>1934</v>
      </c>
      <c r="C23" s="445">
        <v>0</v>
      </c>
    </row>
    <row r="24" spans="2:6">
      <c r="B24" s="1508" t="s">
        <v>1935</v>
      </c>
      <c r="C24" s="1509" t="e">
        <f>#REF!+#REF!</f>
        <v>#REF!</v>
      </c>
    </row>
    <row r="27" spans="2:6">
      <c r="B27" s="1508" t="s">
        <v>1936</v>
      </c>
      <c r="C27" s="1509" t="e">
        <f>#REF!</f>
        <v>#REF!</v>
      </c>
    </row>
    <row r="28" spans="2:6">
      <c r="B28" s="444" t="s">
        <v>1937</v>
      </c>
      <c r="C28" s="450" t="e">
        <f>#REF!</f>
        <v>#REF!</v>
      </c>
    </row>
    <row r="29" spans="2:6">
      <c r="B29" s="444" t="s">
        <v>1938</v>
      </c>
      <c r="C29" s="450"/>
    </row>
    <row r="30" spans="2:6">
      <c r="B30" s="444" t="s">
        <v>1939</v>
      </c>
      <c r="C30" s="450" t="e">
        <f>#REF!</f>
        <v>#REF!</v>
      </c>
    </row>
    <row r="31" spans="2:6">
      <c r="B31" s="1508" t="s">
        <v>1940</v>
      </c>
      <c r="C31" s="1509" t="e">
        <f>#REF!</f>
        <v>#REF!</v>
      </c>
    </row>
    <row r="32" spans="2:6">
      <c r="B32" s="444" t="s">
        <v>1941</v>
      </c>
      <c r="C32" s="450" t="e">
        <f>#REF!</f>
        <v>#REF!</v>
      </c>
    </row>
    <row r="33" spans="2:4">
      <c r="B33" s="444" t="s">
        <v>1942</v>
      </c>
      <c r="C33" s="450" t="e">
        <f>#REF!</f>
        <v>#REF!</v>
      </c>
    </row>
    <row r="34" spans="2:4">
      <c r="B34" s="444" t="s">
        <v>1943</v>
      </c>
      <c r="C34" s="450" t="e">
        <f>#REF!</f>
        <v>#REF!</v>
      </c>
    </row>
    <row r="35" spans="2:4">
      <c r="B35" s="1508" t="s">
        <v>1932</v>
      </c>
      <c r="C35" s="1509" t="e">
        <f>C21</f>
        <v>#NAME?</v>
      </c>
    </row>
    <row r="36" spans="2:4">
      <c r="B36" s="444" t="s">
        <v>1933</v>
      </c>
      <c r="C36" s="445">
        <f>C22</f>
        <v>1.15E-2</v>
      </c>
    </row>
    <row r="37" spans="2:4">
      <c r="B37" s="444" t="s">
        <v>1934</v>
      </c>
      <c r="C37" s="445">
        <f>C23</f>
        <v>0</v>
      </c>
    </row>
    <row r="38" spans="2:4">
      <c r="B38" s="1508" t="s">
        <v>1935</v>
      </c>
      <c r="C38" s="1509" t="e">
        <f>C24</f>
        <v>#REF!</v>
      </c>
    </row>
    <row r="39" spans="2:4">
      <c r="B39" s="444" t="s">
        <v>1944</v>
      </c>
      <c r="C39" s="450" t="e">
        <f>#REF!</f>
        <v>#REF!</v>
      </c>
    </row>
    <row r="40" spans="2:4">
      <c r="B40" s="1510" t="s">
        <v>1945</v>
      </c>
      <c r="C40" s="1511" t="e">
        <f>#REF!</f>
        <v>#REF!</v>
      </c>
    </row>
    <row r="42" spans="2:4" ht="15" customHeight="1"/>
    <row r="43" spans="2:4">
      <c r="B43" s="443"/>
    </row>
    <row r="45" spans="2:4">
      <c r="B45" s="461"/>
      <c r="C45" s="461"/>
      <c r="D45" s="464"/>
    </row>
    <row r="46" spans="2:4">
      <c r="B46" s="462"/>
      <c r="C46" s="462"/>
    </row>
    <row r="47" spans="2:4">
      <c r="B47" s="65"/>
      <c r="C47" s="463"/>
      <c r="D47" s="465"/>
    </row>
    <row r="48" spans="2:4">
      <c r="B48" s="65"/>
      <c r="C48" s="463"/>
      <c r="D48" s="465"/>
    </row>
    <row r="49" spans="2:6">
      <c r="B49" s="65"/>
      <c r="C49" s="463"/>
      <c r="D49" s="465"/>
    </row>
    <row r="50" spans="2:6">
      <c r="B50" s="65"/>
      <c r="C50" s="463"/>
      <c r="D50" s="454"/>
    </row>
    <row r="51" spans="2:6">
      <c r="B51" s="65"/>
      <c r="C51" s="463"/>
      <c r="D51" s="466"/>
      <c r="E51" s="454"/>
    </row>
    <row r="52" spans="2:6">
      <c r="B52" s="65"/>
      <c r="C52" s="463"/>
      <c r="D52" s="466"/>
      <c r="E52" s="455"/>
      <c r="F52" s="456"/>
    </row>
    <row r="53" spans="2:6">
      <c r="B53" s="65"/>
      <c r="C53" s="463"/>
      <c r="D53" s="466"/>
      <c r="E53" s="455"/>
      <c r="F53" s="453"/>
    </row>
    <row r="54" spans="2:6">
      <c r="B54" s="467"/>
      <c r="C54" s="468"/>
      <c r="D54" s="469"/>
      <c r="E54" s="455"/>
      <c r="F54" s="453"/>
    </row>
    <row r="55" spans="2:6">
      <c r="E55" s="457"/>
      <c r="F55" s="45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5" customWidth="1"/>
    <col min="2" max="2" width="33.28515625" style="435" customWidth="1"/>
    <col min="3" max="3" width="21" style="435" customWidth="1"/>
    <col min="4" max="4" width="31.7109375" style="435" bestFit="1" customWidth="1"/>
    <col min="5" max="5" width="48.140625" style="435" customWidth="1"/>
    <col min="6" max="6" width="45.5703125" style="435" customWidth="1"/>
    <col min="7" max="7" width="7.7109375" style="435" customWidth="1"/>
    <col min="8" max="8" width="30.42578125" style="435" bestFit="1" customWidth="1"/>
    <col min="9" max="10" width="9.140625" style="435"/>
    <col min="11" max="11" width="11.140625" style="435" customWidth="1"/>
    <col min="12" max="16384" width="9.140625" style="435"/>
  </cols>
  <sheetData>
    <row r="1" spans="2:17">
      <c r="C1" s="436"/>
      <c r="D1" s="437"/>
    </row>
    <row r="2" spans="2:17">
      <c r="B2" s="438" t="s">
        <v>1946</v>
      </c>
      <c r="C2" s="439"/>
      <c r="H2" s="440" t="s">
        <v>1947</v>
      </c>
    </row>
    <row r="3" spans="2:17">
      <c r="B3" s="1512" t="s">
        <v>1908</v>
      </c>
      <c r="C3" s="1512" t="s">
        <v>1909</v>
      </c>
      <c r="D3" s="1513" t="s">
        <v>936</v>
      </c>
      <c r="E3" s="1513" t="s">
        <v>1948</v>
      </c>
      <c r="F3" s="1513" t="s">
        <v>1949</v>
      </c>
      <c r="H3" s="440" t="s">
        <v>1950</v>
      </c>
      <c r="M3" s="435" t="s">
        <v>1951</v>
      </c>
      <c r="O3" s="435" t="s">
        <v>1951</v>
      </c>
      <c r="P3" s="435" t="s">
        <v>1951</v>
      </c>
    </row>
    <row r="4" spans="2:17">
      <c r="B4" s="1514" t="s">
        <v>1952</v>
      </c>
      <c r="C4" s="1515" t="e">
        <f>12*C5*(1-$E$13)*1/$E$16</f>
        <v>#DIV/0!</v>
      </c>
      <c r="D4" s="1491" t="s">
        <v>1953</v>
      </c>
      <c r="E4" s="1491"/>
      <c r="F4" s="1491"/>
      <c r="H4" s="1512" t="s">
        <v>1954</v>
      </c>
      <c r="I4" s="1512" t="s">
        <v>1955</v>
      </c>
      <c r="J4" s="1512" t="s">
        <v>1956</v>
      </c>
      <c r="K4" s="1512" t="s">
        <v>1957</v>
      </c>
      <c r="L4" s="1512" t="s">
        <v>1958</v>
      </c>
      <c r="M4" s="1512" t="s">
        <v>977</v>
      </c>
      <c r="N4" s="1512" t="s">
        <v>597</v>
      </c>
      <c r="O4" s="1512" t="s">
        <v>601</v>
      </c>
      <c r="P4" s="1512" t="s">
        <v>599</v>
      </c>
      <c r="Q4" s="1512" t="s">
        <v>602</v>
      </c>
    </row>
    <row r="5" spans="2:17">
      <c r="B5" s="1514" t="s">
        <v>1913</v>
      </c>
      <c r="C5" s="1516"/>
      <c r="D5" s="1491"/>
      <c r="E5" s="1491"/>
      <c r="F5" s="1491" t="s">
        <v>1959</v>
      </c>
      <c r="H5" s="1514" t="s">
        <v>1952</v>
      </c>
      <c r="I5" s="1515" t="e">
        <f t="shared" ref="I5:Q5" si="0">12*I6*(1-$E$13)*1/$E$16</f>
        <v>#DIV/0!</v>
      </c>
      <c r="J5" s="1515" t="e">
        <f t="shared" si="0"/>
        <v>#DIV/0!</v>
      </c>
      <c r="K5" s="1515" t="e">
        <f t="shared" si="0"/>
        <v>#DIV/0!</v>
      </c>
      <c r="L5" s="1515" t="e">
        <f t="shared" si="0"/>
        <v>#DIV/0!</v>
      </c>
      <c r="M5" s="1515" t="e">
        <f t="shared" si="0"/>
        <v>#DIV/0!</v>
      </c>
      <c r="N5" s="1515" t="e">
        <f t="shared" si="0"/>
        <v>#DIV/0!</v>
      </c>
      <c r="O5" s="1515" t="e">
        <f t="shared" si="0"/>
        <v>#DIV/0!</v>
      </c>
      <c r="P5" s="1515" t="e">
        <f t="shared" si="0"/>
        <v>#DIV/0!</v>
      </c>
      <c r="Q5" s="1515" t="e">
        <f t="shared" si="0"/>
        <v>#DIV/0!</v>
      </c>
    </row>
    <row r="6" spans="2:17">
      <c r="B6" s="1514" t="s">
        <v>1960</v>
      </c>
      <c r="C6" s="1517"/>
      <c r="D6" s="1491" t="s">
        <v>1961</v>
      </c>
      <c r="E6" s="1491"/>
      <c r="F6" s="1518"/>
      <c r="H6" s="1514" t="s">
        <v>1913</v>
      </c>
      <c r="I6" s="1519"/>
      <c r="J6" s="1519"/>
      <c r="K6" s="1519"/>
      <c r="L6" s="1519"/>
      <c r="M6" s="1490"/>
      <c r="N6" s="1520"/>
      <c r="O6" s="1490"/>
      <c r="P6" s="1490"/>
      <c r="Q6" s="1490"/>
    </row>
    <row r="7" spans="2:17">
      <c r="B7" s="1514" t="s">
        <v>1962</v>
      </c>
      <c r="C7" s="1517"/>
      <c r="D7" s="1491" t="s">
        <v>1963</v>
      </c>
      <c r="E7" s="1491"/>
      <c r="F7" s="1518"/>
      <c r="H7" s="1514" t="s">
        <v>1960</v>
      </c>
      <c r="I7" s="1859">
        <f>C6</f>
        <v>0</v>
      </c>
      <c r="J7" s="1860"/>
      <c r="K7" s="1860"/>
      <c r="L7" s="1860"/>
      <c r="M7" s="1860"/>
      <c r="N7" s="1860"/>
      <c r="O7" s="1860"/>
      <c r="P7" s="1860"/>
      <c r="Q7" s="1861"/>
    </row>
    <row r="8" spans="2:17">
      <c r="B8" s="1514" t="s">
        <v>1964</v>
      </c>
      <c r="C8" s="1521"/>
      <c r="D8" s="1491" t="s">
        <v>1965</v>
      </c>
      <c r="E8" s="1491" t="s">
        <v>1966</v>
      </c>
      <c r="F8" s="1522"/>
      <c r="G8" s="441"/>
      <c r="H8" s="1514" t="s">
        <v>1964</v>
      </c>
      <c r="I8" s="1862">
        <f>C8</f>
        <v>0</v>
      </c>
      <c r="J8" s="1863"/>
      <c r="K8" s="1863"/>
      <c r="L8" s="1863"/>
      <c r="M8" s="1863"/>
      <c r="N8" s="1863"/>
      <c r="O8" s="1863"/>
      <c r="P8" s="1863"/>
      <c r="Q8" s="1864"/>
    </row>
    <row r="9" spans="2:17">
      <c r="B9" s="1514" t="s">
        <v>1967</v>
      </c>
      <c r="C9" s="1517"/>
      <c r="D9" s="1491" t="s">
        <v>1968</v>
      </c>
      <c r="E9" s="1491"/>
      <c r="F9" s="1522"/>
      <c r="H9" s="1514" t="s">
        <v>1967</v>
      </c>
      <c r="I9" s="1859">
        <f>C9</f>
        <v>0</v>
      </c>
      <c r="J9" s="1860"/>
      <c r="K9" s="1860"/>
      <c r="L9" s="1860"/>
      <c r="M9" s="1860"/>
      <c r="N9" s="1860"/>
      <c r="O9" s="1860"/>
      <c r="P9" s="1860"/>
      <c r="Q9" s="1861"/>
    </row>
    <row r="10" spans="2:17">
      <c r="B10" s="1514" t="s">
        <v>1969</v>
      </c>
      <c r="C10" s="1521"/>
      <c r="D10" s="1491" t="s">
        <v>1970</v>
      </c>
      <c r="E10" s="1491" t="s">
        <v>1971</v>
      </c>
      <c r="F10" s="1522"/>
      <c r="G10" s="441"/>
      <c r="H10" s="1514" t="s">
        <v>1969</v>
      </c>
      <c r="I10" s="1865">
        <f>C10</f>
        <v>0</v>
      </c>
      <c r="J10" s="1866"/>
      <c r="K10" s="1866"/>
      <c r="L10" s="1866"/>
      <c r="M10" s="1866"/>
      <c r="N10" s="1866"/>
      <c r="O10" s="1866"/>
      <c r="P10" s="1866"/>
      <c r="Q10" s="1867"/>
    </row>
    <row r="12" spans="2:17">
      <c r="D12" s="438" t="s">
        <v>1972</v>
      </c>
    </row>
    <row r="13" spans="2:17">
      <c r="D13" s="1487" t="s">
        <v>1973</v>
      </c>
      <c r="E13" s="1523" t="e">
        <f>C10/C8</f>
        <v>#DIV/0!</v>
      </c>
      <c r="H13" s="440" t="s">
        <v>1974</v>
      </c>
      <c r="M13" s="442">
        <v>4.2321999999999997</v>
      </c>
    </row>
    <row r="14" spans="2:17">
      <c r="D14" s="1487" t="s">
        <v>1975</v>
      </c>
      <c r="E14" s="1524" t="e">
        <f>1/C9</f>
        <v>#DIV/0!</v>
      </c>
      <c r="H14" s="440" t="s">
        <v>1976</v>
      </c>
      <c r="M14" s="435">
        <v>1.01916916988504</v>
      </c>
    </row>
    <row r="15" spans="2:17">
      <c r="D15" s="1487" t="s">
        <v>1977</v>
      </c>
      <c r="E15" s="1525">
        <f>ROUND(C6/(1-C7),4)</f>
        <v>0</v>
      </c>
      <c r="H15" s="440" t="s">
        <v>1978</v>
      </c>
      <c r="M15" s="435">
        <f>M13*M14</f>
        <v>4.313327760787466</v>
      </c>
    </row>
    <row r="16" spans="2:17">
      <c r="D16" s="1487" t="s">
        <v>1912</v>
      </c>
      <c r="E16" s="1526" t="e">
        <f>(((1+E15)^E14)*E15)/((1+E15)^E14-1)</f>
        <v>#DIV/0!</v>
      </c>
      <c r="H16" s="440" t="s">
        <v>1979</v>
      </c>
      <c r="M16" s="435">
        <v>0.3</v>
      </c>
    </row>
    <row r="17" spans="2:13">
      <c r="H17" s="440" t="s">
        <v>1980</v>
      </c>
      <c r="M17" s="435">
        <v>0.4</v>
      </c>
    </row>
    <row r="18" spans="2:13">
      <c r="H18" s="440" t="s">
        <v>1981</v>
      </c>
      <c r="M18" s="435">
        <v>0</v>
      </c>
    </row>
    <row r="20" spans="2:13">
      <c r="B20" s="1508" t="s">
        <v>1932</v>
      </c>
      <c r="C20" s="1509" t="e">
        <f>'REN 473'!C21</f>
        <v>#NAME?</v>
      </c>
      <c r="E20" s="443" t="s">
        <v>1982</v>
      </c>
      <c r="F20" s="443"/>
    </row>
    <row r="21" spans="2:13">
      <c r="B21" s="444" t="s">
        <v>1933</v>
      </c>
      <c r="C21" s="445">
        <f>'REN 473'!C22</f>
        <v>1.15E-2</v>
      </c>
      <c r="E21" s="446" t="s">
        <v>855</v>
      </c>
      <c r="F21" s="447" t="s">
        <v>37</v>
      </c>
    </row>
    <row r="22" spans="2:13">
      <c r="B22" s="444" t="s">
        <v>1934</v>
      </c>
      <c r="C22" s="445">
        <f>'REN 473'!C23</f>
        <v>0</v>
      </c>
      <c r="E22" s="448" t="s">
        <v>1983</v>
      </c>
      <c r="F22" s="449"/>
    </row>
    <row r="23" spans="2:13">
      <c r="B23" s="1508" t="s">
        <v>1935</v>
      </c>
      <c r="C23" s="1509" t="e">
        <f>'REN 473'!C24</f>
        <v>#REF!</v>
      </c>
      <c r="E23" s="448" t="s">
        <v>1984</v>
      </c>
      <c r="F23" s="449"/>
    </row>
    <row r="24" spans="2:13">
      <c r="E24" s="448" t="s">
        <v>1985</v>
      </c>
      <c r="F24" s="449"/>
    </row>
    <row r="25" spans="2:13">
      <c r="B25" s="1508" t="s">
        <v>1936</v>
      </c>
      <c r="C25" s="1527"/>
      <c r="E25" s="448" t="s">
        <v>1986</v>
      </c>
      <c r="F25" s="449"/>
    </row>
    <row r="26" spans="2:13">
      <c r="B26" s="444" t="s">
        <v>1937</v>
      </c>
      <c r="C26" s="472"/>
      <c r="E26" s="1528" t="s">
        <v>1987</v>
      </c>
      <c r="F26" s="1529"/>
    </row>
    <row r="27" spans="2:13">
      <c r="B27" s="444" t="s">
        <v>1938</v>
      </c>
      <c r="C27" s="472"/>
      <c r="E27" s="448" t="s">
        <v>1988</v>
      </c>
      <c r="F27" s="451"/>
    </row>
    <row r="28" spans="2:13">
      <c r="B28" s="1510" t="s">
        <v>1939</v>
      </c>
      <c r="C28" s="1530"/>
      <c r="E28" s="1528" t="s">
        <v>1989</v>
      </c>
      <c r="F28" s="152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143286.06900000005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93031.917000000059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2381</v>
      </c>
    </row>
    <row r="22" spans="2:3">
      <c r="B22" s="63" t="s">
        <v>1146</v>
      </c>
      <c r="C22">
        <f t="shared" ca="1" si="0"/>
        <v>238</v>
      </c>
    </row>
    <row r="23" spans="2:3">
      <c r="B23" s="63" t="s">
        <v>2010</v>
      </c>
      <c r="C23">
        <f t="shared" ca="1" si="0"/>
        <v>0.12089999999999999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0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0</v>
      </c>
    </row>
    <row r="30" spans="2:3">
      <c r="B30" s="63" t="s">
        <v>2017</v>
      </c>
      <c r="C30">
        <f t="shared" ca="1" si="0"/>
        <v>27762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0.18111791572117983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-208981.51488605133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0.1956272607198577</v>
      </c>
    </row>
    <row r="42" spans="2:3">
      <c r="B42" s="63" t="s">
        <v>2029</v>
      </c>
      <c r="C42">
        <f t="shared" ca="1" si="0"/>
        <v>0.12701588016045462</v>
      </c>
    </row>
    <row r="43" spans="2:3">
      <c r="B43" s="63" t="s">
        <v>2030</v>
      </c>
      <c r="C43">
        <f t="shared" ca="1" si="0"/>
        <v>0.2280547208480328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0.1956272607198577</v>
      </c>
    </row>
    <row r="48" spans="2:3">
      <c r="B48" s="63" t="s">
        <v>2035</v>
      </c>
      <c r="C48">
        <f t="shared" ca="1" si="0"/>
        <v>24739687.473364118</v>
      </c>
    </row>
    <row r="49" spans="2:3">
      <c r="B49" s="63" t="s">
        <v>2036</v>
      </c>
      <c r="C49">
        <f t="shared" ca="1" si="0"/>
        <v>162796.20629000006</v>
      </c>
    </row>
    <row r="50" spans="2:3">
      <c r="B50" s="63" t="s">
        <v>2037</v>
      </c>
      <c r="C50">
        <f t="shared" ca="1" si="0"/>
        <v>0.28960000000000002</v>
      </c>
    </row>
    <row r="51" spans="2:3">
      <c r="B51" s="63" t="s">
        <v>2038</v>
      </c>
      <c r="C51">
        <f t="shared" ca="1" si="0"/>
        <v>143286.06900000005</v>
      </c>
    </row>
    <row r="52" spans="2:3">
      <c r="B52" s="63" t="s">
        <v>2039</v>
      </c>
      <c r="C52">
        <f t="shared" ca="1" si="0"/>
        <v>143286.06900000005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0.2211770402581078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16403.582831862605</v>
      </c>
    </row>
    <row r="57" spans="2:3">
      <c r="B57" s="63" t="s">
        <v>2044</v>
      </c>
      <c r="C57">
        <f t="shared" ca="1" si="0"/>
        <v>0.16842982451197178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-7.8098841122112947E-2</v>
      </c>
    </row>
    <row r="62" spans="2:3">
      <c r="B62" s="63" t="s">
        <v>2049</v>
      </c>
      <c r="C62">
        <f t="shared" ca="1" si="0"/>
        <v>0.12970000000000001</v>
      </c>
    </row>
    <row r="63" spans="2:3">
      <c r="B63" s="63" t="s">
        <v>2050</v>
      </c>
      <c r="C63">
        <f t="shared" ca="1" si="0"/>
        <v>6.6079978079101459E-2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7.7244872514706589E-3</v>
      </c>
    </row>
    <row r="66" spans="2:3">
      <c r="B66" s="63" t="s">
        <v>2053</v>
      </c>
      <c r="C66">
        <f t="shared" ca="1" si="0"/>
        <v>0.12197774386446504</v>
      </c>
    </row>
    <row r="67" spans="2:3">
      <c r="B67" s="63" t="s">
        <v>2054</v>
      </c>
      <c r="C67">
        <f t="shared" ref="C67:C130" ca="1" si="1">INDIRECT(B67)</f>
        <v>1.9743350294482213E-2</v>
      </c>
    </row>
    <row r="68" spans="2:3">
      <c r="B68" s="63" t="s">
        <v>2055</v>
      </c>
      <c r="C68">
        <f t="shared" ca="1" si="1"/>
        <v>-9.4E-2</v>
      </c>
    </row>
    <row r="69" spans="2:3">
      <c r="B69" s="63" t="s">
        <v>2056</v>
      </c>
      <c r="C69">
        <f t="shared" ca="1" si="1"/>
        <v>-571960.60168152116</v>
      </c>
    </row>
    <row r="70" spans="2:3">
      <c r="B70" s="63" t="s">
        <v>2057</v>
      </c>
      <c r="C70" t="str">
        <f t="shared" ca="1" si="1"/>
        <v>Cooperativa de Distribuição e Geração de Energia das Missões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30/2010</v>
      </c>
    </row>
    <row r="73" spans="2:3">
      <c r="B73" s="63" t="s">
        <v>2060</v>
      </c>
      <c r="C73" t="str">
        <f t="shared" ca="1" si="1"/>
        <v>48500.004968/2021-33</v>
      </c>
    </row>
    <row r="74" spans="2:3">
      <c r="B74" s="63" t="s">
        <v>2061</v>
      </c>
      <c r="C74">
        <f t="shared" ca="1" si="1"/>
        <v>0.49179845113144405</v>
      </c>
    </row>
    <row r="75" spans="2:3">
      <c r="B75" s="63" t="s">
        <v>2062</v>
      </c>
      <c r="C75">
        <f t="shared" ca="1" si="1"/>
        <v>0.50820154886855606</v>
      </c>
    </row>
    <row r="76" spans="2:3">
      <c r="B76" s="63" t="s">
        <v>2063</v>
      </c>
      <c r="C76">
        <f t="shared" ca="1" si="1"/>
        <v>0.12407096344151279</v>
      </c>
    </row>
    <row r="77" spans="2:3">
      <c r="B77" s="63" t="s">
        <v>2064</v>
      </c>
      <c r="C77">
        <f t="shared" ca="1" si="1"/>
        <v>1.2688091209208052E-2</v>
      </c>
    </row>
    <row r="78" spans="2:3">
      <c r="B78" s="63" t="s">
        <v>2065</v>
      </c>
      <c r="C78">
        <f t="shared" ca="1" si="1"/>
        <v>19510.137289999999</v>
      </c>
    </row>
    <row r="79" spans="2:3">
      <c r="B79" s="63" t="s">
        <v>2066</v>
      </c>
      <c r="C79">
        <f t="shared" ca="1" si="1"/>
        <v>8.8799819072053005E-2</v>
      </c>
    </row>
    <row r="80" spans="2:3">
      <c r="B80" s="63" t="s">
        <v>2067</v>
      </c>
      <c r="C80">
        <f t="shared" ca="1" si="1"/>
        <v>1855892.7636633427</v>
      </c>
    </row>
    <row r="81" spans="2:3">
      <c r="B81" s="63" t="s">
        <v>2068</v>
      </c>
      <c r="C81">
        <f t="shared" ca="1" si="1"/>
        <v>1855892.7636633427</v>
      </c>
    </row>
    <row r="82" spans="2:3">
      <c r="B82" s="64" t="s">
        <v>2069</v>
      </c>
      <c r="C82">
        <f t="shared" ca="1" si="1"/>
        <v>2340.6765462476283</v>
      </c>
    </row>
    <row r="83" spans="2:3">
      <c r="B83" s="63" t="s">
        <v>2070</v>
      </c>
      <c r="C83">
        <f t="shared" ca="1" si="1"/>
        <v>105092899.89447996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3619086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108.31529955634497</v>
      </c>
    </row>
    <row r="88" spans="2:3">
      <c r="B88" s="63" t="s">
        <v>2075</v>
      </c>
      <c r="C88" t="str">
        <f t="shared" ca="1" si="1"/>
        <v>Cermissões</v>
      </c>
    </row>
    <row r="89" spans="2:3">
      <c r="B89" s="63" t="s">
        <v>2076</v>
      </c>
      <c r="C89">
        <f t="shared" ca="1" si="1"/>
        <v>-29102795.694557633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13082722.717433799</v>
      </c>
    </row>
    <row r="92" spans="2:3">
      <c r="B92" s="64" t="s">
        <v>2079</v>
      </c>
      <c r="C92">
        <f t="shared" ca="1" si="1"/>
        <v>-0.24909999999999999</v>
      </c>
    </row>
    <row r="93" spans="2:3">
      <c r="B93" s="64" t="s">
        <v>2080</v>
      </c>
      <c r="C93">
        <f t="shared" ca="1" si="1"/>
        <v>0.69430000000000003</v>
      </c>
    </row>
    <row r="94" spans="2:3">
      <c r="B94" s="64" t="s">
        <v>2081</v>
      </c>
      <c r="C94">
        <f t="shared" ca="1" si="1"/>
        <v>0.1419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8073828.0044489643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387051.4383655666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1309794.7702300332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231416.72552077865</v>
      </c>
    </row>
    <row r="129" spans="2:3">
      <c r="B129" s="63" t="s">
        <v>2116</v>
      </c>
      <c r="C129">
        <f t="shared" ca="1" si="1"/>
        <v>143286.06900000005</v>
      </c>
    </row>
    <row r="130" spans="2:3">
      <c r="B130" s="63" t="s">
        <v>2117</v>
      </c>
      <c r="C130">
        <f t="shared" ca="1" si="1"/>
        <v>105092899.89447996</v>
      </c>
    </row>
    <row r="131" spans="2:3">
      <c r="B131" s="64" t="s">
        <v>2118</v>
      </c>
      <c r="C131" t="str">
        <f t="shared" ref="C131:C194" ca="1" si="2">INDIRECT(B131)</f>
        <v>Verde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232</vt:i4>
      </vt:variant>
    </vt:vector>
  </HeadingPairs>
  <TitlesOfParts>
    <vt:vector size="266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Tabelas e Gráficos</vt:lpstr>
      <vt:lpstr>Rede Básica + Ajuste</vt:lpstr>
      <vt:lpstr>Conexão </vt:lpstr>
      <vt:lpstr>CUSD</vt:lpstr>
      <vt:lpstr>Encargos</vt:lpstr>
      <vt:lpstr>Financeiros</vt:lpstr>
      <vt:lpstr>ICMS</vt:lpstr>
      <vt:lpstr>PIS_Cofins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lnktxtCDEEletper</vt:lpstr>
      <vt:lpstr>lnktxtCDEUSOper</vt:lpstr>
      <vt:lpstr>lnktxtCEscHdrper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lnktxtCtaEscHid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lnktxtESSper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2022-07-29T13:27:36Z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